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codeName="ThisWorkbook"/>
  <mc:AlternateContent xmlns:mc="http://schemas.openxmlformats.org/markup-compatibility/2006">
    <mc:Choice Requires="x15">
      <x15ac:absPath xmlns:x15ac="http://schemas.microsoft.com/office/spreadsheetml/2010/11/ac" url="/Users/clarkseavert/AgBizLogic Dropbox/Clark Seavert/OSU Folder/RESEARCH/Cropping Systems Projects/UI - AFRI Landscapes in Transition/"/>
    </mc:Choice>
  </mc:AlternateContent>
  <xr:revisionPtr revIDLastSave="0" documentId="13_ncr:1_{79E630CC-6C2C-854D-A112-A2BC065D11C9}" xr6:coauthVersionLast="47" xr6:coauthVersionMax="47" xr10:uidLastSave="{00000000-0000-0000-0000-000000000000}"/>
  <bookViews>
    <workbookView xWindow="0" yWindow="500" windowWidth="33600" windowHeight="18800" tabRatio="727" xr2:uid="{00000000-000D-0000-FFFF-FFFF00000000}"/>
  </bookViews>
  <sheets>
    <sheet name="Introduction" sheetId="144" r:id="rId1"/>
    <sheet name="Results" sheetId="145" r:id="rId2"/>
    <sheet name="Farm and Rotation Setup" sheetId="94" r:id="rId3"/>
    <sheet name="Prices_Yields&amp;SeedInputs" sheetId="122" r:id="rId4"/>
    <sheet name="LivestockImprovements" sheetId="129" r:id="rId5"/>
    <sheet name="Chem&amp;FertInputs&amp;CInsurance" sheetId="126" r:id="rId6"/>
    <sheet name="MachineAssumptions" sheetId="128" r:id="rId7"/>
    <sheet name="FieldApplications" sheetId="127" r:id="rId8"/>
    <sheet name="CustomRates" sheetId="50" r:id="rId9"/>
    <sheet name="SWWinterWheatAfterSpringLegume" sheetId="133" r:id="rId10"/>
    <sheet name="SWWinterWheatAfterForageCrop" sheetId="134" r:id="rId11"/>
    <sheet name="DNSpringWinterAfterSpringLegume" sheetId="135" r:id="rId12"/>
    <sheet name="DNSpringWheatAfterForageCrop" sheetId="98" r:id="rId13"/>
    <sheet name="DNSpringWheatAfterWinterCrop" sheetId="95" r:id="rId14"/>
    <sheet name="ChickpeaAfterForageCrop" sheetId="96" r:id="rId15"/>
    <sheet name="ChickpeaAfterCereal" sheetId="123" r:id="rId16"/>
    <sheet name="SpringPeaAfterCereal" sheetId="137" r:id="rId17"/>
    <sheet name="ForageCrop-StJohn" sheetId="118" r:id="rId18"/>
    <sheet name="ForageCrop-Genesee" sheetId="119" r:id="rId19"/>
    <sheet name="LivestockGrazing" sheetId="120" r:id="rId20"/>
    <sheet name="SWWinterWheatafterCereal" sheetId="132" r:id="rId21"/>
    <sheet name="SWWinterWheatAfterFallow" sheetId="86" r:id="rId22"/>
    <sheet name="Chem-Fallow" sheetId="99" r:id="rId23"/>
    <sheet name="Flex-Fallow" sheetId="136" r:id="rId24"/>
    <sheet name="SpringBarley" sheetId="91" r:id="rId25"/>
    <sheet name="SpringCanola_R-Ready" sheetId="139" r:id="rId26"/>
    <sheet name="SpringCanola" sheetId="97" r:id="rId27"/>
    <sheet name="SpringLentils" sheetId="117" r:id="rId28"/>
    <sheet name="SWSpringWheat" sheetId="116" r:id="rId29"/>
    <sheet name="HRWinterWheat" sheetId="124" r:id="rId30"/>
    <sheet name="WinterPea" sheetId="138" r:id="rId31"/>
    <sheet name="WinterCanola" sheetId="140" r:id="rId32"/>
    <sheet name="ForageCrop" sheetId="113" r:id="rId33"/>
    <sheet name="AnnualRotations" sheetId="141" state="hidden" r:id="rId34"/>
    <sheet name="Graphs" sheetId="142" state="hidden" r:id="rId35"/>
    <sheet name="LivestockFencing (2)" sheetId="143" state="hidden" r:id="rId36"/>
    <sheet name="LeasingInfo" sheetId="130" state="hidden" r:id="rId37"/>
    <sheet name="LeaseOption" sheetId="88" state="hidden" r:id="rId38"/>
  </sheets>
  <externalReferences>
    <externalReference r:id="rId39"/>
  </externalReferences>
  <definedNames>
    <definedName name="a">#REF!</definedName>
    <definedName name="aaaaa">#REF!</definedName>
    <definedName name="aaaaaa">#REF!</definedName>
    <definedName name="aaaaaaa">#REF!</definedName>
    <definedName name="aaaaaaaa">#REF!</definedName>
    <definedName name="aaaaaaaaa">#REF!</definedName>
    <definedName name="aaaaaaaaaa">#REF!</definedName>
    <definedName name="aaaaaaaaaaaa">'[1]Detailed Inputs'!#REF!</definedName>
    <definedName name="aaaaaaab">#REF!</definedName>
    <definedName name="aaaaaaabb">#REF!</definedName>
    <definedName name="aaaaaaabbb">#REF!</definedName>
    <definedName name="aaaaaaabbbb">#REF!</definedName>
    <definedName name="aaaaaaac">#REF!</definedName>
    <definedName name="aaaaaaacc">#REF!</definedName>
    <definedName name="aaaaaaaccc">#REF!</definedName>
    <definedName name="aaaaaaacccc">#REF!</definedName>
    <definedName name="aaaaaaaccccc">#REF!</definedName>
    <definedName name="aaaaaaacccccc">#REF!</definedName>
    <definedName name="aaaaaaaccccccc">#REF!</definedName>
    <definedName name="acre_ft_to_m3">#REF!</definedName>
    <definedName name="acre_to_ha">#REF!</definedName>
    <definedName name="ambient_az_avg_temp">'[1]Detailed Inputs'!$K$13</definedName>
    <definedName name="BTU_to_J">#REF!</definedName>
    <definedName name="conversion_acre_ft_to_cubic_m">[1]Conversions!$F$28</definedName>
    <definedName name="conversion_acre_to_ha">[1]Conversions!$F$38</definedName>
    <definedName name="conversion_btu_to_MJ">[1]Conversions!$F$37</definedName>
    <definedName name="conversion_cubic_cm_to_cubic_m">[1]Conversions!$F$25</definedName>
    <definedName name="conversion_cubic_cm_to_L">[1]Conversions!$F$18</definedName>
    <definedName name="conversion_cubic_ft_to_cubic_m">[1]Conversions!$F$26</definedName>
    <definedName name="conversion_cubic_m_to_L">[1]Conversions!$F$16</definedName>
    <definedName name="conversion_g_to_kg">[1]Conversions!$F$8</definedName>
    <definedName name="conversion_gal_to_cubic_ft">[1]Conversions!$F$12</definedName>
    <definedName name="conversion_gal_to_cubic_in">[1]Conversions!$F$10</definedName>
    <definedName name="conversion_gal_to_L">[1]Conversions!$F$14</definedName>
    <definedName name="conversion_HP_to_kW">[1]Conversions!$F$33</definedName>
    <definedName name="conversion_hr_to_min">[1]Conversions!$F$29</definedName>
    <definedName name="conversion_kg_to_g">[1]Conversions!$F$9</definedName>
    <definedName name="conversion_kg_to_tonnes">[1]Conversions!$F$7</definedName>
    <definedName name="conversion_kWh_to_MJ">[1]Conversions!$F$31</definedName>
    <definedName name="conversion_L_to_cubic_m">[1]Conversions!$F$17</definedName>
    <definedName name="conversion_L_to_gal">[1]Conversions!$F$15</definedName>
    <definedName name="conversion_L_to_mL">[1]Conversions!$F$20</definedName>
    <definedName name="conversion_L_to_oz">[1]Conversions!$F$22</definedName>
    <definedName name="conversion_lbs_to_tonnes">[1]Conversions!$F$27</definedName>
    <definedName name="conversion_min_to_hr">[1]Conversions!$F$30</definedName>
    <definedName name="conversion_tonnes_to_kg">[1]Conversions!$F$6</definedName>
    <definedName name="custom_ace_tonnes_to_L">'[1]200 - Backup Calcs'!$C$67</definedName>
    <definedName name="custom_electrical_cooling_load">'[1]200 - Backup Calcs'!$D$78</definedName>
    <definedName name="custom_gua_tonnes_to_L">'[1]200 - Backup Calcs'!$C$71</definedName>
    <definedName name="custom_hex_tonnes_to_L">'[1]200 - Backup Calcs'!$C$65</definedName>
    <definedName name="custom_water_tonnes_to_L">'[1]200 - Backup Calcs'!$C$69</definedName>
    <definedName name="economic_bagasse_sale_price">'[1]Detailed Inputs'!$K$125</definedName>
    <definedName name="economic_capital_acetone_condenser">'[1]Detailed Inputs'!$K$79</definedName>
    <definedName name="economic_capital_acetone_dist_column">'[1]Detailed Inputs'!$K$78</definedName>
    <definedName name="economic_capital_acetone_scrubber">'[1]Detailed Inputs'!$K$77</definedName>
    <definedName name="economic_capital_agitator">#REF!</definedName>
    <definedName name="economic_capital_air_classifier_1">#REF!</definedName>
    <definedName name="economic_capital_air_classifier_2">#REF!</definedName>
    <definedName name="economic_capital_air_classifier_3">#REF!</definedName>
    <definedName name="economic_capital_air_classifyer">'[1]Detailed Inputs'!$K$60</definedName>
    <definedName name="economic_capital_air_conveyor">'[1]Detailed Inputs'!$K$59</definedName>
    <definedName name="economic_capital_belt_conveyor">'[1]Detailed Inputs'!$K$62</definedName>
    <definedName name="economic_capital_belt_conveyor_1">#REF!</definedName>
    <definedName name="economic_capital_belt_conveyor_2">#REF!</definedName>
    <definedName name="economic_capital_belt_conveyor_3">#REF!</definedName>
    <definedName name="economic_capital_belt_conveyor_4">#REF!</definedName>
    <definedName name="economic_capital_belt_conveyor_5">#REF!</definedName>
    <definedName name="economic_capital_belt_conveyor_6">#REF!</definedName>
    <definedName name="economic_capital_belt_conveyor_7">#REF!</definedName>
    <definedName name="economic_capital_belt_conveyor_8">#REF!</definedName>
    <definedName name="economic_capital_cc_extractor">'[1]Detailed Inputs'!$K$66</definedName>
    <definedName name="economic_capital_centrifuge">'[1]Detailed Inputs'!$K$67</definedName>
    <definedName name="economic_capital_flaking_mill_1">#REF!</definedName>
    <definedName name="economic_capital_flaking_mill_2">#REF!</definedName>
    <definedName name="economic_capital_grinding_mill_1">#REF!</definedName>
    <definedName name="economic_capital_grinding_mill_2">#REF!</definedName>
    <definedName name="economic_capital_grinding_mill_3">#REF!</definedName>
    <definedName name="economic_capital_guar_storage">#REF!</definedName>
    <definedName name="economic_capital_guayule_storage">'[1]Detailed Inputs'!$K$83</definedName>
    <definedName name="economic_capital_hammer_mill">'[1]Detailed Inputs'!$K$61</definedName>
    <definedName name="economic_capital_hammer_mill_1">#REF!</definedName>
    <definedName name="economic_capital_hammer_mill_2">#REF!</definedName>
    <definedName name="economic_capital_hexane_absorber">'[1]Detailed Inputs'!$K$74</definedName>
    <definedName name="economic_capital_hexane_condenser">'[1]Detailed Inputs'!$K$76</definedName>
    <definedName name="economic_capital_hexane_stripper">'[1]Detailed Inputs'!$K$75</definedName>
    <definedName name="economic_capital_hopper_1">#REF!</definedName>
    <definedName name="economic_capital_hopper_2">#REF!</definedName>
    <definedName name="economic_capital_land">#REF!</definedName>
    <definedName name="economic_capital_mixer_settler">'[1]Detailed Inputs'!$K$69</definedName>
    <definedName name="economic_capital_mixing_tank">#REF!</definedName>
    <definedName name="economic_capital_office_building">#REF!</definedName>
    <definedName name="economic_capital_oil_pump">'[1]Detailed Inputs'!$K$71</definedName>
    <definedName name="economic_capital_polisher_shaver">#REF!</definedName>
    <definedName name="economic_capital_processing_structure">#REF!</definedName>
    <definedName name="economic_capital_resin_dist_column">'[1]Detailed Inputs'!$K$73</definedName>
    <definedName name="economic_capital_screw_conveyor">#REF!</definedName>
    <definedName name="economic_capital_screw_press">'[1]Detailed Inputs'!$K$70</definedName>
    <definedName name="economic_capital_shaker_table">#REF!</definedName>
    <definedName name="economic_capital_shredder">'[1]Detailed Inputs'!$K$58</definedName>
    <definedName name="economic_capital_slurry_pump">'[1]Detailed Inputs'!$K$65</definedName>
    <definedName name="economic_capital_solvent_pump">'[1]Detailed Inputs'!$K$63</definedName>
    <definedName name="economic_capital_spray_dryer">#REF!</definedName>
    <definedName name="economic_capital_tray_dryer">'[1]Detailed Inputs'!$K$68</definedName>
    <definedName name="economic_capital_water_pump">'[1]Detailed Inputs'!$K$72</definedName>
    <definedName name="economic_capital_water_supply_pump_1">#REF!</definedName>
    <definedName name="economic_capital_water_supply_pump_2">#REF!</definedName>
    <definedName name="economic_fixed_op_benefits">#REF!</definedName>
    <definedName name="economic_fixed_op_clerk">#REF!</definedName>
    <definedName name="economic_fixed_op_engineer">#REF!</definedName>
    <definedName name="economic_fixed_op_insurance">#REF!</definedName>
    <definedName name="economic_fixed_op_lab_manager">#REF!</definedName>
    <definedName name="economic_fixed_op_lab_tech">#REF!</definedName>
    <definedName name="economic_fixed_op_maint">#REF!</definedName>
    <definedName name="economic_fixed_op_maint_sup">#REF!</definedName>
    <definedName name="economic_fixed_op_maint_tech">#REF!</definedName>
    <definedName name="economic_fixed_op_manager">#REF!</definedName>
    <definedName name="economic_fixed_op_shift_op">#REF!</definedName>
    <definedName name="economic_fixed_op_yard_employee">#REF!</definedName>
    <definedName name="economic_guar_sale_price">#REF!</definedName>
    <definedName name="economic_guayule_sale_price">'[1]Detailed Inputs'!$K$124</definedName>
    <definedName name="economic_gum_sale_price">#REF!</definedName>
    <definedName name="economic_resin_sale_price">'[1]Detailed Inputs'!$K$126</definedName>
    <definedName name="economic_rubber_sale_price">'[1]Detailed Inputs'!$K$127</definedName>
    <definedName name="economic_variable_op_acetone">'[1]Detailed Inputs'!$K$55</definedName>
    <definedName name="economic_variable_op_electricity">#REF!</definedName>
    <definedName name="economic_variable_op_guar_seed">#REF!</definedName>
    <definedName name="economic_variable_op_hexane">'[1]Detailed Inputs'!$K$54</definedName>
    <definedName name="economic_variable_op_mineral_oil">'[1]Detailed Inputs'!$K$57</definedName>
    <definedName name="economic_variable_op_natural_gas">#REF!</definedName>
    <definedName name="economic_variable_op_water">#REF!</definedName>
    <definedName name="economic_variable_protein_sale_price">#REF!</definedName>
    <definedName name="environmental_emissions_electricity">#REF!</definedName>
    <definedName name="environmental_emissions_natural_gas">#REF!</definedName>
    <definedName name="ft3_to_m3">#REF!</definedName>
    <definedName name="gal_to_liters">#REF!</definedName>
    <definedName name="gal_to_m3">#REF!</definedName>
    <definedName name="HP_to_kW">#REF!</definedName>
    <definedName name="hr_to_min">#REF!</definedName>
    <definedName name="input_acres_per_year">#REF!</definedName>
    <definedName name="input_alf_adoption">#REF!</definedName>
    <definedName name="input_bag_hhv">'[1]Detailed Inputs'!#REF!</definedName>
    <definedName name="input_bag_spec_heat">[1]Properties!$I$9</definedName>
    <definedName name="input_bagasse">'[1]Detailed Inputs'!$K$38</definedName>
    <definedName name="input_barley_adoption">#REF!</definedName>
    <definedName name="input_corn_adoption">#REF!</definedName>
    <definedName name="input_cotton_adoption">#REF!</definedName>
    <definedName name="input_guar_adoption">#REF!</definedName>
    <definedName name="input_guay_adoption">'[1]Detailed Inputs'!$K$116</definedName>
    <definedName name="input_guay_density">[1]Properties!$I$6</definedName>
    <definedName name="input_guay_moisture">'[1]Detailed Inputs'!$K$39</definedName>
    <definedName name="input_guay_spec_heat">[1]Properties!$I$7</definedName>
    <definedName name="input_harvest_density">#REF!</definedName>
    <definedName name="input_harvest_productivity">#REF!</definedName>
    <definedName name="input_harvest_yeild">'[1]Detailed Inputs'!$K$35</definedName>
    <definedName name="input_processing_endosperm_fraction">#REF!</definedName>
    <definedName name="input_processing_germ_fraction">#REF!</definedName>
    <definedName name="input_processing_hull_fraction">#REF!</definedName>
    <definedName name="input_processing_mass_loss">#REF!</definedName>
    <definedName name="input_processing_residual_crop_matter">#REF!</definedName>
    <definedName name="input_res_spec_heat">[1]Properties!$I$10</definedName>
    <definedName name="input_resin">'[1]Detailed Inputs'!$K$37</definedName>
    <definedName name="input_rub_spec_heat">[1]Properties!$I$13</definedName>
    <definedName name="input_rubber">'[1]Detailed Inputs'!$K$36</definedName>
    <definedName name="input_sorghum_adoption">#REF!</definedName>
    <definedName name="input_wheat_adoption">#REF!</definedName>
    <definedName name="input_wheat_alf_adoption">#REF!</definedName>
    <definedName name="kg_to_g">#REF!</definedName>
    <definedName name="kg_to_lbs">#REF!</definedName>
    <definedName name="kJ_to_J">#REF!</definedName>
    <definedName name="kJ_to_kWh">#REF!</definedName>
    <definedName name="kWh_to_MJ">#REF!</definedName>
    <definedName name="lbs_to_grams">#REF!</definedName>
    <definedName name="LCI_actone">[1]Figures!$B$133</definedName>
    <definedName name="LCI_electricity">[1]Figures!$B$130</definedName>
    <definedName name="LCI_hexane">[1]Figures!$B$132</definedName>
    <definedName name="LCI_mineral_oil">[1]Figures!$B$134</definedName>
    <definedName name="LCI_natural_gas">[1]Figures!$B$131</definedName>
    <definedName name="m3_to_liters">#REF!</definedName>
    <definedName name="min_to_sec">#REF!</definedName>
    <definedName name="op_annual_processing">#REF!</definedName>
    <definedName name="op_annual_production">#REF!</definedName>
    <definedName name="op_days_per_yr">#REF!</definedName>
    <definedName name="op_hrs_per_shift">#REF!</definedName>
    <definedName name="op_shifts_per_day">#REF!</definedName>
    <definedName name="output_bagasse">'[1]Data Repository'!$G$13</definedName>
    <definedName name="output_farm_npv">#REF!</definedName>
    <definedName name="output_LCA_acid">#REF!</definedName>
    <definedName name="output_LCA_carcin">#REF!</definedName>
    <definedName name="output_LCA_ecotox">#REF!</definedName>
    <definedName name="output_LCA_eutro">#REF!</definedName>
    <definedName name="output_LCA_GWP">#REF!</definedName>
    <definedName name="output_LCA_non_carcin">#REF!</definedName>
    <definedName name="output_LCA_ozone_dep">#REF!</definedName>
    <definedName name="output_LCA_ozone_form">#REF!</definedName>
    <definedName name="output_LCA_resource_dep">#REF!</definedName>
    <definedName name="output_LCA_resp">#REF!</definedName>
    <definedName name="output_packaged_gum">#REF!</definedName>
    <definedName name="output_processing_plant_npv">#REF!</definedName>
    <definedName name="output_protein">#REF!</definedName>
    <definedName name="_xlnm.Print_Area" localSheetId="22">'Chem-Fallow'!#REF!</definedName>
    <definedName name="_xlnm.Print_Area" localSheetId="15">ChickpeaAfterCereal!#REF!</definedName>
    <definedName name="_xlnm.Print_Area" localSheetId="14">ChickpeaAfterForageCrop!#REF!</definedName>
    <definedName name="_xlnm.Print_Area" localSheetId="12">DNSpringWheatAfterForageCrop!#REF!</definedName>
    <definedName name="_xlnm.Print_Area" localSheetId="13">DNSpringWheatAfterWinterCrop!#REF!</definedName>
    <definedName name="_xlnm.Print_Area" localSheetId="11">DNSpringWinterAfterSpringLegume!$A$2:$F$138</definedName>
    <definedName name="_xlnm.Print_Area" localSheetId="23">'Flex-Fallow'!#REF!</definedName>
    <definedName name="_xlnm.Print_Area" localSheetId="32">ForageCrop!#REF!</definedName>
    <definedName name="_xlnm.Print_Area" localSheetId="18">'ForageCrop-Genesee'!$A$2:$F$138</definedName>
    <definedName name="_xlnm.Print_Area" localSheetId="17">'ForageCrop-StJohn'!$A$2:$F$138</definedName>
    <definedName name="_xlnm.Print_Area" localSheetId="29">HRWinterWheat!#REF!</definedName>
    <definedName name="_xlnm.Print_Area" localSheetId="0">Introduction!$A$1:$M$30</definedName>
    <definedName name="_xlnm.Print_Area" localSheetId="19">LivestockGrazing!$A$2:$F$140</definedName>
    <definedName name="_xlnm.Print_Area" localSheetId="24">SpringBarley!#REF!</definedName>
    <definedName name="_xlnm.Print_Area" localSheetId="26">SpringCanola!#REF!</definedName>
    <definedName name="_xlnm.Print_Area" localSheetId="25">'SpringCanola_R-Ready'!#REF!</definedName>
    <definedName name="_xlnm.Print_Area" localSheetId="27">SpringLentils!#REF!</definedName>
    <definedName name="_xlnm.Print_Area" localSheetId="16">SpringPeaAfterCereal!#REF!</definedName>
    <definedName name="_xlnm.Print_Area" localSheetId="28">SWSpringWheat!$A$2:$F$138</definedName>
    <definedName name="_xlnm.Print_Area" localSheetId="20">SWWinterWheatafterCereal!$A$2:$F$138</definedName>
    <definedName name="_xlnm.Print_Area" localSheetId="21">SWWinterWheatAfterFallow!$A$2:$F$138</definedName>
    <definedName name="_xlnm.Print_Area" localSheetId="10">SWWinterWheatAfterForageCrop!$A$2:$F$138</definedName>
    <definedName name="_xlnm.Print_Area" localSheetId="9">SWWinterWheatAfterSpringLegume!$A$2:$F$138</definedName>
    <definedName name="_xlnm.Print_Area" localSheetId="31">WinterCanola!#REF!</definedName>
    <definedName name="_xlnm.Print_Area" localSheetId="30">WinterPea!#REF!</definedName>
    <definedName name="process_elec_air_conveyor">#REF!</definedName>
    <definedName name="process_elec_belt_conveyor">#REF!</definedName>
    <definedName name="process_elec_centrifuge">'[1]Detailed Inputs'!$K$135</definedName>
    <definedName name="process_elec_hammer_mill">#REF!</definedName>
    <definedName name="process_elec_mill">'[1]Detailed Inputs'!$K$130</definedName>
    <definedName name="process_elec_mineral_oil_pump">'[1]Detailed Inputs'!$K$139</definedName>
    <definedName name="process_elec_mix_tank">'[1]Detailed Inputs'!$K$133</definedName>
    <definedName name="process_elec_mixer_settler">'[1]Detailed Inputs'!$K$136</definedName>
    <definedName name="process_elec_screw_press">'[1]Detailed Inputs'!$K$137</definedName>
    <definedName name="process_elec_shaker_table">#REF!</definedName>
    <definedName name="process_elec_shredder">'[1]Detailed Inputs'!$K$128</definedName>
    <definedName name="process_elec_slurry_pump">'[1]Detailed Inputs'!$K$134</definedName>
    <definedName name="process_elec_solvent_pump">'[1]Detailed Inputs'!$K$132</definedName>
    <definedName name="process_elec_water_pump">'[1]Detailed Inputs'!$K$138</definedName>
    <definedName name="process_energy_heating_efficiency">#REF!</definedName>
    <definedName name="process_extractor_liquid">'[1]Detailed Inputs'!$K$145</definedName>
    <definedName name="process_facility_land_size">#REF!</definedName>
    <definedName name="process_flaking_mill_power">#REF!</definedName>
    <definedName name="process_flow_centrifuge">'[1]Detailed Inputs'!$K$148</definedName>
    <definedName name="process_flow_mineral_oil_pump">'[1]Detailed Inputs'!$K$156</definedName>
    <definedName name="process_flow_mixer_settler">'[1]Detailed Inputs'!$K$150</definedName>
    <definedName name="process_flow_screw_press">'[1]Detailed Inputs'!$K$154</definedName>
    <definedName name="process_flow_slurry_pump">'[1]Detailed Inputs'!$K$147</definedName>
    <definedName name="process_flow_solvent_pump">'[1]Detailed Inputs'!$K$140</definedName>
    <definedName name="process_flow_water_pump">'[1]Detailed Inputs'!$K$155</definedName>
    <definedName name="process_heat_exchanger_eff">'[1]Detailed Inputs'!$K$158</definedName>
    <definedName name="process_heat_treatment_water_pump_power">#REF!</definedName>
    <definedName name="process_heat_treatment_water_required">#REF!</definedName>
    <definedName name="process_hexane_to_solvent">'[1]Detailed Inputs'!$K$24</definedName>
    <definedName name="process_hydration_bath_pump_power">#REF!</definedName>
    <definedName name="process_hydration_bath_water_final_percent">#REF!</definedName>
    <definedName name="process_hydration_bath_water_initial_percent">#REF!</definedName>
    <definedName name="process_hydration_bath_water_required">#REF!</definedName>
    <definedName name="process_min_oil_recovery">'[1]Detailed Inputs'!$K$32</definedName>
    <definedName name="process_mix_tank_depth">'[1]Detailed Inputs'!$K$144</definedName>
    <definedName name="process_mix_tank_rad">'[1]Detailed Inputs'!$K$143</definedName>
    <definedName name="process_mix_tank_residence">'[1]Detailed Inputs'!$K$142</definedName>
    <definedName name="process_ng_heating_efficiency">'[1]Detailed Inputs'!$K$33</definedName>
    <definedName name="process_office_space">#REF!</definedName>
    <definedName name="process_oil_hex_strip_eff">'[1]Detailed Inputs'!$K$31</definedName>
    <definedName name="process_polisher_power">#REF!</definedName>
    <definedName name="process_processing_structure">#REF!</definedName>
    <definedName name="process_resin_dist_eff">'[1]Detailed Inputs'!$K$28</definedName>
    <definedName name="process_screw_press_removal_eff">'[1]Detailed Inputs'!$K$151</definedName>
    <definedName name="process_screw_press_solvent_vapor">'[1]Detailed Inputs'!$K$152</definedName>
    <definedName name="process_screw_press_water_vapor">'[1]Detailed Inputs'!$K$153</definedName>
    <definedName name="process_scrub_water_to_ace">'[1]Detailed Inputs'!$K$26</definedName>
    <definedName name="process_shaker_table_power">#REF!</definedName>
    <definedName name="process_solvent_mix_tank">'[1]Detailed Inputs'!$K$141</definedName>
    <definedName name="process_solvent_to_biomass">'[1]Detailed Inputs'!$K$22</definedName>
    <definedName name="process_spray_dry_final_percent">#REF!</definedName>
    <definedName name="process_spray_dryer_power">#REF!</definedName>
    <definedName name="process_steam_jet_power">#REF!</definedName>
    <definedName name="process_storage_space">#REF!</definedName>
    <definedName name="process_tray_dryer_eff">'[1]Detailed Inputs'!$K$149</definedName>
    <definedName name="process_up_time_days">'[1]Detailed Inputs'!$K$14</definedName>
    <definedName name="process_up_time_hours">#REF!</definedName>
    <definedName name="process_up_time_shifts">#REF!</definedName>
    <definedName name="process_water_absorption_efficiency">#REF!</definedName>
    <definedName name="process_water_ace_dist_eff">'[1]Detailed Inputs'!$K$29</definedName>
    <definedName name="process_water_heat_treatment_final_percent">#REF!</definedName>
    <definedName name="process_water_heat_treatment_initial_percent">#REF!</definedName>
    <definedName name="prop_HHV_diesel">#REF!</definedName>
    <definedName name="prop_HHV_gas">#REF!</definedName>
    <definedName name="prop_HHV_jetfuel">#REF!</definedName>
    <definedName name="prop_HHV_naphtha">#REF!</definedName>
    <definedName name="prop_HHV_NG_mass">#REF!</definedName>
    <definedName name="prop_HHV_NG_volume">#REF!</definedName>
    <definedName name="prop_rho_NG">#REF!</definedName>
    <definedName name="prop_rho_water">#REF!</definedName>
    <definedName name="prop_water_heat_vaporization">#REF!</definedName>
    <definedName name="prop_water_molecular_weight">#REF!</definedName>
    <definedName name="property_ace_boiling_point">[1]Properties!$I$19</definedName>
    <definedName name="property_ace_density">[1]Properties!$I$20</definedName>
    <definedName name="property_ace_heat_of_vap">[1]Properties!$I$21</definedName>
    <definedName name="property_ace_mol_weight">[1]Properties!$I$23</definedName>
    <definedName name="property_ace_spec_heat">[1]Properties!$I$24</definedName>
    <definedName name="property_hex_boiling_pt">[1]Properties!$I$27</definedName>
    <definedName name="property_hex_density">[1]Properties!$I$28</definedName>
    <definedName name="property_hex_heat_of_vap">[1]Properties!$I$29</definedName>
    <definedName name="property_hex_spec_heat">[1]Properties!$I$32</definedName>
    <definedName name="property_mineral_oil_spec_heat">[1]Properties!$I$35</definedName>
    <definedName name="property_ng_heat_per_volume">[1]Properties!$I$39</definedName>
    <definedName name="property_ng_hhv">[1]Properties!$I$38</definedName>
    <definedName name="property_oil_density">[1]Properties!$I$34</definedName>
    <definedName name="property_water_boiling_point">[1]Properties!$I$40</definedName>
    <definedName name="property_water_density">[1]Properties!$I$41</definedName>
    <definedName name="property_water_heat_of_vap">[1]Properties!$I$44</definedName>
    <definedName name="property_water_mol_weight">[1]Properties!$I$42</definedName>
    <definedName name="property_water_spec_heat">[1]Properties!$I$43</definedName>
    <definedName name="scenario_alf_adoption">#REF!</definedName>
    <definedName name="scenario_bagasse_selling_price">'[1]Scenario Inputs'!$D$8</definedName>
    <definedName name="scenario_barley_adoption">#REF!</definedName>
    <definedName name="scenario_corn_adoption">#REF!</definedName>
    <definedName name="scenario_cotton_adoption">#REF!</definedName>
    <definedName name="scenario_guar_adoption">#REF!</definedName>
    <definedName name="scenario_guar_gum_selling_price">#REF!</definedName>
    <definedName name="scenario_guar_selling_price">#REF!</definedName>
    <definedName name="scenario_guay_adoption">'[1]Scenario Inputs'!$C$21</definedName>
    <definedName name="scenario_guay_selling_price">'[1]Scenario Inputs'!$D$7</definedName>
    <definedName name="scenario_protein_selling_price">#REF!</definedName>
    <definedName name="scenario_resin_selling_price">'[1]Scenario Inputs'!$D$9</definedName>
    <definedName name="scenario_rubber_selling_price">'[1]Scenario Inputs'!$D$10</definedName>
    <definedName name="scenario_sorghum_adoption">#REF!</definedName>
    <definedName name="scenario_wheat_adoption">#REF!</definedName>
    <definedName name="scenario_wheat_alf_adoption">#REF!</definedName>
    <definedName name="sensitivity_baseline_acid">#REF!</definedName>
    <definedName name="sensitivity_baseline_carcin">#REF!</definedName>
    <definedName name="sensitivity_baseline_ecotox">#REF!</definedName>
    <definedName name="sensitivity_baseline_eutro">#REF!</definedName>
    <definedName name="sensitivity_baseline_GWP">#REF!</definedName>
    <definedName name="sensitivity_baseline_non_carcin">#REF!</definedName>
    <definedName name="sensitivity_baseline_ozone_dep">#REF!</definedName>
    <definedName name="sensitivity_baseline_ozone_form">#REF!</definedName>
    <definedName name="sensitivity_baseline_resource_dep">#REF!</definedName>
    <definedName name="sensitivity_baseline_resp">#REF!</definedName>
    <definedName name="sensitivity_baseline_value">#REF!</definedName>
    <definedName name="sensitivity_percent">#REF!</definedName>
    <definedName name="SWWW_Fallow">'Farm and Rotation Setup'!$BF$5</definedName>
    <definedName name="tonne_to_ton">#REF!</definedName>
    <definedName name="tonnes_to_kgs">#REF!</definedName>
    <definedName name="tons_to_kg">#REF!</definedName>
    <definedName name="tons_to_lbs">#REF!</definedName>
    <definedName name="x">#REF!</definedName>
    <definedName name="xx">#REF!</definedName>
    <definedName name="xxx">#REF!</definedName>
    <definedName name="xxxx">#REF!</definedName>
    <definedName name="xxxxx">#REF!</definedName>
    <definedName name="xxxxxx">#REF!</definedName>
    <definedName name="xxxxxxx">#REF!</definedName>
    <definedName name="xxxxxxxx">#REF!</definedName>
    <definedName name="xxxxxxxxx">#REF!</definedName>
    <definedName name="xxxxxxxxxx">#REF!</definedName>
    <definedName name="y">#REF!</definedName>
    <definedName name="yy">#REF!</definedName>
    <definedName name="yyy">#REF!</definedName>
    <definedName name="yyyy">#REF!</definedName>
    <definedName name="yyyyy">#REF!</definedName>
    <definedName name="yyyyyy">#REF!</definedName>
    <definedName name="yyyyyyy">#REF!</definedName>
    <definedName name="yyyyyyyy">#REF!</definedName>
    <definedName name="yyyyyyyyy">#REF!</definedName>
    <definedName name="yyyyyyyyyy">#REF!</definedName>
    <definedName name="yyyyyyyyyyy">#REF!</definedName>
    <definedName name="z">#REF!</definedName>
    <definedName name="zz">#REF!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5" i="113" l="1"/>
  <c r="B14" i="113"/>
  <c r="B13" i="113"/>
  <c r="B12" i="113"/>
  <c r="B11" i="113"/>
  <c r="B10" i="113"/>
  <c r="B9" i="113"/>
  <c r="B15" i="140"/>
  <c r="B14" i="140"/>
  <c r="B13" i="140"/>
  <c r="B12" i="140"/>
  <c r="B11" i="140"/>
  <c r="B10" i="140"/>
  <c r="B9" i="140"/>
  <c r="B15" i="138"/>
  <c r="B14" i="138"/>
  <c r="B13" i="138"/>
  <c r="B12" i="138"/>
  <c r="B11" i="138"/>
  <c r="B10" i="138"/>
  <c r="B9" i="138"/>
  <c r="B15" i="124"/>
  <c r="B14" i="124"/>
  <c r="B13" i="124"/>
  <c r="B12" i="124"/>
  <c r="B11" i="124"/>
  <c r="B10" i="124"/>
  <c r="B9" i="124"/>
  <c r="B15" i="116"/>
  <c r="B14" i="116"/>
  <c r="B13" i="116"/>
  <c r="B12" i="116"/>
  <c r="B11" i="116"/>
  <c r="B10" i="116"/>
  <c r="B9" i="116"/>
  <c r="B15" i="117"/>
  <c r="B14" i="117"/>
  <c r="B13" i="117"/>
  <c r="B12" i="117"/>
  <c r="B11" i="117"/>
  <c r="B10" i="117"/>
  <c r="B9" i="117"/>
  <c r="B15" i="97"/>
  <c r="B14" i="97"/>
  <c r="B13" i="97"/>
  <c r="B12" i="97"/>
  <c r="B11" i="97"/>
  <c r="B10" i="97"/>
  <c r="B9" i="97"/>
  <c r="B15" i="139"/>
  <c r="B14" i="139"/>
  <c r="B13" i="139"/>
  <c r="B12" i="139"/>
  <c r="B11" i="139"/>
  <c r="B10" i="139"/>
  <c r="B9" i="139"/>
  <c r="B15" i="91"/>
  <c r="B14" i="91"/>
  <c r="B13" i="91"/>
  <c r="B12" i="91"/>
  <c r="B11" i="91"/>
  <c r="B10" i="91"/>
  <c r="B9" i="91"/>
  <c r="B15" i="136"/>
  <c r="B14" i="136"/>
  <c r="B13" i="136"/>
  <c r="B12" i="136"/>
  <c r="B11" i="136"/>
  <c r="B10" i="136"/>
  <c r="B9" i="136"/>
  <c r="B15" i="99"/>
  <c r="B14" i="99"/>
  <c r="B13" i="99"/>
  <c r="B12" i="99"/>
  <c r="B11" i="99"/>
  <c r="B10" i="99"/>
  <c r="B9" i="99"/>
  <c r="B15" i="86"/>
  <c r="B14" i="86"/>
  <c r="B13" i="86"/>
  <c r="B12" i="86"/>
  <c r="B11" i="86"/>
  <c r="B10" i="86"/>
  <c r="B9" i="86"/>
  <c r="B15" i="132"/>
  <c r="B14" i="132"/>
  <c r="B13" i="132"/>
  <c r="B12" i="132"/>
  <c r="B11" i="132"/>
  <c r="B10" i="132"/>
  <c r="B9" i="132"/>
  <c r="B15" i="120"/>
  <c r="B14" i="120"/>
  <c r="B13" i="120"/>
  <c r="B12" i="120"/>
  <c r="B11" i="120"/>
  <c r="B10" i="120"/>
  <c r="B9" i="120"/>
  <c r="B15" i="119"/>
  <c r="B14" i="119"/>
  <c r="B13" i="119"/>
  <c r="B12" i="119"/>
  <c r="B11" i="119"/>
  <c r="B10" i="119"/>
  <c r="B9" i="119"/>
  <c r="B15" i="118"/>
  <c r="B14" i="118"/>
  <c r="B13" i="118"/>
  <c r="B12" i="118"/>
  <c r="B11" i="118"/>
  <c r="B10" i="118"/>
  <c r="B9" i="118"/>
  <c r="B15" i="137"/>
  <c r="B14" i="137"/>
  <c r="B13" i="137"/>
  <c r="B12" i="137"/>
  <c r="B11" i="137"/>
  <c r="B10" i="137"/>
  <c r="B9" i="137"/>
  <c r="B15" i="123"/>
  <c r="B14" i="123"/>
  <c r="B13" i="123"/>
  <c r="B12" i="123"/>
  <c r="B11" i="123"/>
  <c r="B10" i="123"/>
  <c r="B9" i="123"/>
  <c r="B15" i="96"/>
  <c r="B14" i="96"/>
  <c r="B13" i="96"/>
  <c r="B12" i="96"/>
  <c r="B11" i="96"/>
  <c r="B10" i="96"/>
  <c r="B9" i="96"/>
  <c r="B15" i="95"/>
  <c r="B14" i="95"/>
  <c r="B13" i="95"/>
  <c r="B12" i="95"/>
  <c r="B11" i="95"/>
  <c r="B10" i="95"/>
  <c r="B9" i="95"/>
  <c r="B15" i="98"/>
  <c r="B14" i="98"/>
  <c r="B13" i="98"/>
  <c r="B12" i="98"/>
  <c r="B11" i="98"/>
  <c r="B10" i="98"/>
  <c r="B9" i="98"/>
  <c r="B15" i="135"/>
  <c r="B14" i="135"/>
  <c r="B13" i="135"/>
  <c r="B12" i="135"/>
  <c r="B11" i="135"/>
  <c r="B10" i="135"/>
  <c r="B9" i="135"/>
  <c r="B15" i="134"/>
  <c r="B14" i="134"/>
  <c r="B13" i="134"/>
  <c r="B12" i="134"/>
  <c r="B11" i="134"/>
  <c r="B10" i="134"/>
  <c r="B9" i="134"/>
  <c r="G7" i="94"/>
  <c r="B15" i="133" l="1"/>
  <c r="B14" i="133"/>
  <c r="B13" i="133"/>
  <c r="B11" i="133"/>
  <c r="B12" i="133"/>
  <c r="B10" i="133"/>
  <c r="B9" i="133"/>
  <c r="F27" i="94"/>
  <c r="F26" i="94"/>
  <c r="F25" i="94"/>
  <c r="F24" i="94"/>
  <c r="F23" i="94"/>
  <c r="F18" i="94"/>
  <c r="F17" i="94"/>
  <c r="F16" i="94"/>
  <c r="F15" i="94"/>
  <c r="F14" i="94"/>
  <c r="F9" i="94"/>
  <c r="F8" i="94"/>
  <c r="F7" i="94"/>
  <c r="F6" i="94"/>
  <c r="F5" i="94"/>
  <c r="G18" i="94"/>
  <c r="G17" i="94"/>
  <c r="G16" i="94"/>
  <c r="G15" i="94"/>
  <c r="G14" i="94"/>
  <c r="G9" i="94"/>
  <c r="G8" i="94"/>
  <c r="G6" i="94"/>
  <c r="G5" i="94"/>
  <c r="G10" i="94" s="1"/>
  <c r="G27" i="94"/>
  <c r="G26" i="94"/>
  <c r="G24" i="94"/>
  <c r="G23" i="94"/>
  <c r="G25" i="94"/>
  <c r="JL27" i="94"/>
  <c r="JK27" i="94"/>
  <c r="JJ27" i="94"/>
  <c r="JI27" i="94"/>
  <c r="JH27" i="94"/>
  <c r="JG27" i="94"/>
  <c r="JF27" i="94"/>
  <c r="JE27" i="94"/>
  <c r="JD27" i="94"/>
  <c r="JC27" i="94"/>
  <c r="JB27" i="94"/>
  <c r="IN27" i="94"/>
  <c r="IM27" i="94"/>
  <c r="IL27" i="94"/>
  <c r="IK27" i="94"/>
  <c r="IJ27" i="94"/>
  <c r="II27" i="94"/>
  <c r="IH27" i="94"/>
  <c r="IG27" i="94"/>
  <c r="IF27" i="94"/>
  <c r="IE27" i="94"/>
  <c r="ID27" i="94"/>
  <c r="HP27" i="94"/>
  <c r="HO27" i="94"/>
  <c r="HN27" i="94"/>
  <c r="HM27" i="94"/>
  <c r="HL27" i="94"/>
  <c r="HK27" i="94"/>
  <c r="HJ27" i="94"/>
  <c r="HI27" i="94"/>
  <c r="HH27" i="94"/>
  <c r="HG27" i="94"/>
  <c r="HF27" i="94"/>
  <c r="GR27" i="94"/>
  <c r="GQ27" i="94"/>
  <c r="GP27" i="94"/>
  <c r="GO27" i="94"/>
  <c r="GN27" i="94"/>
  <c r="GM27" i="94"/>
  <c r="GL27" i="94"/>
  <c r="GK27" i="94"/>
  <c r="GJ27" i="94"/>
  <c r="GI27" i="94"/>
  <c r="GH27" i="94"/>
  <c r="FT27" i="94"/>
  <c r="FS27" i="94"/>
  <c r="FR27" i="94"/>
  <c r="FQ27" i="94"/>
  <c r="FP27" i="94"/>
  <c r="FO27" i="94"/>
  <c r="FN27" i="94"/>
  <c r="FM27" i="94"/>
  <c r="FL27" i="94"/>
  <c r="FK27" i="94"/>
  <c r="FJ27" i="94"/>
  <c r="EV27" i="94"/>
  <c r="EU27" i="94"/>
  <c r="ET27" i="94"/>
  <c r="ES27" i="94"/>
  <c r="ER27" i="94"/>
  <c r="EQ27" i="94"/>
  <c r="EP27" i="94"/>
  <c r="EO27" i="94"/>
  <c r="EN27" i="94"/>
  <c r="EM27" i="94"/>
  <c r="EL27" i="94"/>
  <c r="DX27" i="94"/>
  <c r="DW27" i="94"/>
  <c r="DV27" i="94"/>
  <c r="DU27" i="94"/>
  <c r="DT27" i="94"/>
  <c r="DS27" i="94"/>
  <c r="DR27" i="94"/>
  <c r="DQ27" i="94"/>
  <c r="DP27" i="94"/>
  <c r="DO27" i="94"/>
  <c r="DN27" i="94"/>
  <c r="CZ27" i="94"/>
  <c r="CY27" i="94"/>
  <c r="CX27" i="94"/>
  <c r="CW27" i="94"/>
  <c r="CV27" i="94"/>
  <c r="CU27" i="94"/>
  <c r="CT27" i="94"/>
  <c r="CS27" i="94"/>
  <c r="CR27" i="94"/>
  <c r="CQ27" i="94"/>
  <c r="CP27" i="94"/>
  <c r="CB27" i="94"/>
  <c r="CA27" i="94"/>
  <c r="BZ27" i="94"/>
  <c r="BY27" i="94"/>
  <c r="BX27" i="94"/>
  <c r="BW27" i="94"/>
  <c r="BV27" i="94"/>
  <c r="BU27" i="94"/>
  <c r="BT27" i="94"/>
  <c r="BS27" i="94"/>
  <c r="BR27" i="94"/>
  <c r="BD27" i="94"/>
  <c r="BC27" i="94"/>
  <c r="BB27" i="94"/>
  <c r="BA27" i="94"/>
  <c r="AZ27" i="94"/>
  <c r="AY27" i="94"/>
  <c r="AX27" i="94"/>
  <c r="AW27" i="94"/>
  <c r="AV27" i="94"/>
  <c r="AU27" i="94"/>
  <c r="AT27" i="94"/>
  <c r="AF27" i="94"/>
  <c r="AE27" i="94"/>
  <c r="AD27" i="94"/>
  <c r="AC27" i="94"/>
  <c r="AB27" i="94"/>
  <c r="AA27" i="94"/>
  <c r="Z27" i="94"/>
  <c r="Y27" i="94"/>
  <c r="X27" i="94"/>
  <c r="W27" i="94"/>
  <c r="V27" i="94"/>
  <c r="JL26" i="94"/>
  <c r="JK26" i="94"/>
  <c r="JJ26" i="94"/>
  <c r="JI26" i="94"/>
  <c r="JH26" i="94"/>
  <c r="JF26" i="94"/>
  <c r="JE26" i="94"/>
  <c r="JD26" i="94"/>
  <c r="JC26" i="94"/>
  <c r="JB26" i="94"/>
  <c r="IN26" i="94"/>
  <c r="IM26" i="94"/>
  <c r="IL26" i="94"/>
  <c r="IK26" i="94"/>
  <c r="IJ26" i="94"/>
  <c r="IH26" i="94"/>
  <c r="IG26" i="94"/>
  <c r="IF26" i="94"/>
  <c r="IE26" i="94"/>
  <c r="ID26" i="94"/>
  <c r="HP26" i="94"/>
  <c r="HO26" i="94"/>
  <c r="HN26" i="94"/>
  <c r="HM26" i="94"/>
  <c r="HL26" i="94"/>
  <c r="HJ26" i="94"/>
  <c r="HI26" i="94"/>
  <c r="HH26" i="94"/>
  <c r="HG26" i="94"/>
  <c r="HF26" i="94"/>
  <c r="GR26" i="94"/>
  <c r="GQ26" i="94"/>
  <c r="GP26" i="94"/>
  <c r="GO26" i="94"/>
  <c r="GN26" i="94"/>
  <c r="GL26" i="94"/>
  <c r="GK26" i="94"/>
  <c r="GJ26" i="94"/>
  <c r="GI26" i="94"/>
  <c r="GH26" i="94"/>
  <c r="FT26" i="94"/>
  <c r="FS26" i="94"/>
  <c r="FR26" i="94"/>
  <c r="FQ26" i="94"/>
  <c r="FP26" i="94"/>
  <c r="FN26" i="94"/>
  <c r="FM26" i="94"/>
  <c r="FL26" i="94"/>
  <c r="FK26" i="94"/>
  <c r="FJ26" i="94"/>
  <c r="EV26" i="94"/>
  <c r="EU26" i="94"/>
  <c r="ET26" i="94"/>
  <c r="ES26" i="94"/>
  <c r="ER26" i="94"/>
  <c r="EP26" i="94"/>
  <c r="EO26" i="94"/>
  <c r="EN26" i="94"/>
  <c r="EM26" i="94"/>
  <c r="EL26" i="94"/>
  <c r="DX26" i="94"/>
  <c r="DW26" i="94"/>
  <c r="DV26" i="94"/>
  <c r="DU26" i="94"/>
  <c r="DT26" i="94"/>
  <c r="DR26" i="94"/>
  <c r="DQ26" i="94"/>
  <c r="DP26" i="94"/>
  <c r="DO26" i="94"/>
  <c r="DN26" i="94"/>
  <c r="CZ26" i="94"/>
  <c r="CY26" i="94"/>
  <c r="CX26" i="94"/>
  <c r="CW26" i="94"/>
  <c r="CV26" i="94"/>
  <c r="CT26" i="94"/>
  <c r="CS26" i="94"/>
  <c r="CR26" i="94"/>
  <c r="CQ26" i="94"/>
  <c r="CP26" i="94"/>
  <c r="CB26" i="94"/>
  <c r="CA26" i="94"/>
  <c r="BZ26" i="94"/>
  <c r="BY26" i="94"/>
  <c r="BX26" i="94"/>
  <c r="BV26" i="94"/>
  <c r="BU26" i="94"/>
  <c r="BT26" i="94"/>
  <c r="BS26" i="94"/>
  <c r="BR26" i="94"/>
  <c r="BD26" i="94"/>
  <c r="BC26" i="94"/>
  <c r="BB26" i="94"/>
  <c r="BA26" i="94"/>
  <c r="AZ26" i="94"/>
  <c r="AX26" i="94"/>
  <c r="AW26" i="94"/>
  <c r="AV26" i="94"/>
  <c r="AU26" i="94"/>
  <c r="AT26" i="94"/>
  <c r="AF26" i="94"/>
  <c r="AE26" i="94"/>
  <c r="AD26" i="94"/>
  <c r="AC26" i="94"/>
  <c r="AB26" i="94"/>
  <c r="Z26" i="94"/>
  <c r="Y26" i="94"/>
  <c r="X26" i="94"/>
  <c r="W26" i="94"/>
  <c r="V26" i="94"/>
  <c r="JK25" i="94"/>
  <c r="JJ25" i="94"/>
  <c r="JI25" i="94"/>
  <c r="JH25" i="94"/>
  <c r="JG25" i="94"/>
  <c r="JF25" i="94"/>
  <c r="JE25" i="94"/>
  <c r="JD25" i="94"/>
  <c r="JC25" i="94"/>
  <c r="JB25" i="94"/>
  <c r="IM25" i="94"/>
  <c r="IL25" i="94"/>
  <c r="IK25" i="94"/>
  <c r="IJ25" i="94"/>
  <c r="II25" i="94"/>
  <c r="IH25" i="94"/>
  <c r="IG25" i="94"/>
  <c r="IF25" i="94"/>
  <c r="IE25" i="94"/>
  <c r="ID25" i="94"/>
  <c r="HO25" i="94"/>
  <c r="HN25" i="94"/>
  <c r="HM25" i="94"/>
  <c r="HL25" i="94"/>
  <c r="HK25" i="94"/>
  <c r="HJ25" i="94"/>
  <c r="HI25" i="94"/>
  <c r="HH25" i="94"/>
  <c r="HG25" i="94"/>
  <c r="HF25" i="94"/>
  <c r="GQ25" i="94"/>
  <c r="GP25" i="94"/>
  <c r="GO25" i="94"/>
  <c r="GN25" i="94"/>
  <c r="GM25" i="94"/>
  <c r="GL25" i="94"/>
  <c r="GK25" i="94"/>
  <c r="GJ25" i="94"/>
  <c r="GI25" i="94"/>
  <c r="GH25" i="94"/>
  <c r="FS25" i="94"/>
  <c r="FR25" i="94"/>
  <c r="FQ25" i="94"/>
  <c r="FP25" i="94"/>
  <c r="FO25" i="94"/>
  <c r="FN25" i="94"/>
  <c r="FM25" i="94"/>
  <c r="FL25" i="94"/>
  <c r="FK25" i="94"/>
  <c r="FJ25" i="94"/>
  <c r="EU25" i="94"/>
  <c r="ET25" i="94"/>
  <c r="ES25" i="94"/>
  <c r="ER25" i="94"/>
  <c r="EQ25" i="94"/>
  <c r="EP25" i="94"/>
  <c r="EO25" i="94"/>
  <c r="EN25" i="94"/>
  <c r="EM25" i="94"/>
  <c r="EL25" i="94"/>
  <c r="DW25" i="94"/>
  <c r="DV25" i="94"/>
  <c r="DU25" i="94"/>
  <c r="DT25" i="94"/>
  <c r="DS25" i="94"/>
  <c r="DR25" i="94"/>
  <c r="DQ25" i="94"/>
  <c r="DP25" i="94"/>
  <c r="DO25" i="94"/>
  <c r="DN25" i="94"/>
  <c r="CY25" i="94"/>
  <c r="CX25" i="94"/>
  <c r="CW25" i="94"/>
  <c r="CV25" i="94"/>
  <c r="CU25" i="94"/>
  <c r="CT25" i="94"/>
  <c r="CS25" i="94"/>
  <c r="CR25" i="94"/>
  <c r="CQ25" i="94"/>
  <c r="CP25" i="94"/>
  <c r="CA25" i="94"/>
  <c r="BZ25" i="94"/>
  <c r="BY25" i="94"/>
  <c r="BX25" i="94"/>
  <c r="BW25" i="94"/>
  <c r="BV25" i="94"/>
  <c r="BU25" i="94"/>
  <c r="BT25" i="94"/>
  <c r="BS25" i="94"/>
  <c r="BR25" i="94"/>
  <c r="BC25" i="94"/>
  <c r="BB25" i="94"/>
  <c r="BA25" i="94"/>
  <c r="AZ25" i="94"/>
  <c r="AY25" i="94"/>
  <c r="AX25" i="94"/>
  <c r="AW25" i="94"/>
  <c r="AV25" i="94"/>
  <c r="AU25" i="94"/>
  <c r="AT25" i="94"/>
  <c r="AE25" i="94"/>
  <c r="AD25" i="94"/>
  <c r="AC25" i="94"/>
  <c r="AB25" i="94"/>
  <c r="AA25" i="94"/>
  <c r="Z25" i="94"/>
  <c r="Y25" i="94"/>
  <c r="X25" i="94"/>
  <c r="W25" i="94"/>
  <c r="V25" i="94"/>
  <c r="JL24" i="94"/>
  <c r="JJ24" i="94"/>
  <c r="JI24" i="94"/>
  <c r="JH24" i="94"/>
  <c r="JG24" i="94"/>
  <c r="JF24" i="94"/>
  <c r="JE24" i="94"/>
  <c r="JD24" i="94"/>
  <c r="JC24" i="94"/>
  <c r="JB24" i="94"/>
  <c r="IN24" i="94"/>
  <c r="IL24" i="94"/>
  <c r="IK24" i="94"/>
  <c r="IJ24" i="94"/>
  <c r="II24" i="94"/>
  <c r="IH24" i="94"/>
  <c r="IG24" i="94"/>
  <c r="IF24" i="94"/>
  <c r="IE24" i="94"/>
  <c r="ID24" i="94"/>
  <c r="HP24" i="94"/>
  <c r="HN24" i="94"/>
  <c r="HM24" i="94"/>
  <c r="HL24" i="94"/>
  <c r="HK24" i="94"/>
  <c r="HJ24" i="94"/>
  <c r="HI24" i="94"/>
  <c r="HH24" i="94"/>
  <c r="HG24" i="94"/>
  <c r="HF24" i="94"/>
  <c r="GR24" i="94"/>
  <c r="GP24" i="94"/>
  <c r="GO24" i="94"/>
  <c r="GN24" i="94"/>
  <c r="GM24" i="94"/>
  <c r="GL24" i="94"/>
  <c r="GK24" i="94"/>
  <c r="GJ24" i="94"/>
  <c r="GI24" i="94"/>
  <c r="GH24" i="94"/>
  <c r="FT24" i="94"/>
  <c r="FR24" i="94"/>
  <c r="FQ24" i="94"/>
  <c r="FP24" i="94"/>
  <c r="FO24" i="94"/>
  <c r="FN24" i="94"/>
  <c r="FM24" i="94"/>
  <c r="FL24" i="94"/>
  <c r="FK24" i="94"/>
  <c r="FJ24" i="94"/>
  <c r="EV24" i="94"/>
  <c r="ET24" i="94"/>
  <c r="ES24" i="94"/>
  <c r="ER24" i="94"/>
  <c r="EQ24" i="94"/>
  <c r="EP24" i="94"/>
  <c r="EO24" i="94"/>
  <c r="EN24" i="94"/>
  <c r="EM24" i="94"/>
  <c r="EL24" i="94"/>
  <c r="DX24" i="94"/>
  <c r="DV24" i="94"/>
  <c r="DU24" i="94"/>
  <c r="DT24" i="94"/>
  <c r="DS24" i="94"/>
  <c r="DR24" i="94"/>
  <c r="DQ24" i="94"/>
  <c r="DP24" i="94"/>
  <c r="DO24" i="94"/>
  <c r="DN24" i="94"/>
  <c r="CZ24" i="94"/>
  <c r="CX24" i="94"/>
  <c r="CW24" i="94"/>
  <c r="CV24" i="94"/>
  <c r="CU24" i="94"/>
  <c r="CT24" i="94"/>
  <c r="CS24" i="94"/>
  <c r="CR24" i="94"/>
  <c r="CQ24" i="94"/>
  <c r="CP24" i="94"/>
  <c r="CB24" i="94"/>
  <c r="BZ24" i="94"/>
  <c r="BY24" i="94"/>
  <c r="BX24" i="94"/>
  <c r="BW24" i="94"/>
  <c r="BV24" i="94"/>
  <c r="BU24" i="94"/>
  <c r="BT24" i="94"/>
  <c r="BS24" i="94"/>
  <c r="BR24" i="94"/>
  <c r="BD24" i="94"/>
  <c r="BB24" i="94"/>
  <c r="BA24" i="94"/>
  <c r="AZ24" i="94"/>
  <c r="AY24" i="94"/>
  <c r="AX24" i="94"/>
  <c r="AW24" i="94"/>
  <c r="AV24" i="94"/>
  <c r="AU24" i="94"/>
  <c r="AT24" i="94"/>
  <c r="AF24" i="94"/>
  <c r="AD24" i="94"/>
  <c r="AC24" i="94"/>
  <c r="AB24" i="94"/>
  <c r="AA24" i="94"/>
  <c r="Z24" i="94"/>
  <c r="Y24" i="94"/>
  <c r="X24" i="94"/>
  <c r="W24" i="94"/>
  <c r="V24" i="94"/>
  <c r="JL23" i="94"/>
  <c r="JK23" i="94"/>
  <c r="JJ23" i="94"/>
  <c r="JI23" i="94"/>
  <c r="JH23" i="94"/>
  <c r="JG23" i="94"/>
  <c r="JF23" i="94"/>
  <c r="JE23" i="94"/>
  <c r="JD23" i="94"/>
  <c r="JC23" i="94"/>
  <c r="IN23" i="94"/>
  <c r="IM23" i="94"/>
  <c r="IL23" i="94"/>
  <c r="IK23" i="94"/>
  <c r="IJ23" i="94"/>
  <c r="II23" i="94"/>
  <c r="IH23" i="94"/>
  <c r="IG23" i="94"/>
  <c r="IF23" i="94"/>
  <c r="IE23" i="94"/>
  <c r="HP23" i="94"/>
  <c r="HO23" i="94"/>
  <c r="HN23" i="94"/>
  <c r="HM23" i="94"/>
  <c r="HL23" i="94"/>
  <c r="HK23" i="94"/>
  <c r="HJ23" i="94"/>
  <c r="HI23" i="94"/>
  <c r="HH23" i="94"/>
  <c r="HG23" i="94"/>
  <c r="GR23" i="94"/>
  <c r="GQ23" i="94"/>
  <c r="GP23" i="94"/>
  <c r="GO23" i="94"/>
  <c r="GN23" i="94"/>
  <c r="GM23" i="94"/>
  <c r="GL23" i="94"/>
  <c r="GK23" i="94"/>
  <c r="GJ23" i="94"/>
  <c r="GI23" i="94"/>
  <c r="FT23" i="94"/>
  <c r="FS23" i="94"/>
  <c r="FR23" i="94"/>
  <c r="FQ23" i="94"/>
  <c r="FP23" i="94"/>
  <c r="FO23" i="94"/>
  <c r="FN23" i="94"/>
  <c r="FM23" i="94"/>
  <c r="FL23" i="94"/>
  <c r="FK23" i="94"/>
  <c r="EV23" i="94"/>
  <c r="EU23" i="94"/>
  <c r="ET23" i="94"/>
  <c r="ES23" i="94"/>
  <c r="ER23" i="94"/>
  <c r="EQ23" i="94"/>
  <c r="EP23" i="94"/>
  <c r="EO23" i="94"/>
  <c r="EN23" i="94"/>
  <c r="EM23" i="94"/>
  <c r="DX23" i="94"/>
  <c r="DW23" i="94"/>
  <c r="DV23" i="94"/>
  <c r="DU23" i="94"/>
  <c r="DT23" i="94"/>
  <c r="DS23" i="94"/>
  <c r="DR23" i="94"/>
  <c r="DQ23" i="94"/>
  <c r="DP23" i="94"/>
  <c r="DO23" i="94"/>
  <c r="CZ23" i="94"/>
  <c r="CY23" i="94"/>
  <c r="CX23" i="94"/>
  <c r="CW23" i="94"/>
  <c r="CV23" i="94"/>
  <c r="CU23" i="94"/>
  <c r="CT23" i="94"/>
  <c r="CS23" i="94"/>
  <c r="CR23" i="94"/>
  <c r="CQ23" i="94"/>
  <c r="CB23" i="94"/>
  <c r="CA23" i="94"/>
  <c r="BZ23" i="94"/>
  <c r="BY23" i="94"/>
  <c r="BX23" i="94"/>
  <c r="BW23" i="94"/>
  <c r="BV23" i="94"/>
  <c r="BU23" i="94"/>
  <c r="BT23" i="94"/>
  <c r="BS23" i="94"/>
  <c r="BD23" i="94"/>
  <c r="BC23" i="94"/>
  <c r="BB23" i="94"/>
  <c r="BA23" i="94"/>
  <c r="AZ23" i="94"/>
  <c r="AY23" i="94"/>
  <c r="AX23" i="94"/>
  <c r="AW23" i="94"/>
  <c r="AV23" i="94"/>
  <c r="AU23" i="94"/>
  <c r="AF23" i="94"/>
  <c r="AE23" i="94"/>
  <c r="AD23" i="94"/>
  <c r="AC23" i="94"/>
  <c r="AB23" i="94"/>
  <c r="AA23" i="94"/>
  <c r="Z23" i="94"/>
  <c r="Y23" i="94"/>
  <c r="X23" i="94"/>
  <c r="W23" i="94"/>
  <c r="JL18" i="94"/>
  <c r="JK18" i="94"/>
  <c r="JJ18" i="94"/>
  <c r="JI18" i="94"/>
  <c r="JH18" i="94"/>
  <c r="JG18" i="94"/>
  <c r="JF18" i="94"/>
  <c r="JE18" i="94"/>
  <c r="JD18" i="94"/>
  <c r="JC18" i="94"/>
  <c r="JB18" i="94"/>
  <c r="IN18" i="94"/>
  <c r="IM18" i="94"/>
  <c r="IL18" i="94"/>
  <c r="IK18" i="94"/>
  <c r="IJ18" i="94"/>
  <c r="II18" i="94"/>
  <c r="IH18" i="94"/>
  <c r="IG18" i="94"/>
  <c r="IF18" i="94"/>
  <c r="IE18" i="94"/>
  <c r="ID18" i="94"/>
  <c r="HP18" i="94"/>
  <c r="HO18" i="94"/>
  <c r="HN18" i="94"/>
  <c r="HM18" i="94"/>
  <c r="HL18" i="94"/>
  <c r="HK18" i="94"/>
  <c r="HJ18" i="94"/>
  <c r="HI18" i="94"/>
  <c r="HH18" i="94"/>
  <c r="HG18" i="94"/>
  <c r="HF18" i="94"/>
  <c r="GR18" i="94"/>
  <c r="GQ18" i="94"/>
  <c r="GP18" i="94"/>
  <c r="GO18" i="94"/>
  <c r="GN18" i="94"/>
  <c r="GM18" i="94"/>
  <c r="GL18" i="94"/>
  <c r="GK18" i="94"/>
  <c r="GJ18" i="94"/>
  <c r="GI18" i="94"/>
  <c r="GH18" i="94"/>
  <c r="FT18" i="94"/>
  <c r="FS18" i="94"/>
  <c r="FR18" i="94"/>
  <c r="FQ18" i="94"/>
  <c r="FP18" i="94"/>
  <c r="FO18" i="94"/>
  <c r="FN18" i="94"/>
  <c r="FM18" i="94"/>
  <c r="FL18" i="94"/>
  <c r="FK18" i="94"/>
  <c r="FJ18" i="94"/>
  <c r="EV18" i="94"/>
  <c r="EU18" i="94"/>
  <c r="ET18" i="94"/>
  <c r="ES18" i="94"/>
  <c r="ER18" i="94"/>
  <c r="EQ18" i="94"/>
  <c r="EP18" i="94"/>
  <c r="EO18" i="94"/>
  <c r="EN18" i="94"/>
  <c r="EM18" i="94"/>
  <c r="EL18" i="94"/>
  <c r="DX18" i="94"/>
  <c r="DW18" i="94"/>
  <c r="DV18" i="94"/>
  <c r="DU18" i="94"/>
  <c r="DT18" i="94"/>
  <c r="DS18" i="94"/>
  <c r="DR18" i="94"/>
  <c r="DQ18" i="94"/>
  <c r="DP18" i="94"/>
  <c r="DO18" i="94"/>
  <c r="DN18" i="94"/>
  <c r="CZ18" i="94"/>
  <c r="CY18" i="94"/>
  <c r="CX18" i="94"/>
  <c r="CW18" i="94"/>
  <c r="CV18" i="94"/>
  <c r="CU18" i="94"/>
  <c r="CT18" i="94"/>
  <c r="CS18" i="94"/>
  <c r="CR18" i="94"/>
  <c r="CQ18" i="94"/>
  <c r="CP18" i="94"/>
  <c r="CB18" i="94"/>
  <c r="CA18" i="94"/>
  <c r="BZ18" i="94"/>
  <c r="BY18" i="94"/>
  <c r="BX18" i="94"/>
  <c r="BW18" i="94"/>
  <c r="BV18" i="94"/>
  <c r="BU18" i="94"/>
  <c r="BT18" i="94"/>
  <c r="BS18" i="94"/>
  <c r="BR18" i="94"/>
  <c r="BD18" i="94"/>
  <c r="BC18" i="94"/>
  <c r="BB18" i="94"/>
  <c r="BA18" i="94"/>
  <c r="AZ18" i="94"/>
  <c r="AY18" i="94"/>
  <c r="AX18" i="94"/>
  <c r="AW18" i="94"/>
  <c r="AV18" i="94"/>
  <c r="AU18" i="94"/>
  <c r="AT18" i="94"/>
  <c r="AF18" i="94"/>
  <c r="AE18" i="94"/>
  <c r="AD18" i="94"/>
  <c r="AC18" i="94"/>
  <c r="AB18" i="94"/>
  <c r="AA18" i="94"/>
  <c r="Z18" i="94"/>
  <c r="Y18" i="94"/>
  <c r="X18" i="94"/>
  <c r="W18" i="94"/>
  <c r="V18" i="94"/>
  <c r="JL17" i="94"/>
  <c r="JK17" i="94"/>
  <c r="JJ17" i="94"/>
  <c r="JI17" i="94"/>
  <c r="JG17" i="94"/>
  <c r="JF17" i="94"/>
  <c r="JE17" i="94"/>
  <c r="JD17" i="94"/>
  <c r="JC17" i="94"/>
  <c r="JB17" i="94"/>
  <c r="IN17" i="94"/>
  <c r="IM17" i="94"/>
  <c r="IL17" i="94"/>
  <c r="IK17" i="94"/>
  <c r="II17" i="94"/>
  <c r="IH17" i="94"/>
  <c r="IG17" i="94"/>
  <c r="IF17" i="94"/>
  <c r="IE17" i="94"/>
  <c r="ID17" i="94"/>
  <c r="HP17" i="94"/>
  <c r="HO17" i="94"/>
  <c r="HN17" i="94"/>
  <c r="HM17" i="94"/>
  <c r="HK17" i="94"/>
  <c r="HJ17" i="94"/>
  <c r="HI17" i="94"/>
  <c r="HH17" i="94"/>
  <c r="HG17" i="94"/>
  <c r="HF17" i="94"/>
  <c r="GR17" i="94"/>
  <c r="GQ17" i="94"/>
  <c r="GP17" i="94"/>
  <c r="GO17" i="94"/>
  <c r="GM17" i="94"/>
  <c r="GL17" i="94"/>
  <c r="GK17" i="94"/>
  <c r="GJ17" i="94"/>
  <c r="GI17" i="94"/>
  <c r="GH17" i="94"/>
  <c r="FT17" i="94"/>
  <c r="FS17" i="94"/>
  <c r="FR17" i="94"/>
  <c r="FQ17" i="94"/>
  <c r="FO17" i="94"/>
  <c r="FN17" i="94"/>
  <c r="FM17" i="94"/>
  <c r="FL17" i="94"/>
  <c r="FK17" i="94"/>
  <c r="FJ17" i="94"/>
  <c r="EV17" i="94"/>
  <c r="EU17" i="94"/>
  <c r="ET17" i="94"/>
  <c r="ES17" i="94"/>
  <c r="EQ17" i="94"/>
  <c r="EP17" i="94"/>
  <c r="EO17" i="94"/>
  <c r="EN17" i="94"/>
  <c r="EM17" i="94"/>
  <c r="EL17" i="94"/>
  <c r="DX17" i="94"/>
  <c r="DW17" i="94"/>
  <c r="DV17" i="94"/>
  <c r="DU17" i="94"/>
  <c r="DS17" i="94"/>
  <c r="DR17" i="94"/>
  <c r="DQ17" i="94"/>
  <c r="DP17" i="94"/>
  <c r="DO17" i="94"/>
  <c r="DN17" i="94"/>
  <c r="CZ17" i="94"/>
  <c r="CY17" i="94"/>
  <c r="CX17" i="94"/>
  <c r="CW17" i="94"/>
  <c r="CU17" i="94"/>
  <c r="CT17" i="94"/>
  <c r="CS17" i="94"/>
  <c r="CR17" i="94"/>
  <c r="CQ17" i="94"/>
  <c r="CP17" i="94"/>
  <c r="CB17" i="94"/>
  <c r="CA17" i="94"/>
  <c r="BZ17" i="94"/>
  <c r="BY17" i="94"/>
  <c r="BW17" i="94"/>
  <c r="BV17" i="94"/>
  <c r="BU17" i="94"/>
  <c r="BT17" i="94"/>
  <c r="BS17" i="94"/>
  <c r="BR17" i="94"/>
  <c r="BD17" i="94"/>
  <c r="BC17" i="94"/>
  <c r="BB17" i="94"/>
  <c r="BA17" i="94"/>
  <c r="AY17" i="94"/>
  <c r="AX17" i="94"/>
  <c r="AW17" i="94"/>
  <c r="AV17" i="94"/>
  <c r="AU17" i="94"/>
  <c r="AT17" i="94"/>
  <c r="AF17" i="94"/>
  <c r="AE17" i="94"/>
  <c r="AD17" i="94"/>
  <c r="AC17" i="94"/>
  <c r="AA17" i="94"/>
  <c r="Z17" i="94"/>
  <c r="Y17" i="94"/>
  <c r="X17" i="94"/>
  <c r="W17" i="94"/>
  <c r="V17" i="94"/>
  <c r="JL16" i="94"/>
  <c r="JK16" i="94"/>
  <c r="JJ16" i="94"/>
  <c r="JI16" i="94"/>
  <c r="JH16" i="94"/>
  <c r="JG16" i="94"/>
  <c r="JF16" i="94"/>
  <c r="JE16" i="94"/>
  <c r="JD16" i="94"/>
  <c r="JC16" i="94"/>
  <c r="JB16" i="94"/>
  <c r="IN16" i="94"/>
  <c r="IM16" i="94"/>
  <c r="IL16" i="94"/>
  <c r="IK16" i="94"/>
  <c r="IJ16" i="94"/>
  <c r="II16" i="94"/>
  <c r="IH16" i="94"/>
  <c r="IG16" i="94"/>
  <c r="IF16" i="94"/>
  <c r="IE16" i="94"/>
  <c r="ID16" i="94"/>
  <c r="HP16" i="94"/>
  <c r="HO16" i="94"/>
  <c r="HN16" i="94"/>
  <c r="HM16" i="94"/>
  <c r="HL16" i="94"/>
  <c r="HK16" i="94"/>
  <c r="HJ16" i="94"/>
  <c r="HI16" i="94"/>
  <c r="HH16" i="94"/>
  <c r="HG16" i="94"/>
  <c r="HF16" i="94"/>
  <c r="GR16" i="94"/>
  <c r="GQ16" i="94"/>
  <c r="GP16" i="94"/>
  <c r="GO16" i="94"/>
  <c r="GM16" i="94"/>
  <c r="GL16" i="94"/>
  <c r="GK16" i="94"/>
  <c r="GJ16" i="94"/>
  <c r="GI16" i="94"/>
  <c r="GH16" i="94"/>
  <c r="FT16" i="94"/>
  <c r="FS16" i="94"/>
  <c r="FR16" i="94"/>
  <c r="FQ16" i="94"/>
  <c r="FP16" i="94"/>
  <c r="FO16" i="94"/>
  <c r="FN16" i="94"/>
  <c r="FM16" i="94"/>
  <c r="FL16" i="94"/>
  <c r="FK16" i="94"/>
  <c r="FJ16" i="94"/>
  <c r="EV16" i="94"/>
  <c r="EU16" i="94"/>
  <c r="ET16" i="94"/>
  <c r="ES16" i="94"/>
  <c r="ER16" i="94"/>
  <c r="EQ16" i="94"/>
  <c r="EP16" i="94"/>
  <c r="EO16" i="94"/>
  <c r="EN16" i="94"/>
  <c r="EM16" i="94"/>
  <c r="EL16" i="94"/>
  <c r="DX16" i="94"/>
  <c r="DW16" i="94"/>
  <c r="DV16" i="94"/>
  <c r="DU16" i="94"/>
  <c r="DS16" i="94"/>
  <c r="DR16" i="94"/>
  <c r="DQ16" i="94"/>
  <c r="DP16" i="94"/>
  <c r="DO16" i="94"/>
  <c r="DN16" i="94"/>
  <c r="CZ16" i="94"/>
  <c r="CY16" i="94"/>
  <c r="CX16" i="94"/>
  <c r="CW16" i="94"/>
  <c r="CV16" i="94"/>
  <c r="CU16" i="94"/>
  <c r="CT16" i="94"/>
  <c r="CS16" i="94"/>
  <c r="CR16" i="94"/>
  <c r="CQ16" i="94"/>
  <c r="CP16" i="94"/>
  <c r="CB16" i="94"/>
  <c r="CA16" i="94"/>
  <c r="BZ16" i="94"/>
  <c r="BY16" i="94"/>
  <c r="BW16" i="94"/>
  <c r="BV16" i="94"/>
  <c r="BU16" i="94"/>
  <c r="BT16" i="94"/>
  <c r="BS16" i="94"/>
  <c r="BR16" i="94"/>
  <c r="BD16" i="94"/>
  <c r="BC16" i="94"/>
  <c r="BB16" i="94"/>
  <c r="BA16" i="94"/>
  <c r="AY16" i="94"/>
  <c r="AX16" i="94"/>
  <c r="AW16" i="94"/>
  <c r="AV16" i="94"/>
  <c r="AU16" i="94"/>
  <c r="AT16" i="94"/>
  <c r="AF16" i="94"/>
  <c r="AE16" i="94"/>
  <c r="AD16" i="94"/>
  <c r="AC16" i="94"/>
  <c r="AB16" i="94"/>
  <c r="AA16" i="94"/>
  <c r="Z16" i="94"/>
  <c r="Y16" i="94"/>
  <c r="X16" i="94"/>
  <c r="W16" i="94"/>
  <c r="V16" i="94"/>
  <c r="JL15" i="94"/>
  <c r="JK15" i="94"/>
  <c r="JJ15" i="94"/>
  <c r="JI15" i="94"/>
  <c r="JH15" i="94"/>
  <c r="JG15" i="94"/>
  <c r="JE15" i="94"/>
  <c r="JD15" i="94"/>
  <c r="JC15" i="94"/>
  <c r="JB15" i="94"/>
  <c r="IN15" i="94"/>
  <c r="IM15" i="94"/>
  <c r="IL15" i="94"/>
  <c r="IK15" i="94"/>
  <c r="IJ15" i="94"/>
  <c r="II15" i="94"/>
  <c r="IG15" i="94"/>
  <c r="IF15" i="94"/>
  <c r="IE15" i="94"/>
  <c r="ID15" i="94"/>
  <c r="HP15" i="94"/>
  <c r="HO15" i="94"/>
  <c r="HN15" i="94"/>
  <c r="HM15" i="94"/>
  <c r="HL15" i="94"/>
  <c r="HK15" i="94"/>
  <c r="HI15" i="94"/>
  <c r="HH15" i="94"/>
  <c r="HG15" i="94"/>
  <c r="HF15" i="94"/>
  <c r="GR15" i="94"/>
  <c r="GQ15" i="94"/>
  <c r="GP15" i="94"/>
  <c r="GO15" i="94"/>
  <c r="GN15" i="94"/>
  <c r="GM15" i="94"/>
  <c r="GK15" i="94"/>
  <c r="GJ15" i="94"/>
  <c r="GI15" i="94"/>
  <c r="GH15" i="94"/>
  <c r="FT15" i="94"/>
  <c r="FS15" i="94"/>
  <c r="FR15" i="94"/>
  <c r="FQ15" i="94"/>
  <c r="FP15" i="94"/>
  <c r="FO15" i="94"/>
  <c r="FM15" i="94"/>
  <c r="FL15" i="94"/>
  <c r="FK15" i="94"/>
  <c r="FJ15" i="94"/>
  <c r="EV15" i="94"/>
  <c r="EU15" i="94"/>
  <c r="ET15" i="94"/>
  <c r="ES15" i="94"/>
  <c r="ER15" i="94"/>
  <c r="EQ15" i="94"/>
  <c r="EO15" i="94"/>
  <c r="EN15" i="94"/>
  <c r="EM15" i="94"/>
  <c r="EL15" i="94"/>
  <c r="DX15" i="94"/>
  <c r="DW15" i="94"/>
  <c r="DV15" i="94"/>
  <c r="DU15" i="94"/>
  <c r="DT15" i="94"/>
  <c r="DS15" i="94"/>
  <c r="DQ15" i="94"/>
  <c r="DP15" i="94"/>
  <c r="DO15" i="94"/>
  <c r="DN15" i="94"/>
  <c r="CZ15" i="94"/>
  <c r="CY15" i="94"/>
  <c r="CX15" i="94"/>
  <c r="CW15" i="94"/>
  <c r="CV15" i="94"/>
  <c r="CU15" i="94"/>
  <c r="CS15" i="94"/>
  <c r="CR15" i="94"/>
  <c r="CQ15" i="94"/>
  <c r="CP15" i="94"/>
  <c r="CB15" i="94"/>
  <c r="CA15" i="94"/>
  <c r="BZ15" i="94"/>
  <c r="BY15" i="94"/>
  <c r="BX15" i="94"/>
  <c r="BW15" i="94"/>
  <c r="BU15" i="94"/>
  <c r="BT15" i="94"/>
  <c r="BS15" i="94"/>
  <c r="BR15" i="94"/>
  <c r="BD15" i="94"/>
  <c r="BC15" i="94"/>
  <c r="BB15" i="94"/>
  <c r="BA15" i="94"/>
  <c r="AZ15" i="94"/>
  <c r="AY15" i="94"/>
  <c r="AW15" i="94"/>
  <c r="AV15" i="94"/>
  <c r="AU15" i="94"/>
  <c r="AT15" i="94"/>
  <c r="AF15" i="94"/>
  <c r="AE15" i="94"/>
  <c r="AD15" i="94"/>
  <c r="AC15" i="94"/>
  <c r="AB15" i="94"/>
  <c r="AA15" i="94"/>
  <c r="Y15" i="94"/>
  <c r="X15" i="94"/>
  <c r="W15" i="94"/>
  <c r="V15" i="94"/>
  <c r="JL14" i="94"/>
  <c r="JK14" i="94"/>
  <c r="JJ14" i="94"/>
  <c r="JI14" i="94"/>
  <c r="JH14" i="94"/>
  <c r="JG14" i="94"/>
  <c r="JF14" i="94"/>
  <c r="JE14" i="94"/>
  <c r="JD14" i="94"/>
  <c r="JC14" i="94"/>
  <c r="IN14" i="94"/>
  <c r="IM14" i="94"/>
  <c r="IL14" i="94"/>
  <c r="IK14" i="94"/>
  <c r="IJ14" i="94"/>
  <c r="II14" i="94"/>
  <c r="IH14" i="94"/>
  <c r="IG14" i="94"/>
  <c r="IF14" i="94"/>
  <c r="IE14" i="94"/>
  <c r="HP14" i="94"/>
  <c r="HO14" i="94"/>
  <c r="HN14" i="94"/>
  <c r="HM14" i="94"/>
  <c r="HL14" i="94"/>
  <c r="HK14" i="94"/>
  <c r="HJ14" i="94"/>
  <c r="HI14" i="94"/>
  <c r="HH14" i="94"/>
  <c r="HG14" i="94"/>
  <c r="GR14" i="94"/>
  <c r="GQ14" i="94"/>
  <c r="GP14" i="94"/>
  <c r="GO14" i="94"/>
  <c r="GN14" i="94"/>
  <c r="GM14" i="94"/>
  <c r="GL14" i="94"/>
  <c r="GK14" i="94"/>
  <c r="GJ14" i="94"/>
  <c r="GI14" i="94"/>
  <c r="FT14" i="94"/>
  <c r="FS14" i="94"/>
  <c r="FR14" i="94"/>
  <c r="FQ14" i="94"/>
  <c r="FP14" i="94"/>
  <c r="FO14" i="94"/>
  <c r="FN14" i="94"/>
  <c r="FM14" i="94"/>
  <c r="FL14" i="94"/>
  <c r="FK14" i="94"/>
  <c r="EV14" i="94"/>
  <c r="EU14" i="94"/>
  <c r="ET14" i="94"/>
  <c r="ES14" i="94"/>
  <c r="ER14" i="94"/>
  <c r="EQ14" i="94"/>
  <c r="EP14" i="94"/>
  <c r="EO14" i="94"/>
  <c r="EN14" i="94"/>
  <c r="EM14" i="94"/>
  <c r="DX14" i="94"/>
  <c r="DW14" i="94"/>
  <c r="DV14" i="94"/>
  <c r="DU14" i="94"/>
  <c r="DT14" i="94"/>
  <c r="DS14" i="94"/>
  <c r="DR14" i="94"/>
  <c r="DQ14" i="94"/>
  <c r="DP14" i="94"/>
  <c r="DO14" i="94"/>
  <c r="CZ14" i="94"/>
  <c r="CY14" i="94"/>
  <c r="CX14" i="94"/>
  <c r="CW14" i="94"/>
  <c r="CV14" i="94"/>
  <c r="CU14" i="94"/>
  <c r="CT14" i="94"/>
  <c r="CS14" i="94"/>
  <c r="CR14" i="94"/>
  <c r="CQ14" i="94"/>
  <c r="CB14" i="94"/>
  <c r="CA14" i="94"/>
  <c r="BZ14" i="94"/>
  <c r="BY14" i="94"/>
  <c r="BX14" i="94"/>
  <c r="BW14" i="94"/>
  <c r="BV14" i="94"/>
  <c r="BU14" i="94"/>
  <c r="BT14" i="94"/>
  <c r="BS14" i="94"/>
  <c r="BD14" i="94"/>
  <c r="BC14" i="94"/>
  <c r="BB14" i="94"/>
  <c r="BA14" i="94"/>
  <c r="AZ14" i="94"/>
  <c r="AY14" i="94"/>
  <c r="AX14" i="94"/>
  <c r="AW14" i="94"/>
  <c r="AV14" i="94"/>
  <c r="AU14" i="94"/>
  <c r="AF14" i="94"/>
  <c r="AE14" i="94"/>
  <c r="AD14" i="94"/>
  <c r="AC14" i="94"/>
  <c r="AB14" i="94"/>
  <c r="AA14" i="94"/>
  <c r="Z14" i="94"/>
  <c r="Y14" i="94"/>
  <c r="X14" i="94"/>
  <c r="W14" i="94"/>
  <c r="JL9" i="94"/>
  <c r="JK9" i="94"/>
  <c r="JJ9" i="94"/>
  <c r="JI9" i="94"/>
  <c r="JH9" i="94"/>
  <c r="JG9" i="94"/>
  <c r="JF9" i="94"/>
  <c r="JE9" i="94"/>
  <c r="JD9" i="94"/>
  <c r="JC9" i="94"/>
  <c r="JB9" i="94"/>
  <c r="IN9" i="94"/>
  <c r="IM9" i="94"/>
  <c r="IL9" i="94"/>
  <c r="IK9" i="94"/>
  <c r="IJ9" i="94"/>
  <c r="II9" i="94"/>
  <c r="IH9" i="94"/>
  <c r="IG9" i="94"/>
  <c r="IF9" i="94"/>
  <c r="IE9" i="94"/>
  <c r="ID9" i="94"/>
  <c r="HP9" i="94"/>
  <c r="HO9" i="94"/>
  <c r="HN9" i="94"/>
  <c r="HM9" i="94"/>
  <c r="HL9" i="94"/>
  <c r="HK9" i="94"/>
  <c r="HJ9" i="94"/>
  <c r="HI9" i="94"/>
  <c r="HH9" i="94"/>
  <c r="HG9" i="94"/>
  <c r="HF9" i="94"/>
  <c r="GR9" i="94"/>
  <c r="GQ9" i="94"/>
  <c r="GP9" i="94"/>
  <c r="GO9" i="94"/>
  <c r="GN9" i="94"/>
  <c r="GM9" i="94"/>
  <c r="GL9" i="94"/>
  <c r="GK9" i="94"/>
  <c r="GJ9" i="94"/>
  <c r="GI9" i="94"/>
  <c r="GH9" i="94"/>
  <c r="FT9" i="94"/>
  <c r="FS9" i="94"/>
  <c r="FR9" i="94"/>
  <c r="FQ9" i="94"/>
  <c r="FP9" i="94"/>
  <c r="FO9" i="94"/>
  <c r="FN9" i="94"/>
  <c r="FM9" i="94"/>
  <c r="FL9" i="94"/>
  <c r="FK9" i="94"/>
  <c r="FJ9" i="94"/>
  <c r="EV9" i="94"/>
  <c r="EU9" i="94"/>
  <c r="ET9" i="94"/>
  <c r="ES9" i="94"/>
  <c r="ER9" i="94"/>
  <c r="EQ9" i="94"/>
  <c r="EP9" i="94"/>
  <c r="EO9" i="94"/>
  <c r="EN9" i="94"/>
  <c r="EM9" i="94"/>
  <c r="EL9" i="94"/>
  <c r="DX9" i="94"/>
  <c r="DW9" i="94"/>
  <c r="DV9" i="94"/>
  <c r="DU9" i="94"/>
  <c r="DT9" i="94"/>
  <c r="DS9" i="94"/>
  <c r="DR9" i="94"/>
  <c r="DQ9" i="94"/>
  <c r="DP9" i="94"/>
  <c r="DO9" i="94"/>
  <c r="DN9" i="94"/>
  <c r="CZ9" i="94"/>
  <c r="CY9" i="94"/>
  <c r="CX9" i="94"/>
  <c r="CW9" i="94"/>
  <c r="CV9" i="94"/>
  <c r="CU9" i="94"/>
  <c r="CT9" i="94"/>
  <c r="CS9" i="94"/>
  <c r="CR9" i="94"/>
  <c r="CQ9" i="94"/>
  <c r="CP9" i="94"/>
  <c r="CB9" i="94"/>
  <c r="CA9" i="94"/>
  <c r="BZ9" i="94"/>
  <c r="BY9" i="94"/>
  <c r="BX9" i="94"/>
  <c r="BW9" i="94"/>
  <c r="BV9" i="94"/>
  <c r="BU9" i="94"/>
  <c r="BT9" i="94"/>
  <c r="BS9" i="94"/>
  <c r="BR9" i="94"/>
  <c r="BD9" i="94"/>
  <c r="BC9" i="94"/>
  <c r="BB9" i="94"/>
  <c r="BA9" i="94"/>
  <c r="AZ9" i="94"/>
  <c r="AY9" i="94"/>
  <c r="AX9" i="94"/>
  <c r="AW9" i="94"/>
  <c r="AV9" i="94"/>
  <c r="AU9" i="94"/>
  <c r="AT9" i="94"/>
  <c r="AF9" i="94"/>
  <c r="AE9" i="94"/>
  <c r="AD9" i="94"/>
  <c r="AC9" i="94"/>
  <c r="AB9" i="94"/>
  <c r="AA9" i="94"/>
  <c r="Z9" i="94"/>
  <c r="Y9" i="94"/>
  <c r="X9" i="94"/>
  <c r="W9" i="94"/>
  <c r="V9" i="94"/>
  <c r="JL8" i="94"/>
  <c r="JK8" i="94"/>
  <c r="JJ8" i="94"/>
  <c r="JI8" i="94"/>
  <c r="JH8" i="94"/>
  <c r="JG8" i="94"/>
  <c r="JF8" i="94"/>
  <c r="JE8" i="94"/>
  <c r="JD8" i="94"/>
  <c r="JC8" i="94"/>
  <c r="JB8" i="94"/>
  <c r="IN8" i="94"/>
  <c r="IM8" i="94"/>
  <c r="IL8" i="94"/>
  <c r="IK8" i="94"/>
  <c r="IJ8" i="94"/>
  <c r="II8" i="94"/>
  <c r="IH8" i="94"/>
  <c r="IG8" i="94"/>
  <c r="IF8" i="94"/>
  <c r="IE8" i="94"/>
  <c r="ID8" i="94"/>
  <c r="HP8" i="94"/>
  <c r="HO8" i="94"/>
  <c r="HN8" i="94"/>
  <c r="HM8" i="94"/>
  <c r="HL8" i="94"/>
  <c r="HK8" i="94"/>
  <c r="HJ8" i="94"/>
  <c r="HI8" i="94"/>
  <c r="HH8" i="94"/>
  <c r="HG8" i="94"/>
  <c r="HF8" i="94"/>
  <c r="GR8" i="94"/>
  <c r="GQ8" i="94"/>
  <c r="GP8" i="94"/>
  <c r="GO8" i="94"/>
  <c r="GN8" i="94"/>
  <c r="GM8" i="94"/>
  <c r="GL8" i="94"/>
  <c r="GK8" i="94"/>
  <c r="GJ8" i="94"/>
  <c r="GI8" i="94"/>
  <c r="GH8" i="94"/>
  <c r="FT8" i="94"/>
  <c r="FS8" i="94"/>
  <c r="FR8" i="94"/>
  <c r="FQ8" i="94"/>
  <c r="FP8" i="94"/>
  <c r="FO8" i="94"/>
  <c r="FN8" i="94"/>
  <c r="FM8" i="94"/>
  <c r="FL8" i="94"/>
  <c r="FK8" i="94"/>
  <c r="FJ8" i="94"/>
  <c r="EV8" i="94"/>
  <c r="EU8" i="94"/>
  <c r="ET8" i="94"/>
  <c r="ES8" i="94"/>
  <c r="ER8" i="94"/>
  <c r="EQ8" i="94"/>
  <c r="EP8" i="94"/>
  <c r="EO8" i="94"/>
  <c r="EN8" i="94"/>
  <c r="EM8" i="94"/>
  <c r="EL8" i="94"/>
  <c r="DX8" i="94"/>
  <c r="DW8" i="94"/>
  <c r="DV8" i="94"/>
  <c r="DU8" i="94"/>
  <c r="DT8" i="94"/>
  <c r="DS8" i="94"/>
  <c r="DR8" i="94"/>
  <c r="DQ8" i="94"/>
  <c r="DP8" i="94"/>
  <c r="DO8" i="94"/>
  <c r="DN8" i="94"/>
  <c r="CZ8" i="94"/>
  <c r="CY8" i="94"/>
  <c r="CX8" i="94"/>
  <c r="CW8" i="94"/>
  <c r="CV8" i="94"/>
  <c r="CU8" i="94"/>
  <c r="CT8" i="94"/>
  <c r="CS8" i="94"/>
  <c r="CR8" i="94"/>
  <c r="CQ8" i="94"/>
  <c r="CP8" i="94"/>
  <c r="CB8" i="94"/>
  <c r="CA8" i="94"/>
  <c r="BZ8" i="94"/>
  <c r="BY8" i="94"/>
  <c r="BX8" i="94"/>
  <c r="BW8" i="94"/>
  <c r="BV8" i="94"/>
  <c r="BU8" i="94"/>
  <c r="BT8" i="94"/>
  <c r="BS8" i="94"/>
  <c r="BR8" i="94"/>
  <c r="BD8" i="94"/>
  <c r="BC8" i="94"/>
  <c r="BB8" i="94"/>
  <c r="BA8" i="94"/>
  <c r="AZ8" i="94"/>
  <c r="AY8" i="94"/>
  <c r="AX8" i="94"/>
  <c r="AW8" i="94"/>
  <c r="AV8" i="94"/>
  <c r="AU8" i="94"/>
  <c r="AT8" i="94"/>
  <c r="AF8" i="94"/>
  <c r="AE8" i="94"/>
  <c r="AD8" i="94"/>
  <c r="AC8" i="94"/>
  <c r="AB8" i="94"/>
  <c r="AA8" i="94"/>
  <c r="Z8" i="94"/>
  <c r="Y8" i="94"/>
  <c r="X8" i="94"/>
  <c r="W8" i="94"/>
  <c r="V8" i="94"/>
  <c r="JL7" i="94"/>
  <c r="JK7" i="94"/>
  <c r="JJ7" i="94"/>
  <c r="JI7" i="94"/>
  <c r="JG7" i="94"/>
  <c r="JF7" i="94"/>
  <c r="JE7" i="94"/>
  <c r="JD7" i="94"/>
  <c r="JC7" i="94"/>
  <c r="JB7" i="94"/>
  <c r="IN7" i="94"/>
  <c r="IM7" i="94"/>
  <c r="IL7" i="94"/>
  <c r="IK7" i="94"/>
  <c r="II7" i="94"/>
  <c r="IH7" i="94"/>
  <c r="IG7" i="94"/>
  <c r="IF7" i="94"/>
  <c r="IE7" i="94"/>
  <c r="ID7" i="94"/>
  <c r="HP7" i="94"/>
  <c r="HO7" i="94"/>
  <c r="HN7" i="94"/>
  <c r="HM7" i="94"/>
  <c r="HK7" i="94"/>
  <c r="HJ7" i="94"/>
  <c r="HI7" i="94"/>
  <c r="HH7" i="94"/>
  <c r="HG7" i="94"/>
  <c r="HF7" i="94"/>
  <c r="GR7" i="94"/>
  <c r="GQ7" i="94"/>
  <c r="GP7" i="94"/>
  <c r="GO7" i="94"/>
  <c r="GM7" i="94"/>
  <c r="GL7" i="94"/>
  <c r="GK7" i="94"/>
  <c r="GJ7" i="94"/>
  <c r="GI7" i="94"/>
  <c r="GH7" i="94"/>
  <c r="FT7" i="94"/>
  <c r="FS7" i="94"/>
  <c r="FR7" i="94"/>
  <c r="FQ7" i="94"/>
  <c r="FO7" i="94"/>
  <c r="FN7" i="94"/>
  <c r="FM7" i="94"/>
  <c r="FL7" i="94"/>
  <c r="FK7" i="94"/>
  <c r="FJ7" i="94"/>
  <c r="EV7" i="94"/>
  <c r="EU7" i="94"/>
  <c r="ET7" i="94"/>
  <c r="ES7" i="94"/>
  <c r="EQ7" i="94"/>
  <c r="EP7" i="94"/>
  <c r="EO7" i="94"/>
  <c r="EN7" i="94"/>
  <c r="EM7" i="94"/>
  <c r="EL7" i="94"/>
  <c r="DX7" i="94"/>
  <c r="DW7" i="94"/>
  <c r="DV7" i="94"/>
  <c r="DU7" i="94"/>
  <c r="DS7" i="94"/>
  <c r="DR7" i="94"/>
  <c r="DQ7" i="94"/>
  <c r="DP7" i="94"/>
  <c r="DO7" i="94"/>
  <c r="DN7" i="94"/>
  <c r="CZ7" i="94"/>
  <c r="CY7" i="94"/>
  <c r="CX7" i="94"/>
  <c r="CW7" i="94"/>
  <c r="CU7" i="94"/>
  <c r="CT7" i="94"/>
  <c r="CS7" i="94"/>
  <c r="CR7" i="94"/>
  <c r="CQ7" i="94"/>
  <c r="CP7" i="94"/>
  <c r="CB7" i="94"/>
  <c r="CA7" i="94"/>
  <c r="BZ7" i="94"/>
  <c r="BY7" i="94"/>
  <c r="BW7" i="94"/>
  <c r="BV7" i="94"/>
  <c r="BU7" i="94"/>
  <c r="BT7" i="94"/>
  <c r="BS7" i="94"/>
  <c r="BR7" i="94"/>
  <c r="BD7" i="94"/>
  <c r="BC7" i="94"/>
  <c r="BB7" i="94"/>
  <c r="BA7" i="94"/>
  <c r="AY7" i="94"/>
  <c r="AX7" i="94"/>
  <c r="AW7" i="94"/>
  <c r="AV7" i="94"/>
  <c r="AU7" i="94"/>
  <c r="AT7" i="94"/>
  <c r="AF7" i="94"/>
  <c r="AE7" i="94"/>
  <c r="AD7" i="94"/>
  <c r="AC7" i="94"/>
  <c r="AA7" i="94"/>
  <c r="Z7" i="94"/>
  <c r="Y7" i="94"/>
  <c r="X7" i="94"/>
  <c r="W7" i="94"/>
  <c r="V7" i="94"/>
  <c r="JL6" i="94"/>
  <c r="JK6" i="94"/>
  <c r="JJ6" i="94"/>
  <c r="JI6" i="94"/>
  <c r="JH6" i="94"/>
  <c r="JG6" i="94"/>
  <c r="JF6" i="94"/>
  <c r="JE6" i="94"/>
  <c r="JD6" i="94"/>
  <c r="JC6" i="94"/>
  <c r="JB6" i="94"/>
  <c r="IN6" i="94"/>
  <c r="IM6" i="94"/>
  <c r="IL6" i="94"/>
  <c r="IK6" i="94"/>
  <c r="IJ6" i="94"/>
  <c r="II6" i="94"/>
  <c r="IH6" i="94"/>
  <c r="IG6" i="94"/>
  <c r="IF6" i="94"/>
  <c r="IE6" i="94"/>
  <c r="ID6" i="94"/>
  <c r="HP6" i="94"/>
  <c r="HO6" i="94"/>
  <c r="HN6" i="94"/>
  <c r="HM6" i="94"/>
  <c r="HL6" i="94"/>
  <c r="HK6" i="94"/>
  <c r="HJ6" i="94"/>
  <c r="HI6" i="94"/>
  <c r="HH6" i="94"/>
  <c r="HG6" i="94"/>
  <c r="HF6" i="94"/>
  <c r="GR6" i="94"/>
  <c r="GQ6" i="94"/>
  <c r="GP6" i="94"/>
  <c r="GO6" i="94"/>
  <c r="GN6" i="94"/>
  <c r="GM6" i="94"/>
  <c r="GL6" i="94"/>
  <c r="GK6" i="94"/>
  <c r="GJ6" i="94"/>
  <c r="GI6" i="94"/>
  <c r="GH6" i="94"/>
  <c r="FT6" i="94"/>
  <c r="FS6" i="94"/>
  <c r="FR6" i="94"/>
  <c r="FQ6" i="94"/>
  <c r="FP6" i="94"/>
  <c r="FO6" i="94"/>
  <c r="FN6" i="94"/>
  <c r="FM6" i="94"/>
  <c r="FL6" i="94"/>
  <c r="FK6" i="94"/>
  <c r="FJ6" i="94"/>
  <c r="EV6" i="94"/>
  <c r="EU6" i="94"/>
  <c r="ET6" i="94"/>
  <c r="ES6" i="94"/>
  <c r="ER6" i="94"/>
  <c r="EQ6" i="94"/>
  <c r="EP6" i="94"/>
  <c r="EO6" i="94"/>
  <c r="EN6" i="94"/>
  <c r="EM6" i="94"/>
  <c r="EL6" i="94"/>
  <c r="DX6" i="94"/>
  <c r="DW6" i="94"/>
  <c r="DV6" i="94"/>
  <c r="DU6" i="94"/>
  <c r="DT6" i="94"/>
  <c r="DS6" i="94"/>
  <c r="DR6" i="94"/>
  <c r="DQ6" i="94"/>
  <c r="DP6" i="94"/>
  <c r="DO6" i="94"/>
  <c r="DN6" i="94"/>
  <c r="CZ6" i="94"/>
  <c r="CY6" i="94"/>
  <c r="CX6" i="94"/>
  <c r="CW6" i="94"/>
  <c r="CV6" i="94"/>
  <c r="CU6" i="94"/>
  <c r="CT6" i="94"/>
  <c r="CS6" i="94"/>
  <c r="CR6" i="94"/>
  <c r="CQ6" i="94"/>
  <c r="CP6" i="94"/>
  <c r="CB6" i="94"/>
  <c r="CA6" i="94"/>
  <c r="BZ6" i="94"/>
  <c r="BY6" i="94"/>
  <c r="BX6" i="94"/>
  <c r="BW6" i="94"/>
  <c r="BV6" i="94"/>
  <c r="BU6" i="94"/>
  <c r="BT6" i="94"/>
  <c r="BS6" i="94"/>
  <c r="BR6" i="94"/>
  <c r="BD6" i="94"/>
  <c r="BC6" i="94"/>
  <c r="BB6" i="94"/>
  <c r="BA6" i="94"/>
  <c r="AZ6" i="94"/>
  <c r="AY6" i="94"/>
  <c r="AX6" i="94"/>
  <c r="AW6" i="94"/>
  <c r="AV6" i="94"/>
  <c r="AU6" i="94"/>
  <c r="AT6" i="94"/>
  <c r="AF6" i="94"/>
  <c r="AE6" i="94"/>
  <c r="AD6" i="94"/>
  <c r="AC6" i="94"/>
  <c r="AB6" i="94"/>
  <c r="AA6" i="94"/>
  <c r="Z6" i="94"/>
  <c r="Y6" i="94"/>
  <c r="X6" i="94"/>
  <c r="W6" i="94"/>
  <c r="V6" i="94"/>
  <c r="JL5" i="94"/>
  <c r="JK5" i="94"/>
  <c r="JJ5" i="94"/>
  <c r="JI5" i="94"/>
  <c r="JH5" i="94"/>
  <c r="JG5" i="94"/>
  <c r="JF5" i="94"/>
  <c r="JE5" i="94"/>
  <c r="JD5" i="94"/>
  <c r="JC5" i="94"/>
  <c r="IN5" i="94"/>
  <c r="IM5" i="94"/>
  <c r="IL5" i="94"/>
  <c r="IK5" i="94"/>
  <c r="IJ5" i="94"/>
  <c r="II5" i="94"/>
  <c r="IH5" i="94"/>
  <c r="IG5" i="94"/>
  <c r="IF5" i="94"/>
  <c r="IE5" i="94"/>
  <c r="HP5" i="94"/>
  <c r="HO5" i="94"/>
  <c r="HN5" i="94"/>
  <c r="HM5" i="94"/>
  <c r="HL5" i="94"/>
  <c r="HK5" i="94"/>
  <c r="HJ5" i="94"/>
  <c r="HI5" i="94"/>
  <c r="HH5" i="94"/>
  <c r="HG5" i="94"/>
  <c r="GR5" i="94"/>
  <c r="GQ5" i="94"/>
  <c r="GP5" i="94"/>
  <c r="GO5" i="94"/>
  <c r="GN5" i="94"/>
  <c r="GM5" i="94"/>
  <c r="GL5" i="94"/>
  <c r="GK5" i="94"/>
  <c r="GJ5" i="94"/>
  <c r="GI5" i="94"/>
  <c r="FT5" i="94"/>
  <c r="FS5" i="94"/>
  <c r="FR5" i="94"/>
  <c r="FQ5" i="94"/>
  <c r="FP5" i="94"/>
  <c r="FO5" i="94"/>
  <c r="FN5" i="94"/>
  <c r="FM5" i="94"/>
  <c r="FL5" i="94"/>
  <c r="FK5" i="94"/>
  <c r="EV5" i="94"/>
  <c r="EU5" i="94"/>
  <c r="ET5" i="94"/>
  <c r="ES5" i="94"/>
  <c r="ER5" i="94"/>
  <c r="EQ5" i="94"/>
  <c r="EP5" i="94"/>
  <c r="EO5" i="94"/>
  <c r="EN5" i="94"/>
  <c r="EM5" i="94"/>
  <c r="DX5" i="94"/>
  <c r="DW5" i="94"/>
  <c r="DV5" i="94"/>
  <c r="DU5" i="94"/>
  <c r="DT5" i="94"/>
  <c r="DS5" i="94"/>
  <c r="DR5" i="94"/>
  <c r="DQ5" i="94"/>
  <c r="DP5" i="94"/>
  <c r="DO5" i="94"/>
  <c r="CZ5" i="94"/>
  <c r="CY5" i="94"/>
  <c r="CX5" i="94"/>
  <c r="CW5" i="94"/>
  <c r="CV5" i="94"/>
  <c r="CU5" i="94"/>
  <c r="CT5" i="94"/>
  <c r="CS5" i="94"/>
  <c r="CR5" i="94"/>
  <c r="CQ5" i="94"/>
  <c r="CB5" i="94"/>
  <c r="CA5" i="94"/>
  <c r="BZ5" i="94"/>
  <c r="BY5" i="94"/>
  <c r="BX5" i="94"/>
  <c r="BW5" i="94"/>
  <c r="BV5" i="94"/>
  <c r="BU5" i="94"/>
  <c r="BT5" i="94"/>
  <c r="BS5" i="94"/>
  <c r="BD5" i="94"/>
  <c r="BC5" i="94"/>
  <c r="BB5" i="94"/>
  <c r="BA5" i="94"/>
  <c r="AZ5" i="94"/>
  <c r="AY5" i="94"/>
  <c r="AX5" i="94"/>
  <c r="AW5" i="94"/>
  <c r="AV5" i="94"/>
  <c r="AU5" i="94"/>
  <c r="AF5" i="94"/>
  <c r="AE5" i="94"/>
  <c r="AD5" i="94"/>
  <c r="AC5" i="94"/>
  <c r="AB5" i="94"/>
  <c r="AA5" i="94"/>
  <c r="Z5" i="94"/>
  <c r="Y5" i="94"/>
  <c r="X5" i="94"/>
  <c r="W5" i="94"/>
  <c r="B7" i="127"/>
  <c r="B8" i="127"/>
  <c r="B9" i="127"/>
  <c r="B10" i="127"/>
  <c r="B11" i="127"/>
  <c r="B12" i="127"/>
  <c r="B13" i="127"/>
  <c r="B14" i="127"/>
  <c r="B15" i="127"/>
  <c r="B16" i="127"/>
  <c r="B6" i="127"/>
  <c r="C24" i="126"/>
  <c r="C21" i="126"/>
  <c r="C18" i="126"/>
  <c r="C15" i="126"/>
  <c r="C12" i="126"/>
  <c r="C9" i="126"/>
  <c r="C6" i="126"/>
  <c r="B33" i="126"/>
  <c r="B34" i="126" s="1"/>
  <c r="B35" i="126" s="1"/>
  <c r="B36" i="126" s="1"/>
  <c r="B37" i="126" s="1"/>
  <c r="B38" i="126" s="1"/>
  <c r="B39" i="126" s="1"/>
  <c r="B40" i="126" s="1"/>
  <c r="B41" i="126" s="1"/>
  <c r="B42" i="126" s="1"/>
  <c r="B43" i="126" s="1"/>
  <c r="B44" i="126" s="1"/>
  <c r="B45" i="126" s="1"/>
  <c r="B46" i="126" s="1"/>
  <c r="B47" i="126" s="1"/>
  <c r="B48" i="126" s="1"/>
  <c r="B49" i="126" s="1"/>
  <c r="B50" i="126" s="1"/>
  <c r="B51" i="126" s="1"/>
  <c r="B52" i="126" s="1"/>
  <c r="B53" i="126" s="1"/>
  <c r="B54" i="126" s="1"/>
  <c r="B55" i="126" s="1"/>
  <c r="B56" i="126" s="1"/>
  <c r="B57" i="126" s="1"/>
  <c r="B58" i="126" s="1"/>
  <c r="B59" i="126" s="1"/>
  <c r="B60" i="126" s="1"/>
  <c r="B61" i="126" s="1"/>
  <c r="B62" i="126" s="1"/>
  <c r="B63" i="126" s="1"/>
  <c r="B64" i="126" s="1"/>
  <c r="B65" i="126" s="1"/>
  <c r="B66" i="126" s="1"/>
  <c r="B67" i="126" s="1"/>
  <c r="B68" i="126" s="1"/>
  <c r="B69" i="126" s="1"/>
  <c r="B70" i="126" s="1"/>
  <c r="B71" i="126" s="1"/>
  <c r="B72" i="126" s="1"/>
  <c r="B28" i="126"/>
  <c r="B29" i="126" s="1"/>
  <c r="B30" i="126" s="1"/>
  <c r="B31" i="126" s="1"/>
  <c r="F3" i="145"/>
  <c r="D3" i="145"/>
  <c r="C3" i="145"/>
  <c r="I15" i="113" l="1"/>
  <c r="H15" i="113"/>
  <c r="I14" i="113"/>
  <c r="H14" i="113"/>
  <c r="I13" i="113"/>
  <c r="H13" i="113"/>
  <c r="I12" i="113"/>
  <c r="H12" i="113"/>
  <c r="I11" i="113"/>
  <c r="H11" i="113"/>
  <c r="I10" i="113"/>
  <c r="H10" i="113"/>
  <c r="I9" i="113"/>
  <c r="H9" i="113"/>
  <c r="I15" i="140"/>
  <c r="H15" i="140"/>
  <c r="I14" i="140"/>
  <c r="H14" i="140"/>
  <c r="I13" i="140"/>
  <c r="H13" i="140"/>
  <c r="I12" i="140"/>
  <c r="H12" i="140"/>
  <c r="I11" i="140"/>
  <c r="H11" i="140"/>
  <c r="I10" i="140"/>
  <c r="H10" i="140"/>
  <c r="I9" i="140"/>
  <c r="H9" i="140"/>
  <c r="I15" i="138"/>
  <c r="H15" i="138"/>
  <c r="I14" i="138"/>
  <c r="H14" i="138"/>
  <c r="I13" i="138"/>
  <c r="H13" i="138"/>
  <c r="I12" i="138"/>
  <c r="H12" i="138"/>
  <c r="I11" i="138"/>
  <c r="H11" i="138"/>
  <c r="I10" i="138"/>
  <c r="H10" i="138"/>
  <c r="I9" i="138"/>
  <c r="H9" i="138"/>
  <c r="I15" i="124"/>
  <c r="H15" i="124"/>
  <c r="I14" i="124"/>
  <c r="H14" i="124"/>
  <c r="I13" i="124"/>
  <c r="H13" i="124"/>
  <c r="I12" i="124"/>
  <c r="H12" i="124"/>
  <c r="I11" i="124"/>
  <c r="H11" i="124"/>
  <c r="I10" i="124"/>
  <c r="H10" i="124"/>
  <c r="I9" i="124"/>
  <c r="H9" i="124"/>
  <c r="I15" i="116"/>
  <c r="H15" i="116"/>
  <c r="I14" i="116"/>
  <c r="H14" i="116"/>
  <c r="I13" i="116"/>
  <c r="H13" i="116"/>
  <c r="I12" i="116"/>
  <c r="H12" i="116"/>
  <c r="I11" i="116"/>
  <c r="H11" i="116"/>
  <c r="I10" i="116"/>
  <c r="H10" i="116"/>
  <c r="I9" i="116"/>
  <c r="H9" i="116"/>
  <c r="I15" i="117"/>
  <c r="H15" i="117"/>
  <c r="I14" i="117"/>
  <c r="H14" i="117"/>
  <c r="I13" i="117"/>
  <c r="H13" i="117"/>
  <c r="I12" i="117"/>
  <c r="H12" i="117"/>
  <c r="I11" i="117"/>
  <c r="H11" i="117"/>
  <c r="I10" i="117"/>
  <c r="H10" i="117"/>
  <c r="I9" i="117"/>
  <c r="H9" i="117"/>
  <c r="I15" i="97"/>
  <c r="H15" i="97"/>
  <c r="I14" i="97"/>
  <c r="H14" i="97"/>
  <c r="I13" i="97"/>
  <c r="H13" i="97"/>
  <c r="I12" i="97"/>
  <c r="H12" i="97"/>
  <c r="I11" i="97"/>
  <c r="H11" i="97"/>
  <c r="I10" i="97"/>
  <c r="H10" i="97"/>
  <c r="I9" i="97"/>
  <c r="H9" i="97"/>
  <c r="I15" i="139"/>
  <c r="H15" i="139"/>
  <c r="I14" i="139"/>
  <c r="H14" i="139"/>
  <c r="I13" i="139"/>
  <c r="H13" i="139"/>
  <c r="I12" i="139"/>
  <c r="H12" i="139"/>
  <c r="I11" i="139"/>
  <c r="H11" i="139"/>
  <c r="I10" i="139"/>
  <c r="H10" i="139"/>
  <c r="I9" i="139"/>
  <c r="H9" i="139"/>
  <c r="I15" i="91"/>
  <c r="H15" i="91"/>
  <c r="I14" i="91"/>
  <c r="H14" i="91"/>
  <c r="I13" i="91"/>
  <c r="H13" i="91"/>
  <c r="I12" i="91"/>
  <c r="H12" i="91"/>
  <c r="I11" i="91"/>
  <c r="H11" i="91"/>
  <c r="I10" i="91"/>
  <c r="H10" i="91"/>
  <c r="I9" i="91"/>
  <c r="H9" i="91"/>
  <c r="I15" i="136"/>
  <c r="H15" i="136"/>
  <c r="I14" i="136"/>
  <c r="H14" i="136"/>
  <c r="I13" i="136"/>
  <c r="H13" i="136"/>
  <c r="I12" i="136"/>
  <c r="H12" i="136"/>
  <c r="I11" i="136"/>
  <c r="H11" i="136"/>
  <c r="I10" i="136"/>
  <c r="H10" i="136"/>
  <c r="I9" i="136"/>
  <c r="H9" i="136"/>
  <c r="I15" i="99"/>
  <c r="H15" i="99"/>
  <c r="I14" i="99"/>
  <c r="H14" i="99"/>
  <c r="I13" i="99"/>
  <c r="H13" i="99"/>
  <c r="I12" i="99"/>
  <c r="H12" i="99"/>
  <c r="I11" i="99"/>
  <c r="H11" i="99"/>
  <c r="I10" i="99"/>
  <c r="H10" i="99"/>
  <c r="I9" i="99"/>
  <c r="H9" i="99"/>
  <c r="I15" i="86"/>
  <c r="H15" i="86"/>
  <c r="I14" i="86"/>
  <c r="H14" i="86"/>
  <c r="I13" i="86"/>
  <c r="H13" i="86"/>
  <c r="I12" i="86"/>
  <c r="H12" i="86"/>
  <c r="I11" i="86"/>
  <c r="H11" i="86"/>
  <c r="I10" i="86"/>
  <c r="H10" i="86"/>
  <c r="I9" i="86"/>
  <c r="H9" i="86"/>
  <c r="I15" i="132"/>
  <c r="H15" i="132"/>
  <c r="I14" i="132"/>
  <c r="H14" i="132"/>
  <c r="I13" i="132"/>
  <c r="H13" i="132"/>
  <c r="I12" i="132"/>
  <c r="H12" i="132"/>
  <c r="I11" i="132"/>
  <c r="H11" i="132"/>
  <c r="I10" i="132"/>
  <c r="H10" i="132"/>
  <c r="I9" i="132"/>
  <c r="H9" i="132"/>
  <c r="I15" i="120"/>
  <c r="H15" i="120"/>
  <c r="I14" i="120"/>
  <c r="H14" i="120"/>
  <c r="I13" i="120"/>
  <c r="H13" i="120"/>
  <c r="I12" i="120"/>
  <c r="H12" i="120"/>
  <c r="I11" i="120"/>
  <c r="H11" i="120"/>
  <c r="I10" i="120"/>
  <c r="H10" i="120"/>
  <c r="I9" i="120"/>
  <c r="H9" i="120"/>
  <c r="I15" i="119"/>
  <c r="H15" i="119"/>
  <c r="I14" i="119"/>
  <c r="H14" i="119"/>
  <c r="I13" i="119"/>
  <c r="H13" i="119"/>
  <c r="I12" i="119"/>
  <c r="H12" i="119"/>
  <c r="I11" i="119"/>
  <c r="H11" i="119"/>
  <c r="I10" i="119"/>
  <c r="H10" i="119"/>
  <c r="I9" i="119"/>
  <c r="H9" i="119"/>
  <c r="I15" i="118"/>
  <c r="H15" i="118"/>
  <c r="I14" i="118"/>
  <c r="H14" i="118"/>
  <c r="I13" i="118"/>
  <c r="H13" i="118"/>
  <c r="I12" i="118"/>
  <c r="H12" i="118"/>
  <c r="I11" i="118"/>
  <c r="H11" i="118"/>
  <c r="I10" i="118"/>
  <c r="H10" i="118"/>
  <c r="I9" i="118"/>
  <c r="H9" i="118"/>
  <c r="I15" i="137"/>
  <c r="H15" i="137"/>
  <c r="I14" i="137"/>
  <c r="H14" i="137"/>
  <c r="I13" i="137"/>
  <c r="H13" i="137"/>
  <c r="I12" i="137"/>
  <c r="H12" i="137"/>
  <c r="I11" i="137"/>
  <c r="H11" i="137"/>
  <c r="I10" i="137"/>
  <c r="H10" i="137"/>
  <c r="I9" i="137"/>
  <c r="H9" i="137"/>
  <c r="I15" i="123"/>
  <c r="H15" i="123"/>
  <c r="I14" i="123"/>
  <c r="H14" i="123"/>
  <c r="I13" i="123"/>
  <c r="H13" i="123"/>
  <c r="I12" i="123"/>
  <c r="H12" i="123"/>
  <c r="I11" i="123"/>
  <c r="H11" i="123"/>
  <c r="I10" i="123"/>
  <c r="H10" i="123"/>
  <c r="I9" i="123"/>
  <c r="H9" i="123"/>
  <c r="I15" i="96"/>
  <c r="H15" i="96"/>
  <c r="I14" i="96"/>
  <c r="H14" i="96"/>
  <c r="I13" i="96"/>
  <c r="H13" i="96"/>
  <c r="I12" i="96"/>
  <c r="H12" i="96"/>
  <c r="I11" i="96"/>
  <c r="H11" i="96"/>
  <c r="I10" i="96"/>
  <c r="H10" i="96"/>
  <c r="I9" i="96"/>
  <c r="H9" i="96"/>
  <c r="I15" i="95"/>
  <c r="H15" i="95"/>
  <c r="I14" i="95"/>
  <c r="H14" i="95"/>
  <c r="I13" i="95"/>
  <c r="H13" i="95"/>
  <c r="I12" i="95"/>
  <c r="H12" i="95"/>
  <c r="I11" i="95"/>
  <c r="H11" i="95"/>
  <c r="I10" i="95"/>
  <c r="H10" i="95"/>
  <c r="I9" i="95"/>
  <c r="H9" i="95"/>
  <c r="I15" i="98"/>
  <c r="H15" i="98"/>
  <c r="I14" i="98"/>
  <c r="H14" i="98"/>
  <c r="I13" i="98"/>
  <c r="H13" i="98"/>
  <c r="I12" i="98"/>
  <c r="H12" i="98"/>
  <c r="I11" i="98"/>
  <c r="H11" i="98"/>
  <c r="I10" i="98"/>
  <c r="H10" i="98"/>
  <c r="I9" i="98"/>
  <c r="H9" i="98"/>
  <c r="I15" i="135"/>
  <c r="H15" i="135"/>
  <c r="I14" i="135"/>
  <c r="H14" i="135"/>
  <c r="I13" i="135"/>
  <c r="H13" i="135"/>
  <c r="I12" i="135"/>
  <c r="H12" i="135"/>
  <c r="I11" i="135"/>
  <c r="H11" i="135"/>
  <c r="I10" i="135"/>
  <c r="H10" i="135"/>
  <c r="I9" i="135"/>
  <c r="H9" i="135"/>
  <c r="I15" i="134"/>
  <c r="H15" i="134"/>
  <c r="I14" i="134"/>
  <c r="H14" i="134"/>
  <c r="I13" i="134"/>
  <c r="H13" i="134"/>
  <c r="I12" i="134"/>
  <c r="H12" i="134"/>
  <c r="I11" i="134"/>
  <c r="H11" i="134"/>
  <c r="I10" i="134"/>
  <c r="H10" i="134"/>
  <c r="I9" i="134"/>
  <c r="H9" i="134"/>
  <c r="I15" i="133"/>
  <c r="H15" i="133"/>
  <c r="I14" i="133"/>
  <c r="H14" i="133"/>
  <c r="I13" i="133"/>
  <c r="H13" i="133"/>
  <c r="I12" i="133"/>
  <c r="H12" i="133"/>
  <c r="I11" i="133"/>
  <c r="H11" i="133"/>
  <c r="I10" i="133"/>
  <c r="H10" i="133"/>
  <c r="I9" i="133"/>
  <c r="H9" i="133"/>
  <c r="C26" i="126"/>
  <c r="C25" i="126"/>
  <c r="C23" i="126"/>
  <c r="C22" i="126"/>
  <c r="C20" i="126"/>
  <c r="C19" i="126"/>
  <c r="C17" i="126"/>
  <c r="C16" i="126"/>
  <c r="C14" i="126"/>
  <c r="C13" i="126"/>
  <c r="C11" i="126"/>
  <c r="C10" i="126"/>
  <c r="C7" i="126"/>
  <c r="C8" i="126"/>
  <c r="G3" i="122" l="1"/>
  <c r="I3" i="113" s="1"/>
  <c r="F3" i="122"/>
  <c r="H3" i="113" s="1"/>
  <c r="E3" i="122"/>
  <c r="JY27" i="94"/>
  <c r="JA27" i="94"/>
  <c r="IC27" i="94"/>
  <c r="HE27" i="94"/>
  <c r="GG27" i="94"/>
  <c r="FI27" i="94"/>
  <c r="EK27" i="94"/>
  <c r="DM27" i="94"/>
  <c r="CO27" i="94"/>
  <c r="BQ27" i="94"/>
  <c r="AS27" i="94"/>
  <c r="JY26" i="94"/>
  <c r="JA26" i="94"/>
  <c r="IC26" i="94"/>
  <c r="HE26" i="94"/>
  <c r="GG26" i="94"/>
  <c r="FI26" i="94"/>
  <c r="EK26" i="94"/>
  <c r="DM26" i="94"/>
  <c r="CO26" i="94"/>
  <c r="BQ26" i="94"/>
  <c r="AS26" i="94"/>
  <c r="JY25" i="94"/>
  <c r="JA25" i="94"/>
  <c r="IC25" i="94"/>
  <c r="HE25" i="94"/>
  <c r="GG25" i="94"/>
  <c r="FI25" i="94"/>
  <c r="EK25" i="94"/>
  <c r="DM25" i="94"/>
  <c r="CO25" i="94"/>
  <c r="BQ25" i="94"/>
  <c r="AS25" i="94"/>
  <c r="JY24" i="94"/>
  <c r="JA24" i="94"/>
  <c r="IC24" i="94"/>
  <c r="HE24" i="94"/>
  <c r="GG24" i="94"/>
  <c r="FI24" i="94"/>
  <c r="EK24" i="94"/>
  <c r="DM24" i="94"/>
  <c r="CO24" i="94"/>
  <c r="BQ24" i="94"/>
  <c r="AS24" i="94"/>
  <c r="JY23" i="94"/>
  <c r="JA23" i="94"/>
  <c r="IC23" i="94"/>
  <c r="HE23" i="94"/>
  <c r="GG23" i="94"/>
  <c r="FI23" i="94"/>
  <c r="EK23" i="94"/>
  <c r="DM23" i="94"/>
  <c r="CO23" i="94"/>
  <c r="BQ23" i="94"/>
  <c r="AS23" i="94"/>
  <c r="JY18" i="94"/>
  <c r="JA18" i="94"/>
  <c r="IC18" i="94"/>
  <c r="HE18" i="94"/>
  <c r="GG18" i="94"/>
  <c r="FI18" i="94"/>
  <c r="EK18" i="94"/>
  <c r="DM18" i="94"/>
  <c r="CO18" i="94"/>
  <c r="BQ18" i="94"/>
  <c r="AS18" i="94"/>
  <c r="JY17" i="94"/>
  <c r="JA17" i="94"/>
  <c r="IC17" i="94"/>
  <c r="GG17" i="94"/>
  <c r="FI17" i="94"/>
  <c r="DM17" i="94"/>
  <c r="AS17" i="94"/>
  <c r="JY16" i="94"/>
  <c r="JA16" i="94"/>
  <c r="IC16" i="94"/>
  <c r="HE16" i="94"/>
  <c r="GG16" i="94"/>
  <c r="FI16" i="94"/>
  <c r="EK16" i="94"/>
  <c r="DM16" i="94"/>
  <c r="CO16" i="94"/>
  <c r="BQ16" i="94"/>
  <c r="AS16" i="94"/>
  <c r="JY15" i="94"/>
  <c r="JA15" i="94"/>
  <c r="IC15" i="94"/>
  <c r="HE15" i="94"/>
  <c r="GG15" i="94"/>
  <c r="FI15" i="94"/>
  <c r="EK15" i="94"/>
  <c r="DM15" i="94"/>
  <c r="CO15" i="94"/>
  <c r="BQ15" i="94"/>
  <c r="AS15" i="94"/>
  <c r="JY14" i="94"/>
  <c r="JA14" i="94"/>
  <c r="IC14" i="94"/>
  <c r="HE14" i="94"/>
  <c r="GG14" i="94"/>
  <c r="FI14" i="94"/>
  <c r="EK14" i="94"/>
  <c r="DM14" i="94"/>
  <c r="CO14" i="94"/>
  <c r="BQ14" i="94"/>
  <c r="AS14" i="94"/>
  <c r="JY9" i="94"/>
  <c r="JA9" i="94"/>
  <c r="IC9" i="94"/>
  <c r="HE9" i="94"/>
  <c r="GG9" i="94"/>
  <c r="FI9" i="94"/>
  <c r="EK9" i="94"/>
  <c r="DM9" i="94"/>
  <c r="CO9" i="94"/>
  <c r="BQ9" i="94"/>
  <c r="AS9" i="94"/>
  <c r="JY8" i="94"/>
  <c r="JA8" i="94"/>
  <c r="IC8" i="94"/>
  <c r="HE8" i="94"/>
  <c r="GG8" i="94"/>
  <c r="FI8" i="94"/>
  <c r="EK8" i="94"/>
  <c r="DM8" i="94"/>
  <c r="CO8" i="94"/>
  <c r="BQ8" i="94"/>
  <c r="AS8" i="94"/>
  <c r="JY7" i="94"/>
  <c r="JA7" i="94"/>
  <c r="IC7" i="94"/>
  <c r="HE7" i="94"/>
  <c r="GG7" i="94"/>
  <c r="FI7" i="94"/>
  <c r="EK7" i="94"/>
  <c r="DM7" i="94"/>
  <c r="CO7" i="94"/>
  <c r="BQ7" i="94"/>
  <c r="AS7" i="94"/>
  <c r="JY6" i="94"/>
  <c r="JA6" i="94"/>
  <c r="IC6" i="94"/>
  <c r="HE6" i="94"/>
  <c r="GG6" i="94"/>
  <c r="FI6" i="94"/>
  <c r="EK6" i="94"/>
  <c r="DM6" i="94"/>
  <c r="CO6" i="94"/>
  <c r="BQ6" i="94"/>
  <c r="AS6" i="94"/>
  <c r="JY5" i="94"/>
  <c r="JA5" i="94"/>
  <c r="IC5" i="94"/>
  <c r="HE5" i="94"/>
  <c r="GG5" i="94"/>
  <c r="FI5" i="94"/>
  <c r="EK5" i="94"/>
  <c r="DM5" i="94"/>
  <c r="CO5" i="94"/>
  <c r="BQ5" i="94"/>
  <c r="AS5" i="94"/>
  <c r="H3" i="95" l="1"/>
  <c r="H3" i="118"/>
  <c r="H3" i="86"/>
  <c r="H3" i="139"/>
  <c r="H3" i="124"/>
  <c r="I3" i="95"/>
  <c r="I3" i="118"/>
  <c r="I3" i="86"/>
  <c r="I3" i="139"/>
  <c r="I3" i="124"/>
  <c r="H3" i="135"/>
  <c r="H3" i="96"/>
  <c r="H3" i="119"/>
  <c r="H3" i="99"/>
  <c r="H3" i="97"/>
  <c r="H3" i="138"/>
  <c r="H3" i="133"/>
  <c r="I3" i="135"/>
  <c r="I3" i="96"/>
  <c r="I3" i="119"/>
  <c r="I3" i="99"/>
  <c r="I3" i="97"/>
  <c r="I3" i="138"/>
  <c r="I3" i="133"/>
  <c r="H3" i="123"/>
  <c r="H3" i="120"/>
  <c r="H3" i="136"/>
  <c r="H3" i="117"/>
  <c r="H3" i="140"/>
  <c r="I3" i="123"/>
  <c r="I3" i="120"/>
  <c r="I3" i="136"/>
  <c r="I3" i="117"/>
  <c r="I3" i="140"/>
  <c r="H3" i="134"/>
  <c r="H3" i="98"/>
  <c r="H3" i="137"/>
  <c r="H3" i="132"/>
  <c r="H3" i="91"/>
  <c r="H3" i="116"/>
  <c r="I3" i="134"/>
  <c r="I3" i="98"/>
  <c r="I3" i="137"/>
  <c r="I3" i="132"/>
  <c r="I3" i="91"/>
  <c r="I3" i="116"/>
  <c r="JX27" i="94"/>
  <c r="JW27" i="94"/>
  <c r="JV27" i="94"/>
  <c r="JU27" i="94"/>
  <c r="JT27" i="94"/>
  <c r="JS27" i="94"/>
  <c r="JR27" i="94"/>
  <c r="JQ27" i="94"/>
  <c r="JP27" i="94"/>
  <c r="JO27" i="94"/>
  <c r="JN27" i="94"/>
  <c r="JM27" i="94"/>
  <c r="JX26" i="94"/>
  <c r="JW26" i="94"/>
  <c r="JV26" i="94"/>
  <c r="JU26" i="94"/>
  <c r="JT26" i="94"/>
  <c r="JS26" i="94"/>
  <c r="JR26" i="94"/>
  <c r="JQ26" i="94"/>
  <c r="JP26" i="94"/>
  <c r="JO26" i="94"/>
  <c r="JN26" i="94"/>
  <c r="JM26" i="94"/>
  <c r="JX25" i="94"/>
  <c r="JW25" i="94"/>
  <c r="JV25" i="94"/>
  <c r="JU25" i="94"/>
  <c r="JT25" i="94"/>
  <c r="JS25" i="94"/>
  <c r="JR25" i="94"/>
  <c r="JQ25" i="94"/>
  <c r="JP25" i="94"/>
  <c r="JO25" i="94"/>
  <c r="JN25" i="94"/>
  <c r="JM25" i="94"/>
  <c r="JX24" i="94"/>
  <c r="JW24" i="94"/>
  <c r="JV24" i="94"/>
  <c r="JU24" i="94"/>
  <c r="JT24" i="94"/>
  <c r="JS24" i="94"/>
  <c r="JR24" i="94"/>
  <c r="JQ24" i="94"/>
  <c r="JP24" i="94"/>
  <c r="JO24" i="94"/>
  <c r="JN24" i="94"/>
  <c r="JM24" i="94"/>
  <c r="JX23" i="94"/>
  <c r="JW23" i="94"/>
  <c r="JV23" i="94"/>
  <c r="JU23" i="94"/>
  <c r="JT23" i="94"/>
  <c r="JS23" i="94"/>
  <c r="JR23" i="94"/>
  <c r="JQ23" i="94"/>
  <c r="F18" i="145" s="1"/>
  <c r="G18" i="145" s="1"/>
  <c r="JP23" i="94"/>
  <c r="JO23" i="94"/>
  <c r="JN23" i="94"/>
  <c r="JM23" i="94"/>
  <c r="JX18" i="94"/>
  <c r="JW18" i="94"/>
  <c r="JV18" i="94"/>
  <c r="JU18" i="94"/>
  <c r="JT18" i="94"/>
  <c r="JS18" i="94"/>
  <c r="JR18" i="94"/>
  <c r="JQ18" i="94"/>
  <c r="JP18" i="94"/>
  <c r="JO18" i="94"/>
  <c r="JN18" i="94"/>
  <c r="JM18" i="94"/>
  <c r="JX17" i="94"/>
  <c r="JW17" i="94"/>
  <c r="JV17" i="94"/>
  <c r="JU17" i="94"/>
  <c r="JT17" i="94"/>
  <c r="JR17" i="94"/>
  <c r="JQ17" i="94"/>
  <c r="JP17" i="94"/>
  <c r="JO17" i="94"/>
  <c r="JN17" i="94"/>
  <c r="JM17" i="94"/>
  <c r="JX16" i="94"/>
  <c r="JV16" i="94"/>
  <c r="JU16" i="94"/>
  <c r="JT16" i="94"/>
  <c r="JS16" i="94"/>
  <c r="JR16" i="94"/>
  <c r="JQ16" i="94"/>
  <c r="JP16" i="94"/>
  <c r="JO16" i="94"/>
  <c r="JN16" i="94"/>
  <c r="JM16" i="94"/>
  <c r="JX15" i="94"/>
  <c r="JW15" i="94"/>
  <c r="JV15" i="94"/>
  <c r="JU15" i="94"/>
  <c r="JT15" i="94"/>
  <c r="JS15" i="94"/>
  <c r="JR15" i="94"/>
  <c r="JQ15" i="94"/>
  <c r="JP15" i="94"/>
  <c r="JO15" i="94"/>
  <c r="JN15" i="94"/>
  <c r="JM15" i="94"/>
  <c r="JX14" i="94"/>
  <c r="JW14" i="94"/>
  <c r="JV14" i="94"/>
  <c r="JU14" i="94"/>
  <c r="JT14" i="94"/>
  <c r="JS14" i="94"/>
  <c r="JR14" i="94"/>
  <c r="JQ14" i="94"/>
  <c r="JP14" i="94"/>
  <c r="JO14" i="94"/>
  <c r="JN14" i="94"/>
  <c r="JM14" i="94"/>
  <c r="JX9" i="94"/>
  <c r="JW9" i="94"/>
  <c r="JV9" i="94"/>
  <c r="JU9" i="94"/>
  <c r="JT9" i="94"/>
  <c r="JS9" i="94"/>
  <c r="JR9" i="94"/>
  <c r="JQ9" i="94"/>
  <c r="JP9" i="94"/>
  <c r="JO9" i="94"/>
  <c r="JN9" i="94"/>
  <c r="JM9" i="94"/>
  <c r="JX8" i="94"/>
  <c r="JW8" i="94"/>
  <c r="JV8" i="94"/>
  <c r="JU8" i="94"/>
  <c r="JT8" i="94"/>
  <c r="JS8" i="94"/>
  <c r="JR8" i="94"/>
  <c r="JQ8" i="94"/>
  <c r="JP8" i="94"/>
  <c r="JO8" i="94"/>
  <c r="JN8" i="94"/>
  <c r="JM8" i="94"/>
  <c r="JX7" i="94"/>
  <c r="JW7" i="94"/>
  <c r="JV7" i="94"/>
  <c r="JU7" i="94"/>
  <c r="JT7" i="94"/>
  <c r="JS7" i="94"/>
  <c r="JR7" i="94"/>
  <c r="JQ7" i="94"/>
  <c r="JP7" i="94"/>
  <c r="JO7" i="94"/>
  <c r="JN7" i="94"/>
  <c r="JM7" i="94"/>
  <c r="JW6" i="94"/>
  <c r="JV6" i="94"/>
  <c r="JU6" i="94"/>
  <c r="JT6" i="94"/>
  <c r="JS6" i="94"/>
  <c r="JR6" i="94"/>
  <c r="JQ6" i="94"/>
  <c r="JP6" i="94"/>
  <c r="JO6" i="94"/>
  <c r="JN6" i="94"/>
  <c r="JM6" i="94"/>
  <c r="JX5" i="94"/>
  <c r="JW5" i="94"/>
  <c r="JV5" i="94"/>
  <c r="JU5" i="94"/>
  <c r="JT5" i="94"/>
  <c r="JS5" i="94"/>
  <c r="JR5" i="94"/>
  <c r="JQ5" i="94"/>
  <c r="JP5" i="94"/>
  <c r="JO5" i="94"/>
  <c r="JN5" i="94"/>
  <c r="JM5" i="94"/>
  <c r="JY3" i="94"/>
  <c r="JX3" i="94"/>
  <c r="JW3" i="94"/>
  <c r="JV3" i="94"/>
  <c r="JU3" i="94"/>
  <c r="JT3" i="94"/>
  <c r="JS3" i="94"/>
  <c r="JR3" i="94"/>
  <c r="JQ3" i="94"/>
  <c r="JP3" i="94"/>
  <c r="JO3" i="94"/>
  <c r="JN3" i="94"/>
  <c r="JM3" i="94"/>
  <c r="JL3" i="94"/>
  <c r="JK3" i="94"/>
  <c r="JJ3" i="94"/>
  <c r="JI3" i="94"/>
  <c r="JH3" i="94"/>
  <c r="JG3" i="94"/>
  <c r="JF3" i="94"/>
  <c r="JE3" i="94"/>
  <c r="JD3" i="94"/>
  <c r="JC3" i="94"/>
  <c r="JB3" i="94"/>
  <c r="F22" i="145" l="1"/>
  <c r="G22" i="145" s="1"/>
  <c r="C15" i="145"/>
  <c r="D18" i="145"/>
  <c r="E18" i="145" s="1"/>
  <c r="F21" i="145"/>
  <c r="G21" i="145" s="1"/>
  <c r="F19" i="145"/>
  <c r="G19" i="145" s="1"/>
  <c r="C18" i="145"/>
  <c r="D22" i="145"/>
  <c r="E22" i="145" s="1"/>
  <c r="F16" i="145"/>
  <c r="G16" i="145" s="1"/>
  <c r="C19" i="145"/>
  <c r="C22" i="145"/>
  <c r="D16" i="145"/>
  <c r="E16" i="145" s="1"/>
  <c r="F17" i="145"/>
  <c r="G17" i="145" s="1"/>
  <c r="C16" i="145"/>
  <c r="D17" i="145"/>
  <c r="E17" i="145" s="1"/>
  <c r="C17" i="145"/>
  <c r="F15" i="145"/>
  <c r="G15" i="145" s="1"/>
  <c r="IW27" i="94" l="1"/>
  <c r="IW26" i="94"/>
  <c r="IW25" i="94"/>
  <c r="IW24" i="94"/>
  <c r="IW23" i="94"/>
  <c r="IW18" i="94"/>
  <c r="IW17" i="94"/>
  <c r="IW16" i="94"/>
  <c r="IW15" i="94"/>
  <c r="IW14" i="94"/>
  <c r="IW9" i="94"/>
  <c r="IW8" i="94"/>
  <c r="IW7" i="94"/>
  <c r="IW5" i="94"/>
  <c r="HY27" i="94"/>
  <c r="HY26" i="94"/>
  <c r="HY25" i="94"/>
  <c r="HY24" i="94"/>
  <c r="HY23" i="94"/>
  <c r="HY18" i="94"/>
  <c r="HY17" i="94"/>
  <c r="HY16" i="94"/>
  <c r="HY15" i="94"/>
  <c r="HY14" i="94"/>
  <c r="HY9" i="94"/>
  <c r="HY8" i="94"/>
  <c r="HY7" i="94"/>
  <c r="HY5" i="94"/>
  <c r="HA27" i="94"/>
  <c r="HA26" i="94"/>
  <c r="HA25" i="94"/>
  <c r="HA24" i="94"/>
  <c r="HA23" i="94"/>
  <c r="HA18" i="94"/>
  <c r="HA17" i="94"/>
  <c r="HA16" i="94"/>
  <c r="HA15" i="94"/>
  <c r="HA9" i="94"/>
  <c r="HA8" i="94"/>
  <c r="HA7" i="94"/>
  <c r="HA5" i="94"/>
  <c r="GC27" i="94"/>
  <c r="GC26" i="94"/>
  <c r="GC25" i="94"/>
  <c r="GC24" i="94"/>
  <c r="GC23" i="94"/>
  <c r="GC18" i="94"/>
  <c r="GC17" i="94"/>
  <c r="GC16" i="94"/>
  <c r="GC15" i="94"/>
  <c r="GC9" i="94"/>
  <c r="GC8" i="94"/>
  <c r="GC7" i="94"/>
  <c r="GC5" i="94"/>
  <c r="FE27" i="94"/>
  <c r="FE26" i="94"/>
  <c r="FE25" i="94"/>
  <c r="FE24" i="94"/>
  <c r="FE23" i="94"/>
  <c r="FE18" i="94"/>
  <c r="FE17" i="94"/>
  <c r="FE16" i="94"/>
  <c r="FE15" i="94"/>
  <c r="FE9" i="94"/>
  <c r="FE8" i="94"/>
  <c r="FE7" i="94"/>
  <c r="FE5" i="94"/>
  <c r="EG27" i="94"/>
  <c r="EG26" i="94"/>
  <c r="EG25" i="94"/>
  <c r="EG24" i="94"/>
  <c r="EG23" i="94"/>
  <c r="EG18" i="94"/>
  <c r="EG17" i="94"/>
  <c r="EG16" i="94"/>
  <c r="EG15" i="94"/>
  <c r="EG9" i="94"/>
  <c r="EG8" i="94"/>
  <c r="EG7" i="94"/>
  <c r="EG5" i="94"/>
  <c r="BM27" i="94"/>
  <c r="BM26" i="94"/>
  <c r="BM25" i="94"/>
  <c r="BM24" i="94"/>
  <c r="BM23" i="94"/>
  <c r="BM18" i="94"/>
  <c r="BM17" i="94"/>
  <c r="BM16" i="94"/>
  <c r="BM15" i="94"/>
  <c r="BM9" i="94"/>
  <c r="BM8" i="94"/>
  <c r="BM7" i="94"/>
  <c r="BM5" i="94"/>
  <c r="AO27" i="94"/>
  <c r="AO26" i="94"/>
  <c r="AO25" i="94"/>
  <c r="AO24" i="94"/>
  <c r="AO23" i="94"/>
  <c r="AO18" i="94"/>
  <c r="AO17" i="94"/>
  <c r="AO16" i="94"/>
  <c r="AO15" i="94"/>
  <c r="AO14" i="94"/>
  <c r="AO9" i="94"/>
  <c r="AO8" i="94"/>
  <c r="AO7" i="94"/>
  <c r="AO5" i="94"/>
  <c r="CK27" i="94"/>
  <c r="CK26" i="94"/>
  <c r="CK25" i="94"/>
  <c r="CK24" i="94"/>
  <c r="CK23" i="94"/>
  <c r="CK18" i="94"/>
  <c r="CK17" i="94"/>
  <c r="CK16" i="94"/>
  <c r="CK15" i="94"/>
  <c r="CK9" i="94"/>
  <c r="CK8" i="94"/>
  <c r="CK7" i="94"/>
  <c r="DI27" i="94"/>
  <c r="DI26" i="94"/>
  <c r="DI25" i="94"/>
  <c r="DI24" i="94"/>
  <c r="DI23" i="94"/>
  <c r="DI18" i="94"/>
  <c r="DI17" i="94"/>
  <c r="DI16" i="94"/>
  <c r="DI15" i="94"/>
  <c r="DI14" i="94"/>
  <c r="DI9" i="94"/>
  <c r="DI8" i="94"/>
  <c r="DI7" i="94"/>
  <c r="DI5" i="94"/>
  <c r="IY27" i="94"/>
  <c r="IY26" i="94"/>
  <c r="IY25" i="94"/>
  <c r="IY24" i="94"/>
  <c r="IY23" i="94"/>
  <c r="IY18" i="94"/>
  <c r="IY17" i="94"/>
  <c r="IY15" i="94"/>
  <c r="IY14" i="94"/>
  <c r="IY9" i="94"/>
  <c r="IY8" i="94"/>
  <c r="IY7" i="94"/>
  <c r="IY6" i="94"/>
  <c r="IY5" i="94"/>
  <c r="IA27" i="94"/>
  <c r="IA26" i="94"/>
  <c r="IA25" i="94"/>
  <c r="IA24" i="94"/>
  <c r="IA23" i="94"/>
  <c r="IA18" i="94"/>
  <c r="IA17" i="94"/>
  <c r="IA15" i="94"/>
  <c r="IA14" i="94"/>
  <c r="IA9" i="94"/>
  <c r="IA8" i="94"/>
  <c r="IA7" i="94"/>
  <c r="IA6" i="94"/>
  <c r="IA5" i="94"/>
  <c r="HC27" i="94"/>
  <c r="HC26" i="94"/>
  <c r="HC25" i="94"/>
  <c r="HC24" i="94"/>
  <c r="HC23" i="94"/>
  <c r="HC18" i="94"/>
  <c r="HC17" i="94"/>
  <c r="HC15" i="94"/>
  <c r="HC14" i="94"/>
  <c r="HC9" i="94"/>
  <c r="HC8" i="94"/>
  <c r="HC6" i="94"/>
  <c r="HC5" i="94"/>
  <c r="GE27" i="94"/>
  <c r="GE26" i="94"/>
  <c r="GE25" i="94"/>
  <c r="GE24" i="94"/>
  <c r="GE23" i="94"/>
  <c r="GE18" i="94"/>
  <c r="GE17" i="94"/>
  <c r="GE15" i="94"/>
  <c r="GE14" i="94"/>
  <c r="GE9" i="94"/>
  <c r="GE8" i="94"/>
  <c r="GE6" i="94"/>
  <c r="GE5" i="94"/>
  <c r="FG27" i="94"/>
  <c r="FG26" i="94"/>
  <c r="FG25" i="94"/>
  <c r="FG24" i="94"/>
  <c r="FG23" i="94"/>
  <c r="FG18" i="94"/>
  <c r="FG17" i="94"/>
  <c r="FG15" i="94"/>
  <c r="FG14" i="94"/>
  <c r="FG9" i="94"/>
  <c r="FG8" i="94"/>
  <c r="FG6" i="94"/>
  <c r="FG5" i="94"/>
  <c r="EI27" i="94"/>
  <c r="EI26" i="94"/>
  <c r="EI25" i="94"/>
  <c r="EI24" i="94"/>
  <c r="EI23" i="94"/>
  <c r="EI18" i="94"/>
  <c r="EI17" i="94"/>
  <c r="EI15" i="94"/>
  <c r="EI14" i="94"/>
  <c r="EI9" i="94"/>
  <c r="EI8" i="94"/>
  <c r="EI6" i="94"/>
  <c r="EI5" i="94"/>
  <c r="DK27" i="94"/>
  <c r="DK26" i="94"/>
  <c r="DK25" i="94"/>
  <c r="DK24" i="94"/>
  <c r="DK23" i="94"/>
  <c r="DK18" i="94"/>
  <c r="DK17" i="94"/>
  <c r="DK15" i="94"/>
  <c r="DK14" i="94"/>
  <c r="DK9" i="94"/>
  <c r="DK8" i="94"/>
  <c r="DK7" i="94"/>
  <c r="DK6" i="94"/>
  <c r="DK5" i="94"/>
  <c r="CM27" i="94"/>
  <c r="CM26" i="94"/>
  <c r="CM25" i="94"/>
  <c r="CM24" i="94"/>
  <c r="CM23" i="94"/>
  <c r="CM18" i="94"/>
  <c r="CM17" i="94"/>
  <c r="CM15" i="94"/>
  <c r="CM14" i="94"/>
  <c r="CM9" i="94"/>
  <c r="CM8" i="94"/>
  <c r="CM6" i="94"/>
  <c r="CM5" i="94"/>
  <c r="BO27" i="94"/>
  <c r="BO26" i="94"/>
  <c r="BO25" i="94"/>
  <c r="BO24" i="94"/>
  <c r="BO23" i="94"/>
  <c r="BO18" i="94"/>
  <c r="BO17" i="94"/>
  <c r="BO15" i="94"/>
  <c r="BO14" i="94"/>
  <c r="BO9" i="94"/>
  <c r="BO8" i="94"/>
  <c r="BO6" i="94"/>
  <c r="BO5" i="94"/>
  <c r="AQ27" i="94"/>
  <c r="AQ26" i="94"/>
  <c r="AQ25" i="94"/>
  <c r="AQ24" i="94"/>
  <c r="AQ23" i="94"/>
  <c r="AQ18" i="94"/>
  <c r="AQ17" i="94"/>
  <c r="AQ15" i="94"/>
  <c r="AQ14" i="94"/>
  <c r="AQ9" i="94"/>
  <c r="AQ8" i="94"/>
  <c r="AQ7" i="94"/>
  <c r="AQ6" i="94"/>
  <c r="AQ5" i="94"/>
  <c r="IX27" i="94"/>
  <c r="IX26" i="94"/>
  <c r="IX25" i="94"/>
  <c r="IX24" i="94"/>
  <c r="IX23" i="94"/>
  <c r="IX18" i="94"/>
  <c r="IX17" i="94"/>
  <c r="IX16" i="94"/>
  <c r="IX15" i="94"/>
  <c r="IX14" i="94"/>
  <c r="IX9" i="94"/>
  <c r="IX8" i="94"/>
  <c r="IX7" i="94"/>
  <c r="IX6" i="94"/>
  <c r="IX5" i="94"/>
  <c r="HZ27" i="94"/>
  <c r="HZ26" i="94"/>
  <c r="HZ25" i="94"/>
  <c r="HZ24" i="94"/>
  <c r="HZ23" i="94"/>
  <c r="HZ18" i="94"/>
  <c r="HZ17" i="94"/>
  <c r="HZ16" i="94"/>
  <c r="HZ15" i="94"/>
  <c r="HZ14" i="94"/>
  <c r="HZ9" i="94"/>
  <c r="HZ8" i="94"/>
  <c r="HZ7" i="94"/>
  <c r="HZ6" i="94"/>
  <c r="HZ5" i="94"/>
  <c r="HB27" i="94"/>
  <c r="HB26" i="94"/>
  <c r="HB25" i="94"/>
  <c r="HB24" i="94"/>
  <c r="HB23" i="94"/>
  <c r="HB18" i="94"/>
  <c r="HB17" i="94"/>
  <c r="HB16" i="94"/>
  <c r="HB14" i="94"/>
  <c r="HB9" i="94"/>
  <c r="HB8" i="94"/>
  <c r="HB7" i="94"/>
  <c r="HB5" i="94"/>
  <c r="GD27" i="94"/>
  <c r="GD26" i="94"/>
  <c r="GD25" i="94"/>
  <c r="GD24" i="94"/>
  <c r="GD23" i="94"/>
  <c r="GD18" i="94"/>
  <c r="GD17" i="94"/>
  <c r="GD16" i="94"/>
  <c r="GD14" i="94"/>
  <c r="GD9" i="94"/>
  <c r="GD8" i="94"/>
  <c r="GD7" i="94"/>
  <c r="GD5" i="94"/>
  <c r="FF27" i="94"/>
  <c r="FF26" i="94"/>
  <c r="FF25" i="94"/>
  <c r="FF24" i="94"/>
  <c r="FF23" i="94"/>
  <c r="FF18" i="94"/>
  <c r="FF17" i="94"/>
  <c r="FF16" i="94"/>
  <c r="FF14" i="94"/>
  <c r="FF9" i="94"/>
  <c r="FF8" i="94"/>
  <c r="FF7" i="94"/>
  <c r="FF5" i="94"/>
  <c r="EH27" i="94"/>
  <c r="EH26" i="94"/>
  <c r="EH25" i="94"/>
  <c r="EH24" i="94"/>
  <c r="EH23" i="94"/>
  <c r="EH18" i="94"/>
  <c r="EH17" i="94"/>
  <c r="EH16" i="94"/>
  <c r="EH14" i="94"/>
  <c r="EH9" i="94"/>
  <c r="EH8" i="94"/>
  <c r="EH7" i="94"/>
  <c r="EH5" i="94"/>
  <c r="DJ27" i="94"/>
  <c r="DJ26" i="94"/>
  <c r="DJ25" i="94"/>
  <c r="DJ24" i="94"/>
  <c r="DJ23" i="94"/>
  <c r="DJ18" i="94"/>
  <c r="DJ17" i="94"/>
  <c r="DJ16" i="94"/>
  <c r="DJ15" i="94"/>
  <c r="DJ14" i="94"/>
  <c r="DJ9" i="94"/>
  <c r="DJ8" i="94"/>
  <c r="DJ7" i="94"/>
  <c r="DJ6" i="94"/>
  <c r="DJ5" i="94"/>
  <c r="CL27" i="94"/>
  <c r="CL26" i="94"/>
  <c r="CL25" i="94"/>
  <c r="CL24" i="94"/>
  <c r="CL23" i="94"/>
  <c r="CL18" i="94"/>
  <c r="CL17" i="94"/>
  <c r="CL16" i="94"/>
  <c r="CL14" i="94"/>
  <c r="CL9" i="94"/>
  <c r="CL8" i="94"/>
  <c r="CL7" i="94"/>
  <c r="CL5" i="94"/>
  <c r="BN27" i="94"/>
  <c r="BN26" i="94"/>
  <c r="BN25" i="94"/>
  <c r="BN24" i="94"/>
  <c r="BN23" i="94"/>
  <c r="BN18" i="94"/>
  <c r="BN17" i="94"/>
  <c r="BN16" i="94"/>
  <c r="BN14" i="94"/>
  <c r="BN9" i="94"/>
  <c r="BN8" i="94"/>
  <c r="BN7" i="94"/>
  <c r="BN5" i="94"/>
  <c r="AP27" i="94"/>
  <c r="AP26" i="94"/>
  <c r="AP25" i="94"/>
  <c r="AP24" i="94"/>
  <c r="AP23" i="94"/>
  <c r="AP18" i="94"/>
  <c r="AP17" i="94"/>
  <c r="AP16" i="94"/>
  <c r="AP15" i="94"/>
  <c r="AP14" i="94"/>
  <c r="AP9" i="94"/>
  <c r="AP8" i="94"/>
  <c r="AP7" i="94"/>
  <c r="AP6" i="94"/>
  <c r="AP5" i="94"/>
  <c r="IO27" i="94"/>
  <c r="IO26" i="94"/>
  <c r="IO25" i="94"/>
  <c r="IO23" i="94"/>
  <c r="IO18" i="94"/>
  <c r="IO17" i="94"/>
  <c r="IO16" i="94"/>
  <c r="IO15" i="94"/>
  <c r="IO14" i="94"/>
  <c r="IO9" i="94"/>
  <c r="IO8" i="94"/>
  <c r="IO7" i="94"/>
  <c r="IO6" i="94"/>
  <c r="IO5" i="94"/>
  <c r="HQ27" i="94"/>
  <c r="HQ26" i="94"/>
  <c r="HQ25" i="94"/>
  <c r="HQ23" i="94"/>
  <c r="HQ18" i="94"/>
  <c r="HQ17" i="94"/>
  <c r="HQ16" i="94"/>
  <c r="HQ15" i="94"/>
  <c r="HQ14" i="94"/>
  <c r="HQ9" i="94"/>
  <c r="HQ8" i="94"/>
  <c r="HQ7" i="94"/>
  <c r="HQ6" i="94"/>
  <c r="HQ5" i="94"/>
  <c r="GS27" i="94"/>
  <c r="GS26" i="94"/>
  <c r="GS25" i="94"/>
  <c r="GS23" i="94"/>
  <c r="GS18" i="94"/>
  <c r="GS17" i="94"/>
  <c r="GS16" i="94"/>
  <c r="GS15" i="94"/>
  <c r="GS14" i="94"/>
  <c r="GS9" i="94"/>
  <c r="GS8" i="94"/>
  <c r="GS7" i="94"/>
  <c r="GS6" i="94"/>
  <c r="GS5" i="94"/>
  <c r="FU27" i="94"/>
  <c r="FU26" i="94"/>
  <c r="FU25" i="94"/>
  <c r="FU23" i="94"/>
  <c r="FU18" i="94"/>
  <c r="FU17" i="94"/>
  <c r="FU16" i="94"/>
  <c r="FU15" i="94"/>
  <c r="FU14" i="94"/>
  <c r="FU9" i="94"/>
  <c r="FU8" i="94"/>
  <c r="FU7" i="94"/>
  <c r="FU6" i="94"/>
  <c r="FU5" i="94"/>
  <c r="EW27" i="94"/>
  <c r="EW26" i="94"/>
  <c r="EW25" i="94"/>
  <c r="EW23" i="94"/>
  <c r="EW18" i="94"/>
  <c r="EW17" i="94"/>
  <c r="EW16" i="94"/>
  <c r="EW15" i="94"/>
  <c r="EW14" i="94"/>
  <c r="EW9" i="94"/>
  <c r="EW8" i="94"/>
  <c r="EW7" i="94"/>
  <c r="EW6" i="94"/>
  <c r="EW5" i="94"/>
  <c r="DY27" i="94"/>
  <c r="DY26" i="94"/>
  <c r="DY25" i="94"/>
  <c r="DY23" i="94"/>
  <c r="DY18" i="94"/>
  <c r="DY17" i="94"/>
  <c r="DY16" i="94"/>
  <c r="DY15" i="94"/>
  <c r="DY14" i="94"/>
  <c r="DY9" i="94"/>
  <c r="DY8" i="94"/>
  <c r="DY7" i="94"/>
  <c r="DY6" i="94"/>
  <c r="DY5" i="94"/>
  <c r="DA27" i="94"/>
  <c r="DA26" i="94"/>
  <c r="DA25" i="94"/>
  <c r="DA23" i="94"/>
  <c r="DA18" i="94"/>
  <c r="DA17" i="94"/>
  <c r="DA16" i="94"/>
  <c r="DA15" i="94"/>
  <c r="DA14" i="94"/>
  <c r="DA9" i="94"/>
  <c r="DA8" i="94"/>
  <c r="DA7" i="94"/>
  <c r="DA6" i="94"/>
  <c r="DA5" i="94"/>
  <c r="CC27" i="94"/>
  <c r="CC26" i="94"/>
  <c r="CC25" i="94"/>
  <c r="CC23" i="94"/>
  <c r="CC18" i="94"/>
  <c r="CC17" i="94"/>
  <c r="CC16" i="94"/>
  <c r="CC15" i="94"/>
  <c r="CC14" i="94"/>
  <c r="CC9" i="94"/>
  <c r="CC8" i="94"/>
  <c r="CC7" i="94"/>
  <c r="CC6" i="94"/>
  <c r="CC5" i="94"/>
  <c r="BE27" i="94"/>
  <c r="BE26" i="94"/>
  <c r="BE25" i="94"/>
  <c r="BE23" i="94"/>
  <c r="BE18" i="94"/>
  <c r="BE17" i="94"/>
  <c r="BE16" i="94"/>
  <c r="BE15" i="94"/>
  <c r="BE14" i="94"/>
  <c r="BE9" i="94"/>
  <c r="BE8" i="94"/>
  <c r="BE7" i="94"/>
  <c r="BE6" i="94"/>
  <c r="BE5" i="94"/>
  <c r="AG27" i="94"/>
  <c r="AG26" i="94"/>
  <c r="AG25" i="94"/>
  <c r="AG23" i="94"/>
  <c r="AG18" i="94"/>
  <c r="AG17" i="94"/>
  <c r="AG16" i="94"/>
  <c r="AG15" i="94"/>
  <c r="AG14" i="94"/>
  <c r="AG9" i="94"/>
  <c r="AG8" i="94"/>
  <c r="AG7" i="94"/>
  <c r="AG6" i="94"/>
  <c r="AG5" i="94"/>
  <c r="IP27" i="94"/>
  <c r="IP26" i="94"/>
  <c r="IP24" i="94"/>
  <c r="IP23" i="94"/>
  <c r="IP18" i="94"/>
  <c r="IP17" i="94"/>
  <c r="IP16" i="94"/>
  <c r="IP15" i="94"/>
  <c r="IP14" i="94"/>
  <c r="IP9" i="94"/>
  <c r="IP8" i="94"/>
  <c r="IP7" i="94"/>
  <c r="IP6" i="94"/>
  <c r="IP5" i="94"/>
  <c r="HR27" i="94"/>
  <c r="HR26" i="94"/>
  <c r="HR24" i="94"/>
  <c r="HR23" i="94"/>
  <c r="HR18" i="94"/>
  <c r="HR17" i="94"/>
  <c r="HR16" i="94"/>
  <c r="HR15" i="94"/>
  <c r="HR14" i="94"/>
  <c r="HR9" i="94"/>
  <c r="HR8" i="94"/>
  <c r="HR7" i="94"/>
  <c r="HR6" i="94"/>
  <c r="HR5" i="94"/>
  <c r="GT27" i="94"/>
  <c r="GT26" i="94"/>
  <c r="GT24" i="94"/>
  <c r="GT23" i="94"/>
  <c r="GT18" i="94"/>
  <c r="GT17" i="94"/>
  <c r="GT16" i="94"/>
  <c r="GT15" i="94"/>
  <c r="GT14" i="94"/>
  <c r="GT9" i="94"/>
  <c r="GT8" i="94"/>
  <c r="GT7" i="94"/>
  <c r="GT6" i="94"/>
  <c r="GT5" i="94"/>
  <c r="FV27" i="94"/>
  <c r="FV26" i="94"/>
  <c r="FV24" i="94"/>
  <c r="FV23" i="94"/>
  <c r="FV18" i="94"/>
  <c r="FV17" i="94"/>
  <c r="FV16" i="94"/>
  <c r="FV15" i="94"/>
  <c r="FV14" i="94"/>
  <c r="FV9" i="94"/>
  <c r="FV8" i="94"/>
  <c r="FV7" i="94"/>
  <c r="FV6" i="94"/>
  <c r="FV5" i="94"/>
  <c r="EX27" i="94"/>
  <c r="EX26" i="94"/>
  <c r="EX24" i="94"/>
  <c r="EX23" i="94"/>
  <c r="EX18" i="94"/>
  <c r="EX17" i="94"/>
  <c r="EX16" i="94"/>
  <c r="EX15" i="94"/>
  <c r="EX14" i="94"/>
  <c r="EX9" i="94"/>
  <c r="EX8" i="94"/>
  <c r="EX7" i="94"/>
  <c r="EX6" i="94"/>
  <c r="EX5" i="94"/>
  <c r="DZ27" i="94"/>
  <c r="DZ26" i="94"/>
  <c r="DZ24" i="94"/>
  <c r="DZ23" i="94"/>
  <c r="DZ18" i="94"/>
  <c r="DZ17" i="94"/>
  <c r="DZ16" i="94"/>
  <c r="DZ15" i="94"/>
  <c r="DZ14" i="94"/>
  <c r="DZ9" i="94"/>
  <c r="DZ8" i="94"/>
  <c r="DZ7" i="94"/>
  <c r="DZ6" i="94"/>
  <c r="DZ5" i="94"/>
  <c r="DB27" i="94"/>
  <c r="DB26" i="94"/>
  <c r="DB24" i="94"/>
  <c r="DB23" i="94"/>
  <c r="DB18" i="94"/>
  <c r="DB17" i="94"/>
  <c r="DB16" i="94"/>
  <c r="DB15" i="94"/>
  <c r="DB14" i="94"/>
  <c r="DB9" i="94"/>
  <c r="DB8" i="94"/>
  <c r="DB7" i="94"/>
  <c r="DB6" i="94"/>
  <c r="DB5" i="94"/>
  <c r="CD27" i="94"/>
  <c r="CD26" i="94"/>
  <c r="CD24" i="94"/>
  <c r="CD23" i="94"/>
  <c r="CD18" i="94"/>
  <c r="CD17" i="94"/>
  <c r="CD16" i="94"/>
  <c r="CD15" i="94"/>
  <c r="CD14" i="94"/>
  <c r="CD9" i="94"/>
  <c r="CD8" i="94"/>
  <c r="CD7" i="94"/>
  <c r="CD6" i="94"/>
  <c r="CD5" i="94"/>
  <c r="BF27" i="94"/>
  <c r="BF26" i="94"/>
  <c r="BF24" i="94"/>
  <c r="BF23" i="94"/>
  <c r="BF18" i="94"/>
  <c r="BF17" i="94"/>
  <c r="BF16" i="94"/>
  <c r="BF15" i="94"/>
  <c r="BF14" i="94"/>
  <c r="BF9" i="94"/>
  <c r="BF8" i="94"/>
  <c r="BF7" i="94"/>
  <c r="BF6" i="94"/>
  <c r="BF5" i="94"/>
  <c r="AH27" i="94"/>
  <c r="AH26" i="94"/>
  <c r="AH24" i="94"/>
  <c r="AH23" i="94"/>
  <c r="AH18" i="94"/>
  <c r="AH17" i="94"/>
  <c r="AH16" i="94"/>
  <c r="AH15" i="94"/>
  <c r="AH14" i="94"/>
  <c r="AH9" i="94"/>
  <c r="AH8" i="94"/>
  <c r="AH7" i="94"/>
  <c r="AH6" i="94"/>
  <c r="AH5" i="94"/>
  <c r="AD3" i="94"/>
  <c r="AH3" i="94"/>
  <c r="AG3" i="94"/>
  <c r="V3" i="94"/>
  <c r="W3" i="94"/>
  <c r="AO3" i="94"/>
  <c r="X3" i="94"/>
  <c r="Z3" i="94"/>
  <c r="AP3" i="94"/>
  <c r="AK3" i="94"/>
  <c r="AI3" i="94"/>
  <c r="AJ3" i="94"/>
  <c r="AA3" i="94"/>
  <c r="AQ3" i="94"/>
  <c r="AC3" i="94"/>
  <c r="AB3" i="94"/>
  <c r="AN3" i="94"/>
  <c r="AM3" i="94"/>
  <c r="AL3" i="94"/>
  <c r="AR3" i="94"/>
  <c r="Y3" i="94"/>
  <c r="AS3" i="94"/>
  <c r="AE3" i="94"/>
  <c r="AF3" i="94"/>
  <c r="HD27" i="94" l="1"/>
  <c r="GX27" i="94"/>
  <c r="GY27" i="94"/>
  <c r="GZ27" i="94"/>
  <c r="GU27" i="94"/>
  <c r="GW27" i="94"/>
  <c r="HD26" i="94"/>
  <c r="GX26" i="94"/>
  <c r="GY26" i="94"/>
  <c r="GZ26" i="94"/>
  <c r="GV26" i="94"/>
  <c r="GW26" i="94"/>
  <c r="HD25" i="94"/>
  <c r="GX25" i="94"/>
  <c r="GY25" i="94"/>
  <c r="GZ25" i="94"/>
  <c r="GV25" i="94"/>
  <c r="GU25" i="94"/>
  <c r="GW25" i="94"/>
  <c r="HD24" i="94"/>
  <c r="GX24" i="94"/>
  <c r="GY24" i="94"/>
  <c r="GZ24" i="94"/>
  <c r="GV24" i="94"/>
  <c r="GU24" i="94"/>
  <c r="GW24" i="94"/>
  <c r="HD23" i="94"/>
  <c r="GX23" i="94"/>
  <c r="GY23" i="94"/>
  <c r="GZ23" i="94"/>
  <c r="GV23" i="94"/>
  <c r="GU23" i="94"/>
  <c r="GW23" i="94"/>
  <c r="HD18" i="94"/>
  <c r="GX18" i="94"/>
  <c r="GY18" i="94"/>
  <c r="GZ18" i="94"/>
  <c r="GV18" i="94"/>
  <c r="GU18" i="94"/>
  <c r="GW18" i="94"/>
  <c r="GZ17" i="94"/>
  <c r="GV17" i="94"/>
  <c r="GU17" i="94"/>
  <c r="GW17" i="94"/>
  <c r="HD16" i="94"/>
  <c r="GX16" i="94"/>
  <c r="GY16" i="94"/>
  <c r="GZ16" i="94"/>
  <c r="GV16" i="94"/>
  <c r="GU16" i="94"/>
  <c r="GW16" i="94"/>
  <c r="HD15" i="94"/>
  <c r="GX15" i="94"/>
  <c r="GY15" i="94"/>
  <c r="GZ15" i="94"/>
  <c r="GV15" i="94"/>
  <c r="GU15" i="94"/>
  <c r="GW15" i="94"/>
  <c r="HD14" i="94"/>
  <c r="GX14" i="94"/>
  <c r="GY14" i="94"/>
  <c r="GZ14" i="94"/>
  <c r="GV14" i="94"/>
  <c r="GU14" i="94"/>
  <c r="GW14" i="94"/>
  <c r="Q29" i="128"/>
  <c r="Q49" i="128" s="1"/>
  <c r="Q28" i="128"/>
  <c r="V49" i="128" l="1"/>
  <c r="M49" i="128" s="1"/>
  <c r="Q48" i="128"/>
  <c r="M60" i="128"/>
  <c r="M61" i="128"/>
  <c r="M40" i="128"/>
  <c r="M41" i="128"/>
  <c r="M19" i="141"/>
  <c r="N19" i="141"/>
  <c r="O19" i="141"/>
  <c r="O18" i="141"/>
  <c r="N18" i="141"/>
  <c r="M18" i="141"/>
  <c r="G19" i="141"/>
  <c r="H19" i="141"/>
  <c r="I19" i="141"/>
  <c r="K16" i="141"/>
  <c r="V48" i="128" l="1"/>
  <c r="M48" i="128" s="1"/>
  <c r="X6" i="128"/>
  <c r="X15" i="128"/>
  <c r="X5" i="128"/>
  <c r="D115" i="119"/>
  <c r="D115" i="118"/>
  <c r="D115" i="113"/>
  <c r="D115" i="98"/>
  <c r="D115" i="140"/>
  <c r="D115" i="139"/>
  <c r="D115" i="97"/>
  <c r="D115" i="117"/>
  <c r="D115" i="123"/>
  <c r="D115" i="137"/>
  <c r="D115" i="138"/>
  <c r="D115" i="96"/>
  <c r="D115" i="136"/>
  <c r="D115" i="99"/>
  <c r="D115" i="91"/>
  <c r="D115" i="124"/>
  <c r="D115" i="135"/>
  <c r="D115" i="116"/>
  <c r="D115" i="134"/>
  <c r="D115" i="133"/>
  <c r="D115" i="132"/>
  <c r="M20" i="128"/>
  <c r="M19" i="128"/>
  <c r="B58" i="120" l="1"/>
  <c r="C58" i="120"/>
  <c r="D58" i="120"/>
  <c r="E58" i="120"/>
  <c r="G58" i="120" s="1"/>
  <c r="B59" i="120"/>
  <c r="C59" i="120"/>
  <c r="D59" i="120"/>
  <c r="E59" i="120"/>
  <c r="G59" i="120" s="1"/>
  <c r="B60" i="120"/>
  <c r="C60" i="120"/>
  <c r="D60" i="120"/>
  <c r="E60" i="120"/>
  <c r="G60" i="120" s="1"/>
  <c r="B61" i="120"/>
  <c r="C61" i="120"/>
  <c r="D61" i="120"/>
  <c r="E61" i="120"/>
  <c r="G61" i="120" s="1"/>
  <c r="B52" i="120"/>
  <c r="C52" i="120"/>
  <c r="D52" i="120"/>
  <c r="E52" i="120"/>
  <c r="G52" i="120" s="1"/>
  <c r="B53" i="120"/>
  <c r="C53" i="120"/>
  <c r="D53" i="120"/>
  <c r="E53" i="120"/>
  <c r="G53" i="120" s="1"/>
  <c r="B41" i="120"/>
  <c r="C41" i="120"/>
  <c r="D41" i="120"/>
  <c r="E41" i="120"/>
  <c r="G41" i="120" s="1"/>
  <c r="B32" i="120"/>
  <c r="C32" i="120"/>
  <c r="D32" i="120"/>
  <c r="E32" i="120"/>
  <c r="G32" i="120" s="1"/>
  <c r="C15" i="120"/>
  <c r="D15" i="120"/>
  <c r="E15" i="120"/>
  <c r="G15" i="120" s="1"/>
  <c r="B58" i="119"/>
  <c r="C58" i="119"/>
  <c r="D58" i="119"/>
  <c r="E58" i="119"/>
  <c r="G58" i="119" s="1"/>
  <c r="B59" i="119"/>
  <c r="C59" i="119"/>
  <c r="D59" i="119"/>
  <c r="E59" i="119"/>
  <c r="G59" i="119" s="1"/>
  <c r="B52" i="119"/>
  <c r="C52" i="119"/>
  <c r="D52" i="119"/>
  <c r="E52" i="119"/>
  <c r="G52" i="119" s="1"/>
  <c r="B53" i="119"/>
  <c r="C53" i="119"/>
  <c r="D53" i="119"/>
  <c r="E53" i="119"/>
  <c r="G53" i="119" s="1"/>
  <c r="B41" i="119"/>
  <c r="C41" i="119"/>
  <c r="D41" i="119"/>
  <c r="E41" i="119"/>
  <c r="G41" i="119" s="1"/>
  <c r="B42" i="119"/>
  <c r="C42" i="119"/>
  <c r="D42" i="119"/>
  <c r="E42" i="119"/>
  <c r="G42" i="119" s="1"/>
  <c r="B32" i="119"/>
  <c r="C32" i="119"/>
  <c r="D32" i="119"/>
  <c r="E32" i="119"/>
  <c r="G32" i="119" s="1"/>
  <c r="C15" i="119"/>
  <c r="D15" i="119"/>
  <c r="E15" i="119"/>
  <c r="G15" i="119" s="1"/>
  <c r="B58" i="118"/>
  <c r="C58" i="118"/>
  <c r="D58" i="118"/>
  <c r="E58" i="118"/>
  <c r="G58" i="118" s="1"/>
  <c r="B59" i="118"/>
  <c r="C59" i="118"/>
  <c r="D59" i="118"/>
  <c r="E59" i="118"/>
  <c r="B52" i="118"/>
  <c r="C52" i="118"/>
  <c r="D52" i="118"/>
  <c r="E52" i="118"/>
  <c r="G52" i="118" s="1"/>
  <c r="B53" i="118"/>
  <c r="C53" i="118"/>
  <c r="D53" i="118"/>
  <c r="E53" i="118"/>
  <c r="G53" i="118" s="1"/>
  <c r="B41" i="118"/>
  <c r="C41" i="118"/>
  <c r="D41" i="118"/>
  <c r="E41" i="118"/>
  <c r="G41" i="118" s="1"/>
  <c r="B32" i="118"/>
  <c r="C32" i="118"/>
  <c r="D32" i="118"/>
  <c r="E32" i="118"/>
  <c r="G32" i="118" s="1"/>
  <c r="C15" i="118"/>
  <c r="D15" i="118"/>
  <c r="E15" i="118"/>
  <c r="G15" i="118" s="1"/>
  <c r="B58" i="113"/>
  <c r="C58" i="113"/>
  <c r="D58" i="113"/>
  <c r="E58" i="113"/>
  <c r="G58" i="113" s="1"/>
  <c r="B59" i="113"/>
  <c r="C59" i="113"/>
  <c r="D59" i="113"/>
  <c r="E59" i="113"/>
  <c r="G59" i="113" s="1"/>
  <c r="B52" i="113"/>
  <c r="C52" i="113"/>
  <c r="D52" i="113"/>
  <c r="E52" i="113"/>
  <c r="B53" i="113"/>
  <c r="C53" i="113"/>
  <c r="D53" i="113"/>
  <c r="E53" i="113"/>
  <c r="G53" i="113" s="1"/>
  <c r="B41" i="113"/>
  <c r="C41" i="113"/>
  <c r="D41" i="113"/>
  <c r="E41" i="113"/>
  <c r="B32" i="113"/>
  <c r="C32" i="113"/>
  <c r="D32" i="113"/>
  <c r="E32" i="113"/>
  <c r="G32" i="113" s="1"/>
  <c r="C15" i="113"/>
  <c r="D15" i="113"/>
  <c r="E15" i="113"/>
  <c r="G15" i="113" s="1"/>
  <c r="B16" i="113"/>
  <c r="C16" i="113"/>
  <c r="D16" i="113"/>
  <c r="E16" i="113"/>
  <c r="G16" i="113" s="1"/>
  <c r="B58" i="98"/>
  <c r="C58" i="98"/>
  <c r="D58" i="98"/>
  <c r="E58" i="98"/>
  <c r="G58" i="98" s="1"/>
  <c r="B59" i="98"/>
  <c r="C59" i="98"/>
  <c r="D59" i="98"/>
  <c r="E59" i="98"/>
  <c r="B52" i="98"/>
  <c r="C52" i="98"/>
  <c r="D52" i="98"/>
  <c r="E52" i="98"/>
  <c r="G52" i="98" s="1"/>
  <c r="B53" i="98"/>
  <c r="C53" i="98"/>
  <c r="D53" i="98"/>
  <c r="E53" i="98"/>
  <c r="F53" i="98" s="1"/>
  <c r="B41" i="98"/>
  <c r="C41" i="98"/>
  <c r="D41" i="98"/>
  <c r="E41" i="98"/>
  <c r="G41" i="98" s="1"/>
  <c r="B32" i="98"/>
  <c r="C32" i="98"/>
  <c r="D32" i="98"/>
  <c r="E32" i="98"/>
  <c r="G32" i="98" s="1"/>
  <c r="C15" i="98"/>
  <c r="D15" i="98"/>
  <c r="E15" i="98"/>
  <c r="G15" i="98" s="1"/>
  <c r="B58" i="140"/>
  <c r="C58" i="140"/>
  <c r="D58" i="140"/>
  <c r="E58" i="140"/>
  <c r="G58" i="140" s="1"/>
  <c r="B59" i="140"/>
  <c r="C59" i="140"/>
  <c r="D59" i="140"/>
  <c r="E59" i="140"/>
  <c r="G59" i="140" s="1"/>
  <c r="B52" i="140"/>
  <c r="C52" i="140"/>
  <c r="D52" i="140"/>
  <c r="E52" i="140"/>
  <c r="G52" i="140" s="1"/>
  <c r="B53" i="140"/>
  <c r="C53" i="140"/>
  <c r="D53" i="140"/>
  <c r="E53" i="140"/>
  <c r="G53" i="140" s="1"/>
  <c r="B41" i="140"/>
  <c r="C41" i="140"/>
  <c r="D41" i="140"/>
  <c r="E41" i="140"/>
  <c r="G41" i="140" s="1"/>
  <c r="B32" i="140"/>
  <c r="C32" i="140"/>
  <c r="D32" i="140"/>
  <c r="E32" i="140"/>
  <c r="G32" i="140" s="1"/>
  <c r="C15" i="140"/>
  <c r="D15" i="140"/>
  <c r="E15" i="140"/>
  <c r="F15" i="140" s="1"/>
  <c r="B16" i="140"/>
  <c r="C16" i="140"/>
  <c r="D16" i="140"/>
  <c r="E16" i="140"/>
  <c r="G16" i="140" s="1"/>
  <c r="B58" i="139"/>
  <c r="C58" i="139"/>
  <c r="D58" i="139"/>
  <c r="E58" i="139"/>
  <c r="F58" i="139" s="1"/>
  <c r="B59" i="139"/>
  <c r="C59" i="139"/>
  <c r="D59" i="139"/>
  <c r="E59" i="139"/>
  <c r="G59" i="139" s="1"/>
  <c r="B52" i="139"/>
  <c r="C52" i="139"/>
  <c r="D52" i="139"/>
  <c r="E52" i="139"/>
  <c r="G52" i="139" s="1"/>
  <c r="B53" i="139"/>
  <c r="C53" i="139"/>
  <c r="D53" i="139"/>
  <c r="E53" i="139"/>
  <c r="G53" i="139" s="1"/>
  <c r="B41" i="139"/>
  <c r="C41" i="139"/>
  <c r="D41" i="139"/>
  <c r="E41" i="139"/>
  <c r="G41" i="139" s="1"/>
  <c r="B32" i="139"/>
  <c r="C32" i="139"/>
  <c r="D32" i="139"/>
  <c r="E32" i="139"/>
  <c r="G32" i="139" s="1"/>
  <c r="C15" i="139"/>
  <c r="D15" i="139"/>
  <c r="E15" i="139"/>
  <c r="G15" i="139" s="1"/>
  <c r="B58" i="97"/>
  <c r="C58" i="97"/>
  <c r="D58" i="97"/>
  <c r="E58" i="97"/>
  <c r="G58" i="97" s="1"/>
  <c r="B59" i="97"/>
  <c r="C59" i="97"/>
  <c r="D59" i="97"/>
  <c r="E59" i="97"/>
  <c r="G59" i="97" s="1"/>
  <c r="B52" i="97"/>
  <c r="C52" i="97"/>
  <c r="D52" i="97"/>
  <c r="E52" i="97"/>
  <c r="G52" i="97" s="1"/>
  <c r="B53" i="97"/>
  <c r="C53" i="97"/>
  <c r="D53" i="97"/>
  <c r="E53" i="97"/>
  <c r="G53" i="97" s="1"/>
  <c r="B41" i="97"/>
  <c r="C41" i="97"/>
  <c r="D41" i="97"/>
  <c r="E41" i="97"/>
  <c r="G41" i="97" s="1"/>
  <c r="B32" i="97"/>
  <c r="C32" i="97"/>
  <c r="D32" i="97"/>
  <c r="E32" i="97"/>
  <c r="G32" i="97" s="1"/>
  <c r="C15" i="97"/>
  <c r="D15" i="97"/>
  <c r="E15" i="97"/>
  <c r="G15" i="97" s="1"/>
  <c r="B58" i="117"/>
  <c r="C58" i="117"/>
  <c r="D58" i="117"/>
  <c r="E58" i="117"/>
  <c r="G58" i="117" s="1"/>
  <c r="B59" i="117"/>
  <c r="C59" i="117"/>
  <c r="D59" i="117"/>
  <c r="E59" i="117"/>
  <c r="G59" i="117" s="1"/>
  <c r="B52" i="117"/>
  <c r="C52" i="117"/>
  <c r="D52" i="117"/>
  <c r="E52" i="117"/>
  <c r="B53" i="117"/>
  <c r="C53" i="117"/>
  <c r="D53" i="117"/>
  <c r="E53" i="117"/>
  <c r="G53" i="117" s="1"/>
  <c r="B41" i="117"/>
  <c r="C41" i="117"/>
  <c r="D41" i="117"/>
  <c r="E41" i="117"/>
  <c r="G41" i="117" s="1"/>
  <c r="B32" i="117"/>
  <c r="C32" i="117"/>
  <c r="D32" i="117"/>
  <c r="E32" i="117"/>
  <c r="G32" i="117" s="1"/>
  <c r="C15" i="117"/>
  <c r="D15" i="117"/>
  <c r="E15" i="117"/>
  <c r="G15" i="117" s="1"/>
  <c r="B58" i="123"/>
  <c r="C58" i="123"/>
  <c r="D58" i="123"/>
  <c r="E58" i="123"/>
  <c r="G58" i="123" s="1"/>
  <c r="B59" i="123"/>
  <c r="C59" i="123"/>
  <c r="D59" i="123"/>
  <c r="E59" i="123"/>
  <c r="B52" i="123"/>
  <c r="C52" i="123"/>
  <c r="D52" i="123"/>
  <c r="E52" i="123"/>
  <c r="G52" i="123" s="1"/>
  <c r="B53" i="123"/>
  <c r="C53" i="123"/>
  <c r="D53" i="123"/>
  <c r="E53" i="123"/>
  <c r="B41" i="123"/>
  <c r="C41" i="123"/>
  <c r="D41" i="123"/>
  <c r="E41" i="123"/>
  <c r="G41" i="123" s="1"/>
  <c r="B32" i="123"/>
  <c r="C32" i="123"/>
  <c r="D32" i="123"/>
  <c r="E32" i="123"/>
  <c r="G32" i="123" s="1"/>
  <c r="C15" i="123"/>
  <c r="D15" i="123"/>
  <c r="E15" i="123"/>
  <c r="G15" i="123" s="1"/>
  <c r="B58" i="137"/>
  <c r="C58" i="137"/>
  <c r="D58" i="137"/>
  <c r="E58" i="137"/>
  <c r="G58" i="137" s="1"/>
  <c r="B59" i="137"/>
  <c r="C59" i="137"/>
  <c r="D59" i="137"/>
  <c r="E59" i="137"/>
  <c r="B52" i="137"/>
  <c r="C52" i="137"/>
  <c r="D52" i="137"/>
  <c r="E52" i="137"/>
  <c r="G52" i="137" s="1"/>
  <c r="B53" i="137"/>
  <c r="C53" i="137"/>
  <c r="D53" i="137"/>
  <c r="E53" i="137"/>
  <c r="G53" i="137" s="1"/>
  <c r="B41" i="137"/>
  <c r="C41" i="137"/>
  <c r="D41" i="137"/>
  <c r="E41" i="137"/>
  <c r="G41" i="137" s="1"/>
  <c r="B32" i="137"/>
  <c r="C32" i="137"/>
  <c r="D32" i="137"/>
  <c r="E32" i="137"/>
  <c r="G32" i="137" s="1"/>
  <c r="C15" i="137"/>
  <c r="D15" i="137"/>
  <c r="E15" i="137"/>
  <c r="G15" i="137" s="1"/>
  <c r="B58" i="138"/>
  <c r="C58" i="138"/>
  <c r="D58" i="138"/>
  <c r="E58" i="138"/>
  <c r="G58" i="138" s="1"/>
  <c r="B59" i="138"/>
  <c r="C59" i="138"/>
  <c r="D59" i="138"/>
  <c r="E59" i="138"/>
  <c r="B52" i="138"/>
  <c r="C52" i="138"/>
  <c r="D52" i="138"/>
  <c r="E52" i="138"/>
  <c r="B53" i="138"/>
  <c r="C53" i="138"/>
  <c r="D53" i="138"/>
  <c r="E53" i="138"/>
  <c r="G53" i="138" s="1"/>
  <c r="B41" i="138"/>
  <c r="C41" i="138"/>
  <c r="D41" i="138"/>
  <c r="E41" i="138"/>
  <c r="G41" i="138" s="1"/>
  <c r="B32" i="138"/>
  <c r="C32" i="138"/>
  <c r="D32" i="138"/>
  <c r="E32" i="138"/>
  <c r="G32" i="138" s="1"/>
  <c r="C15" i="138"/>
  <c r="D15" i="138"/>
  <c r="E15" i="138"/>
  <c r="G15" i="138" s="1"/>
  <c r="B58" i="96"/>
  <c r="C58" i="96"/>
  <c r="D58" i="96"/>
  <c r="E58" i="96"/>
  <c r="G58" i="96" s="1"/>
  <c r="B59" i="96"/>
  <c r="C59" i="96"/>
  <c r="D59" i="96"/>
  <c r="E59" i="96"/>
  <c r="B52" i="96"/>
  <c r="C52" i="96"/>
  <c r="D52" i="96"/>
  <c r="E52" i="96"/>
  <c r="G52" i="96" s="1"/>
  <c r="B53" i="96"/>
  <c r="C53" i="96"/>
  <c r="D53" i="96"/>
  <c r="E53" i="96"/>
  <c r="G53" i="96" s="1"/>
  <c r="B41" i="96"/>
  <c r="C41" i="96"/>
  <c r="D41" i="96"/>
  <c r="E41" i="96"/>
  <c r="G41" i="96" s="1"/>
  <c r="B32" i="96"/>
  <c r="C32" i="96"/>
  <c r="D32" i="96"/>
  <c r="E32" i="96"/>
  <c r="G32" i="96" s="1"/>
  <c r="C15" i="96"/>
  <c r="D15" i="96"/>
  <c r="E15" i="96"/>
  <c r="G15" i="96" s="1"/>
  <c r="B58" i="136"/>
  <c r="C58" i="136"/>
  <c r="D58" i="136"/>
  <c r="E58" i="136"/>
  <c r="B59" i="136"/>
  <c r="C59" i="136"/>
  <c r="D59" i="136"/>
  <c r="E59" i="136"/>
  <c r="G59" i="136" s="1"/>
  <c r="B52" i="136"/>
  <c r="C52" i="136"/>
  <c r="D52" i="136"/>
  <c r="E52" i="136"/>
  <c r="B53" i="136"/>
  <c r="C53" i="136"/>
  <c r="D53" i="136"/>
  <c r="E53" i="136"/>
  <c r="G53" i="136" s="1"/>
  <c r="B41" i="136"/>
  <c r="C41" i="136"/>
  <c r="D41" i="136"/>
  <c r="E41" i="136"/>
  <c r="G41" i="136" s="1"/>
  <c r="B42" i="136"/>
  <c r="C42" i="136"/>
  <c r="D42" i="136"/>
  <c r="E42" i="136"/>
  <c r="G42" i="136" s="1"/>
  <c r="B32" i="136"/>
  <c r="C32" i="136"/>
  <c r="D32" i="136"/>
  <c r="E32" i="136"/>
  <c r="G32" i="136" s="1"/>
  <c r="C15" i="136"/>
  <c r="D15" i="136"/>
  <c r="E15" i="136"/>
  <c r="G15" i="136" s="1"/>
  <c r="B58" i="99"/>
  <c r="C58" i="99"/>
  <c r="D58" i="99"/>
  <c r="E58" i="99"/>
  <c r="B59" i="99"/>
  <c r="C59" i="99"/>
  <c r="D59" i="99"/>
  <c r="E59" i="99"/>
  <c r="G59" i="99" s="1"/>
  <c r="B52" i="99"/>
  <c r="C52" i="99"/>
  <c r="D52" i="99"/>
  <c r="E52" i="99"/>
  <c r="G52" i="99" s="1"/>
  <c r="B53" i="99"/>
  <c r="C53" i="99"/>
  <c r="D53" i="99"/>
  <c r="E53" i="99"/>
  <c r="G53" i="99" s="1"/>
  <c r="B41" i="99"/>
  <c r="C41" i="99"/>
  <c r="D41" i="99"/>
  <c r="E41" i="99"/>
  <c r="G41" i="99" s="1"/>
  <c r="B32" i="99"/>
  <c r="C32" i="99"/>
  <c r="D32" i="99"/>
  <c r="E32" i="99"/>
  <c r="G32" i="99" s="1"/>
  <c r="C15" i="99"/>
  <c r="D15" i="99"/>
  <c r="E15" i="99"/>
  <c r="G15" i="99" s="1"/>
  <c r="B58" i="91"/>
  <c r="C58" i="91"/>
  <c r="D58" i="91"/>
  <c r="E58" i="91"/>
  <c r="B59" i="91"/>
  <c r="C59" i="91"/>
  <c r="D59" i="91"/>
  <c r="E59" i="91"/>
  <c r="G59" i="91" s="1"/>
  <c r="B52" i="91"/>
  <c r="C52" i="91"/>
  <c r="D52" i="91"/>
  <c r="E52" i="91"/>
  <c r="B53" i="91"/>
  <c r="C53" i="91"/>
  <c r="D53" i="91"/>
  <c r="E53" i="91"/>
  <c r="G53" i="91" s="1"/>
  <c r="B41" i="91"/>
  <c r="C41" i="91"/>
  <c r="D41" i="91"/>
  <c r="E41" i="91"/>
  <c r="G41" i="91" s="1"/>
  <c r="B32" i="91"/>
  <c r="C32" i="91"/>
  <c r="D32" i="91"/>
  <c r="E32" i="91"/>
  <c r="G32" i="91" s="1"/>
  <c r="C15" i="91"/>
  <c r="D15" i="91"/>
  <c r="E15" i="91"/>
  <c r="G15" i="91" s="1"/>
  <c r="B58" i="124"/>
  <c r="C58" i="124"/>
  <c r="D58" i="124"/>
  <c r="E58" i="124"/>
  <c r="B59" i="124"/>
  <c r="C59" i="124"/>
  <c r="D59" i="124"/>
  <c r="E59" i="124"/>
  <c r="G59" i="124" s="1"/>
  <c r="B52" i="124"/>
  <c r="C52" i="124"/>
  <c r="D52" i="124"/>
  <c r="E52" i="124"/>
  <c r="G52" i="124" s="1"/>
  <c r="B53" i="124"/>
  <c r="C53" i="124"/>
  <c r="D53" i="124"/>
  <c r="E53" i="124"/>
  <c r="G53" i="124" s="1"/>
  <c r="B41" i="124"/>
  <c r="C41" i="124"/>
  <c r="D41" i="124"/>
  <c r="E41" i="124"/>
  <c r="G41" i="124" s="1"/>
  <c r="B32" i="124"/>
  <c r="C32" i="124"/>
  <c r="D32" i="124"/>
  <c r="E32" i="124"/>
  <c r="G32" i="124" s="1"/>
  <c r="C15" i="124"/>
  <c r="D15" i="124"/>
  <c r="E15" i="124"/>
  <c r="G15" i="124" s="1"/>
  <c r="B58" i="95"/>
  <c r="C58" i="95"/>
  <c r="D58" i="95"/>
  <c r="E58" i="95"/>
  <c r="G58" i="95" s="1"/>
  <c r="B59" i="95"/>
  <c r="C59" i="95"/>
  <c r="D59" i="95"/>
  <c r="E59" i="95"/>
  <c r="B52" i="95"/>
  <c r="C52" i="95"/>
  <c r="D52" i="95"/>
  <c r="E52" i="95"/>
  <c r="G52" i="95" s="1"/>
  <c r="B53" i="95"/>
  <c r="C53" i="95"/>
  <c r="D53" i="95"/>
  <c r="E53" i="95"/>
  <c r="G53" i="95" s="1"/>
  <c r="B41" i="95"/>
  <c r="C41" i="95"/>
  <c r="D41" i="95"/>
  <c r="E41" i="95"/>
  <c r="G41" i="95" s="1"/>
  <c r="B32" i="95"/>
  <c r="C32" i="95"/>
  <c r="D32" i="95"/>
  <c r="E32" i="95"/>
  <c r="G32" i="95" s="1"/>
  <c r="C15" i="95"/>
  <c r="D15" i="95"/>
  <c r="E15" i="95"/>
  <c r="G15" i="95" s="1"/>
  <c r="B58" i="135"/>
  <c r="C58" i="135"/>
  <c r="D58" i="135"/>
  <c r="E58" i="135"/>
  <c r="G58" i="135" s="1"/>
  <c r="B59" i="135"/>
  <c r="C59" i="135"/>
  <c r="D59" i="135"/>
  <c r="E59" i="135"/>
  <c r="F59" i="135" s="1"/>
  <c r="B52" i="135"/>
  <c r="C52" i="135"/>
  <c r="D52" i="135"/>
  <c r="E52" i="135"/>
  <c r="B53" i="135"/>
  <c r="C53" i="135"/>
  <c r="D53" i="135"/>
  <c r="E53" i="135"/>
  <c r="G53" i="135" s="1"/>
  <c r="B41" i="135"/>
  <c r="C41" i="135"/>
  <c r="D41" i="135"/>
  <c r="E41" i="135"/>
  <c r="G41" i="135" s="1"/>
  <c r="B32" i="135"/>
  <c r="C32" i="135"/>
  <c r="D32" i="135"/>
  <c r="E32" i="135"/>
  <c r="G32" i="135" s="1"/>
  <c r="C15" i="135"/>
  <c r="D15" i="135"/>
  <c r="E15" i="135"/>
  <c r="G15" i="135" s="1"/>
  <c r="B58" i="116"/>
  <c r="C58" i="116"/>
  <c r="D58" i="116"/>
  <c r="E58" i="116"/>
  <c r="G58" i="116" s="1"/>
  <c r="B59" i="116"/>
  <c r="C59" i="116"/>
  <c r="D59" i="116"/>
  <c r="E59" i="116"/>
  <c r="G59" i="116" s="1"/>
  <c r="B52" i="116"/>
  <c r="C52" i="116"/>
  <c r="D52" i="116"/>
  <c r="E52" i="116"/>
  <c r="G52" i="116" s="1"/>
  <c r="B53" i="116"/>
  <c r="C53" i="116"/>
  <c r="D53" i="116"/>
  <c r="E53" i="116"/>
  <c r="B41" i="116"/>
  <c r="C41" i="116"/>
  <c r="D41" i="116"/>
  <c r="E41" i="116"/>
  <c r="G41" i="116" s="1"/>
  <c r="B32" i="116"/>
  <c r="C32" i="116"/>
  <c r="D32" i="116"/>
  <c r="E32" i="116"/>
  <c r="G32" i="116" s="1"/>
  <c r="E14" i="116"/>
  <c r="G14" i="116" s="1"/>
  <c r="D14" i="116"/>
  <c r="C14" i="116"/>
  <c r="E15" i="116"/>
  <c r="G15" i="116" s="1"/>
  <c r="D15" i="116"/>
  <c r="C15" i="116"/>
  <c r="B17" i="116"/>
  <c r="C17" i="116"/>
  <c r="D17" i="116"/>
  <c r="E17" i="116"/>
  <c r="G17" i="116" s="1"/>
  <c r="B18" i="116"/>
  <c r="C18" i="116"/>
  <c r="D18" i="116"/>
  <c r="E18" i="116"/>
  <c r="G18" i="116" s="1"/>
  <c r="B19" i="116"/>
  <c r="C19" i="116"/>
  <c r="D19" i="116"/>
  <c r="E19" i="116"/>
  <c r="G19" i="116" s="1"/>
  <c r="B59" i="134"/>
  <c r="C59" i="134"/>
  <c r="D59" i="134"/>
  <c r="E59" i="134"/>
  <c r="B57" i="134"/>
  <c r="C57" i="134"/>
  <c r="D57" i="134"/>
  <c r="E57" i="134"/>
  <c r="B58" i="134"/>
  <c r="C58" i="134"/>
  <c r="D58" i="134"/>
  <c r="E58" i="134"/>
  <c r="G58" i="134" s="1"/>
  <c r="B52" i="134"/>
  <c r="C52" i="134"/>
  <c r="D52" i="134"/>
  <c r="E52" i="134"/>
  <c r="G52" i="134" s="1"/>
  <c r="B53" i="134"/>
  <c r="C53" i="134"/>
  <c r="D53" i="134"/>
  <c r="E53" i="134"/>
  <c r="B41" i="134"/>
  <c r="C41" i="134"/>
  <c r="D41" i="134"/>
  <c r="E41" i="134"/>
  <c r="G41" i="134" s="1"/>
  <c r="B32" i="134"/>
  <c r="C32" i="134"/>
  <c r="D32" i="134"/>
  <c r="E32" i="134"/>
  <c r="G32" i="134" s="1"/>
  <c r="C15" i="134"/>
  <c r="D15" i="134"/>
  <c r="E15" i="134"/>
  <c r="G15" i="134" s="1"/>
  <c r="B17" i="134"/>
  <c r="C17" i="134"/>
  <c r="D17" i="134"/>
  <c r="E17" i="134"/>
  <c r="G17" i="134" s="1"/>
  <c r="B58" i="133"/>
  <c r="C58" i="133"/>
  <c r="D58" i="133"/>
  <c r="E58" i="133"/>
  <c r="F58" i="133" s="1"/>
  <c r="B59" i="133"/>
  <c r="C59" i="133"/>
  <c r="D59" i="133"/>
  <c r="E59" i="133"/>
  <c r="G59" i="133" s="1"/>
  <c r="B52" i="133"/>
  <c r="C52" i="133"/>
  <c r="D52" i="133"/>
  <c r="E52" i="133"/>
  <c r="F52" i="133" s="1"/>
  <c r="B53" i="133"/>
  <c r="C53" i="133"/>
  <c r="D53" i="133"/>
  <c r="E53" i="133"/>
  <c r="G53" i="133" s="1"/>
  <c r="B41" i="133"/>
  <c r="C41" i="133"/>
  <c r="D41" i="133"/>
  <c r="E41" i="133"/>
  <c r="G41" i="133" s="1"/>
  <c r="B32" i="133"/>
  <c r="C32" i="133"/>
  <c r="D32" i="133"/>
  <c r="E32" i="133"/>
  <c r="G32" i="133" s="1"/>
  <c r="C15" i="133"/>
  <c r="D15" i="133"/>
  <c r="E15" i="133"/>
  <c r="G15" i="133" s="1"/>
  <c r="B58" i="132"/>
  <c r="C58" i="132"/>
  <c r="D58" i="132"/>
  <c r="E58" i="132"/>
  <c r="G58" i="132" s="1"/>
  <c r="B59" i="132"/>
  <c r="C59" i="132"/>
  <c r="D59" i="132"/>
  <c r="E59" i="132"/>
  <c r="G59" i="132" s="1"/>
  <c r="B52" i="132"/>
  <c r="C52" i="132"/>
  <c r="D52" i="132"/>
  <c r="E52" i="132"/>
  <c r="G52" i="132" s="1"/>
  <c r="B53" i="132"/>
  <c r="C53" i="132"/>
  <c r="D53" i="132"/>
  <c r="E53" i="132"/>
  <c r="G53" i="132" s="1"/>
  <c r="B41" i="132"/>
  <c r="C41" i="132"/>
  <c r="D41" i="132"/>
  <c r="E41" i="132"/>
  <c r="B32" i="132"/>
  <c r="C32" i="132"/>
  <c r="D32" i="132"/>
  <c r="E32" i="132"/>
  <c r="B31" i="132"/>
  <c r="C31" i="132"/>
  <c r="D31" i="132"/>
  <c r="E31" i="132"/>
  <c r="G31" i="132" s="1"/>
  <c r="C15" i="132"/>
  <c r="D15" i="132"/>
  <c r="E15" i="132"/>
  <c r="B58" i="86"/>
  <c r="C58" i="86"/>
  <c r="D58" i="86"/>
  <c r="E58" i="86"/>
  <c r="G58" i="86" s="1"/>
  <c r="B59" i="86"/>
  <c r="C59" i="86"/>
  <c r="D59" i="86"/>
  <c r="E59" i="86"/>
  <c r="B53" i="86"/>
  <c r="C53" i="86"/>
  <c r="D53" i="86"/>
  <c r="E53" i="86"/>
  <c r="G53" i="86" s="1"/>
  <c r="B52" i="86"/>
  <c r="C52" i="86"/>
  <c r="D52" i="86"/>
  <c r="E52" i="86"/>
  <c r="G52" i="86" s="1"/>
  <c r="B41" i="86"/>
  <c r="C41" i="86"/>
  <c r="D41" i="86"/>
  <c r="E41" i="86"/>
  <c r="G41" i="86" s="1"/>
  <c r="B32" i="86"/>
  <c r="C32" i="86"/>
  <c r="D32" i="86"/>
  <c r="E32" i="86"/>
  <c r="G32" i="86" s="1"/>
  <c r="C15" i="86"/>
  <c r="D15" i="86"/>
  <c r="E15" i="86"/>
  <c r="G15" i="86" s="1"/>
  <c r="AP27" i="130"/>
  <c r="AO27" i="130"/>
  <c r="AN27" i="130"/>
  <c r="AL27" i="130"/>
  <c r="AK27" i="130"/>
  <c r="AJ27" i="130"/>
  <c r="AI27" i="130"/>
  <c r="AH27" i="130"/>
  <c r="AG27" i="130"/>
  <c r="AF27" i="130"/>
  <c r="AE27" i="130"/>
  <c r="AD27" i="130"/>
  <c r="AC27" i="130"/>
  <c r="AB27" i="130"/>
  <c r="AP26" i="130"/>
  <c r="AO26" i="130"/>
  <c r="AN26" i="130"/>
  <c r="AM26" i="130"/>
  <c r="AL26" i="130"/>
  <c r="AK26" i="130"/>
  <c r="AJ26" i="130"/>
  <c r="AI26" i="130"/>
  <c r="AH26" i="130"/>
  <c r="AG26" i="130"/>
  <c r="AF26" i="130"/>
  <c r="AE26" i="130"/>
  <c r="AD26" i="130"/>
  <c r="AC26" i="130"/>
  <c r="AB26" i="130"/>
  <c r="AP25" i="130"/>
  <c r="AO25" i="130"/>
  <c r="AN25" i="130"/>
  <c r="AM25" i="130"/>
  <c r="AL25" i="130"/>
  <c r="AK25" i="130"/>
  <c r="AJ25" i="130"/>
  <c r="AI25" i="130"/>
  <c r="AH25" i="130"/>
  <c r="AG25" i="130"/>
  <c r="AF25" i="130"/>
  <c r="AE25" i="130"/>
  <c r="AD25" i="130"/>
  <c r="AC25" i="130"/>
  <c r="AB25" i="130"/>
  <c r="AP24" i="130"/>
  <c r="AO24" i="130"/>
  <c r="AM24" i="130"/>
  <c r="AL24" i="130"/>
  <c r="AK24" i="130"/>
  <c r="AJ24" i="130"/>
  <c r="AI24" i="130"/>
  <c r="AH24" i="130"/>
  <c r="AG24" i="130"/>
  <c r="AF24" i="130"/>
  <c r="AE24" i="130"/>
  <c r="AC24" i="130"/>
  <c r="AB24" i="130"/>
  <c r="AP23" i="130"/>
  <c r="AO23" i="130"/>
  <c r="AN23" i="130"/>
  <c r="AM23" i="130"/>
  <c r="AL23" i="130"/>
  <c r="AK23" i="130"/>
  <c r="AJ23" i="130"/>
  <c r="AI23" i="130"/>
  <c r="AH23" i="130"/>
  <c r="AG23" i="130"/>
  <c r="AF23" i="130"/>
  <c r="AE23" i="130"/>
  <c r="AD23" i="130"/>
  <c r="AC23" i="130"/>
  <c r="AB23" i="130"/>
  <c r="AP22" i="130"/>
  <c r="AO22" i="130"/>
  <c r="AN22" i="130"/>
  <c r="AM22" i="130"/>
  <c r="AL22" i="130"/>
  <c r="AK22" i="130"/>
  <c r="AJ22" i="130"/>
  <c r="AI22" i="130"/>
  <c r="AH22" i="130"/>
  <c r="AG22" i="130"/>
  <c r="AF22" i="130"/>
  <c r="AE22" i="130"/>
  <c r="AD22" i="130"/>
  <c r="AC22" i="130"/>
  <c r="AB22" i="130"/>
  <c r="AP21" i="130"/>
  <c r="AO21" i="130"/>
  <c r="AN21" i="130"/>
  <c r="AM21" i="130"/>
  <c r="AL21" i="130"/>
  <c r="AK21" i="130"/>
  <c r="AJ21" i="130"/>
  <c r="AI21" i="130"/>
  <c r="AH21" i="130"/>
  <c r="AG21" i="130"/>
  <c r="AF21" i="130"/>
  <c r="AE21" i="130"/>
  <c r="AD21" i="130"/>
  <c r="AC21" i="130"/>
  <c r="AB21" i="130"/>
  <c r="AP20" i="130"/>
  <c r="AO20" i="130"/>
  <c r="AN20" i="130"/>
  <c r="AM20" i="130"/>
  <c r="AL20" i="130"/>
  <c r="AK20" i="130"/>
  <c r="AJ20" i="130"/>
  <c r="AI20" i="130"/>
  <c r="AH20" i="130"/>
  <c r="AG20" i="130"/>
  <c r="AF20" i="130"/>
  <c r="AE20" i="130"/>
  <c r="AD20" i="130"/>
  <c r="AC20" i="130"/>
  <c r="AB20" i="130"/>
  <c r="AP19" i="130"/>
  <c r="AO19" i="130"/>
  <c r="AM19" i="130"/>
  <c r="AL19" i="130"/>
  <c r="AK19" i="130"/>
  <c r="AJ19" i="130"/>
  <c r="AH19" i="130"/>
  <c r="AG19" i="130"/>
  <c r="AF19" i="130"/>
  <c r="AE19" i="130"/>
  <c r="AC19" i="130"/>
  <c r="AB19" i="130"/>
  <c r="AP18" i="130"/>
  <c r="AO18" i="130"/>
  <c r="AN18" i="130"/>
  <c r="AM18" i="130"/>
  <c r="AL18" i="130"/>
  <c r="AK18" i="130"/>
  <c r="AJ18" i="130"/>
  <c r="AI18" i="130"/>
  <c r="AH18" i="130"/>
  <c r="AG18" i="130"/>
  <c r="AE18" i="130"/>
  <c r="AD18" i="130"/>
  <c r="AC18" i="130"/>
  <c r="AB18" i="130"/>
  <c r="AP17" i="130"/>
  <c r="AO17" i="130"/>
  <c r="AN17" i="130"/>
  <c r="AM17" i="130"/>
  <c r="AL17" i="130"/>
  <c r="AK17" i="130"/>
  <c r="AJ17" i="130"/>
  <c r="AI17" i="130"/>
  <c r="AH17" i="130"/>
  <c r="AG17" i="130"/>
  <c r="AF17" i="130"/>
  <c r="AE17" i="130"/>
  <c r="AD17" i="130"/>
  <c r="AC17" i="130"/>
  <c r="AB17" i="130"/>
  <c r="AP16" i="130"/>
  <c r="AN16" i="130"/>
  <c r="AM16" i="130"/>
  <c r="AL16" i="130"/>
  <c r="AK16" i="130"/>
  <c r="AH16" i="130"/>
  <c r="AG16" i="130"/>
  <c r="AF16" i="130"/>
  <c r="AE16" i="130"/>
  <c r="AD16" i="130"/>
  <c r="AC16" i="130"/>
  <c r="AB16" i="130"/>
  <c r="AP15" i="130"/>
  <c r="AO15" i="130"/>
  <c r="AN15" i="130"/>
  <c r="AM15" i="130"/>
  <c r="AL15" i="130"/>
  <c r="AK15" i="130"/>
  <c r="AJ15" i="130"/>
  <c r="AI15" i="130"/>
  <c r="AH15" i="130"/>
  <c r="AG15" i="130"/>
  <c r="AF15" i="130"/>
  <c r="AE15" i="130"/>
  <c r="AD15" i="130"/>
  <c r="AB15" i="130"/>
  <c r="AP14" i="130"/>
  <c r="AN14" i="130"/>
  <c r="AM14" i="130"/>
  <c r="AL14" i="130"/>
  <c r="AK14" i="130"/>
  <c r="AJ14" i="130"/>
  <c r="AH14" i="130"/>
  <c r="AG14" i="130"/>
  <c r="AF14" i="130"/>
  <c r="AE14" i="130"/>
  <c r="AD14" i="130"/>
  <c r="AB14" i="130"/>
  <c r="AP13" i="130"/>
  <c r="AO13" i="130"/>
  <c r="AN13" i="130"/>
  <c r="AM13" i="130"/>
  <c r="AL13" i="130"/>
  <c r="AK13" i="130"/>
  <c r="AJ13" i="130"/>
  <c r="AI13" i="130"/>
  <c r="AH13" i="130"/>
  <c r="AG13" i="130"/>
  <c r="AF13" i="130"/>
  <c r="AD13" i="130"/>
  <c r="AC13" i="130"/>
  <c r="AB13" i="130"/>
  <c r="AP12" i="130"/>
  <c r="AO12" i="130"/>
  <c r="AM12" i="130"/>
  <c r="AL12" i="130"/>
  <c r="AK12" i="130"/>
  <c r="AJ12" i="130"/>
  <c r="AI12" i="130"/>
  <c r="AH12" i="130"/>
  <c r="AG12" i="130"/>
  <c r="AF12" i="130"/>
  <c r="AE12" i="130"/>
  <c r="AD12" i="130"/>
  <c r="AC12" i="130"/>
  <c r="AB12" i="130"/>
  <c r="AP11" i="130"/>
  <c r="AO11" i="130"/>
  <c r="AN11" i="130"/>
  <c r="AM11" i="130"/>
  <c r="AL11" i="130"/>
  <c r="AK11" i="130"/>
  <c r="AJ11" i="130"/>
  <c r="AI11" i="130"/>
  <c r="AH11" i="130"/>
  <c r="AG11" i="130"/>
  <c r="AF11" i="130"/>
  <c r="AD11" i="130"/>
  <c r="AC11" i="130"/>
  <c r="AP10" i="130"/>
  <c r="AN10" i="130"/>
  <c r="AM10" i="130"/>
  <c r="AL10" i="130"/>
  <c r="AK10" i="130"/>
  <c r="AJ10" i="130"/>
  <c r="AI10" i="130"/>
  <c r="AH10" i="130"/>
  <c r="AG10" i="130"/>
  <c r="AF10" i="130"/>
  <c r="AE10" i="130"/>
  <c r="AD10" i="130"/>
  <c r="AC10" i="130"/>
  <c r="AP9" i="130"/>
  <c r="AO9" i="130"/>
  <c r="AN9" i="130"/>
  <c r="AM9" i="130"/>
  <c r="AL9" i="130"/>
  <c r="AK9" i="130"/>
  <c r="AJ9" i="130"/>
  <c r="AI9" i="130"/>
  <c r="AG9" i="130"/>
  <c r="AF9" i="130"/>
  <c r="AB9" i="130"/>
  <c r="AP8" i="130"/>
  <c r="AO8" i="130"/>
  <c r="AN8" i="130"/>
  <c r="AM8" i="130"/>
  <c r="AL8" i="130"/>
  <c r="AK8" i="130"/>
  <c r="AJ8" i="130"/>
  <c r="AI8" i="130"/>
  <c r="AH8" i="130"/>
  <c r="AG8" i="130"/>
  <c r="AF8" i="130"/>
  <c r="AE8" i="130"/>
  <c r="AD8" i="130"/>
  <c r="AC8" i="130"/>
  <c r="AB8" i="130"/>
  <c r="AP7" i="130"/>
  <c r="AO7" i="130"/>
  <c r="AN7" i="130"/>
  <c r="AM7" i="130"/>
  <c r="AK7" i="130"/>
  <c r="AJ7" i="130"/>
  <c r="AI7" i="130"/>
  <c r="AF7" i="130"/>
  <c r="AE7" i="130"/>
  <c r="AD7" i="130"/>
  <c r="AC7" i="130"/>
  <c r="AP6" i="130"/>
  <c r="AO6" i="130"/>
  <c r="AN6" i="130"/>
  <c r="AM6" i="130"/>
  <c r="AK6" i="130"/>
  <c r="AJ6" i="130"/>
  <c r="AI6" i="130"/>
  <c r="AH6" i="130"/>
  <c r="AG6" i="130"/>
  <c r="AF6" i="130"/>
  <c r="AE6" i="130"/>
  <c r="AD6" i="130"/>
  <c r="AC6" i="130"/>
  <c r="AB6" i="130"/>
  <c r="AP5" i="130"/>
  <c r="AO5" i="130"/>
  <c r="AN5" i="130"/>
  <c r="AL5" i="130"/>
  <c r="AK5" i="130"/>
  <c r="AJ5" i="130"/>
  <c r="AI5" i="130"/>
  <c r="AH5" i="130"/>
  <c r="AF5" i="130"/>
  <c r="AE5" i="130"/>
  <c r="AD5" i="130"/>
  <c r="AC5" i="130"/>
  <c r="G35" i="94"/>
  <c r="P40" i="94"/>
  <c r="F59" i="86" l="1"/>
  <c r="F41" i="113"/>
  <c r="F41" i="132"/>
  <c r="F53" i="134"/>
  <c r="F59" i="134"/>
  <c r="F59" i="95"/>
  <c r="F58" i="99"/>
  <c r="F52" i="136"/>
  <c r="F58" i="136"/>
  <c r="F52" i="113"/>
  <c r="F58" i="119"/>
  <c r="F52" i="123"/>
  <c r="F59" i="116"/>
  <c r="F61" i="120"/>
  <c r="F59" i="120"/>
  <c r="F53" i="96"/>
  <c r="F59" i="119"/>
  <c r="F58" i="97"/>
  <c r="G58" i="136"/>
  <c r="F41" i="95"/>
  <c r="F59" i="123"/>
  <c r="F52" i="117"/>
  <c r="F58" i="117"/>
  <c r="F59" i="113"/>
  <c r="F52" i="118"/>
  <c r="F58" i="118"/>
  <c r="F59" i="98"/>
  <c r="F53" i="99"/>
  <c r="F59" i="99"/>
  <c r="F52" i="135"/>
  <c r="F58" i="132"/>
  <c r="F53" i="123"/>
  <c r="F41" i="98"/>
  <c r="F52" i="119"/>
  <c r="F52" i="91"/>
  <c r="F59" i="137"/>
  <c r="F59" i="118"/>
  <c r="F58" i="91"/>
  <c r="F52" i="138"/>
  <c r="G59" i="118"/>
  <c r="F58" i="116"/>
  <c r="G59" i="95"/>
  <c r="F42" i="136"/>
  <c r="F59" i="136"/>
  <c r="G52" i="136"/>
  <c r="F32" i="137"/>
  <c r="F41" i="123"/>
  <c r="F53" i="97"/>
  <c r="F59" i="97"/>
  <c r="G41" i="113"/>
  <c r="F53" i="86"/>
  <c r="F58" i="86"/>
  <c r="F41" i="96"/>
  <c r="F59" i="138"/>
  <c r="G53" i="123"/>
  <c r="F53" i="118"/>
  <c r="F42" i="119"/>
  <c r="F53" i="119"/>
  <c r="F53" i="116"/>
  <c r="F53" i="135"/>
  <c r="F59" i="91"/>
  <c r="G52" i="113"/>
  <c r="G59" i="86"/>
  <c r="F58" i="134"/>
  <c r="F58" i="95"/>
  <c r="G58" i="99"/>
  <c r="F59" i="117"/>
  <c r="G52" i="117"/>
  <c r="G53" i="116"/>
  <c r="G58" i="91"/>
  <c r="F59" i="96"/>
  <c r="G59" i="123"/>
  <c r="F52" i="98"/>
  <c r="F58" i="98"/>
  <c r="G59" i="98"/>
  <c r="G53" i="98"/>
  <c r="F59" i="140"/>
  <c r="G15" i="140"/>
  <c r="F59" i="139"/>
  <c r="G58" i="139"/>
  <c r="F52" i="139"/>
  <c r="F58" i="123"/>
  <c r="F58" i="113"/>
  <c r="F58" i="120"/>
  <c r="F58" i="140"/>
  <c r="F58" i="124"/>
  <c r="F52" i="97"/>
  <c r="F57" i="134"/>
  <c r="F41" i="137"/>
  <c r="F52" i="137"/>
  <c r="F58" i="137"/>
  <c r="G59" i="137"/>
  <c r="F53" i="137"/>
  <c r="F32" i="138"/>
  <c r="F53" i="138"/>
  <c r="F58" i="138"/>
  <c r="G59" i="138"/>
  <c r="G52" i="138"/>
  <c r="F32" i="98"/>
  <c r="G59" i="96"/>
  <c r="F58" i="96"/>
  <c r="G52" i="91"/>
  <c r="G58" i="124"/>
  <c r="F32" i="124"/>
  <c r="F53" i="124"/>
  <c r="F59" i="124"/>
  <c r="F52" i="95"/>
  <c r="G59" i="135"/>
  <c r="F58" i="135"/>
  <c r="G52" i="135"/>
  <c r="F52" i="116"/>
  <c r="G59" i="134"/>
  <c r="G53" i="134"/>
  <c r="G57" i="134"/>
  <c r="G52" i="133"/>
  <c r="F53" i="133"/>
  <c r="F59" i="133"/>
  <c r="G58" i="133"/>
  <c r="F52" i="132"/>
  <c r="F59" i="132"/>
  <c r="F52" i="86"/>
  <c r="AA9" i="130"/>
  <c r="AA17" i="130"/>
  <c r="AA22" i="130"/>
  <c r="AA8" i="130"/>
  <c r="Z18" i="130"/>
  <c r="Z12" i="130"/>
  <c r="AA20" i="130"/>
  <c r="AA25" i="130"/>
  <c r="F15" i="116"/>
  <c r="Y26" i="130"/>
  <c r="Y17" i="130"/>
  <c r="Y20" i="130"/>
  <c r="Y6" i="130"/>
  <c r="Y12" i="130"/>
  <c r="Y16" i="130"/>
  <c r="Y23" i="130"/>
  <c r="Y22" i="130"/>
  <c r="Y21" i="130"/>
  <c r="Y8" i="130"/>
  <c r="Y27" i="130"/>
  <c r="Y25" i="130"/>
  <c r="G41" i="132"/>
  <c r="F52" i="120"/>
  <c r="F60" i="120"/>
  <c r="F53" i="120"/>
  <c r="F41" i="120"/>
  <c r="F32" i="120"/>
  <c r="F15" i="120"/>
  <c r="F32" i="119"/>
  <c r="F41" i="119"/>
  <c r="F15" i="119"/>
  <c r="F41" i="118"/>
  <c r="F32" i="118"/>
  <c r="F15" i="118"/>
  <c r="F53" i="113"/>
  <c r="F32" i="113"/>
  <c r="F15" i="113"/>
  <c r="F16" i="113"/>
  <c r="F15" i="98"/>
  <c r="F53" i="140"/>
  <c r="F41" i="140"/>
  <c r="F52" i="140"/>
  <c r="F32" i="140"/>
  <c r="F16" i="140"/>
  <c r="F32" i="139"/>
  <c r="F53" i="139"/>
  <c r="F41" i="139"/>
  <c r="F15" i="139"/>
  <c r="F41" i="97"/>
  <c r="F32" i="97"/>
  <c r="F15" i="97"/>
  <c r="F32" i="117"/>
  <c r="F53" i="117"/>
  <c r="F41" i="117"/>
  <c r="F15" i="117"/>
  <c r="F32" i="123"/>
  <c r="F15" i="123"/>
  <c r="F15" i="137"/>
  <c r="F41" i="138"/>
  <c r="F15" i="138"/>
  <c r="F52" i="96"/>
  <c r="F32" i="96"/>
  <c r="F15" i="96"/>
  <c r="F15" i="136"/>
  <c r="F53" i="136"/>
  <c r="F41" i="136"/>
  <c r="F32" i="136"/>
  <c r="F41" i="99"/>
  <c r="F52" i="99"/>
  <c r="F32" i="99"/>
  <c r="F15" i="99"/>
  <c r="F15" i="91"/>
  <c r="F41" i="91"/>
  <c r="F53" i="91"/>
  <c r="F32" i="91"/>
  <c r="F52" i="124"/>
  <c r="F41" i="124"/>
  <c r="F15" i="124"/>
  <c r="F53" i="95"/>
  <c r="F15" i="95"/>
  <c r="F32" i="95"/>
  <c r="F41" i="135"/>
  <c r="F32" i="135"/>
  <c r="F15" i="135"/>
  <c r="F41" i="116"/>
  <c r="F32" i="116"/>
  <c r="F19" i="116"/>
  <c r="F17" i="116"/>
  <c r="F14" i="116"/>
  <c r="F18" i="116"/>
  <c r="F52" i="134"/>
  <c r="F41" i="134"/>
  <c r="F15" i="134"/>
  <c r="F32" i="134"/>
  <c r="F17" i="134"/>
  <c r="F15" i="133"/>
  <c r="F41" i="133"/>
  <c r="F32" i="133"/>
  <c r="F53" i="132"/>
  <c r="F31" i="132"/>
  <c r="F15" i="132"/>
  <c r="F32" i="132"/>
  <c r="G15" i="132"/>
  <c r="F41" i="86"/>
  <c r="F15" i="86"/>
  <c r="F32" i="86"/>
  <c r="AA21" i="130"/>
  <c r="AA26" i="130"/>
  <c r="AA11" i="130"/>
  <c r="AA23" i="130"/>
  <c r="AA15" i="130"/>
  <c r="AA13" i="130"/>
  <c r="AA18" i="130"/>
  <c r="Z26" i="130"/>
  <c r="Z11" i="130"/>
  <c r="Z13" i="130"/>
  <c r="Z15" i="130"/>
  <c r="Z22" i="130"/>
  <c r="Z23" i="130"/>
  <c r="Z24" i="130"/>
  <c r="Z8" i="130"/>
  <c r="Z6" i="130"/>
  <c r="Z20" i="130"/>
  <c r="Z27" i="130"/>
  <c r="Z21" i="130"/>
  <c r="Z10" i="130"/>
  <c r="Z17" i="130"/>
  <c r="Z25" i="130"/>
  <c r="B15" i="122"/>
  <c r="B28" i="122"/>
  <c r="B13" i="122"/>
  <c r="B14" i="122"/>
  <c r="B8" i="122"/>
  <c r="B21" i="122"/>
  <c r="B27" i="122"/>
  <c r="B11" i="122"/>
  <c r="B23" i="122"/>
  <c r="B22" i="122"/>
  <c r="B10" i="122"/>
  <c r="B26" i="122"/>
  <c r="B12" i="122"/>
  <c r="B18" i="122"/>
  <c r="B19" i="122"/>
  <c r="B24" i="122"/>
  <c r="B7" i="122"/>
  <c r="B9" i="122"/>
  <c r="B25" i="122"/>
  <c r="B20" i="122"/>
  <c r="B16" i="122"/>
  <c r="B5" i="122"/>
  <c r="B6" i="122"/>
  <c r="B17" i="122"/>
  <c r="B2" i="123" l="1"/>
  <c r="B4" i="123"/>
  <c r="W19" i="130"/>
  <c r="B2" i="120"/>
  <c r="B4" i="120"/>
  <c r="B4" i="86"/>
  <c r="W5" i="130"/>
  <c r="B2" i="86"/>
  <c r="B2" i="140"/>
  <c r="W23" i="130"/>
  <c r="B4" i="140"/>
  <c r="B2" i="98"/>
  <c r="W24" i="130"/>
  <c r="B4" i="98"/>
  <c r="B2" i="117"/>
  <c r="B4" i="117"/>
  <c r="W20" i="130"/>
  <c r="B2" i="116"/>
  <c r="W9" i="130"/>
  <c r="B4" i="116"/>
  <c r="B2" i="133"/>
  <c r="W7" i="130"/>
  <c r="B4" i="133"/>
  <c r="B2" i="138"/>
  <c r="B4" i="138"/>
  <c r="W17" i="130"/>
  <c r="B2" i="135"/>
  <c r="W10" i="130"/>
  <c r="B4" i="135"/>
  <c r="B2" i="134"/>
  <c r="W8" i="130"/>
  <c r="B4" i="134"/>
  <c r="B2" i="139"/>
  <c r="W22" i="130"/>
  <c r="B4" i="139"/>
  <c r="B2" i="137"/>
  <c r="B4" i="137"/>
  <c r="W18" i="130"/>
  <c r="B2" i="119"/>
  <c r="B4" i="119"/>
  <c r="W27" i="130"/>
  <c r="B2" i="124"/>
  <c r="B4" i="124"/>
  <c r="W12" i="130"/>
  <c r="B2" i="96"/>
  <c r="W16" i="130"/>
  <c r="B4" i="96"/>
  <c r="B2" i="118"/>
  <c r="W26" i="130"/>
  <c r="B4" i="118"/>
  <c r="B2" i="136"/>
  <c r="W15" i="130"/>
  <c r="B4" i="136"/>
  <c r="B2" i="99"/>
  <c r="W14" i="130"/>
  <c r="B4" i="99"/>
  <c r="B2" i="132"/>
  <c r="W6" i="130"/>
  <c r="B4" i="132"/>
  <c r="B2" i="91"/>
  <c r="B4" i="91"/>
  <c r="W13" i="130"/>
  <c r="B2" i="95"/>
  <c r="B4" i="95"/>
  <c r="W11" i="130"/>
  <c r="B2" i="97"/>
  <c r="W21" i="130"/>
  <c r="B4" i="97"/>
  <c r="B2" i="113"/>
  <c r="W25" i="130"/>
  <c r="B4" i="113"/>
  <c r="IN3" i="94"/>
  <c r="IM3" i="94"/>
  <c r="IL3" i="94"/>
  <c r="JA3" i="94"/>
  <c r="IG3" i="94"/>
  <c r="IZ3" i="94"/>
  <c r="IT3" i="94"/>
  <c r="IU3" i="94"/>
  <c r="IV3" i="94"/>
  <c r="IJ3" i="94"/>
  <c r="IK3" i="94"/>
  <c r="IY3" i="94"/>
  <c r="II3" i="94"/>
  <c r="IR3" i="94"/>
  <c r="IQ3" i="94"/>
  <c r="IS3" i="94"/>
  <c r="IX3" i="94"/>
  <c r="IH3" i="94"/>
  <c r="IF3" i="94"/>
  <c r="IW3" i="94"/>
  <c r="IE3" i="94"/>
  <c r="ID3" i="94"/>
  <c r="IO3" i="94"/>
  <c r="IP3" i="94"/>
  <c r="HP3" i="94"/>
  <c r="HO3" i="94"/>
  <c r="HN3" i="94"/>
  <c r="IC3" i="94"/>
  <c r="HI3" i="94"/>
  <c r="IB3" i="94"/>
  <c r="HV3" i="94"/>
  <c r="HW3" i="94"/>
  <c r="HX3" i="94"/>
  <c r="HL3" i="94"/>
  <c r="HM3" i="94"/>
  <c r="IA3" i="94"/>
  <c r="HK3" i="94"/>
  <c r="HT3" i="94"/>
  <c r="HS3" i="94"/>
  <c r="HU3" i="94"/>
  <c r="HZ3" i="94"/>
  <c r="HJ3" i="94"/>
  <c r="HH3" i="94"/>
  <c r="HY3" i="94"/>
  <c r="HG3" i="94"/>
  <c r="HF3" i="94"/>
  <c r="HQ3" i="94"/>
  <c r="HR3" i="94"/>
  <c r="GR3" i="94"/>
  <c r="GQ3" i="94"/>
  <c r="GP3" i="94"/>
  <c r="HE3" i="94"/>
  <c r="GK3" i="94"/>
  <c r="HD3" i="94"/>
  <c r="GX3" i="94"/>
  <c r="GY3" i="94"/>
  <c r="GZ3" i="94"/>
  <c r="GN3" i="94"/>
  <c r="GO3" i="94"/>
  <c r="HC3" i="94"/>
  <c r="GM3" i="94"/>
  <c r="GV3" i="94"/>
  <c r="GU3" i="94"/>
  <c r="GW3" i="94"/>
  <c r="HB3" i="94"/>
  <c r="GL3" i="94"/>
  <c r="GJ3" i="94"/>
  <c r="HA3" i="94"/>
  <c r="GI3" i="94"/>
  <c r="GH3" i="94"/>
  <c r="GS3" i="94"/>
  <c r="GT3" i="94"/>
  <c r="FT3" i="94"/>
  <c r="FS3" i="94"/>
  <c r="FR3" i="94"/>
  <c r="GG3" i="94"/>
  <c r="FM3" i="94"/>
  <c r="GF3" i="94"/>
  <c r="FZ3" i="94"/>
  <c r="GA3" i="94"/>
  <c r="GB3" i="94"/>
  <c r="FP3" i="94"/>
  <c r="FQ3" i="94"/>
  <c r="GE3" i="94"/>
  <c r="FO3" i="94"/>
  <c r="FX3" i="94"/>
  <c r="FW3" i="94"/>
  <c r="FY3" i="94"/>
  <c r="GD3" i="94"/>
  <c r="FN3" i="94"/>
  <c r="FL3" i="94"/>
  <c r="GC3" i="94"/>
  <c r="FK3" i="94"/>
  <c r="FJ3" i="94"/>
  <c r="FU3" i="94"/>
  <c r="FV3" i="94"/>
  <c r="EV3" i="94"/>
  <c r="EU3" i="94"/>
  <c r="ET3" i="94"/>
  <c r="FI3" i="94"/>
  <c r="EO3" i="94"/>
  <c r="FH3" i="94"/>
  <c r="FB3" i="94"/>
  <c r="FC3" i="94"/>
  <c r="FD3" i="94"/>
  <c r="ER3" i="94"/>
  <c r="ES3" i="94"/>
  <c r="FG3" i="94"/>
  <c r="EQ3" i="94"/>
  <c r="EZ3" i="94"/>
  <c r="EY3" i="94"/>
  <c r="FA3" i="94"/>
  <c r="FF3" i="94"/>
  <c r="EP3" i="94"/>
  <c r="EN3" i="94"/>
  <c r="FE3" i="94"/>
  <c r="EM3" i="94"/>
  <c r="EL3" i="94"/>
  <c r="EW3" i="94"/>
  <c r="EX3" i="94"/>
  <c r="DX3" i="94"/>
  <c r="DW3" i="94"/>
  <c r="DV3" i="94"/>
  <c r="EK3" i="94"/>
  <c r="DQ3" i="94"/>
  <c r="EJ3" i="94"/>
  <c r="ED3" i="94"/>
  <c r="EE3" i="94"/>
  <c r="EF3" i="94"/>
  <c r="DT3" i="94"/>
  <c r="DU3" i="94"/>
  <c r="EI3" i="94"/>
  <c r="DS3" i="94"/>
  <c r="EB3" i="94"/>
  <c r="EA3" i="94"/>
  <c r="EC3" i="94"/>
  <c r="EH3" i="94"/>
  <c r="DR3" i="94"/>
  <c r="DP3" i="94"/>
  <c r="EG3" i="94"/>
  <c r="DO3" i="94"/>
  <c r="DN3" i="94"/>
  <c r="DY3" i="94"/>
  <c r="DZ3" i="94"/>
  <c r="CZ3" i="94"/>
  <c r="CY3" i="94"/>
  <c r="CX3" i="94"/>
  <c r="DM3" i="94"/>
  <c r="CS3" i="94"/>
  <c r="DL3" i="94"/>
  <c r="DF3" i="94"/>
  <c r="DG3" i="94"/>
  <c r="DH3" i="94"/>
  <c r="CV3" i="94"/>
  <c r="CW3" i="94"/>
  <c r="DK3" i="94"/>
  <c r="CU3" i="94"/>
  <c r="DD3" i="94"/>
  <c r="DC3" i="94"/>
  <c r="DE3" i="94"/>
  <c r="DJ3" i="94"/>
  <c r="CT3" i="94"/>
  <c r="CR3" i="94"/>
  <c r="DI3" i="94"/>
  <c r="CQ3" i="94"/>
  <c r="CP3" i="94"/>
  <c r="DA3" i="94"/>
  <c r="DB3" i="94"/>
  <c r="CB3" i="94"/>
  <c r="CA3" i="94"/>
  <c r="BZ3" i="94"/>
  <c r="CO3" i="94"/>
  <c r="BU3" i="94"/>
  <c r="CN3" i="94"/>
  <c r="CH3" i="94"/>
  <c r="CI3" i="94"/>
  <c r="CJ3" i="94"/>
  <c r="BX3" i="94"/>
  <c r="BY3" i="94"/>
  <c r="CM3" i="94"/>
  <c r="BW3" i="94"/>
  <c r="CF3" i="94"/>
  <c r="CE3" i="94"/>
  <c r="CG3" i="94"/>
  <c r="CL3" i="94"/>
  <c r="BV3" i="94"/>
  <c r="BT3" i="94"/>
  <c r="CK3" i="94"/>
  <c r="BS3" i="94"/>
  <c r="BR3" i="94"/>
  <c r="CC3" i="94"/>
  <c r="CD3" i="94"/>
  <c r="BD3" i="94"/>
  <c r="BC3" i="94"/>
  <c r="BB3" i="94"/>
  <c r="BQ3" i="94"/>
  <c r="AW3" i="94"/>
  <c r="BP3" i="94"/>
  <c r="BJ3" i="94"/>
  <c r="BK3" i="94"/>
  <c r="BL3" i="94"/>
  <c r="AZ3" i="94"/>
  <c r="BA3" i="94"/>
  <c r="BO3" i="94"/>
  <c r="AY3" i="94"/>
  <c r="BH3" i="94"/>
  <c r="BG3" i="94"/>
  <c r="BI3" i="94"/>
  <c r="BN3" i="94"/>
  <c r="AX3" i="94"/>
  <c r="AV3" i="94"/>
  <c r="BM3" i="94"/>
  <c r="AU3" i="94"/>
  <c r="AT3" i="94"/>
  <c r="BE3" i="94"/>
  <c r="BF3" i="94"/>
  <c r="F19" i="143"/>
  <c r="F18" i="143"/>
  <c r="F16" i="143"/>
  <c r="F15" i="143"/>
  <c r="F14" i="143"/>
  <c r="F13" i="143"/>
  <c r="F12" i="143"/>
  <c r="F11" i="143"/>
  <c r="F10" i="143"/>
  <c r="F9" i="143"/>
  <c r="F22" i="143" s="1"/>
  <c r="F45" i="142" s="1"/>
  <c r="G45" i="142" s="1"/>
  <c r="F10" i="94" l="1"/>
  <c r="F28" i="94"/>
  <c r="F19" i="94"/>
  <c r="F20" i="143"/>
  <c r="F21" i="143" s="1"/>
  <c r="D15" i="141"/>
  <c r="X11" i="141"/>
  <c r="X10" i="141"/>
  <c r="X12" i="141" s="1"/>
  <c r="X9" i="141"/>
  <c r="V11" i="141"/>
  <c r="V10" i="141"/>
  <c r="V9" i="141"/>
  <c r="T11" i="141"/>
  <c r="T10" i="141"/>
  <c r="T9" i="141"/>
  <c r="G15" i="141"/>
  <c r="Q11" i="141"/>
  <c r="Q10" i="141"/>
  <c r="Q9" i="141"/>
  <c r="R13" i="141"/>
  <c r="AA12" i="141"/>
  <c r="L13" i="141"/>
  <c r="D9" i="141"/>
  <c r="E9" i="141"/>
  <c r="F9" i="141"/>
  <c r="G9" i="141"/>
  <c r="H9" i="141"/>
  <c r="I9" i="141"/>
  <c r="J9" i="141"/>
  <c r="K9" i="141"/>
  <c r="M9" i="141"/>
  <c r="N9" i="141"/>
  <c r="O9" i="141"/>
  <c r="L12" i="141"/>
  <c r="N12" i="141"/>
  <c r="O11" i="141"/>
  <c r="O13" i="141" s="1"/>
  <c r="O10" i="141"/>
  <c r="N11" i="141"/>
  <c r="N10" i="141"/>
  <c r="M11" i="141"/>
  <c r="M10" i="141"/>
  <c r="K11" i="141"/>
  <c r="K10" i="141"/>
  <c r="K12" i="141" s="1"/>
  <c r="J11" i="141"/>
  <c r="J10" i="141"/>
  <c r="I11" i="141"/>
  <c r="I10" i="141"/>
  <c r="H11" i="141"/>
  <c r="H10" i="141"/>
  <c r="G11" i="141"/>
  <c r="G10" i="141"/>
  <c r="F11" i="141"/>
  <c r="F10" i="141"/>
  <c r="F13" i="141" s="1"/>
  <c r="E11" i="141"/>
  <c r="E10" i="141"/>
  <c r="D11" i="141"/>
  <c r="D10" i="141"/>
  <c r="D13" i="141" s="1"/>
  <c r="F3" i="141"/>
  <c r="N13" i="141" l="1"/>
  <c r="K13" i="141"/>
  <c r="J12" i="141"/>
  <c r="D12" i="141"/>
  <c r="M13" i="141"/>
  <c r="J13" i="141"/>
  <c r="G13" i="141"/>
  <c r="H12" i="141"/>
  <c r="E13" i="141"/>
  <c r="I12" i="141"/>
  <c r="G12" i="141"/>
  <c r="F12" i="141"/>
  <c r="E12" i="141"/>
  <c r="I13" i="141"/>
  <c r="H13" i="141"/>
  <c r="X13" i="141"/>
  <c r="V12" i="141"/>
  <c r="T12" i="141"/>
  <c r="S13" i="141"/>
  <c r="W12" i="141"/>
  <c r="Y13" i="141"/>
  <c r="Z13" i="141"/>
  <c r="AA13" i="141"/>
  <c r="U13" i="141"/>
  <c r="U12" i="141"/>
  <c r="Q13" i="141"/>
  <c r="P13" i="141"/>
  <c r="P12" i="141"/>
  <c r="M12" i="141"/>
  <c r="O12" i="141"/>
  <c r="T13" i="141"/>
  <c r="Q12" i="141"/>
  <c r="Y12" i="141"/>
  <c r="R12" i="141"/>
  <c r="Z12" i="141"/>
  <c r="V13" i="141"/>
  <c r="S12" i="141"/>
  <c r="W13" i="141"/>
  <c r="F15" i="141" l="1"/>
  <c r="E15" i="141"/>
  <c r="H24" i="94" l="1"/>
  <c r="H25" i="94"/>
  <c r="AK23" i="94"/>
  <c r="AK24" i="94"/>
  <c r="AK25" i="94"/>
  <c r="AK26" i="94"/>
  <c r="AK27" i="94"/>
  <c r="AI23" i="94"/>
  <c r="AI24" i="94"/>
  <c r="AI25" i="94"/>
  <c r="H26" i="94"/>
  <c r="AI27" i="94"/>
  <c r="AN23" i="94"/>
  <c r="AN24" i="94"/>
  <c r="AN25" i="94"/>
  <c r="AN26" i="94"/>
  <c r="AN27" i="94"/>
  <c r="AM23" i="94"/>
  <c r="AM24" i="94"/>
  <c r="AM25" i="94"/>
  <c r="AM26" i="94"/>
  <c r="AM27" i="94"/>
  <c r="H23" i="94"/>
  <c r="EC23" i="94"/>
  <c r="EA23" i="94"/>
  <c r="EB23" i="94"/>
  <c r="EF23" i="94"/>
  <c r="EE23" i="94"/>
  <c r="ED23" i="94"/>
  <c r="EJ23" i="94"/>
  <c r="EC24" i="94"/>
  <c r="EA24" i="94"/>
  <c r="EB24" i="94"/>
  <c r="EF24" i="94"/>
  <c r="EE24" i="94"/>
  <c r="ED24" i="94"/>
  <c r="EJ24" i="94"/>
  <c r="EC25" i="94"/>
  <c r="EA25" i="94"/>
  <c r="EB25" i="94"/>
  <c r="EF25" i="94"/>
  <c r="EE25" i="94"/>
  <c r="ED25" i="94"/>
  <c r="EJ25" i="94"/>
  <c r="EC26" i="94"/>
  <c r="EF26" i="94"/>
  <c r="EE26" i="94"/>
  <c r="ED26" i="94"/>
  <c r="EJ26" i="94"/>
  <c r="EC27" i="94"/>
  <c r="EA27" i="94"/>
  <c r="EF27" i="94"/>
  <c r="EE27" i="94"/>
  <c r="ED27" i="94"/>
  <c r="EJ27" i="94"/>
  <c r="H27" i="94"/>
  <c r="H5" i="94"/>
  <c r="AK5" i="94"/>
  <c r="AK6" i="94"/>
  <c r="AK7" i="94"/>
  <c r="AK9" i="94"/>
  <c r="AI5" i="94"/>
  <c r="AI7" i="94"/>
  <c r="AI8" i="94"/>
  <c r="AI9" i="94"/>
  <c r="AN5" i="94"/>
  <c r="AN6" i="94"/>
  <c r="AN7" i="94"/>
  <c r="AN8" i="94"/>
  <c r="AN9" i="94"/>
  <c r="AM5" i="94"/>
  <c r="AM6" i="94"/>
  <c r="AM7" i="94"/>
  <c r="AM8" i="94"/>
  <c r="AM9" i="94"/>
  <c r="H14" i="94"/>
  <c r="AK14" i="94"/>
  <c r="AK15" i="94"/>
  <c r="AK16" i="94"/>
  <c r="AK17" i="94"/>
  <c r="AK18" i="94"/>
  <c r="AI14" i="94"/>
  <c r="AI15" i="94"/>
  <c r="H16" i="94"/>
  <c r="AI17" i="94"/>
  <c r="AI18" i="94"/>
  <c r="H17" i="94"/>
  <c r="JS17" i="94" s="1"/>
  <c r="D21" i="145" s="1"/>
  <c r="E21" i="145" s="1"/>
  <c r="AN14" i="94"/>
  <c r="AN15" i="94"/>
  <c r="AN16" i="94"/>
  <c r="AN17" i="94"/>
  <c r="AN18" i="94"/>
  <c r="AM14" i="94"/>
  <c r="AM15" i="94"/>
  <c r="AM16" i="94"/>
  <c r="AM17" i="94"/>
  <c r="AM18" i="94"/>
  <c r="P41" i="94"/>
  <c r="P42" i="94"/>
  <c r="P43" i="94"/>
  <c r="P44" i="94"/>
  <c r="P45" i="94"/>
  <c r="P46" i="94"/>
  <c r="P47" i="94"/>
  <c r="P48" i="94"/>
  <c r="P49" i="94"/>
  <c r="P50" i="94"/>
  <c r="P51" i="94"/>
  <c r="P52" i="94"/>
  <c r="P53" i="94"/>
  <c r="P54" i="94"/>
  <c r="P55" i="94"/>
  <c r="P56" i="94"/>
  <c r="P57" i="94"/>
  <c r="P58" i="94"/>
  <c r="FY23" i="94"/>
  <c r="FW23" i="94"/>
  <c r="FX23" i="94"/>
  <c r="GB23" i="94"/>
  <c r="GA23" i="94"/>
  <c r="FZ23" i="94"/>
  <c r="GF23" i="94"/>
  <c r="FY24" i="94"/>
  <c r="FW24" i="94"/>
  <c r="FX24" i="94"/>
  <c r="GB24" i="94"/>
  <c r="GA24" i="94"/>
  <c r="FZ24" i="94"/>
  <c r="GF24" i="94"/>
  <c r="FY25" i="94"/>
  <c r="FW25" i="94"/>
  <c r="FX25" i="94"/>
  <c r="GB25" i="94"/>
  <c r="GA25" i="94"/>
  <c r="FZ25" i="94"/>
  <c r="GF25" i="94"/>
  <c r="FY26" i="94"/>
  <c r="GB26" i="94"/>
  <c r="GA26" i="94"/>
  <c r="FZ26" i="94"/>
  <c r="GF26" i="94"/>
  <c r="FY27" i="94"/>
  <c r="FW27" i="94"/>
  <c r="GB27" i="94"/>
  <c r="GA27" i="94"/>
  <c r="FZ27" i="94"/>
  <c r="GF27" i="94"/>
  <c r="E19" i="94"/>
  <c r="E28" i="94"/>
  <c r="FA23" i="94"/>
  <c r="EY23" i="94"/>
  <c r="EZ23" i="94"/>
  <c r="FD23" i="94"/>
  <c r="FC23" i="94"/>
  <c r="FB23" i="94"/>
  <c r="FH23" i="94"/>
  <c r="FA24" i="94"/>
  <c r="EY24" i="94"/>
  <c r="EZ24" i="94"/>
  <c r="FD24" i="94"/>
  <c r="FC24" i="94"/>
  <c r="FB24" i="94"/>
  <c r="FH24" i="94"/>
  <c r="FA25" i="94"/>
  <c r="EY25" i="94"/>
  <c r="EZ25" i="94"/>
  <c r="FD25" i="94"/>
  <c r="FC25" i="94"/>
  <c r="FB25" i="94"/>
  <c r="FH25" i="94"/>
  <c r="FA26" i="94"/>
  <c r="FD26" i="94"/>
  <c r="FC26" i="94"/>
  <c r="FB26" i="94"/>
  <c r="FH26" i="94"/>
  <c r="FA27" i="94"/>
  <c r="EY27" i="94"/>
  <c r="FD27" i="94"/>
  <c r="FC27" i="94"/>
  <c r="FB27" i="94"/>
  <c r="FH27" i="94"/>
  <c r="IS23" i="94"/>
  <c r="IQ23" i="94"/>
  <c r="IR23" i="94"/>
  <c r="IV23" i="94"/>
  <c r="IU23" i="94"/>
  <c r="IT23" i="94"/>
  <c r="IZ23" i="94"/>
  <c r="IS24" i="94"/>
  <c r="IQ24" i="94"/>
  <c r="IR24" i="94"/>
  <c r="IV24" i="94"/>
  <c r="IU24" i="94"/>
  <c r="IT24" i="94"/>
  <c r="IZ24" i="94"/>
  <c r="IS25" i="94"/>
  <c r="IQ25" i="94"/>
  <c r="IR25" i="94"/>
  <c r="IV25" i="94"/>
  <c r="IU25" i="94"/>
  <c r="IT25" i="94"/>
  <c r="IZ25" i="94"/>
  <c r="IS26" i="94"/>
  <c r="IR26" i="94"/>
  <c r="IV26" i="94"/>
  <c r="IU26" i="94"/>
  <c r="IT26" i="94"/>
  <c r="IZ26" i="94"/>
  <c r="IS27" i="94"/>
  <c r="IQ27" i="94"/>
  <c r="IV27" i="94"/>
  <c r="IU27" i="94"/>
  <c r="IT27" i="94"/>
  <c r="IZ27" i="94"/>
  <c r="HU23" i="94"/>
  <c r="HS23" i="94"/>
  <c r="HT23" i="94"/>
  <c r="HX23" i="94"/>
  <c r="HW23" i="94"/>
  <c r="HV23" i="94"/>
  <c r="IB23" i="94"/>
  <c r="HU24" i="94"/>
  <c r="HS24" i="94"/>
  <c r="HT24" i="94"/>
  <c r="HX24" i="94"/>
  <c r="HW24" i="94"/>
  <c r="HV24" i="94"/>
  <c r="IB24" i="94"/>
  <c r="HU25" i="94"/>
  <c r="HS25" i="94"/>
  <c r="HT25" i="94"/>
  <c r="HX25" i="94"/>
  <c r="HW25" i="94"/>
  <c r="HV25" i="94"/>
  <c r="IB25" i="94"/>
  <c r="HU26" i="94"/>
  <c r="HT26" i="94"/>
  <c r="HX26" i="94"/>
  <c r="HW26" i="94"/>
  <c r="HV26" i="94"/>
  <c r="IB26" i="94"/>
  <c r="HU27" i="94"/>
  <c r="HS27" i="94"/>
  <c r="HX27" i="94"/>
  <c r="HW27" i="94"/>
  <c r="HV27" i="94"/>
  <c r="IB27" i="94"/>
  <c r="DE23" i="94"/>
  <c r="DC23" i="94"/>
  <c r="DD23" i="94"/>
  <c r="DH23" i="94"/>
  <c r="DG23" i="94"/>
  <c r="DF23" i="94"/>
  <c r="DL23" i="94"/>
  <c r="DE24" i="94"/>
  <c r="DC24" i="94"/>
  <c r="DD24" i="94"/>
  <c r="DH24" i="94"/>
  <c r="DG24" i="94"/>
  <c r="DF24" i="94"/>
  <c r="DL24" i="94"/>
  <c r="DE25" i="94"/>
  <c r="DC25" i="94"/>
  <c r="DD25" i="94"/>
  <c r="DH25" i="94"/>
  <c r="DG25" i="94"/>
  <c r="DF25" i="94"/>
  <c r="DL25" i="94"/>
  <c r="DE26" i="94"/>
  <c r="DC26" i="94"/>
  <c r="DD26" i="94"/>
  <c r="DH26" i="94"/>
  <c r="DG26" i="94"/>
  <c r="DF26" i="94"/>
  <c r="DL26" i="94"/>
  <c r="DE27" i="94"/>
  <c r="DC27" i="94"/>
  <c r="DD27" i="94"/>
  <c r="DH27" i="94"/>
  <c r="DG27" i="94"/>
  <c r="DF27" i="94"/>
  <c r="DL27" i="94"/>
  <c r="CG23" i="94"/>
  <c r="CE23" i="94"/>
  <c r="CF23" i="94"/>
  <c r="CJ23" i="94"/>
  <c r="CI23" i="94"/>
  <c r="CH23" i="94"/>
  <c r="CN23" i="94"/>
  <c r="CG24" i="94"/>
  <c r="CE24" i="94"/>
  <c r="CF24" i="94"/>
  <c r="CJ24" i="94"/>
  <c r="CI24" i="94"/>
  <c r="CH24" i="94"/>
  <c r="CN24" i="94"/>
  <c r="CG25" i="94"/>
  <c r="CE25" i="94"/>
  <c r="CF25" i="94"/>
  <c r="CJ25" i="94"/>
  <c r="CI25" i="94"/>
  <c r="CH25" i="94"/>
  <c r="CN25" i="94"/>
  <c r="CG26" i="94"/>
  <c r="CJ26" i="94"/>
  <c r="CI26" i="94"/>
  <c r="CH26" i="94"/>
  <c r="CN26" i="94"/>
  <c r="CG27" i="94"/>
  <c r="CE27" i="94"/>
  <c r="CJ27" i="94"/>
  <c r="CI27" i="94"/>
  <c r="CH27" i="94"/>
  <c r="CN27" i="94"/>
  <c r="EC14" i="94"/>
  <c r="EA14" i="94"/>
  <c r="EB14" i="94"/>
  <c r="EF14" i="94"/>
  <c r="EE14" i="94"/>
  <c r="ED14" i="94"/>
  <c r="EJ14" i="94"/>
  <c r="H15" i="94"/>
  <c r="EC15" i="94"/>
  <c r="EA15" i="94"/>
  <c r="EB15" i="94"/>
  <c r="EF15" i="94"/>
  <c r="EE15" i="94"/>
  <c r="ED15" i="94"/>
  <c r="EJ15" i="94"/>
  <c r="EC16" i="94"/>
  <c r="EF16" i="94"/>
  <c r="EE16" i="94"/>
  <c r="ED16" i="94"/>
  <c r="EJ16" i="94"/>
  <c r="EC17" i="94"/>
  <c r="EA17" i="94"/>
  <c r="EB17" i="94"/>
  <c r="EF17" i="94"/>
  <c r="EC18" i="94"/>
  <c r="EA18" i="94"/>
  <c r="EB18" i="94"/>
  <c r="EF18" i="94"/>
  <c r="EE18" i="94"/>
  <c r="ED18" i="94"/>
  <c r="EJ18" i="94"/>
  <c r="FY14" i="94"/>
  <c r="FW14" i="94"/>
  <c r="FX14" i="94"/>
  <c r="GB14" i="94"/>
  <c r="GA14" i="94"/>
  <c r="FZ14" i="94"/>
  <c r="GF14" i="94"/>
  <c r="FY15" i="94"/>
  <c r="FW15" i="94"/>
  <c r="FX15" i="94"/>
  <c r="GB15" i="94"/>
  <c r="GA15" i="94"/>
  <c r="FZ15" i="94"/>
  <c r="GF15" i="94"/>
  <c r="FY16" i="94"/>
  <c r="GB16" i="94"/>
  <c r="GA16" i="94"/>
  <c r="FZ16" i="94"/>
  <c r="GF16" i="94"/>
  <c r="FY17" i="94"/>
  <c r="FW17" i="94"/>
  <c r="FX17" i="94"/>
  <c r="GB17" i="94"/>
  <c r="FZ17" i="94"/>
  <c r="FY18" i="94"/>
  <c r="FW18" i="94"/>
  <c r="FX18" i="94"/>
  <c r="GB18" i="94"/>
  <c r="GA18" i="94"/>
  <c r="FZ18" i="94"/>
  <c r="GF18" i="94"/>
  <c r="FA14" i="94"/>
  <c r="EY14" i="94"/>
  <c r="EZ14" i="94"/>
  <c r="FD14" i="94"/>
  <c r="FC14" i="94"/>
  <c r="FB14" i="94"/>
  <c r="FH14" i="94"/>
  <c r="FA15" i="94"/>
  <c r="EY15" i="94"/>
  <c r="EZ15" i="94"/>
  <c r="FD15" i="94"/>
  <c r="FC15" i="94"/>
  <c r="FB15" i="94"/>
  <c r="FH15" i="94"/>
  <c r="FA16" i="94"/>
  <c r="FD16" i="94"/>
  <c r="FC16" i="94"/>
  <c r="FB16" i="94"/>
  <c r="FH16" i="94"/>
  <c r="FA17" i="94"/>
  <c r="EY17" i="94"/>
  <c r="EZ17" i="94"/>
  <c r="FD17" i="94"/>
  <c r="FC17" i="94"/>
  <c r="FB17" i="94"/>
  <c r="FA18" i="94"/>
  <c r="EY18" i="94"/>
  <c r="EZ18" i="94"/>
  <c r="FD18" i="94"/>
  <c r="FC18" i="94"/>
  <c r="FB18" i="94"/>
  <c r="FH18" i="94"/>
  <c r="IS14" i="94"/>
  <c r="IQ14" i="94"/>
  <c r="IR14" i="94"/>
  <c r="IV14" i="94"/>
  <c r="IU14" i="94"/>
  <c r="IT14" i="94"/>
  <c r="IZ14" i="94"/>
  <c r="IS15" i="94"/>
  <c r="IQ15" i="94"/>
  <c r="IR15" i="94"/>
  <c r="IV15" i="94"/>
  <c r="IU15" i="94"/>
  <c r="IT15" i="94"/>
  <c r="IZ15" i="94"/>
  <c r="IS16" i="94"/>
  <c r="IR16" i="94"/>
  <c r="IV16" i="94"/>
  <c r="IU16" i="94"/>
  <c r="IT16" i="94"/>
  <c r="IZ16" i="94"/>
  <c r="IS17" i="94"/>
  <c r="IQ17" i="94"/>
  <c r="IR17" i="94"/>
  <c r="IV17" i="94"/>
  <c r="IT17" i="94"/>
  <c r="IZ17" i="94"/>
  <c r="IS18" i="94"/>
  <c r="IQ18" i="94"/>
  <c r="IR18" i="94"/>
  <c r="IV18" i="94"/>
  <c r="IU18" i="94"/>
  <c r="IT18" i="94"/>
  <c r="IZ18" i="94"/>
  <c r="HU14" i="94"/>
  <c r="HS14" i="94"/>
  <c r="HT14" i="94"/>
  <c r="HX14" i="94"/>
  <c r="HW14" i="94"/>
  <c r="HV14" i="94"/>
  <c r="IB14" i="94"/>
  <c r="HU15" i="94"/>
  <c r="HS15" i="94"/>
  <c r="HT15" i="94"/>
  <c r="HX15" i="94"/>
  <c r="HW15" i="94"/>
  <c r="HV15" i="94"/>
  <c r="IB15" i="94"/>
  <c r="HU16" i="94"/>
  <c r="HT16" i="94"/>
  <c r="HX16" i="94"/>
  <c r="HW16" i="94"/>
  <c r="HV16" i="94"/>
  <c r="IB16" i="94"/>
  <c r="HU17" i="94"/>
  <c r="HS17" i="94"/>
  <c r="HT17" i="94"/>
  <c r="HX17" i="94"/>
  <c r="HV17" i="94"/>
  <c r="IB17" i="94"/>
  <c r="HU18" i="94"/>
  <c r="HS18" i="94"/>
  <c r="HT18" i="94"/>
  <c r="HX18" i="94"/>
  <c r="HW18" i="94"/>
  <c r="HV18" i="94"/>
  <c r="IB18" i="94"/>
  <c r="DE14" i="94"/>
  <c r="DC14" i="94"/>
  <c r="DD14" i="94"/>
  <c r="DH14" i="94"/>
  <c r="DG14" i="94"/>
  <c r="DF14" i="94"/>
  <c r="DL14" i="94"/>
  <c r="DE15" i="94"/>
  <c r="DC15" i="94"/>
  <c r="DD15" i="94"/>
  <c r="DH15" i="94"/>
  <c r="DG15" i="94"/>
  <c r="DF15" i="94"/>
  <c r="DL15" i="94"/>
  <c r="DE16" i="94"/>
  <c r="DC16" i="94"/>
  <c r="DD16" i="94"/>
  <c r="DH16" i="94"/>
  <c r="DG16" i="94"/>
  <c r="DF16" i="94"/>
  <c r="DL16" i="94"/>
  <c r="DE17" i="94"/>
  <c r="DC17" i="94"/>
  <c r="DD17" i="94"/>
  <c r="DH17" i="94"/>
  <c r="DF17" i="94"/>
  <c r="DL17" i="94"/>
  <c r="DE18" i="94"/>
  <c r="DC18" i="94"/>
  <c r="DD18" i="94"/>
  <c r="DH18" i="94"/>
  <c r="DG18" i="94"/>
  <c r="DF18" i="94"/>
  <c r="DL18" i="94"/>
  <c r="CG14" i="94"/>
  <c r="CE14" i="94"/>
  <c r="CF14" i="94"/>
  <c r="CJ14" i="94"/>
  <c r="CI14" i="94"/>
  <c r="CH14" i="94"/>
  <c r="CN14" i="94"/>
  <c r="CG15" i="94"/>
  <c r="CE15" i="94"/>
  <c r="CF15" i="94"/>
  <c r="CJ15" i="94"/>
  <c r="CI15" i="94"/>
  <c r="CH15" i="94"/>
  <c r="CN15" i="94"/>
  <c r="CG16" i="94"/>
  <c r="CJ16" i="94"/>
  <c r="CI16" i="94"/>
  <c r="CH16" i="94"/>
  <c r="CN16" i="94"/>
  <c r="CG17" i="94"/>
  <c r="CE17" i="94"/>
  <c r="CF17" i="94"/>
  <c r="CJ17" i="94"/>
  <c r="CG18" i="94"/>
  <c r="CE18" i="94"/>
  <c r="CF18" i="94"/>
  <c r="CJ18" i="94"/>
  <c r="CI18" i="94"/>
  <c r="CH18" i="94"/>
  <c r="CN18" i="94"/>
  <c r="EA5" i="94"/>
  <c r="EB5" i="94"/>
  <c r="EF5" i="94"/>
  <c r="ED5" i="94"/>
  <c r="EJ5" i="94"/>
  <c r="EC6" i="94"/>
  <c r="H6" i="94"/>
  <c r="EF6" i="94"/>
  <c r="EE6" i="94"/>
  <c r="EC7" i="94"/>
  <c r="EA7" i="94"/>
  <c r="EB7" i="94"/>
  <c r="EF7" i="94"/>
  <c r="EJ7" i="94"/>
  <c r="EA8" i="94"/>
  <c r="EB8" i="94"/>
  <c r="EE8" i="94"/>
  <c r="ED8" i="94"/>
  <c r="EC9" i="94"/>
  <c r="EA9" i="94"/>
  <c r="EB9" i="94"/>
  <c r="EF9" i="94"/>
  <c r="EE9" i="94"/>
  <c r="ED9" i="94"/>
  <c r="EJ9" i="94"/>
  <c r="GU5" i="94"/>
  <c r="GV5" i="94"/>
  <c r="GZ5" i="94"/>
  <c r="GX5" i="94"/>
  <c r="HD5" i="94"/>
  <c r="GW6" i="94"/>
  <c r="GZ6" i="94"/>
  <c r="GY6" i="94"/>
  <c r="GW7" i="94"/>
  <c r="GU7" i="94"/>
  <c r="GV7" i="94"/>
  <c r="GZ7" i="94"/>
  <c r="HD7" i="94"/>
  <c r="GU8" i="94"/>
  <c r="GV8" i="94"/>
  <c r="GY8" i="94"/>
  <c r="GX8" i="94"/>
  <c r="GW9" i="94"/>
  <c r="GU9" i="94"/>
  <c r="GV9" i="94"/>
  <c r="GZ9" i="94"/>
  <c r="GY9" i="94"/>
  <c r="GX9" i="94"/>
  <c r="HD9" i="94"/>
  <c r="FW5" i="94"/>
  <c r="FX5" i="94"/>
  <c r="GB5" i="94"/>
  <c r="FZ5" i="94"/>
  <c r="GF5" i="94"/>
  <c r="FY6" i="94"/>
  <c r="GB6" i="94"/>
  <c r="GA6" i="94"/>
  <c r="FY7" i="94"/>
  <c r="FW7" i="94"/>
  <c r="FX7" i="94"/>
  <c r="GB7" i="94"/>
  <c r="GF7" i="94"/>
  <c r="FW8" i="94"/>
  <c r="FX8" i="94"/>
  <c r="GA8" i="94"/>
  <c r="FZ8" i="94"/>
  <c r="FY9" i="94"/>
  <c r="FW9" i="94"/>
  <c r="FX9" i="94"/>
  <c r="GB9" i="94"/>
  <c r="GA9" i="94"/>
  <c r="FZ9" i="94"/>
  <c r="GF9" i="94"/>
  <c r="EY5" i="94"/>
  <c r="EZ5" i="94"/>
  <c r="FD5" i="94"/>
  <c r="FB5" i="94"/>
  <c r="FH5" i="94"/>
  <c r="FA6" i="94"/>
  <c r="FD6" i="94"/>
  <c r="FC6" i="94"/>
  <c r="FA7" i="94"/>
  <c r="EY7" i="94"/>
  <c r="EZ7" i="94"/>
  <c r="FD7" i="94"/>
  <c r="FH7" i="94"/>
  <c r="EY8" i="94"/>
  <c r="EZ8" i="94"/>
  <c r="FC8" i="94"/>
  <c r="FB8" i="94"/>
  <c r="FA9" i="94"/>
  <c r="EY9" i="94"/>
  <c r="EZ9" i="94"/>
  <c r="FD9" i="94"/>
  <c r="FC9" i="94"/>
  <c r="FB9" i="94"/>
  <c r="FH9" i="94"/>
  <c r="IS5" i="94"/>
  <c r="IQ5" i="94"/>
  <c r="IR5" i="94"/>
  <c r="IV5" i="94"/>
  <c r="IU5" i="94"/>
  <c r="IT5" i="94"/>
  <c r="IZ5" i="94"/>
  <c r="IS6" i="94"/>
  <c r="IV6" i="94"/>
  <c r="IU6" i="94"/>
  <c r="IT6" i="94"/>
  <c r="IS7" i="94"/>
  <c r="IQ7" i="94"/>
  <c r="IR7" i="94"/>
  <c r="IV7" i="94"/>
  <c r="IU7" i="94"/>
  <c r="IT7" i="94"/>
  <c r="IZ7" i="94"/>
  <c r="IQ8" i="94"/>
  <c r="IR8" i="94"/>
  <c r="IV8" i="94"/>
  <c r="IU8" i="94"/>
  <c r="IT8" i="94"/>
  <c r="IZ8" i="94"/>
  <c r="IS9" i="94"/>
  <c r="IQ9" i="94"/>
  <c r="IR9" i="94"/>
  <c r="IV9" i="94"/>
  <c r="IU9" i="94"/>
  <c r="IT9" i="94"/>
  <c r="IZ9" i="94"/>
  <c r="HU5" i="94"/>
  <c r="HS5" i="94"/>
  <c r="HT5" i="94"/>
  <c r="HX5" i="94"/>
  <c r="HW5" i="94"/>
  <c r="HV5" i="94"/>
  <c r="IB5" i="94"/>
  <c r="HU6" i="94"/>
  <c r="HS6" i="94"/>
  <c r="HX6" i="94"/>
  <c r="HW6" i="94"/>
  <c r="HV6" i="94"/>
  <c r="HU7" i="94"/>
  <c r="HS7" i="94"/>
  <c r="HT7" i="94"/>
  <c r="HX7" i="94"/>
  <c r="HW7" i="94"/>
  <c r="IB7" i="94"/>
  <c r="HS8" i="94"/>
  <c r="HT8" i="94"/>
  <c r="HX8" i="94"/>
  <c r="HW8" i="94"/>
  <c r="HV8" i="94"/>
  <c r="IB8" i="94"/>
  <c r="HU9" i="94"/>
  <c r="HS9" i="94"/>
  <c r="HT9" i="94"/>
  <c r="HX9" i="94"/>
  <c r="HW9" i="94"/>
  <c r="HV9" i="94"/>
  <c r="IB9" i="94"/>
  <c r="DE5" i="94"/>
  <c r="DC5" i="94"/>
  <c r="DD5" i="94"/>
  <c r="DH5" i="94"/>
  <c r="DG5" i="94"/>
  <c r="DF5" i="94"/>
  <c r="DL5" i="94"/>
  <c r="DE6" i="94"/>
  <c r="DC6" i="94"/>
  <c r="DD6" i="94"/>
  <c r="DH6" i="94"/>
  <c r="DG6" i="94"/>
  <c r="DF6" i="94"/>
  <c r="DL6" i="94"/>
  <c r="DE7" i="94"/>
  <c r="DC7" i="94"/>
  <c r="DD7" i="94"/>
  <c r="DH7" i="94"/>
  <c r="DG7" i="94"/>
  <c r="DL7" i="94"/>
  <c r="DC8" i="94"/>
  <c r="DD8" i="94"/>
  <c r="DH8" i="94"/>
  <c r="DG8" i="94"/>
  <c r="DF8" i="94"/>
  <c r="DL8" i="94"/>
  <c r="DE9" i="94"/>
  <c r="DC9" i="94"/>
  <c r="DD9" i="94"/>
  <c r="DH9" i="94"/>
  <c r="DG9" i="94"/>
  <c r="DF9" i="94"/>
  <c r="DL9" i="94"/>
  <c r="CE5" i="94"/>
  <c r="CF5" i="94"/>
  <c r="CJ5" i="94"/>
  <c r="CH5" i="94"/>
  <c r="CN5" i="94"/>
  <c r="CG6" i="94"/>
  <c r="CJ6" i="94"/>
  <c r="CI6" i="94"/>
  <c r="CG7" i="94"/>
  <c r="CE7" i="94"/>
  <c r="CF7" i="94"/>
  <c r="CJ7" i="94"/>
  <c r="CN7" i="94"/>
  <c r="CE8" i="94"/>
  <c r="CF8" i="94"/>
  <c r="CI8" i="94"/>
  <c r="CH8" i="94"/>
  <c r="CG9" i="94"/>
  <c r="CE9" i="94"/>
  <c r="CF9" i="94"/>
  <c r="CJ9" i="94"/>
  <c r="CI9" i="94"/>
  <c r="CH9" i="94"/>
  <c r="CN9" i="94"/>
  <c r="D4" i="132"/>
  <c r="D4" i="135"/>
  <c r="D4" i="137"/>
  <c r="D4" i="123"/>
  <c r="D4" i="134"/>
  <c r="D4" i="133"/>
  <c r="D4" i="140"/>
  <c r="D4" i="139"/>
  <c r="BP27" i="94"/>
  <c r="BJ27" i="94"/>
  <c r="BK27" i="94"/>
  <c r="BL27" i="94"/>
  <c r="BG27" i="94"/>
  <c r="BI27" i="94"/>
  <c r="BP26" i="94"/>
  <c r="BJ26" i="94"/>
  <c r="BK26" i="94"/>
  <c r="BL26" i="94"/>
  <c r="BI26" i="94"/>
  <c r="BP25" i="94"/>
  <c r="BJ25" i="94"/>
  <c r="BK25" i="94"/>
  <c r="BL25" i="94"/>
  <c r="BH25" i="94"/>
  <c r="BG25" i="94"/>
  <c r="BI25" i="94"/>
  <c r="BP24" i="94"/>
  <c r="BJ24" i="94"/>
  <c r="BK24" i="94"/>
  <c r="BL24" i="94"/>
  <c r="BH24" i="94"/>
  <c r="BG24" i="94"/>
  <c r="BI24" i="94"/>
  <c r="BP23" i="94"/>
  <c r="BJ23" i="94"/>
  <c r="BK23" i="94"/>
  <c r="BL23" i="94"/>
  <c r="BH23" i="94"/>
  <c r="BG23" i="94"/>
  <c r="BI23" i="94"/>
  <c r="BP18" i="94"/>
  <c r="BJ18" i="94"/>
  <c r="BK18" i="94"/>
  <c r="BL18" i="94"/>
  <c r="BH18" i="94"/>
  <c r="BG18" i="94"/>
  <c r="BI18" i="94"/>
  <c r="BL17" i="94"/>
  <c r="BH17" i="94"/>
  <c r="BG17" i="94"/>
  <c r="BI17" i="94"/>
  <c r="BP16" i="94"/>
  <c r="BJ16" i="94"/>
  <c r="BK16" i="94"/>
  <c r="BL16" i="94"/>
  <c r="BI16" i="94"/>
  <c r="BP15" i="94"/>
  <c r="BJ15" i="94"/>
  <c r="BK15" i="94"/>
  <c r="BL15" i="94"/>
  <c r="BH15" i="94"/>
  <c r="BG15" i="94"/>
  <c r="BI15" i="94"/>
  <c r="BP14" i="94"/>
  <c r="BJ14" i="94"/>
  <c r="BK14" i="94"/>
  <c r="BL14" i="94"/>
  <c r="BH14" i="94"/>
  <c r="BG14" i="94"/>
  <c r="BI14" i="94"/>
  <c r="BH7" i="94"/>
  <c r="BH8" i="94"/>
  <c r="BH9" i="94"/>
  <c r="BH5" i="94"/>
  <c r="BI6" i="94"/>
  <c r="BI7" i="94"/>
  <c r="BI9" i="94"/>
  <c r="BP9" i="94"/>
  <c r="BJ9" i="94"/>
  <c r="BK9" i="94"/>
  <c r="BL9" i="94"/>
  <c r="BG9" i="94"/>
  <c r="BJ8" i="94"/>
  <c r="BK8" i="94"/>
  <c r="BG8" i="94"/>
  <c r="BP7" i="94"/>
  <c r="BL7" i="94"/>
  <c r="BG7" i="94"/>
  <c r="BK6" i="94"/>
  <c r="BL6" i="94"/>
  <c r="BP5" i="94"/>
  <c r="BJ5" i="94"/>
  <c r="BL5" i="94"/>
  <c r="AR27" i="94"/>
  <c r="AL27" i="94"/>
  <c r="AJ27" i="94"/>
  <c r="AR26" i="94"/>
  <c r="AL26" i="94"/>
  <c r="AJ26" i="94"/>
  <c r="AR25" i="94"/>
  <c r="AL25" i="94"/>
  <c r="AJ25" i="94"/>
  <c r="AR24" i="94"/>
  <c r="AL24" i="94"/>
  <c r="AJ24" i="94"/>
  <c r="AR23" i="94"/>
  <c r="AL23" i="94"/>
  <c r="AJ23" i="94"/>
  <c r="AR18" i="94"/>
  <c r="AL18" i="94"/>
  <c r="AJ18" i="94"/>
  <c r="H18" i="94"/>
  <c r="AR17" i="94"/>
  <c r="AL17" i="94"/>
  <c r="AJ17" i="94"/>
  <c r="AR16" i="94"/>
  <c r="AL16" i="94"/>
  <c r="AJ16" i="94"/>
  <c r="AR15" i="94"/>
  <c r="AL15" i="94"/>
  <c r="AJ15" i="94"/>
  <c r="AR14" i="94"/>
  <c r="AL14" i="94"/>
  <c r="AJ14" i="94"/>
  <c r="AR9" i="94"/>
  <c r="AL9" i="94"/>
  <c r="AJ9" i="94"/>
  <c r="H9" i="94"/>
  <c r="AR8" i="94"/>
  <c r="AL8" i="94"/>
  <c r="AJ8" i="94"/>
  <c r="H8" i="94"/>
  <c r="AR7" i="94"/>
  <c r="AL7" i="94"/>
  <c r="AJ7" i="94"/>
  <c r="H7" i="94"/>
  <c r="AR6" i="94"/>
  <c r="AL6" i="94"/>
  <c r="AJ6" i="94"/>
  <c r="AR5" i="94"/>
  <c r="AL5" i="94"/>
  <c r="AJ5" i="94"/>
  <c r="E104" i="140"/>
  <c r="E103" i="140"/>
  <c r="E102" i="140"/>
  <c r="E131" i="140" s="1"/>
  <c r="E101" i="140"/>
  <c r="E100" i="140"/>
  <c r="E99" i="140"/>
  <c r="E98" i="140"/>
  <c r="E97" i="140"/>
  <c r="E96" i="140"/>
  <c r="E95" i="140"/>
  <c r="E94" i="140"/>
  <c r="E93" i="140"/>
  <c r="E105" i="140" s="1"/>
  <c r="E132" i="140" s="1"/>
  <c r="E92" i="140"/>
  <c r="E91" i="140"/>
  <c r="E90" i="140"/>
  <c r="E89" i="140"/>
  <c r="E88" i="140"/>
  <c r="E87" i="140"/>
  <c r="E86" i="140"/>
  <c r="E85" i="140"/>
  <c r="E84" i="140"/>
  <c r="E125" i="140" s="1"/>
  <c r="E83" i="140"/>
  <c r="E82" i="140"/>
  <c r="E81" i="140"/>
  <c r="E80" i="140"/>
  <c r="E79" i="140"/>
  <c r="E78" i="140"/>
  <c r="E123" i="140" s="1"/>
  <c r="E77" i="140"/>
  <c r="E76" i="140"/>
  <c r="E75" i="140"/>
  <c r="E74" i="140"/>
  <c r="E73" i="140"/>
  <c r="E72" i="140"/>
  <c r="E104" i="139"/>
  <c r="E103" i="139"/>
  <c r="E102" i="139"/>
  <c r="E131" i="139" s="1"/>
  <c r="E101" i="139"/>
  <c r="E100" i="139"/>
  <c r="E99" i="139"/>
  <c r="E98" i="139"/>
  <c r="E97" i="139"/>
  <c r="E96" i="139"/>
  <c r="E129" i="139" s="1"/>
  <c r="E95" i="139"/>
  <c r="E94" i="139"/>
  <c r="E93" i="139"/>
  <c r="E111" i="139" s="1"/>
  <c r="E92" i="139"/>
  <c r="E91" i="139"/>
  <c r="E90" i="139"/>
  <c r="E89" i="139"/>
  <c r="E88" i="139"/>
  <c r="E87" i="139"/>
  <c r="E126" i="139" s="1"/>
  <c r="E86" i="139"/>
  <c r="E85" i="139"/>
  <c r="E84" i="139"/>
  <c r="E83" i="139"/>
  <c r="E82" i="139"/>
  <c r="E81" i="139"/>
  <c r="E80" i="139"/>
  <c r="E79" i="139"/>
  <c r="E78" i="139"/>
  <c r="E77" i="139"/>
  <c r="E76" i="139"/>
  <c r="E75" i="139"/>
  <c r="E74" i="139"/>
  <c r="E73" i="139"/>
  <c r="E72" i="139"/>
  <c r="E104" i="137"/>
  <c r="E103" i="137"/>
  <c r="E102" i="137"/>
  <c r="E131" i="137" s="1"/>
  <c r="E101" i="137"/>
  <c r="E100" i="137"/>
  <c r="E99" i="137"/>
  <c r="E98" i="137"/>
  <c r="E97" i="137"/>
  <c r="E96" i="137"/>
  <c r="E129" i="137" s="1"/>
  <c r="E95" i="137"/>
  <c r="E94" i="137"/>
  <c r="E93" i="137"/>
  <c r="E92" i="137"/>
  <c r="E91" i="137"/>
  <c r="E90" i="137"/>
  <c r="E89" i="137"/>
  <c r="E88" i="137"/>
  <c r="E87" i="137"/>
  <c r="E126" i="137" s="1"/>
  <c r="E86" i="137"/>
  <c r="E85" i="137"/>
  <c r="E84" i="137"/>
  <c r="E83" i="137"/>
  <c r="E82" i="137"/>
  <c r="E81" i="137"/>
  <c r="E124" i="137" s="1"/>
  <c r="E80" i="137"/>
  <c r="E79" i="137"/>
  <c r="E78" i="137"/>
  <c r="E123" i="137" s="1"/>
  <c r="E77" i="137"/>
  <c r="E76" i="137"/>
  <c r="E75" i="137"/>
  <c r="E74" i="137"/>
  <c r="E73" i="137"/>
  <c r="E72" i="137"/>
  <c r="E121" i="137" s="1"/>
  <c r="E104" i="138"/>
  <c r="E103" i="138"/>
  <c r="E102" i="138"/>
  <c r="E101" i="138"/>
  <c r="E100" i="138"/>
  <c r="E99" i="138"/>
  <c r="E98" i="138"/>
  <c r="E97" i="138"/>
  <c r="E96" i="138"/>
  <c r="E129" i="138" s="1"/>
  <c r="E95" i="138"/>
  <c r="E94" i="138"/>
  <c r="E93" i="138"/>
  <c r="E92" i="138"/>
  <c r="E91" i="138"/>
  <c r="E90" i="138"/>
  <c r="E89" i="138"/>
  <c r="E88" i="138"/>
  <c r="E87" i="138"/>
  <c r="E126" i="138" s="1"/>
  <c r="E86" i="138"/>
  <c r="E85" i="138"/>
  <c r="E84" i="138"/>
  <c r="E125" i="138" s="1"/>
  <c r="E83" i="138"/>
  <c r="E82" i="138"/>
  <c r="E81" i="138"/>
  <c r="E124" i="138" s="1"/>
  <c r="E80" i="138"/>
  <c r="E79" i="138"/>
  <c r="E78" i="138"/>
  <c r="E77" i="138"/>
  <c r="E76" i="138"/>
  <c r="E75" i="138"/>
  <c r="E74" i="138"/>
  <c r="E73" i="138"/>
  <c r="E72" i="138"/>
  <c r="E104" i="136"/>
  <c r="E103" i="136"/>
  <c r="E102" i="136"/>
  <c r="E101" i="136"/>
  <c r="E100" i="136"/>
  <c r="E99" i="136"/>
  <c r="E98" i="136"/>
  <c r="E97" i="136"/>
  <c r="E96" i="136"/>
  <c r="E129" i="136" s="1"/>
  <c r="E95" i="136"/>
  <c r="E94" i="136"/>
  <c r="E93" i="136"/>
  <c r="E92" i="136"/>
  <c r="E91" i="136"/>
  <c r="E90" i="136"/>
  <c r="E127" i="136" s="1"/>
  <c r="E89" i="136"/>
  <c r="E88" i="136"/>
  <c r="E87" i="136"/>
  <c r="E86" i="136"/>
  <c r="E85" i="136"/>
  <c r="E84" i="136"/>
  <c r="E83" i="136"/>
  <c r="E82" i="136"/>
  <c r="E81" i="136"/>
  <c r="E124" i="136" s="1"/>
  <c r="E80" i="136"/>
  <c r="E79" i="136"/>
  <c r="E78" i="136"/>
  <c r="E77" i="136"/>
  <c r="E76" i="136"/>
  <c r="E75" i="136"/>
  <c r="E74" i="136"/>
  <c r="E73" i="136"/>
  <c r="E72" i="136"/>
  <c r="E104" i="135"/>
  <c r="E103" i="135"/>
  <c r="E102" i="135"/>
  <c r="E101" i="135"/>
  <c r="E100" i="135"/>
  <c r="E99" i="135"/>
  <c r="E130" i="135" s="1"/>
  <c r="E98" i="135"/>
  <c r="E97" i="135"/>
  <c r="E96" i="135"/>
  <c r="E95" i="135"/>
  <c r="E94" i="135"/>
  <c r="E93" i="135"/>
  <c r="E92" i="135"/>
  <c r="E91" i="135"/>
  <c r="E90" i="135"/>
  <c r="E127" i="135" s="1"/>
  <c r="E89" i="135"/>
  <c r="E88" i="135"/>
  <c r="E87" i="135"/>
  <c r="E86" i="135"/>
  <c r="E85" i="135"/>
  <c r="E84" i="135"/>
  <c r="E125" i="135" s="1"/>
  <c r="E83" i="135"/>
  <c r="E82" i="135"/>
  <c r="E81" i="135"/>
  <c r="E80" i="135"/>
  <c r="E79" i="135"/>
  <c r="E78" i="135"/>
  <c r="E77" i="135"/>
  <c r="E76" i="135"/>
  <c r="E75" i="135"/>
  <c r="E122" i="135" s="1"/>
  <c r="E74" i="135"/>
  <c r="E73" i="135"/>
  <c r="E72" i="135"/>
  <c r="E104" i="133"/>
  <c r="E103" i="133"/>
  <c r="E102" i="133"/>
  <c r="E101" i="133"/>
  <c r="E100" i="133"/>
  <c r="E99" i="133"/>
  <c r="E130" i="133" s="1"/>
  <c r="E98" i="133"/>
  <c r="E97" i="133"/>
  <c r="E96" i="133"/>
  <c r="E95" i="133"/>
  <c r="E94" i="133"/>
  <c r="E93" i="133"/>
  <c r="E105" i="133" s="1"/>
  <c r="E132" i="133" s="1"/>
  <c r="E92" i="133"/>
  <c r="E91" i="133"/>
  <c r="E90" i="133"/>
  <c r="E89" i="133"/>
  <c r="E88" i="133"/>
  <c r="E87" i="133"/>
  <c r="E126" i="133" s="1"/>
  <c r="E86" i="133"/>
  <c r="E85" i="133"/>
  <c r="E84" i="133"/>
  <c r="E125" i="133" s="1"/>
  <c r="E83" i="133"/>
  <c r="E82" i="133"/>
  <c r="E81" i="133"/>
  <c r="E80" i="133"/>
  <c r="E79" i="133"/>
  <c r="E78" i="133"/>
  <c r="E77" i="133"/>
  <c r="E76" i="133"/>
  <c r="E75" i="133"/>
  <c r="E122" i="133" s="1"/>
  <c r="E74" i="133"/>
  <c r="E73" i="133"/>
  <c r="E72" i="133"/>
  <c r="E104" i="132"/>
  <c r="E103" i="132"/>
  <c r="E102" i="132"/>
  <c r="E131" i="132" s="1"/>
  <c r="E101" i="132"/>
  <c r="E100" i="132"/>
  <c r="E99" i="132"/>
  <c r="E130" i="132" s="1"/>
  <c r="E98" i="132"/>
  <c r="E97" i="132"/>
  <c r="E96" i="132"/>
  <c r="E95" i="132"/>
  <c r="E94" i="132"/>
  <c r="E93" i="132"/>
  <c r="E106" i="132" s="1"/>
  <c r="E92" i="132"/>
  <c r="E91" i="132"/>
  <c r="E90" i="132"/>
  <c r="E89" i="132"/>
  <c r="E88" i="132"/>
  <c r="E87" i="132"/>
  <c r="E86" i="132"/>
  <c r="E85" i="132"/>
  <c r="E84" i="132"/>
  <c r="E125" i="132" s="1"/>
  <c r="E83" i="132"/>
  <c r="E82" i="132"/>
  <c r="E81" i="132"/>
  <c r="E124" i="132" s="1"/>
  <c r="E80" i="132"/>
  <c r="E79" i="132"/>
  <c r="E78" i="132"/>
  <c r="E77" i="132"/>
  <c r="E76" i="132"/>
  <c r="E75" i="132"/>
  <c r="E74" i="132"/>
  <c r="E73" i="132"/>
  <c r="E72" i="132"/>
  <c r="E70" i="113"/>
  <c r="D70" i="113"/>
  <c r="F70" i="113" s="1"/>
  <c r="E69" i="113"/>
  <c r="D69" i="113"/>
  <c r="E68" i="113"/>
  <c r="F68" i="113" s="1"/>
  <c r="D68" i="113"/>
  <c r="E67" i="113"/>
  <c r="D67" i="113"/>
  <c r="E66" i="113"/>
  <c r="D66" i="113"/>
  <c r="F66" i="113" s="1"/>
  <c r="E65" i="113"/>
  <c r="D65" i="113"/>
  <c r="E64" i="113"/>
  <c r="F64" i="113" s="1"/>
  <c r="D64" i="113"/>
  <c r="E63" i="113"/>
  <c r="D63" i="113"/>
  <c r="E70" i="98"/>
  <c r="D70" i="98"/>
  <c r="F70" i="98" s="1"/>
  <c r="E69" i="98"/>
  <c r="D69" i="98"/>
  <c r="E68" i="98"/>
  <c r="D68" i="98"/>
  <c r="E67" i="98"/>
  <c r="D67" i="98"/>
  <c r="E66" i="98"/>
  <c r="D66" i="98"/>
  <c r="F66" i="98" s="1"/>
  <c r="E65" i="98"/>
  <c r="D65" i="98"/>
  <c r="E64" i="98"/>
  <c r="D64" i="98"/>
  <c r="E63" i="98"/>
  <c r="D63" i="98"/>
  <c r="E70" i="140"/>
  <c r="D70" i="140"/>
  <c r="F70" i="140" s="1"/>
  <c r="E69" i="140"/>
  <c r="D69" i="140"/>
  <c r="E68" i="140"/>
  <c r="F68" i="140" s="1"/>
  <c r="D68" i="140"/>
  <c r="E67" i="140"/>
  <c r="D67" i="140"/>
  <c r="E66" i="140"/>
  <c r="D66" i="140"/>
  <c r="F66" i="140" s="1"/>
  <c r="E65" i="140"/>
  <c r="D65" i="140"/>
  <c r="E64" i="140"/>
  <c r="D64" i="140"/>
  <c r="E63" i="140"/>
  <c r="D63" i="140"/>
  <c r="E70" i="139"/>
  <c r="D70" i="139"/>
  <c r="F70" i="139" s="1"/>
  <c r="E69" i="139"/>
  <c r="D69" i="139"/>
  <c r="E68" i="139"/>
  <c r="F68" i="139" s="1"/>
  <c r="D68" i="139"/>
  <c r="E67" i="139"/>
  <c r="D67" i="139"/>
  <c r="E66" i="139"/>
  <c r="D66" i="139"/>
  <c r="F66" i="139" s="1"/>
  <c r="E65" i="139"/>
  <c r="D65" i="139"/>
  <c r="E64" i="139"/>
  <c r="D64" i="139"/>
  <c r="E63" i="139"/>
  <c r="D63" i="139"/>
  <c r="E70" i="97"/>
  <c r="D70" i="97"/>
  <c r="F70" i="97" s="1"/>
  <c r="E69" i="97"/>
  <c r="D69" i="97"/>
  <c r="E68" i="97"/>
  <c r="D68" i="97"/>
  <c r="E67" i="97"/>
  <c r="D67" i="97"/>
  <c r="E66" i="97"/>
  <c r="D66" i="97"/>
  <c r="F66" i="97" s="1"/>
  <c r="E65" i="97"/>
  <c r="D65" i="97"/>
  <c r="E64" i="97"/>
  <c r="D64" i="97"/>
  <c r="E63" i="97"/>
  <c r="D63" i="97"/>
  <c r="E70" i="117"/>
  <c r="D70" i="117"/>
  <c r="F70" i="117" s="1"/>
  <c r="E69" i="117"/>
  <c r="D69" i="117"/>
  <c r="E68" i="117"/>
  <c r="F68" i="117" s="1"/>
  <c r="D68" i="117"/>
  <c r="E67" i="117"/>
  <c r="D67" i="117"/>
  <c r="E66" i="117"/>
  <c r="D66" i="117"/>
  <c r="F66" i="117" s="1"/>
  <c r="E65" i="117"/>
  <c r="D65" i="117"/>
  <c r="E64" i="117"/>
  <c r="D64" i="117"/>
  <c r="E63" i="117"/>
  <c r="D63" i="117"/>
  <c r="E70" i="123"/>
  <c r="D70" i="123"/>
  <c r="E69" i="123"/>
  <c r="D69" i="123"/>
  <c r="E68" i="123"/>
  <c r="F68" i="123" s="1"/>
  <c r="D68" i="123"/>
  <c r="E67" i="123"/>
  <c r="D67" i="123"/>
  <c r="E66" i="123"/>
  <c r="D66" i="123"/>
  <c r="F66" i="123" s="1"/>
  <c r="E65" i="123"/>
  <c r="D65" i="123"/>
  <c r="E64" i="123"/>
  <c r="D64" i="123"/>
  <c r="E63" i="123"/>
  <c r="D63" i="123"/>
  <c r="E70" i="137"/>
  <c r="D70" i="137"/>
  <c r="F70" i="137" s="1"/>
  <c r="E69" i="137"/>
  <c r="D69" i="137"/>
  <c r="E68" i="137"/>
  <c r="D68" i="137"/>
  <c r="E67" i="137"/>
  <c r="D67" i="137"/>
  <c r="E66" i="137"/>
  <c r="D66" i="137"/>
  <c r="F66" i="137" s="1"/>
  <c r="E65" i="137"/>
  <c r="F65" i="137" s="1"/>
  <c r="D65" i="137"/>
  <c r="E64" i="137"/>
  <c r="F64" i="137" s="1"/>
  <c r="D64" i="137"/>
  <c r="E63" i="137"/>
  <c r="D63" i="137"/>
  <c r="E70" i="138"/>
  <c r="D70" i="138"/>
  <c r="F70" i="138" s="1"/>
  <c r="E69" i="138"/>
  <c r="D69" i="138"/>
  <c r="E68" i="138"/>
  <c r="D68" i="138"/>
  <c r="E67" i="138"/>
  <c r="D67" i="138"/>
  <c r="E66" i="138"/>
  <c r="D66" i="138"/>
  <c r="F66" i="138" s="1"/>
  <c r="E65" i="138"/>
  <c r="D65" i="138"/>
  <c r="E64" i="138"/>
  <c r="D64" i="138"/>
  <c r="E63" i="138"/>
  <c r="D63" i="138"/>
  <c r="E70" i="96"/>
  <c r="D70" i="96"/>
  <c r="F70" i="96" s="1"/>
  <c r="E69" i="96"/>
  <c r="D69" i="96"/>
  <c r="E68" i="96"/>
  <c r="F68" i="96" s="1"/>
  <c r="D68" i="96"/>
  <c r="E67" i="96"/>
  <c r="D67" i="96"/>
  <c r="E66" i="96"/>
  <c r="D66" i="96"/>
  <c r="F66" i="96" s="1"/>
  <c r="E65" i="96"/>
  <c r="D65" i="96"/>
  <c r="E64" i="96"/>
  <c r="F64" i="96" s="1"/>
  <c r="D64" i="96"/>
  <c r="E63" i="96"/>
  <c r="D63" i="96"/>
  <c r="E70" i="136"/>
  <c r="D70" i="136"/>
  <c r="F70" i="136" s="1"/>
  <c r="E69" i="136"/>
  <c r="D69" i="136"/>
  <c r="E68" i="136"/>
  <c r="F68" i="136" s="1"/>
  <c r="D68" i="136"/>
  <c r="E67" i="136"/>
  <c r="D67" i="136"/>
  <c r="E66" i="136"/>
  <c r="D66" i="136"/>
  <c r="F66" i="136" s="1"/>
  <c r="E65" i="136"/>
  <c r="D65" i="136"/>
  <c r="E64" i="136"/>
  <c r="D64" i="136"/>
  <c r="E63" i="136"/>
  <c r="D63" i="136"/>
  <c r="E70" i="91"/>
  <c r="D70" i="91"/>
  <c r="F70" i="91" s="1"/>
  <c r="E69" i="91"/>
  <c r="D69" i="91"/>
  <c r="E68" i="91"/>
  <c r="F68" i="91" s="1"/>
  <c r="D68" i="91"/>
  <c r="E67" i="91"/>
  <c r="D67" i="91"/>
  <c r="E66" i="91"/>
  <c r="D66" i="91"/>
  <c r="F66" i="91" s="1"/>
  <c r="E65" i="91"/>
  <c r="D65" i="91"/>
  <c r="E64" i="91"/>
  <c r="D64" i="91"/>
  <c r="E63" i="91"/>
  <c r="D63" i="91"/>
  <c r="E70" i="124"/>
  <c r="D70" i="124"/>
  <c r="E69" i="124"/>
  <c r="D69" i="124"/>
  <c r="E68" i="124"/>
  <c r="F68" i="124" s="1"/>
  <c r="D68" i="124"/>
  <c r="E67" i="124"/>
  <c r="D67" i="124"/>
  <c r="E66" i="124"/>
  <c r="D66" i="124"/>
  <c r="E65" i="124"/>
  <c r="D65" i="124"/>
  <c r="E64" i="124"/>
  <c r="F64" i="124" s="1"/>
  <c r="D64" i="124"/>
  <c r="E63" i="124"/>
  <c r="D63" i="124"/>
  <c r="E70" i="135"/>
  <c r="D70" i="135"/>
  <c r="F70" i="135" s="1"/>
  <c r="E69" i="135"/>
  <c r="D69" i="135"/>
  <c r="E68" i="135"/>
  <c r="F68" i="135" s="1"/>
  <c r="D68" i="135"/>
  <c r="E67" i="135"/>
  <c r="D67" i="135"/>
  <c r="E66" i="135"/>
  <c r="D66" i="135"/>
  <c r="F66" i="135" s="1"/>
  <c r="E65" i="135"/>
  <c r="D65" i="135"/>
  <c r="E64" i="135"/>
  <c r="F64" i="135" s="1"/>
  <c r="D64" i="135"/>
  <c r="E63" i="135"/>
  <c r="D63" i="135"/>
  <c r="E70" i="134"/>
  <c r="D70" i="134"/>
  <c r="F70" i="134" s="1"/>
  <c r="E69" i="134"/>
  <c r="D69" i="134"/>
  <c r="E68" i="134"/>
  <c r="D68" i="134"/>
  <c r="E67" i="134"/>
  <c r="D67" i="134"/>
  <c r="E66" i="134"/>
  <c r="D66" i="134"/>
  <c r="F66" i="134" s="1"/>
  <c r="E65" i="134"/>
  <c r="D65" i="134"/>
  <c r="E64" i="134"/>
  <c r="D64" i="134"/>
  <c r="E63" i="134"/>
  <c r="D63" i="134"/>
  <c r="E70" i="133"/>
  <c r="D70" i="133"/>
  <c r="F70" i="133" s="1"/>
  <c r="E69" i="133"/>
  <c r="D69" i="133"/>
  <c r="E68" i="133"/>
  <c r="F68" i="133" s="1"/>
  <c r="D68" i="133"/>
  <c r="E67" i="133"/>
  <c r="D67" i="133"/>
  <c r="E66" i="133"/>
  <c r="D66" i="133"/>
  <c r="F66" i="133" s="1"/>
  <c r="E65" i="133"/>
  <c r="D65" i="133"/>
  <c r="E64" i="133"/>
  <c r="F64" i="133" s="1"/>
  <c r="D64" i="133"/>
  <c r="E63" i="133"/>
  <c r="D63" i="133"/>
  <c r="E70" i="132"/>
  <c r="D70" i="132"/>
  <c r="F70" i="132" s="1"/>
  <c r="E69" i="132"/>
  <c r="D69" i="132"/>
  <c r="E68" i="132"/>
  <c r="F68" i="132" s="1"/>
  <c r="D68" i="132"/>
  <c r="E67" i="132"/>
  <c r="D67" i="132"/>
  <c r="E66" i="132"/>
  <c r="D66" i="132"/>
  <c r="F66" i="132" s="1"/>
  <c r="E65" i="132"/>
  <c r="D65" i="132"/>
  <c r="E64" i="132"/>
  <c r="D64" i="132"/>
  <c r="E63" i="132"/>
  <c r="D63" i="132"/>
  <c r="E61" i="140"/>
  <c r="G61" i="140" s="1"/>
  <c r="E20" i="140"/>
  <c r="G20" i="140" s="1"/>
  <c r="E19" i="140"/>
  <c r="G19" i="140" s="1"/>
  <c r="E18" i="140"/>
  <c r="G18" i="140" s="1"/>
  <c r="E17" i="140"/>
  <c r="G17" i="140" s="1"/>
  <c r="E60" i="140"/>
  <c r="G60" i="140" s="1"/>
  <c r="E57" i="140"/>
  <c r="G57" i="140" s="1"/>
  <c r="E56" i="140"/>
  <c r="G56" i="140" s="1"/>
  <c r="E55" i="140"/>
  <c r="G55" i="140" s="1"/>
  <c r="E54" i="140"/>
  <c r="G54" i="140" s="1"/>
  <c r="E51" i="140"/>
  <c r="G51" i="140" s="1"/>
  <c r="E50" i="140"/>
  <c r="G50" i="140" s="1"/>
  <c r="E49" i="140"/>
  <c r="G49" i="140" s="1"/>
  <c r="E48" i="140"/>
  <c r="G48" i="140" s="1"/>
  <c r="E47" i="140"/>
  <c r="G47" i="140" s="1"/>
  <c r="E46" i="140"/>
  <c r="G46" i="140" s="1"/>
  <c r="E45" i="140"/>
  <c r="G45" i="140" s="1"/>
  <c r="E44" i="140"/>
  <c r="G44" i="140" s="1"/>
  <c r="E43" i="140"/>
  <c r="G43" i="140" s="1"/>
  <c r="E42" i="140"/>
  <c r="G42" i="140" s="1"/>
  <c r="E40" i="140"/>
  <c r="G40" i="140" s="1"/>
  <c r="E39" i="140"/>
  <c r="G39" i="140" s="1"/>
  <c r="E38" i="140"/>
  <c r="G38" i="140" s="1"/>
  <c r="E37" i="140"/>
  <c r="G37" i="140" s="1"/>
  <c r="E36" i="140"/>
  <c r="G36" i="140" s="1"/>
  <c r="E35" i="140"/>
  <c r="G35" i="140" s="1"/>
  <c r="E34" i="140"/>
  <c r="G34" i="140" s="1"/>
  <c r="E33" i="140"/>
  <c r="G33" i="140" s="1"/>
  <c r="E31" i="140"/>
  <c r="G31" i="140" s="1"/>
  <c r="E30" i="140"/>
  <c r="G30" i="140" s="1"/>
  <c r="E29" i="140"/>
  <c r="G29" i="140" s="1"/>
  <c r="E28" i="140"/>
  <c r="G28" i="140" s="1"/>
  <c r="E27" i="140"/>
  <c r="G27" i="140" s="1"/>
  <c r="E26" i="140"/>
  <c r="G26" i="140" s="1"/>
  <c r="E25" i="140"/>
  <c r="G25" i="140" s="1"/>
  <c r="E24" i="140"/>
  <c r="G24" i="140" s="1"/>
  <c r="E23" i="140"/>
  <c r="G23" i="140" s="1"/>
  <c r="E22" i="140"/>
  <c r="G22" i="140" s="1"/>
  <c r="E21" i="140"/>
  <c r="G21" i="140" s="1"/>
  <c r="E14" i="140"/>
  <c r="G14" i="140" s="1"/>
  <c r="E13" i="140"/>
  <c r="E12" i="140"/>
  <c r="E11" i="140"/>
  <c r="E10" i="140"/>
  <c r="E9" i="140"/>
  <c r="E61" i="139"/>
  <c r="G61" i="139" s="1"/>
  <c r="E20" i="139"/>
  <c r="G20" i="139" s="1"/>
  <c r="E19" i="139"/>
  <c r="G19" i="139" s="1"/>
  <c r="E18" i="139"/>
  <c r="G18" i="139" s="1"/>
  <c r="E17" i="139"/>
  <c r="G17" i="139" s="1"/>
  <c r="E60" i="139"/>
  <c r="G60" i="139" s="1"/>
  <c r="E57" i="139"/>
  <c r="G57" i="139" s="1"/>
  <c r="E56" i="139"/>
  <c r="G56" i="139" s="1"/>
  <c r="E55" i="139"/>
  <c r="G55" i="139" s="1"/>
  <c r="E54" i="139"/>
  <c r="G54" i="139" s="1"/>
  <c r="E51" i="139"/>
  <c r="G51" i="139" s="1"/>
  <c r="E50" i="139"/>
  <c r="G50" i="139" s="1"/>
  <c r="E49" i="139"/>
  <c r="G49" i="139" s="1"/>
  <c r="E48" i="139"/>
  <c r="G48" i="139" s="1"/>
  <c r="E47" i="139"/>
  <c r="G47" i="139" s="1"/>
  <c r="E46" i="139"/>
  <c r="G46" i="139" s="1"/>
  <c r="E45" i="139"/>
  <c r="G45" i="139" s="1"/>
  <c r="E44" i="139"/>
  <c r="G44" i="139" s="1"/>
  <c r="E43" i="139"/>
  <c r="G43" i="139" s="1"/>
  <c r="E42" i="139"/>
  <c r="G42" i="139" s="1"/>
  <c r="E40" i="139"/>
  <c r="G40" i="139" s="1"/>
  <c r="E39" i="139"/>
  <c r="G39" i="139" s="1"/>
  <c r="E38" i="139"/>
  <c r="G38" i="139" s="1"/>
  <c r="E37" i="139"/>
  <c r="G37" i="139" s="1"/>
  <c r="E36" i="139"/>
  <c r="G36" i="139" s="1"/>
  <c r="E35" i="139"/>
  <c r="G35" i="139" s="1"/>
  <c r="E34" i="139"/>
  <c r="G34" i="139" s="1"/>
  <c r="E33" i="139"/>
  <c r="G33" i="139" s="1"/>
  <c r="E31" i="139"/>
  <c r="G31" i="139" s="1"/>
  <c r="E30" i="139"/>
  <c r="G30" i="139" s="1"/>
  <c r="E29" i="139"/>
  <c r="G29" i="139" s="1"/>
  <c r="E28" i="139"/>
  <c r="G28" i="139" s="1"/>
  <c r="E27" i="139"/>
  <c r="G27" i="139" s="1"/>
  <c r="E26" i="139"/>
  <c r="G26" i="139" s="1"/>
  <c r="E25" i="139"/>
  <c r="G25" i="139" s="1"/>
  <c r="E24" i="139"/>
  <c r="G24" i="139" s="1"/>
  <c r="E23" i="139"/>
  <c r="G23" i="139" s="1"/>
  <c r="E22" i="139"/>
  <c r="G22" i="139" s="1"/>
  <c r="E21" i="139"/>
  <c r="G21" i="139" s="1"/>
  <c r="E14" i="139"/>
  <c r="G14" i="139" s="1"/>
  <c r="E16" i="139"/>
  <c r="G16" i="139" s="1"/>
  <c r="E13" i="139"/>
  <c r="E12" i="139"/>
  <c r="E11" i="139"/>
  <c r="E10" i="139"/>
  <c r="E9" i="139"/>
  <c r="E61" i="137"/>
  <c r="G61" i="137" s="1"/>
  <c r="E20" i="137"/>
  <c r="G20" i="137" s="1"/>
  <c r="E19" i="137"/>
  <c r="G19" i="137" s="1"/>
  <c r="E18" i="137"/>
  <c r="G18" i="137" s="1"/>
  <c r="E17" i="137"/>
  <c r="G17" i="137" s="1"/>
  <c r="E60" i="137"/>
  <c r="G60" i="137" s="1"/>
  <c r="E57" i="137"/>
  <c r="G57" i="137" s="1"/>
  <c r="E56" i="137"/>
  <c r="G56" i="137" s="1"/>
  <c r="E55" i="137"/>
  <c r="G55" i="137" s="1"/>
  <c r="E54" i="137"/>
  <c r="G54" i="137" s="1"/>
  <c r="E51" i="137"/>
  <c r="G51" i="137" s="1"/>
  <c r="E50" i="137"/>
  <c r="G50" i="137" s="1"/>
  <c r="E49" i="137"/>
  <c r="G49" i="137" s="1"/>
  <c r="E48" i="137"/>
  <c r="G48" i="137" s="1"/>
  <c r="E47" i="137"/>
  <c r="G47" i="137" s="1"/>
  <c r="E46" i="137"/>
  <c r="G46" i="137" s="1"/>
  <c r="E45" i="137"/>
  <c r="G45" i="137" s="1"/>
  <c r="E44" i="137"/>
  <c r="G44" i="137" s="1"/>
  <c r="E43" i="137"/>
  <c r="G43" i="137" s="1"/>
  <c r="E42" i="137"/>
  <c r="G42" i="137" s="1"/>
  <c r="E40" i="137"/>
  <c r="G40" i="137" s="1"/>
  <c r="E39" i="137"/>
  <c r="G39" i="137" s="1"/>
  <c r="E38" i="137"/>
  <c r="G38" i="137" s="1"/>
  <c r="E37" i="137"/>
  <c r="G37" i="137" s="1"/>
  <c r="E36" i="137"/>
  <c r="G36" i="137" s="1"/>
  <c r="E35" i="137"/>
  <c r="G35" i="137" s="1"/>
  <c r="E34" i="137"/>
  <c r="G34" i="137" s="1"/>
  <c r="E33" i="137"/>
  <c r="G33" i="137" s="1"/>
  <c r="E31" i="137"/>
  <c r="G31" i="137" s="1"/>
  <c r="E30" i="137"/>
  <c r="G30" i="137" s="1"/>
  <c r="E29" i="137"/>
  <c r="G29" i="137" s="1"/>
  <c r="E28" i="137"/>
  <c r="G28" i="137" s="1"/>
  <c r="E27" i="137"/>
  <c r="G27" i="137" s="1"/>
  <c r="E26" i="137"/>
  <c r="G26" i="137" s="1"/>
  <c r="E25" i="137"/>
  <c r="G25" i="137" s="1"/>
  <c r="E24" i="137"/>
  <c r="G24" i="137" s="1"/>
  <c r="E23" i="137"/>
  <c r="G23" i="137" s="1"/>
  <c r="E22" i="137"/>
  <c r="G22" i="137" s="1"/>
  <c r="E21" i="137"/>
  <c r="G21" i="137" s="1"/>
  <c r="E14" i="137"/>
  <c r="G14" i="137" s="1"/>
  <c r="E16" i="137"/>
  <c r="G16" i="137" s="1"/>
  <c r="E13" i="137"/>
  <c r="E12" i="137"/>
  <c r="E11" i="137"/>
  <c r="E10" i="137"/>
  <c r="E9" i="137"/>
  <c r="E61" i="138"/>
  <c r="G61" i="138" s="1"/>
  <c r="E20" i="138"/>
  <c r="G20" i="138" s="1"/>
  <c r="E19" i="138"/>
  <c r="G19" i="138" s="1"/>
  <c r="E18" i="138"/>
  <c r="G18" i="138" s="1"/>
  <c r="E17" i="138"/>
  <c r="G17" i="138" s="1"/>
  <c r="E60" i="138"/>
  <c r="G60" i="138" s="1"/>
  <c r="E57" i="138"/>
  <c r="G57" i="138" s="1"/>
  <c r="E56" i="138"/>
  <c r="G56" i="138" s="1"/>
  <c r="E55" i="138"/>
  <c r="G55" i="138" s="1"/>
  <c r="E54" i="138"/>
  <c r="G54" i="138" s="1"/>
  <c r="E51" i="138"/>
  <c r="G51" i="138" s="1"/>
  <c r="E50" i="138"/>
  <c r="G50" i="138" s="1"/>
  <c r="E49" i="138"/>
  <c r="G49" i="138" s="1"/>
  <c r="E48" i="138"/>
  <c r="G48" i="138" s="1"/>
  <c r="E47" i="138"/>
  <c r="G47" i="138" s="1"/>
  <c r="E46" i="138"/>
  <c r="G46" i="138" s="1"/>
  <c r="E45" i="138"/>
  <c r="G45" i="138" s="1"/>
  <c r="E44" i="138"/>
  <c r="G44" i="138" s="1"/>
  <c r="E43" i="138"/>
  <c r="G43" i="138" s="1"/>
  <c r="E42" i="138"/>
  <c r="G42" i="138" s="1"/>
  <c r="E40" i="138"/>
  <c r="G40" i="138" s="1"/>
  <c r="E39" i="138"/>
  <c r="G39" i="138" s="1"/>
  <c r="E38" i="138"/>
  <c r="G38" i="138" s="1"/>
  <c r="E37" i="138"/>
  <c r="G37" i="138" s="1"/>
  <c r="E36" i="138"/>
  <c r="G36" i="138" s="1"/>
  <c r="E35" i="138"/>
  <c r="G35" i="138" s="1"/>
  <c r="E34" i="138"/>
  <c r="G34" i="138" s="1"/>
  <c r="E33" i="138"/>
  <c r="G33" i="138" s="1"/>
  <c r="E31" i="138"/>
  <c r="G31" i="138" s="1"/>
  <c r="E30" i="138"/>
  <c r="G30" i="138" s="1"/>
  <c r="E29" i="138"/>
  <c r="G29" i="138" s="1"/>
  <c r="E28" i="138"/>
  <c r="G28" i="138" s="1"/>
  <c r="E27" i="138"/>
  <c r="G27" i="138" s="1"/>
  <c r="E26" i="138"/>
  <c r="G26" i="138" s="1"/>
  <c r="E25" i="138"/>
  <c r="G25" i="138" s="1"/>
  <c r="E24" i="138"/>
  <c r="G24" i="138" s="1"/>
  <c r="E23" i="138"/>
  <c r="G23" i="138" s="1"/>
  <c r="E22" i="138"/>
  <c r="G22" i="138" s="1"/>
  <c r="E21" i="138"/>
  <c r="G21" i="138" s="1"/>
  <c r="E14" i="138"/>
  <c r="G14" i="138" s="1"/>
  <c r="E16" i="138"/>
  <c r="G16" i="138" s="1"/>
  <c r="E13" i="138"/>
  <c r="E12" i="138"/>
  <c r="E11" i="138"/>
  <c r="E10" i="138"/>
  <c r="E9" i="138"/>
  <c r="E61" i="136"/>
  <c r="G61" i="136" s="1"/>
  <c r="E20" i="136"/>
  <c r="G20" i="136" s="1"/>
  <c r="E19" i="136"/>
  <c r="G19" i="136" s="1"/>
  <c r="E18" i="136"/>
  <c r="G18" i="136" s="1"/>
  <c r="E17" i="136"/>
  <c r="G17" i="136" s="1"/>
  <c r="E60" i="136"/>
  <c r="G60" i="136" s="1"/>
  <c r="E57" i="136"/>
  <c r="G57" i="136" s="1"/>
  <c r="E56" i="136"/>
  <c r="G56" i="136" s="1"/>
  <c r="E55" i="136"/>
  <c r="G55" i="136" s="1"/>
  <c r="E54" i="136"/>
  <c r="G54" i="136" s="1"/>
  <c r="E51" i="136"/>
  <c r="G51" i="136" s="1"/>
  <c r="E50" i="136"/>
  <c r="G50" i="136" s="1"/>
  <c r="E49" i="136"/>
  <c r="G49" i="136" s="1"/>
  <c r="E48" i="136"/>
  <c r="G48" i="136" s="1"/>
  <c r="E47" i="136"/>
  <c r="G47" i="136" s="1"/>
  <c r="E46" i="136"/>
  <c r="G46" i="136" s="1"/>
  <c r="E45" i="136"/>
  <c r="G45" i="136" s="1"/>
  <c r="E44" i="136"/>
  <c r="G44" i="136" s="1"/>
  <c r="E43" i="136"/>
  <c r="G43" i="136" s="1"/>
  <c r="E40" i="136"/>
  <c r="G40" i="136" s="1"/>
  <c r="E39" i="136"/>
  <c r="G39" i="136" s="1"/>
  <c r="E38" i="136"/>
  <c r="G38" i="136" s="1"/>
  <c r="E37" i="136"/>
  <c r="G37" i="136" s="1"/>
  <c r="E36" i="136"/>
  <c r="G36" i="136" s="1"/>
  <c r="E35" i="136"/>
  <c r="G35" i="136" s="1"/>
  <c r="E34" i="136"/>
  <c r="G34" i="136" s="1"/>
  <c r="E33" i="136"/>
  <c r="G33" i="136" s="1"/>
  <c r="E31" i="136"/>
  <c r="G31" i="136" s="1"/>
  <c r="E30" i="136"/>
  <c r="G30" i="136" s="1"/>
  <c r="E29" i="136"/>
  <c r="G29" i="136" s="1"/>
  <c r="E28" i="136"/>
  <c r="G28" i="136" s="1"/>
  <c r="E27" i="136"/>
  <c r="G27" i="136" s="1"/>
  <c r="E26" i="136"/>
  <c r="G26" i="136" s="1"/>
  <c r="E25" i="136"/>
  <c r="G25" i="136" s="1"/>
  <c r="E24" i="136"/>
  <c r="G24" i="136" s="1"/>
  <c r="E23" i="136"/>
  <c r="G23" i="136" s="1"/>
  <c r="E22" i="136"/>
  <c r="G22" i="136" s="1"/>
  <c r="E21" i="136"/>
  <c r="G21" i="136" s="1"/>
  <c r="E14" i="136"/>
  <c r="G14" i="136" s="1"/>
  <c r="E16" i="136"/>
  <c r="G16" i="136" s="1"/>
  <c r="E13" i="136"/>
  <c r="E12" i="136"/>
  <c r="E11" i="136"/>
  <c r="E10" i="136"/>
  <c r="E9" i="136"/>
  <c r="E61" i="135"/>
  <c r="G61" i="135" s="1"/>
  <c r="E20" i="135"/>
  <c r="G20" i="135" s="1"/>
  <c r="E19" i="135"/>
  <c r="G19" i="135" s="1"/>
  <c r="E18" i="135"/>
  <c r="G18" i="135" s="1"/>
  <c r="E17" i="135"/>
  <c r="G17" i="135" s="1"/>
  <c r="E60" i="135"/>
  <c r="G60" i="135" s="1"/>
  <c r="E57" i="135"/>
  <c r="G57" i="135" s="1"/>
  <c r="E56" i="135"/>
  <c r="G56" i="135" s="1"/>
  <c r="E55" i="135"/>
  <c r="G55" i="135" s="1"/>
  <c r="E54" i="135"/>
  <c r="G54" i="135" s="1"/>
  <c r="E51" i="135"/>
  <c r="G51" i="135" s="1"/>
  <c r="E50" i="135"/>
  <c r="G50" i="135" s="1"/>
  <c r="E49" i="135"/>
  <c r="G49" i="135" s="1"/>
  <c r="E48" i="135"/>
  <c r="G48" i="135" s="1"/>
  <c r="E47" i="135"/>
  <c r="G47" i="135" s="1"/>
  <c r="E46" i="135"/>
  <c r="G46" i="135" s="1"/>
  <c r="E45" i="135"/>
  <c r="G45" i="135" s="1"/>
  <c r="E44" i="135"/>
  <c r="G44" i="135" s="1"/>
  <c r="E43" i="135"/>
  <c r="G43" i="135" s="1"/>
  <c r="E42" i="135"/>
  <c r="G42" i="135" s="1"/>
  <c r="E40" i="135"/>
  <c r="G40" i="135" s="1"/>
  <c r="E39" i="135"/>
  <c r="G39" i="135" s="1"/>
  <c r="E38" i="135"/>
  <c r="G38" i="135" s="1"/>
  <c r="E37" i="135"/>
  <c r="G37" i="135" s="1"/>
  <c r="E36" i="135"/>
  <c r="G36" i="135" s="1"/>
  <c r="E35" i="135"/>
  <c r="G35" i="135" s="1"/>
  <c r="E34" i="135"/>
  <c r="G34" i="135" s="1"/>
  <c r="E33" i="135"/>
  <c r="G33" i="135" s="1"/>
  <c r="E31" i="135"/>
  <c r="G31" i="135" s="1"/>
  <c r="E30" i="135"/>
  <c r="G30" i="135" s="1"/>
  <c r="E29" i="135"/>
  <c r="G29" i="135" s="1"/>
  <c r="E28" i="135"/>
  <c r="G28" i="135" s="1"/>
  <c r="E27" i="135"/>
  <c r="G27" i="135" s="1"/>
  <c r="E26" i="135"/>
  <c r="G26" i="135" s="1"/>
  <c r="E25" i="135"/>
  <c r="G25" i="135" s="1"/>
  <c r="E24" i="135"/>
  <c r="G24" i="135" s="1"/>
  <c r="E23" i="135"/>
  <c r="G23" i="135" s="1"/>
  <c r="E22" i="135"/>
  <c r="G22" i="135" s="1"/>
  <c r="E21" i="135"/>
  <c r="G21" i="135" s="1"/>
  <c r="E14" i="135"/>
  <c r="G14" i="135" s="1"/>
  <c r="E16" i="135"/>
  <c r="G16" i="135" s="1"/>
  <c r="E13" i="135"/>
  <c r="E12" i="135"/>
  <c r="E11" i="135"/>
  <c r="E10" i="135"/>
  <c r="E9" i="135"/>
  <c r="E61" i="134"/>
  <c r="G61" i="134" s="1"/>
  <c r="E20" i="134"/>
  <c r="G20" i="134" s="1"/>
  <c r="E19" i="134"/>
  <c r="G19" i="134" s="1"/>
  <c r="E18" i="134"/>
  <c r="G18" i="134" s="1"/>
  <c r="E60" i="134"/>
  <c r="G60" i="134" s="1"/>
  <c r="E56" i="134"/>
  <c r="G56" i="134" s="1"/>
  <c r="E55" i="134"/>
  <c r="G55" i="134" s="1"/>
  <c r="E54" i="134"/>
  <c r="G54" i="134" s="1"/>
  <c r="E51" i="134"/>
  <c r="G51" i="134" s="1"/>
  <c r="E50" i="134"/>
  <c r="G50" i="134" s="1"/>
  <c r="E49" i="134"/>
  <c r="G49" i="134" s="1"/>
  <c r="E48" i="134"/>
  <c r="G48" i="134" s="1"/>
  <c r="E47" i="134"/>
  <c r="G47" i="134" s="1"/>
  <c r="E46" i="134"/>
  <c r="G46" i="134" s="1"/>
  <c r="E45" i="134"/>
  <c r="G45" i="134" s="1"/>
  <c r="E44" i="134"/>
  <c r="G44" i="134" s="1"/>
  <c r="E43" i="134"/>
  <c r="G43" i="134" s="1"/>
  <c r="E42" i="134"/>
  <c r="G42" i="134" s="1"/>
  <c r="E40" i="134"/>
  <c r="G40" i="134" s="1"/>
  <c r="E39" i="134"/>
  <c r="G39" i="134" s="1"/>
  <c r="E38" i="134"/>
  <c r="G38" i="134" s="1"/>
  <c r="E37" i="134"/>
  <c r="G37" i="134" s="1"/>
  <c r="E36" i="134"/>
  <c r="G36" i="134" s="1"/>
  <c r="E35" i="134"/>
  <c r="G35" i="134" s="1"/>
  <c r="E34" i="134"/>
  <c r="G34" i="134" s="1"/>
  <c r="E33" i="134"/>
  <c r="G33" i="134" s="1"/>
  <c r="E31" i="134"/>
  <c r="G31" i="134" s="1"/>
  <c r="E30" i="134"/>
  <c r="G30" i="134" s="1"/>
  <c r="E29" i="134"/>
  <c r="G29" i="134" s="1"/>
  <c r="E28" i="134"/>
  <c r="G28" i="134" s="1"/>
  <c r="E27" i="134"/>
  <c r="G27" i="134" s="1"/>
  <c r="E26" i="134"/>
  <c r="G26" i="134" s="1"/>
  <c r="E25" i="134"/>
  <c r="G25" i="134" s="1"/>
  <c r="E24" i="134"/>
  <c r="G24" i="134" s="1"/>
  <c r="E23" i="134"/>
  <c r="G23" i="134" s="1"/>
  <c r="E22" i="134"/>
  <c r="G22" i="134" s="1"/>
  <c r="E21" i="134"/>
  <c r="G21" i="134" s="1"/>
  <c r="E14" i="134"/>
  <c r="G14" i="134" s="1"/>
  <c r="E16" i="134"/>
  <c r="G16" i="134" s="1"/>
  <c r="E13" i="134"/>
  <c r="E12" i="134"/>
  <c r="E11" i="134"/>
  <c r="E10" i="134"/>
  <c r="E9" i="134"/>
  <c r="E61" i="133"/>
  <c r="G61" i="133" s="1"/>
  <c r="E20" i="133"/>
  <c r="G20" i="133" s="1"/>
  <c r="E19" i="133"/>
  <c r="G19" i="133" s="1"/>
  <c r="E18" i="133"/>
  <c r="G18" i="133" s="1"/>
  <c r="E17" i="133"/>
  <c r="G17" i="133" s="1"/>
  <c r="E60" i="133"/>
  <c r="G60" i="133" s="1"/>
  <c r="E57" i="133"/>
  <c r="G57" i="133" s="1"/>
  <c r="E56" i="133"/>
  <c r="G56" i="133" s="1"/>
  <c r="E55" i="133"/>
  <c r="G55" i="133" s="1"/>
  <c r="E54" i="133"/>
  <c r="G54" i="133" s="1"/>
  <c r="E51" i="133"/>
  <c r="G51" i="133" s="1"/>
  <c r="E50" i="133"/>
  <c r="G50" i="133" s="1"/>
  <c r="E49" i="133"/>
  <c r="G49" i="133" s="1"/>
  <c r="E48" i="133"/>
  <c r="G48" i="133" s="1"/>
  <c r="E47" i="133"/>
  <c r="G47" i="133" s="1"/>
  <c r="E46" i="133"/>
  <c r="G46" i="133" s="1"/>
  <c r="E45" i="133"/>
  <c r="G45" i="133" s="1"/>
  <c r="E44" i="133"/>
  <c r="G44" i="133" s="1"/>
  <c r="E43" i="133"/>
  <c r="G43" i="133" s="1"/>
  <c r="E42" i="133"/>
  <c r="G42" i="133" s="1"/>
  <c r="E40" i="133"/>
  <c r="G40" i="133" s="1"/>
  <c r="E39" i="133"/>
  <c r="G39" i="133" s="1"/>
  <c r="E38" i="133"/>
  <c r="G38" i="133" s="1"/>
  <c r="E37" i="133"/>
  <c r="G37" i="133" s="1"/>
  <c r="E36" i="133"/>
  <c r="G36" i="133" s="1"/>
  <c r="E35" i="133"/>
  <c r="G35" i="133" s="1"/>
  <c r="E34" i="133"/>
  <c r="G34" i="133" s="1"/>
  <c r="E33" i="133"/>
  <c r="G33" i="133" s="1"/>
  <c r="E31" i="133"/>
  <c r="G31" i="133" s="1"/>
  <c r="E30" i="133"/>
  <c r="G30" i="133" s="1"/>
  <c r="E29" i="133"/>
  <c r="G29" i="133" s="1"/>
  <c r="E28" i="133"/>
  <c r="G28" i="133" s="1"/>
  <c r="E27" i="133"/>
  <c r="G27" i="133" s="1"/>
  <c r="E26" i="133"/>
  <c r="G26" i="133" s="1"/>
  <c r="E25" i="133"/>
  <c r="G25" i="133" s="1"/>
  <c r="E24" i="133"/>
  <c r="G24" i="133" s="1"/>
  <c r="E23" i="133"/>
  <c r="G23" i="133" s="1"/>
  <c r="E22" i="133"/>
  <c r="G22" i="133" s="1"/>
  <c r="E21" i="133"/>
  <c r="G21" i="133" s="1"/>
  <c r="E14" i="133"/>
  <c r="G14" i="133" s="1"/>
  <c r="E16" i="133"/>
  <c r="G16" i="133" s="1"/>
  <c r="E13" i="133"/>
  <c r="E12" i="133"/>
  <c r="E11" i="133"/>
  <c r="E10" i="133"/>
  <c r="E9" i="133"/>
  <c r="E61" i="132"/>
  <c r="G61" i="132" s="1"/>
  <c r="E20" i="132"/>
  <c r="G20" i="132" s="1"/>
  <c r="E19" i="132"/>
  <c r="E18" i="132"/>
  <c r="G18" i="132" s="1"/>
  <c r="E17" i="132"/>
  <c r="G17" i="132" s="1"/>
  <c r="E60" i="132"/>
  <c r="G60" i="132" s="1"/>
  <c r="E57" i="132"/>
  <c r="G57" i="132" s="1"/>
  <c r="E56" i="132"/>
  <c r="G56" i="132" s="1"/>
  <c r="E55" i="132"/>
  <c r="G55" i="132" s="1"/>
  <c r="E54" i="132"/>
  <c r="E51" i="132"/>
  <c r="E50" i="132"/>
  <c r="G50" i="132" s="1"/>
  <c r="E49" i="132"/>
  <c r="G49" i="132" s="1"/>
  <c r="E48" i="132"/>
  <c r="G48" i="132" s="1"/>
  <c r="E47" i="132"/>
  <c r="G47" i="132" s="1"/>
  <c r="E46" i="132"/>
  <c r="G46" i="132" s="1"/>
  <c r="E45" i="132"/>
  <c r="G45" i="132" s="1"/>
  <c r="E44" i="132"/>
  <c r="E43" i="132"/>
  <c r="E42" i="132"/>
  <c r="G42" i="132" s="1"/>
  <c r="E40" i="132"/>
  <c r="G40" i="132" s="1"/>
  <c r="E39" i="132"/>
  <c r="G39" i="132" s="1"/>
  <c r="E38" i="132"/>
  <c r="G38" i="132" s="1"/>
  <c r="E37" i="132"/>
  <c r="G37" i="132" s="1"/>
  <c r="E36" i="132"/>
  <c r="G36" i="132" s="1"/>
  <c r="E35" i="132"/>
  <c r="E34" i="132"/>
  <c r="E33" i="132"/>
  <c r="G33" i="132" s="1"/>
  <c r="G32" i="132"/>
  <c r="E30" i="132"/>
  <c r="G30" i="132" s="1"/>
  <c r="E29" i="132"/>
  <c r="G29" i="132" s="1"/>
  <c r="E28" i="132"/>
  <c r="G28" i="132" s="1"/>
  <c r="E27" i="132"/>
  <c r="G27" i="132" s="1"/>
  <c r="E26" i="132"/>
  <c r="E25" i="132"/>
  <c r="E24" i="132"/>
  <c r="G24" i="132" s="1"/>
  <c r="E23" i="132"/>
  <c r="G23" i="132" s="1"/>
  <c r="E22" i="132"/>
  <c r="G22" i="132" s="1"/>
  <c r="E21" i="132"/>
  <c r="G21" i="132" s="1"/>
  <c r="E14" i="132"/>
  <c r="G14" i="132" s="1"/>
  <c r="E16" i="132"/>
  <c r="G16" i="132" s="1"/>
  <c r="E13" i="132"/>
  <c r="E12" i="132"/>
  <c r="E11" i="132"/>
  <c r="E10" i="132"/>
  <c r="E9" i="132"/>
  <c r="D8" i="113"/>
  <c r="C8" i="113"/>
  <c r="D4" i="113"/>
  <c r="C4" i="113"/>
  <c r="E8" i="98"/>
  <c r="D8" i="98"/>
  <c r="C8" i="98"/>
  <c r="C4" i="98"/>
  <c r="E22" i="118"/>
  <c r="G22" i="118" s="1"/>
  <c r="E8" i="140"/>
  <c r="D8" i="140"/>
  <c r="C8" i="140"/>
  <c r="E4" i="140"/>
  <c r="JX6" i="94" s="1"/>
  <c r="C21" i="145" s="1"/>
  <c r="C4" i="140"/>
  <c r="E8" i="139"/>
  <c r="D8" i="139"/>
  <c r="C8" i="139"/>
  <c r="E4" i="139"/>
  <c r="C4" i="139"/>
  <c r="E8" i="97"/>
  <c r="D8" i="97"/>
  <c r="C8" i="97"/>
  <c r="C4" i="97"/>
  <c r="E8" i="117"/>
  <c r="D8" i="117"/>
  <c r="C8" i="117"/>
  <c r="C4" i="117"/>
  <c r="E8" i="123"/>
  <c r="D8" i="123"/>
  <c r="F8" i="123" s="1"/>
  <c r="C8" i="123"/>
  <c r="C4" i="123"/>
  <c r="E8" i="137"/>
  <c r="D8" i="137"/>
  <c r="C8" i="137"/>
  <c r="E4" i="137"/>
  <c r="C4" i="137"/>
  <c r="E8" i="138"/>
  <c r="D8" i="138"/>
  <c r="C8" i="138"/>
  <c r="E4" i="138"/>
  <c r="JW16" i="94" s="1"/>
  <c r="D19" i="145" s="1"/>
  <c r="E19" i="145" s="1"/>
  <c r="D4" i="138"/>
  <c r="C4" i="138"/>
  <c r="E8" i="96"/>
  <c r="D8" i="96"/>
  <c r="C8" i="96"/>
  <c r="D4" i="96"/>
  <c r="C4" i="96"/>
  <c r="E4" i="136"/>
  <c r="D4" i="136"/>
  <c r="C4" i="136"/>
  <c r="D4" i="99"/>
  <c r="C4" i="99"/>
  <c r="E8" i="91"/>
  <c r="D8" i="91"/>
  <c r="C8" i="91"/>
  <c r="C4" i="91"/>
  <c r="E8" i="124"/>
  <c r="D8" i="124"/>
  <c r="C8" i="124"/>
  <c r="C4" i="124"/>
  <c r="E8" i="135"/>
  <c r="D8" i="135"/>
  <c r="C8" i="135"/>
  <c r="E4" i="135"/>
  <c r="C4" i="135"/>
  <c r="E8" i="116"/>
  <c r="E8" i="134"/>
  <c r="D8" i="134"/>
  <c r="F8" i="134" s="1"/>
  <c r="C8" i="134"/>
  <c r="E4" i="134"/>
  <c r="C4" i="134"/>
  <c r="E8" i="133"/>
  <c r="D8" i="133"/>
  <c r="C8" i="133"/>
  <c r="E4" i="133"/>
  <c r="C4" i="133"/>
  <c r="E8" i="132"/>
  <c r="D8" i="132"/>
  <c r="C8" i="132"/>
  <c r="E4" i="132"/>
  <c r="C4" i="132"/>
  <c r="B6" i="130"/>
  <c r="B7" i="130"/>
  <c r="B8" i="130"/>
  <c r="B9" i="130"/>
  <c r="B10" i="130"/>
  <c r="B11" i="130"/>
  <c r="B12" i="130"/>
  <c r="B13" i="130"/>
  <c r="B14" i="130"/>
  <c r="B15" i="130"/>
  <c r="B16" i="130"/>
  <c r="B17" i="130"/>
  <c r="B18" i="130"/>
  <c r="B19" i="130"/>
  <c r="B20" i="130"/>
  <c r="B21" i="130"/>
  <c r="B22" i="130"/>
  <c r="B23" i="130"/>
  <c r="D9" i="140"/>
  <c r="D10" i="140"/>
  <c r="D11" i="140"/>
  <c r="D12" i="140"/>
  <c r="F12" i="140" s="1"/>
  <c r="D13" i="140"/>
  <c r="D14" i="140"/>
  <c r="D21" i="140"/>
  <c r="D22" i="140"/>
  <c r="D23" i="140"/>
  <c r="D24" i="140"/>
  <c r="F24" i="140" s="1"/>
  <c r="D25" i="140"/>
  <c r="D26" i="140"/>
  <c r="F26" i="140" s="1"/>
  <c r="D27" i="140"/>
  <c r="D28" i="140"/>
  <c r="D29" i="140"/>
  <c r="D30" i="140"/>
  <c r="D31" i="140"/>
  <c r="D33" i="140"/>
  <c r="F33" i="140" s="1"/>
  <c r="D34" i="140"/>
  <c r="D35" i="140"/>
  <c r="F35" i="140" s="1"/>
  <c r="D36" i="140"/>
  <c r="D37" i="140"/>
  <c r="D38" i="140"/>
  <c r="D39" i="140"/>
  <c r="D40" i="140"/>
  <c r="D42" i="140"/>
  <c r="F42" i="140" s="1"/>
  <c r="D43" i="140"/>
  <c r="D44" i="140"/>
  <c r="F44" i="140" s="1"/>
  <c r="D45" i="140"/>
  <c r="D46" i="140"/>
  <c r="D47" i="140"/>
  <c r="D48" i="140"/>
  <c r="D49" i="140"/>
  <c r="D50" i="140"/>
  <c r="F50" i="140" s="1"/>
  <c r="D51" i="140"/>
  <c r="D54" i="140"/>
  <c r="F54" i="140" s="1"/>
  <c r="D55" i="140"/>
  <c r="D56" i="140"/>
  <c r="D57" i="140"/>
  <c r="D60" i="140"/>
  <c r="D17" i="140"/>
  <c r="D18" i="140"/>
  <c r="F18" i="140" s="1"/>
  <c r="D19" i="140"/>
  <c r="D20" i="140"/>
  <c r="F20" i="140" s="1"/>
  <c r="D61" i="140"/>
  <c r="F63" i="140"/>
  <c r="F65" i="140"/>
  <c r="F67" i="140"/>
  <c r="D108" i="140"/>
  <c r="D109" i="140"/>
  <c r="E109" i="140"/>
  <c r="D111" i="140"/>
  <c r="D112" i="140"/>
  <c r="F115" i="140"/>
  <c r="D116" i="140"/>
  <c r="D110" i="140"/>
  <c r="D113" i="140"/>
  <c r="D117" i="140"/>
  <c r="E121" i="140"/>
  <c r="E122" i="140"/>
  <c r="E124" i="140"/>
  <c r="E126" i="140"/>
  <c r="E127" i="140"/>
  <c r="E129" i="140"/>
  <c r="E130" i="140"/>
  <c r="D133" i="140"/>
  <c r="D134" i="140"/>
  <c r="C134" i="140"/>
  <c r="B134" i="140"/>
  <c r="C133" i="140"/>
  <c r="B133" i="140"/>
  <c r="C132" i="140"/>
  <c r="B132" i="140"/>
  <c r="C131" i="140"/>
  <c r="C130" i="140"/>
  <c r="C129" i="140"/>
  <c r="C128" i="140"/>
  <c r="C127" i="140"/>
  <c r="C126" i="140"/>
  <c r="C125" i="140"/>
  <c r="C124" i="140"/>
  <c r="C123" i="140"/>
  <c r="C122" i="140"/>
  <c r="C121" i="140"/>
  <c r="C115" i="140"/>
  <c r="B115" i="140"/>
  <c r="B113" i="140"/>
  <c r="B112" i="140"/>
  <c r="B111" i="140"/>
  <c r="B110" i="140"/>
  <c r="B109" i="140"/>
  <c r="B108" i="140"/>
  <c r="B107" i="140"/>
  <c r="B106" i="140"/>
  <c r="B105" i="140"/>
  <c r="C70" i="140"/>
  <c r="B70" i="140"/>
  <c r="C69" i="140"/>
  <c r="B69" i="140"/>
  <c r="C68" i="140"/>
  <c r="B68" i="140"/>
  <c r="C67" i="140"/>
  <c r="B67" i="140"/>
  <c r="C66" i="140"/>
  <c r="B66" i="140"/>
  <c r="C65" i="140"/>
  <c r="B65" i="140"/>
  <c r="C64" i="140"/>
  <c r="B64" i="140"/>
  <c r="C63" i="140"/>
  <c r="B63" i="140"/>
  <c r="C61" i="140"/>
  <c r="B61" i="140"/>
  <c r="C20" i="140"/>
  <c r="B20" i="140"/>
  <c r="C19" i="140"/>
  <c r="B19" i="140"/>
  <c r="C18" i="140"/>
  <c r="B18" i="140"/>
  <c r="C17" i="140"/>
  <c r="B17" i="140"/>
  <c r="C60" i="140"/>
  <c r="B60" i="140"/>
  <c r="C57" i="140"/>
  <c r="B57" i="140"/>
  <c r="C56" i="140"/>
  <c r="B56" i="140"/>
  <c r="C55" i="140"/>
  <c r="B55" i="140"/>
  <c r="C54" i="140"/>
  <c r="B54" i="140"/>
  <c r="C51" i="140"/>
  <c r="B51" i="140"/>
  <c r="C50" i="140"/>
  <c r="B50" i="140"/>
  <c r="C49" i="140"/>
  <c r="B49" i="140"/>
  <c r="C48" i="140"/>
  <c r="B48" i="140"/>
  <c r="C47" i="140"/>
  <c r="B47" i="140"/>
  <c r="C46" i="140"/>
  <c r="B46" i="140"/>
  <c r="C45" i="140"/>
  <c r="B45" i="140"/>
  <c r="C44" i="140"/>
  <c r="B44" i="140"/>
  <c r="C43" i="140"/>
  <c r="B43" i="140"/>
  <c r="C42" i="140"/>
  <c r="B42" i="140"/>
  <c r="C40" i="140"/>
  <c r="B40" i="140"/>
  <c r="C39" i="140"/>
  <c r="B39" i="140"/>
  <c r="C38" i="140"/>
  <c r="B38" i="140"/>
  <c r="C37" i="140"/>
  <c r="B37" i="140"/>
  <c r="C36" i="140"/>
  <c r="B36" i="140"/>
  <c r="C35" i="140"/>
  <c r="B35" i="140"/>
  <c r="C34" i="140"/>
  <c r="B34" i="140"/>
  <c r="C33" i="140"/>
  <c r="B33" i="140"/>
  <c r="C31" i="140"/>
  <c r="B31" i="140"/>
  <c r="C30" i="140"/>
  <c r="B30" i="140"/>
  <c r="C29" i="140"/>
  <c r="B29" i="140"/>
  <c r="C28" i="140"/>
  <c r="B28" i="140"/>
  <c r="C27" i="140"/>
  <c r="B27" i="140"/>
  <c r="C26" i="140"/>
  <c r="B26" i="140"/>
  <c r="C25" i="140"/>
  <c r="B25" i="140"/>
  <c r="C24" i="140"/>
  <c r="B24" i="140"/>
  <c r="C23" i="140"/>
  <c r="B23" i="140"/>
  <c r="C22" i="140"/>
  <c r="B22" i="140"/>
  <c r="C21" i="140"/>
  <c r="B21" i="140"/>
  <c r="C14" i="140"/>
  <c r="C13" i="140"/>
  <c r="C12" i="140"/>
  <c r="C11" i="140"/>
  <c r="C10" i="140"/>
  <c r="C9" i="140"/>
  <c r="D9" i="139"/>
  <c r="D10" i="139"/>
  <c r="F10" i="139" s="1"/>
  <c r="D11" i="139"/>
  <c r="D12" i="139"/>
  <c r="F12" i="139" s="1"/>
  <c r="D13" i="139"/>
  <c r="D16" i="139"/>
  <c r="D14" i="139"/>
  <c r="D21" i="139"/>
  <c r="D22" i="139"/>
  <c r="D23" i="139"/>
  <c r="F23" i="139" s="1"/>
  <c r="D24" i="139"/>
  <c r="D25" i="139"/>
  <c r="F25" i="139" s="1"/>
  <c r="D26" i="139"/>
  <c r="D27" i="139"/>
  <c r="D28" i="139"/>
  <c r="D29" i="139"/>
  <c r="D30" i="139"/>
  <c r="D31" i="139"/>
  <c r="F31" i="139" s="1"/>
  <c r="D33" i="139"/>
  <c r="D34" i="139"/>
  <c r="F34" i="139" s="1"/>
  <c r="D35" i="139"/>
  <c r="D36" i="139"/>
  <c r="D37" i="139"/>
  <c r="D38" i="139"/>
  <c r="D39" i="139"/>
  <c r="D40" i="139"/>
  <c r="F40" i="139" s="1"/>
  <c r="D42" i="139"/>
  <c r="D43" i="139"/>
  <c r="F43" i="139" s="1"/>
  <c r="D44" i="139"/>
  <c r="D45" i="139"/>
  <c r="D46" i="139"/>
  <c r="D47" i="139"/>
  <c r="D48" i="139"/>
  <c r="D49" i="139"/>
  <c r="F49" i="139" s="1"/>
  <c r="D50" i="139"/>
  <c r="D51" i="139"/>
  <c r="F51" i="139" s="1"/>
  <c r="D54" i="139"/>
  <c r="D55" i="139"/>
  <c r="D56" i="139"/>
  <c r="D57" i="139"/>
  <c r="D60" i="139"/>
  <c r="D17" i="139"/>
  <c r="F17" i="139" s="1"/>
  <c r="D18" i="139"/>
  <c r="D19" i="139"/>
  <c r="F19" i="139" s="1"/>
  <c r="D20" i="139"/>
  <c r="D61" i="139"/>
  <c r="F63" i="139"/>
  <c r="F67" i="139"/>
  <c r="D108" i="139"/>
  <c r="D109" i="139"/>
  <c r="D111" i="139"/>
  <c r="D112" i="139"/>
  <c r="F115" i="139"/>
  <c r="D116" i="139"/>
  <c r="D110" i="139"/>
  <c r="D113" i="139"/>
  <c r="D117" i="139"/>
  <c r="E122" i="139"/>
  <c r="E123" i="139"/>
  <c r="E124" i="139"/>
  <c r="E125" i="139"/>
  <c r="E127" i="139"/>
  <c r="E130" i="139"/>
  <c r="D133" i="139"/>
  <c r="D134" i="139"/>
  <c r="C134" i="139"/>
  <c r="B134" i="139"/>
  <c r="C133" i="139"/>
  <c r="B133" i="139"/>
  <c r="C132" i="139"/>
  <c r="B132" i="139"/>
  <c r="C131" i="139"/>
  <c r="C130" i="139"/>
  <c r="C129" i="139"/>
  <c r="C128" i="139"/>
  <c r="C127" i="139"/>
  <c r="C126" i="139"/>
  <c r="C125" i="139"/>
  <c r="C124" i="139"/>
  <c r="C123" i="139"/>
  <c r="C122" i="139"/>
  <c r="C121" i="139"/>
  <c r="C115" i="139"/>
  <c r="B115" i="139"/>
  <c r="B113" i="139"/>
  <c r="B112" i="139"/>
  <c r="B111" i="139"/>
  <c r="B110" i="139"/>
  <c r="B109" i="139"/>
  <c r="B108" i="139"/>
  <c r="B107" i="139"/>
  <c r="B106" i="139"/>
  <c r="B105" i="139"/>
  <c r="C70" i="139"/>
  <c r="B70" i="139"/>
  <c r="C69" i="139"/>
  <c r="B69" i="139"/>
  <c r="C68" i="139"/>
  <c r="B68" i="139"/>
  <c r="C67" i="139"/>
  <c r="B67" i="139"/>
  <c r="C66" i="139"/>
  <c r="B66" i="139"/>
  <c r="C65" i="139"/>
  <c r="B65" i="139"/>
  <c r="C64" i="139"/>
  <c r="B64" i="139"/>
  <c r="C63" i="139"/>
  <c r="B63" i="139"/>
  <c r="C61" i="139"/>
  <c r="B61" i="139"/>
  <c r="C20" i="139"/>
  <c r="B20" i="139"/>
  <c r="C19" i="139"/>
  <c r="B19" i="139"/>
  <c r="C18" i="139"/>
  <c r="B18" i="139"/>
  <c r="C17" i="139"/>
  <c r="B17" i="139"/>
  <c r="C60" i="139"/>
  <c r="B60" i="139"/>
  <c r="C57" i="139"/>
  <c r="B57" i="139"/>
  <c r="C56" i="139"/>
  <c r="B56" i="139"/>
  <c r="C55" i="139"/>
  <c r="B55" i="139"/>
  <c r="C54" i="139"/>
  <c r="B54" i="139"/>
  <c r="C51" i="139"/>
  <c r="B51" i="139"/>
  <c r="C50" i="139"/>
  <c r="B50" i="139"/>
  <c r="C49" i="139"/>
  <c r="B49" i="139"/>
  <c r="C48" i="139"/>
  <c r="B48" i="139"/>
  <c r="C47" i="139"/>
  <c r="B47" i="139"/>
  <c r="C46" i="139"/>
  <c r="B46" i="139"/>
  <c r="C45" i="139"/>
  <c r="B45" i="139"/>
  <c r="C44" i="139"/>
  <c r="B44" i="139"/>
  <c r="C43" i="139"/>
  <c r="B43" i="139"/>
  <c r="C42" i="139"/>
  <c r="B42" i="139"/>
  <c r="C40" i="139"/>
  <c r="B40" i="139"/>
  <c r="C39" i="139"/>
  <c r="B39" i="139"/>
  <c r="C38" i="139"/>
  <c r="B38" i="139"/>
  <c r="C37" i="139"/>
  <c r="B37" i="139"/>
  <c r="C36" i="139"/>
  <c r="B36" i="139"/>
  <c r="C35" i="139"/>
  <c r="B35" i="139"/>
  <c r="C34" i="139"/>
  <c r="B34" i="139"/>
  <c r="C33" i="139"/>
  <c r="B33" i="139"/>
  <c r="C31" i="139"/>
  <c r="B31" i="139"/>
  <c r="C30" i="139"/>
  <c r="B30" i="139"/>
  <c r="C29" i="139"/>
  <c r="B29" i="139"/>
  <c r="C28" i="139"/>
  <c r="B28" i="139"/>
  <c r="C27" i="139"/>
  <c r="B27" i="139"/>
  <c r="C26" i="139"/>
  <c r="B26" i="139"/>
  <c r="C25" i="139"/>
  <c r="B25" i="139"/>
  <c r="C24" i="139"/>
  <c r="B24" i="139"/>
  <c r="C23" i="139"/>
  <c r="B23" i="139"/>
  <c r="C22" i="139"/>
  <c r="B22" i="139"/>
  <c r="C21" i="139"/>
  <c r="B21" i="139"/>
  <c r="C14" i="139"/>
  <c r="C16" i="139"/>
  <c r="B16" i="139"/>
  <c r="C13" i="139"/>
  <c r="C12" i="139"/>
  <c r="C11" i="139"/>
  <c r="C10" i="139"/>
  <c r="C9" i="139"/>
  <c r="D9" i="138"/>
  <c r="D10" i="138"/>
  <c r="D11" i="138"/>
  <c r="D12" i="138"/>
  <c r="D13" i="138"/>
  <c r="D16" i="138"/>
  <c r="D14" i="138"/>
  <c r="D21" i="138"/>
  <c r="F21" i="138" s="1"/>
  <c r="D22" i="138"/>
  <c r="D23" i="138"/>
  <c r="D24" i="138"/>
  <c r="D25" i="138"/>
  <c r="D26" i="138"/>
  <c r="D27" i="138"/>
  <c r="D28" i="138"/>
  <c r="D29" i="138"/>
  <c r="F29" i="138" s="1"/>
  <c r="D30" i="138"/>
  <c r="D31" i="138"/>
  <c r="D33" i="138"/>
  <c r="D34" i="138"/>
  <c r="D35" i="138"/>
  <c r="D36" i="138"/>
  <c r="D37" i="138"/>
  <c r="D38" i="138"/>
  <c r="F38" i="138" s="1"/>
  <c r="D39" i="138"/>
  <c r="D40" i="138"/>
  <c r="D42" i="138"/>
  <c r="D43" i="138"/>
  <c r="D44" i="138"/>
  <c r="D45" i="138"/>
  <c r="D46" i="138"/>
  <c r="D47" i="138"/>
  <c r="F47" i="138" s="1"/>
  <c r="D48" i="138"/>
  <c r="D49" i="138"/>
  <c r="D50" i="138"/>
  <c r="D51" i="138"/>
  <c r="D54" i="138"/>
  <c r="D55" i="138"/>
  <c r="D56" i="138"/>
  <c r="D57" i="138"/>
  <c r="F57" i="138" s="1"/>
  <c r="D60" i="138"/>
  <c r="D17" i="138"/>
  <c r="D18" i="138"/>
  <c r="D19" i="138"/>
  <c r="D20" i="138"/>
  <c r="D61" i="138"/>
  <c r="E105" i="138"/>
  <c r="E132" i="138" s="1"/>
  <c r="E106" i="138"/>
  <c r="D108" i="138"/>
  <c r="E108" i="138"/>
  <c r="E133" i="138" s="1"/>
  <c r="H133" i="138" s="1"/>
  <c r="D109" i="138"/>
  <c r="E109" i="138"/>
  <c r="D111" i="138"/>
  <c r="E111" i="138"/>
  <c r="D112" i="138"/>
  <c r="E112" i="138"/>
  <c r="E107" i="138"/>
  <c r="E110" i="138"/>
  <c r="E113" i="138"/>
  <c r="F115" i="138"/>
  <c r="D116" i="138"/>
  <c r="D110" i="138"/>
  <c r="D113" i="138"/>
  <c r="D117" i="138"/>
  <c r="E121" i="138"/>
  <c r="E122" i="138"/>
  <c r="E123" i="138"/>
  <c r="E127" i="138"/>
  <c r="E128" i="138"/>
  <c r="E130" i="138"/>
  <c r="E131" i="138"/>
  <c r="D133" i="138"/>
  <c r="D134" i="138"/>
  <c r="C134" i="138"/>
  <c r="B134" i="138"/>
  <c r="C133" i="138"/>
  <c r="B133" i="138"/>
  <c r="C132" i="138"/>
  <c r="B132" i="138"/>
  <c r="C131" i="138"/>
  <c r="C130" i="138"/>
  <c r="C129" i="138"/>
  <c r="C128" i="138"/>
  <c r="C127" i="138"/>
  <c r="C126" i="138"/>
  <c r="C125" i="138"/>
  <c r="C124" i="138"/>
  <c r="C123" i="138"/>
  <c r="C122" i="138"/>
  <c r="C121" i="138"/>
  <c r="C115" i="138"/>
  <c r="B115" i="138"/>
  <c r="B113" i="138"/>
  <c r="B112" i="138"/>
  <c r="B111" i="138"/>
  <c r="B110" i="138"/>
  <c r="B109" i="138"/>
  <c r="B108" i="138"/>
  <c r="B107" i="138"/>
  <c r="B106" i="138"/>
  <c r="B105" i="138"/>
  <c r="C70" i="138"/>
  <c r="B70" i="138"/>
  <c r="C69" i="138"/>
  <c r="B69" i="138"/>
  <c r="C68" i="138"/>
  <c r="B68" i="138"/>
  <c r="C67" i="138"/>
  <c r="B67" i="138"/>
  <c r="C66" i="138"/>
  <c r="B66" i="138"/>
  <c r="C65" i="138"/>
  <c r="B65" i="138"/>
  <c r="C64" i="138"/>
  <c r="B64" i="138"/>
  <c r="C63" i="138"/>
  <c r="B63" i="138"/>
  <c r="C61" i="138"/>
  <c r="B61" i="138"/>
  <c r="C20" i="138"/>
  <c r="B20" i="138"/>
  <c r="C19" i="138"/>
  <c r="B19" i="138"/>
  <c r="C18" i="138"/>
  <c r="B18" i="138"/>
  <c r="C17" i="138"/>
  <c r="B17" i="138"/>
  <c r="C60" i="138"/>
  <c r="B60" i="138"/>
  <c r="C57" i="138"/>
  <c r="B57" i="138"/>
  <c r="C56" i="138"/>
  <c r="B56" i="138"/>
  <c r="C55" i="138"/>
  <c r="B55" i="138"/>
  <c r="C54" i="138"/>
  <c r="B54" i="138"/>
  <c r="C51" i="138"/>
  <c r="B51" i="138"/>
  <c r="C50" i="138"/>
  <c r="B50" i="138"/>
  <c r="C49" i="138"/>
  <c r="B49" i="138"/>
  <c r="C48" i="138"/>
  <c r="B48" i="138"/>
  <c r="C47" i="138"/>
  <c r="B47" i="138"/>
  <c r="C46" i="138"/>
  <c r="B46" i="138"/>
  <c r="C45" i="138"/>
  <c r="B45" i="138"/>
  <c r="C44" i="138"/>
  <c r="B44" i="138"/>
  <c r="C43" i="138"/>
  <c r="B43" i="138"/>
  <c r="C42" i="138"/>
  <c r="B42" i="138"/>
  <c r="C40" i="138"/>
  <c r="B40" i="138"/>
  <c r="C39" i="138"/>
  <c r="B39" i="138"/>
  <c r="C38" i="138"/>
  <c r="B38" i="138"/>
  <c r="C37" i="138"/>
  <c r="B37" i="138"/>
  <c r="C36" i="138"/>
  <c r="B36" i="138"/>
  <c r="C35" i="138"/>
  <c r="B35" i="138"/>
  <c r="C34" i="138"/>
  <c r="B34" i="138"/>
  <c r="C33" i="138"/>
  <c r="B33" i="138"/>
  <c r="C31" i="138"/>
  <c r="B31" i="138"/>
  <c r="C30" i="138"/>
  <c r="B30" i="138"/>
  <c r="C29" i="138"/>
  <c r="B29" i="138"/>
  <c r="C28" i="138"/>
  <c r="B28" i="138"/>
  <c r="C27" i="138"/>
  <c r="B27" i="138"/>
  <c r="C26" i="138"/>
  <c r="B26" i="138"/>
  <c r="C25" i="138"/>
  <c r="B25" i="138"/>
  <c r="C24" i="138"/>
  <c r="B24" i="138"/>
  <c r="C23" i="138"/>
  <c r="B23" i="138"/>
  <c r="C22" i="138"/>
  <c r="B22" i="138"/>
  <c r="C21" i="138"/>
  <c r="B21" i="138"/>
  <c r="C14" i="138"/>
  <c r="C16" i="138"/>
  <c r="B16" i="138"/>
  <c r="C13" i="138"/>
  <c r="C12" i="138"/>
  <c r="C11" i="138"/>
  <c r="C10" i="138"/>
  <c r="C9" i="138"/>
  <c r="D9" i="137"/>
  <c r="D10" i="137"/>
  <c r="F10" i="137" s="1"/>
  <c r="D11" i="137"/>
  <c r="D12" i="137"/>
  <c r="D13" i="137"/>
  <c r="D16" i="137"/>
  <c r="D14" i="137"/>
  <c r="D21" i="137"/>
  <c r="D22" i="137"/>
  <c r="D23" i="137"/>
  <c r="F23" i="137" s="1"/>
  <c r="D24" i="137"/>
  <c r="D25" i="137"/>
  <c r="D26" i="137"/>
  <c r="D27" i="137"/>
  <c r="D28" i="137"/>
  <c r="D29" i="137"/>
  <c r="D30" i="137"/>
  <c r="D31" i="137"/>
  <c r="F31" i="137" s="1"/>
  <c r="D33" i="137"/>
  <c r="D34" i="137"/>
  <c r="D35" i="137"/>
  <c r="D36" i="137"/>
  <c r="D37" i="137"/>
  <c r="D38" i="137"/>
  <c r="D39" i="137"/>
  <c r="D40" i="137"/>
  <c r="F40" i="137" s="1"/>
  <c r="D42" i="137"/>
  <c r="D43" i="137"/>
  <c r="D44" i="137"/>
  <c r="D45" i="137"/>
  <c r="D46" i="137"/>
  <c r="D47" i="137"/>
  <c r="D48" i="137"/>
  <c r="D49" i="137"/>
  <c r="F49" i="137" s="1"/>
  <c r="D50" i="137"/>
  <c r="D51" i="137"/>
  <c r="D54" i="137"/>
  <c r="D55" i="137"/>
  <c r="D56" i="137"/>
  <c r="D57" i="137"/>
  <c r="D60" i="137"/>
  <c r="D17" i="137"/>
  <c r="F17" i="137" s="1"/>
  <c r="D18" i="137"/>
  <c r="D19" i="137"/>
  <c r="D20" i="137"/>
  <c r="D61" i="137"/>
  <c r="F63" i="137"/>
  <c r="F67" i="137"/>
  <c r="F69" i="137"/>
  <c r="E105" i="137"/>
  <c r="E106" i="137"/>
  <c r="D108" i="137"/>
  <c r="E108" i="137"/>
  <c r="D109" i="137"/>
  <c r="E109" i="137"/>
  <c r="D111" i="137"/>
  <c r="E111" i="137"/>
  <c r="D112" i="137"/>
  <c r="E112" i="137"/>
  <c r="E107" i="137"/>
  <c r="E110" i="137"/>
  <c r="E113" i="137"/>
  <c r="F115" i="137"/>
  <c r="D116" i="137"/>
  <c r="D110" i="137"/>
  <c r="D113" i="137"/>
  <c r="D117" i="137"/>
  <c r="E122" i="137"/>
  <c r="E125" i="137"/>
  <c r="E127" i="137"/>
  <c r="E128" i="137"/>
  <c r="E130" i="137"/>
  <c r="E134" i="137"/>
  <c r="I134" i="137" s="1"/>
  <c r="D133" i="137"/>
  <c r="D134" i="137"/>
  <c r="C134" i="137"/>
  <c r="B134" i="137"/>
  <c r="C133" i="137"/>
  <c r="B133" i="137"/>
  <c r="C132" i="137"/>
  <c r="B132" i="137"/>
  <c r="C131" i="137"/>
  <c r="C130" i="137"/>
  <c r="C129" i="137"/>
  <c r="C128" i="137"/>
  <c r="C127" i="137"/>
  <c r="C126" i="137"/>
  <c r="C125" i="137"/>
  <c r="C124" i="137"/>
  <c r="C123" i="137"/>
  <c r="C122" i="137"/>
  <c r="C121" i="137"/>
  <c r="C115" i="137"/>
  <c r="B115" i="137"/>
  <c r="B113" i="137"/>
  <c r="B112" i="137"/>
  <c r="B111" i="137"/>
  <c r="B110" i="137"/>
  <c r="B109" i="137"/>
  <c r="B108" i="137"/>
  <c r="B107" i="137"/>
  <c r="B106" i="137"/>
  <c r="B105" i="137"/>
  <c r="C70" i="137"/>
  <c r="B70" i="137"/>
  <c r="C69" i="137"/>
  <c r="B69" i="137"/>
  <c r="C68" i="137"/>
  <c r="B68" i="137"/>
  <c r="C67" i="137"/>
  <c r="B67" i="137"/>
  <c r="C66" i="137"/>
  <c r="B66" i="137"/>
  <c r="C65" i="137"/>
  <c r="B65" i="137"/>
  <c r="C64" i="137"/>
  <c r="B64" i="137"/>
  <c r="C63" i="137"/>
  <c r="B63" i="137"/>
  <c r="C61" i="137"/>
  <c r="B61" i="137"/>
  <c r="C20" i="137"/>
  <c r="B20" i="137"/>
  <c r="C19" i="137"/>
  <c r="B19" i="137"/>
  <c r="C18" i="137"/>
  <c r="B18" i="137"/>
  <c r="C17" i="137"/>
  <c r="B17" i="137"/>
  <c r="C60" i="137"/>
  <c r="B60" i="137"/>
  <c r="C57" i="137"/>
  <c r="B57" i="137"/>
  <c r="C56" i="137"/>
  <c r="B56" i="137"/>
  <c r="C55" i="137"/>
  <c r="B55" i="137"/>
  <c r="C54" i="137"/>
  <c r="B54" i="137"/>
  <c r="C51" i="137"/>
  <c r="B51" i="137"/>
  <c r="C50" i="137"/>
  <c r="B50" i="137"/>
  <c r="C49" i="137"/>
  <c r="B49" i="137"/>
  <c r="C48" i="137"/>
  <c r="B48" i="137"/>
  <c r="C47" i="137"/>
  <c r="B47" i="137"/>
  <c r="C46" i="137"/>
  <c r="B46" i="137"/>
  <c r="C45" i="137"/>
  <c r="B45" i="137"/>
  <c r="C44" i="137"/>
  <c r="B44" i="137"/>
  <c r="C43" i="137"/>
  <c r="B43" i="137"/>
  <c r="C42" i="137"/>
  <c r="B42" i="137"/>
  <c r="C40" i="137"/>
  <c r="B40" i="137"/>
  <c r="C39" i="137"/>
  <c r="B39" i="137"/>
  <c r="C38" i="137"/>
  <c r="B38" i="137"/>
  <c r="C37" i="137"/>
  <c r="B37" i="137"/>
  <c r="C36" i="137"/>
  <c r="B36" i="137"/>
  <c r="C35" i="137"/>
  <c r="B35" i="137"/>
  <c r="C34" i="137"/>
  <c r="B34" i="137"/>
  <c r="C33" i="137"/>
  <c r="B33" i="137"/>
  <c r="C31" i="137"/>
  <c r="B31" i="137"/>
  <c r="C30" i="137"/>
  <c r="B30" i="137"/>
  <c r="C29" i="137"/>
  <c r="B29" i="137"/>
  <c r="C28" i="137"/>
  <c r="B28" i="137"/>
  <c r="C27" i="137"/>
  <c r="B27" i="137"/>
  <c r="C26" i="137"/>
  <c r="B26" i="137"/>
  <c r="C25" i="137"/>
  <c r="B25" i="137"/>
  <c r="C24" i="137"/>
  <c r="B24" i="137"/>
  <c r="C23" i="137"/>
  <c r="B23" i="137"/>
  <c r="C22" i="137"/>
  <c r="B22" i="137"/>
  <c r="C21" i="137"/>
  <c r="B21" i="137"/>
  <c r="C14" i="137"/>
  <c r="C16" i="137"/>
  <c r="B16" i="137"/>
  <c r="C13" i="137"/>
  <c r="C12" i="137"/>
  <c r="C11" i="137"/>
  <c r="C10" i="137"/>
  <c r="C9" i="137"/>
  <c r="D9" i="136"/>
  <c r="D10" i="136"/>
  <c r="D11" i="136"/>
  <c r="D12" i="136"/>
  <c r="D13" i="136"/>
  <c r="F13" i="136" s="1"/>
  <c r="D16" i="136"/>
  <c r="F16" i="136" s="1"/>
  <c r="D14" i="136"/>
  <c r="D21" i="136"/>
  <c r="D22" i="136"/>
  <c r="D23" i="136"/>
  <c r="D24" i="136"/>
  <c r="D25" i="136"/>
  <c r="D26" i="136"/>
  <c r="F26" i="136" s="1"/>
  <c r="D27" i="136"/>
  <c r="F27" i="136" s="1"/>
  <c r="D28" i="136"/>
  <c r="D29" i="136"/>
  <c r="D30" i="136"/>
  <c r="D31" i="136"/>
  <c r="D33" i="136"/>
  <c r="D34" i="136"/>
  <c r="D35" i="136"/>
  <c r="F35" i="136" s="1"/>
  <c r="D36" i="136"/>
  <c r="F36" i="136" s="1"/>
  <c r="D37" i="136"/>
  <c r="D38" i="136"/>
  <c r="D39" i="136"/>
  <c r="D40" i="136"/>
  <c r="D43" i="136"/>
  <c r="D44" i="136"/>
  <c r="D45" i="136"/>
  <c r="F45" i="136" s="1"/>
  <c r="D46" i="136"/>
  <c r="D47" i="136"/>
  <c r="D48" i="136"/>
  <c r="D49" i="136"/>
  <c r="D50" i="136"/>
  <c r="D51" i="136"/>
  <c r="D54" i="136"/>
  <c r="D55" i="136"/>
  <c r="F55" i="136" s="1"/>
  <c r="D56" i="136"/>
  <c r="D57" i="136"/>
  <c r="D60" i="136"/>
  <c r="D17" i="136"/>
  <c r="D18" i="136"/>
  <c r="D19" i="136"/>
  <c r="D20" i="136"/>
  <c r="D61" i="136"/>
  <c r="F61" i="136" s="1"/>
  <c r="F63" i="136"/>
  <c r="F65" i="136"/>
  <c r="F67" i="136"/>
  <c r="F69" i="136"/>
  <c r="E105" i="136"/>
  <c r="E132" i="136" s="1"/>
  <c r="E106" i="136"/>
  <c r="D108" i="136"/>
  <c r="E108" i="136"/>
  <c r="D109" i="136"/>
  <c r="E109" i="136"/>
  <c r="D111" i="136"/>
  <c r="E111" i="136"/>
  <c r="D112" i="136"/>
  <c r="E112" i="136"/>
  <c r="E107" i="136"/>
  <c r="E110" i="136"/>
  <c r="E113" i="136"/>
  <c r="F115" i="136"/>
  <c r="D116" i="136"/>
  <c r="D110" i="136"/>
  <c r="D113" i="136"/>
  <c r="D117" i="136"/>
  <c r="E122" i="136"/>
  <c r="E123" i="136"/>
  <c r="E125" i="136"/>
  <c r="E126" i="136"/>
  <c r="E128" i="136"/>
  <c r="E130" i="136"/>
  <c r="E131" i="136"/>
  <c r="D133" i="136"/>
  <c r="D134" i="136"/>
  <c r="C134" i="136"/>
  <c r="B134" i="136"/>
  <c r="C133" i="136"/>
  <c r="B133" i="136"/>
  <c r="C132" i="136"/>
  <c r="B132" i="136"/>
  <c r="C131" i="136"/>
  <c r="C130" i="136"/>
  <c r="C129" i="136"/>
  <c r="C128" i="136"/>
  <c r="C127" i="136"/>
  <c r="C126" i="136"/>
  <c r="C125" i="136"/>
  <c r="C124" i="136"/>
  <c r="C123" i="136"/>
  <c r="C122" i="136"/>
  <c r="C121" i="136"/>
  <c r="C115" i="136"/>
  <c r="B115" i="136"/>
  <c r="B113" i="136"/>
  <c r="B112" i="136"/>
  <c r="B111" i="136"/>
  <c r="B110" i="136"/>
  <c r="B109" i="136"/>
  <c r="B108" i="136"/>
  <c r="B107" i="136"/>
  <c r="B106" i="136"/>
  <c r="B105" i="136"/>
  <c r="C70" i="136"/>
  <c r="B70" i="136"/>
  <c r="C69" i="136"/>
  <c r="B69" i="136"/>
  <c r="C68" i="136"/>
  <c r="B68" i="136"/>
  <c r="C67" i="136"/>
  <c r="B67" i="136"/>
  <c r="C66" i="136"/>
  <c r="B66" i="136"/>
  <c r="C65" i="136"/>
  <c r="B65" i="136"/>
  <c r="C64" i="136"/>
  <c r="B64" i="136"/>
  <c r="C63" i="136"/>
  <c r="B63" i="136"/>
  <c r="C61" i="136"/>
  <c r="B61" i="136"/>
  <c r="C20" i="136"/>
  <c r="B20" i="136"/>
  <c r="C19" i="136"/>
  <c r="B19" i="136"/>
  <c r="C18" i="136"/>
  <c r="B18" i="136"/>
  <c r="C17" i="136"/>
  <c r="B17" i="136"/>
  <c r="C60" i="136"/>
  <c r="B60" i="136"/>
  <c r="C57" i="136"/>
  <c r="B57" i="136"/>
  <c r="C56" i="136"/>
  <c r="B56" i="136"/>
  <c r="C55" i="136"/>
  <c r="B55" i="136"/>
  <c r="C54" i="136"/>
  <c r="B54" i="136"/>
  <c r="C51" i="136"/>
  <c r="B51" i="136"/>
  <c r="C50" i="136"/>
  <c r="B50" i="136"/>
  <c r="C49" i="136"/>
  <c r="B49" i="136"/>
  <c r="C48" i="136"/>
  <c r="B48" i="136"/>
  <c r="C47" i="136"/>
  <c r="B47" i="136"/>
  <c r="C46" i="136"/>
  <c r="B46" i="136"/>
  <c r="C45" i="136"/>
  <c r="B45" i="136"/>
  <c r="C44" i="136"/>
  <c r="B44" i="136"/>
  <c r="C43" i="136"/>
  <c r="B43" i="136"/>
  <c r="C40" i="136"/>
  <c r="B40" i="136"/>
  <c r="C39" i="136"/>
  <c r="B39" i="136"/>
  <c r="C38" i="136"/>
  <c r="B38" i="136"/>
  <c r="C37" i="136"/>
  <c r="B37" i="136"/>
  <c r="C36" i="136"/>
  <c r="B36" i="136"/>
  <c r="C35" i="136"/>
  <c r="B35" i="136"/>
  <c r="C34" i="136"/>
  <c r="B34" i="136"/>
  <c r="C33" i="136"/>
  <c r="B33" i="136"/>
  <c r="C31" i="136"/>
  <c r="B31" i="136"/>
  <c r="C30" i="136"/>
  <c r="B30" i="136"/>
  <c r="C29" i="136"/>
  <c r="B29" i="136"/>
  <c r="C28" i="136"/>
  <c r="B28" i="136"/>
  <c r="C27" i="136"/>
  <c r="B27" i="136"/>
  <c r="C26" i="136"/>
  <c r="B26" i="136"/>
  <c r="C25" i="136"/>
  <c r="B25" i="136"/>
  <c r="C24" i="136"/>
  <c r="B24" i="136"/>
  <c r="C23" i="136"/>
  <c r="B23" i="136"/>
  <c r="C22" i="136"/>
  <c r="B22" i="136"/>
  <c r="C21" i="136"/>
  <c r="B21" i="136"/>
  <c r="C14" i="136"/>
  <c r="C16" i="136"/>
  <c r="B16" i="136"/>
  <c r="C13" i="136"/>
  <c r="C12" i="136"/>
  <c r="C11" i="136"/>
  <c r="C10" i="136"/>
  <c r="C9" i="136"/>
  <c r="D9" i="135"/>
  <c r="D10" i="135"/>
  <c r="D11" i="135"/>
  <c r="D12" i="135"/>
  <c r="F12" i="135" s="1"/>
  <c r="D13" i="135"/>
  <c r="D16" i="135"/>
  <c r="D14" i="135"/>
  <c r="D21" i="135"/>
  <c r="D22" i="135"/>
  <c r="D23" i="135"/>
  <c r="D24" i="135"/>
  <c r="D25" i="135"/>
  <c r="F25" i="135" s="1"/>
  <c r="D26" i="135"/>
  <c r="D27" i="135"/>
  <c r="D28" i="135"/>
  <c r="D29" i="135"/>
  <c r="D30" i="135"/>
  <c r="D31" i="135"/>
  <c r="D33" i="135"/>
  <c r="D34" i="135"/>
  <c r="F34" i="135" s="1"/>
  <c r="D35" i="135"/>
  <c r="D36" i="135"/>
  <c r="D37" i="135"/>
  <c r="D38" i="135"/>
  <c r="D39" i="135"/>
  <c r="D40" i="135"/>
  <c r="D42" i="135"/>
  <c r="D43" i="135"/>
  <c r="F43" i="135" s="1"/>
  <c r="D44" i="135"/>
  <c r="D45" i="135"/>
  <c r="D46" i="135"/>
  <c r="D47" i="135"/>
  <c r="D48" i="135"/>
  <c r="D49" i="135"/>
  <c r="D50" i="135"/>
  <c r="D51" i="135"/>
  <c r="F51" i="135" s="1"/>
  <c r="D54" i="135"/>
  <c r="D55" i="135"/>
  <c r="D56" i="135"/>
  <c r="D57" i="135"/>
  <c r="D60" i="135"/>
  <c r="D17" i="135"/>
  <c r="D18" i="135"/>
  <c r="D19" i="135"/>
  <c r="F19" i="135" s="1"/>
  <c r="D20" i="135"/>
  <c r="D61" i="135"/>
  <c r="F63" i="135"/>
  <c r="F65" i="135"/>
  <c r="F67" i="135"/>
  <c r="F69" i="135"/>
  <c r="E105" i="135"/>
  <c r="E106" i="135"/>
  <c r="D108" i="135"/>
  <c r="E108" i="135"/>
  <c r="D109" i="135"/>
  <c r="E109" i="135"/>
  <c r="D111" i="135"/>
  <c r="E111" i="135"/>
  <c r="D112" i="135"/>
  <c r="E112" i="135"/>
  <c r="E107" i="135"/>
  <c r="E110" i="135"/>
  <c r="E113" i="135"/>
  <c r="F115" i="135"/>
  <c r="D116" i="135"/>
  <c r="D110" i="135"/>
  <c r="D113" i="135"/>
  <c r="D117" i="135"/>
  <c r="E121" i="135"/>
  <c r="E123" i="135"/>
  <c r="E124" i="135"/>
  <c r="E126" i="135"/>
  <c r="E128" i="135"/>
  <c r="E129" i="135"/>
  <c r="E131" i="135"/>
  <c r="E132" i="135"/>
  <c r="D133" i="135"/>
  <c r="D134" i="135"/>
  <c r="C134" i="135"/>
  <c r="B134" i="135"/>
  <c r="C133" i="135"/>
  <c r="B133" i="135"/>
  <c r="C132" i="135"/>
  <c r="B132" i="135"/>
  <c r="C131" i="135"/>
  <c r="C130" i="135"/>
  <c r="C129" i="135"/>
  <c r="C128" i="135"/>
  <c r="C127" i="135"/>
  <c r="C126" i="135"/>
  <c r="C125" i="135"/>
  <c r="C124" i="135"/>
  <c r="C123" i="135"/>
  <c r="C122" i="135"/>
  <c r="C121" i="135"/>
  <c r="C115" i="135"/>
  <c r="B115" i="135"/>
  <c r="B113" i="135"/>
  <c r="B112" i="135"/>
  <c r="B111" i="135"/>
  <c r="B110" i="135"/>
  <c r="B109" i="135"/>
  <c r="B108" i="135"/>
  <c r="B107" i="135"/>
  <c r="B106" i="135"/>
  <c r="B105" i="135"/>
  <c r="C70" i="135"/>
  <c r="B70" i="135"/>
  <c r="C69" i="135"/>
  <c r="B69" i="135"/>
  <c r="C68" i="135"/>
  <c r="B68" i="135"/>
  <c r="C67" i="135"/>
  <c r="B67" i="135"/>
  <c r="C66" i="135"/>
  <c r="B66" i="135"/>
  <c r="C65" i="135"/>
  <c r="B65" i="135"/>
  <c r="C64" i="135"/>
  <c r="B64" i="135"/>
  <c r="C63" i="135"/>
  <c r="B63" i="135"/>
  <c r="C61" i="135"/>
  <c r="B61" i="135"/>
  <c r="C20" i="135"/>
  <c r="B20" i="135"/>
  <c r="C19" i="135"/>
  <c r="B19" i="135"/>
  <c r="C18" i="135"/>
  <c r="B18" i="135"/>
  <c r="C17" i="135"/>
  <c r="B17" i="135"/>
  <c r="C60" i="135"/>
  <c r="B60" i="135"/>
  <c r="C57" i="135"/>
  <c r="B57" i="135"/>
  <c r="C56" i="135"/>
  <c r="B56" i="135"/>
  <c r="C55" i="135"/>
  <c r="B55" i="135"/>
  <c r="C54" i="135"/>
  <c r="B54" i="135"/>
  <c r="C51" i="135"/>
  <c r="B51" i="135"/>
  <c r="C50" i="135"/>
  <c r="B50" i="135"/>
  <c r="C49" i="135"/>
  <c r="B49" i="135"/>
  <c r="C48" i="135"/>
  <c r="B48" i="135"/>
  <c r="C47" i="135"/>
  <c r="B47" i="135"/>
  <c r="C46" i="135"/>
  <c r="B46" i="135"/>
  <c r="C45" i="135"/>
  <c r="B45" i="135"/>
  <c r="C44" i="135"/>
  <c r="B44" i="135"/>
  <c r="C43" i="135"/>
  <c r="B43" i="135"/>
  <c r="C42" i="135"/>
  <c r="B42" i="135"/>
  <c r="C40" i="135"/>
  <c r="B40" i="135"/>
  <c r="C39" i="135"/>
  <c r="B39" i="135"/>
  <c r="C38" i="135"/>
  <c r="B38" i="135"/>
  <c r="C37" i="135"/>
  <c r="B37" i="135"/>
  <c r="C36" i="135"/>
  <c r="B36" i="135"/>
  <c r="C35" i="135"/>
  <c r="B35" i="135"/>
  <c r="C34" i="135"/>
  <c r="B34" i="135"/>
  <c r="C33" i="135"/>
  <c r="B33" i="135"/>
  <c r="C31" i="135"/>
  <c r="B31" i="135"/>
  <c r="C30" i="135"/>
  <c r="B30" i="135"/>
  <c r="C29" i="135"/>
  <c r="B29" i="135"/>
  <c r="C28" i="135"/>
  <c r="B28" i="135"/>
  <c r="C27" i="135"/>
  <c r="B27" i="135"/>
  <c r="C26" i="135"/>
  <c r="B26" i="135"/>
  <c r="C25" i="135"/>
  <c r="B25" i="135"/>
  <c r="C24" i="135"/>
  <c r="B24" i="135"/>
  <c r="C23" i="135"/>
  <c r="B23" i="135"/>
  <c r="C22" i="135"/>
  <c r="B22" i="135"/>
  <c r="C21" i="135"/>
  <c r="B21" i="135"/>
  <c r="C14" i="135"/>
  <c r="C16" i="135"/>
  <c r="B16" i="135"/>
  <c r="C13" i="135"/>
  <c r="C12" i="135"/>
  <c r="C11" i="135"/>
  <c r="C10" i="135"/>
  <c r="C9" i="135"/>
  <c r="D9" i="134"/>
  <c r="F9" i="134" s="1"/>
  <c r="D10" i="134"/>
  <c r="D11" i="134"/>
  <c r="D12" i="134"/>
  <c r="D13" i="134"/>
  <c r="D16" i="134"/>
  <c r="D14" i="134"/>
  <c r="D21" i="134"/>
  <c r="D22" i="134"/>
  <c r="F22" i="134" s="1"/>
  <c r="D23" i="134"/>
  <c r="D24" i="134"/>
  <c r="D25" i="134"/>
  <c r="D26" i="134"/>
  <c r="D27" i="134"/>
  <c r="D28" i="134"/>
  <c r="D29" i="134"/>
  <c r="F29" i="134" s="1"/>
  <c r="D30" i="134"/>
  <c r="F30" i="134" s="1"/>
  <c r="D31" i="134"/>
  <c r="D33" i="134"/>
  <c r="D34" i="134"/>
  <c r="D35" i="134"/>
  <c r="D36" i="134"/>
  <c r="D37" i="134"/>
  <c r="D38" i="134"/>
  <c r="F38" i="134" s="1"/>
  <c r="D39" i="134"/>
  <c r="F39" i="134" s="1"/>
  <c r="D40" i="134"/>
  <c r="D42" i="134"/>
  <c r="D43" i="134"/>
  <c r="D44" i="134"/>
  <c r="D45" i="134"/>
  <c r="D46" i="134"/>
  <c r="D47" i="134"/>
  <c r="F47" i="134" s="1"/>
  <c r="D48" i="134"/>
  <c r="F48" i="134" s="1"/>
  <c r="D49" i="134"/>
  <c r="D50" i="134"/>
  <c r="D51" i="134"/>
  <c r="D54" i="134"/>
  <c r="D55" i="134"/>
  <c r="D56" i="134"/>
  <c r="D60" i="134"/>
  <c r="F60" i="134" s="1"/>
  <c r="D18" i="134"/>
  <c r="D19" i="134"/>
  <c r="D20" i="134"/>
  <c r="D61" i="134"/>
  <c r="E72" i="134"/>
  <c r="E73" i="134"/>
  <c r="E75" i="134"/>
  <c r="E76" i="134"/>
  <c r="E78" i="134"/>
  <c r="E123" i="134" s="1"/>
  <c r="E79" i="134"/>
  <c r="E81" i="134"/>
  <c r="E124" i="134" s="1"/>
  <c r="E82" i="134"/>
  <c r="E84" i="134"/>
  <c r="E125" i="134" s="1"/>
  <c r="E85" i="134"/>
  <c r="E87" i="134"/>
  <c r="E126" i="134" s="1"/>
  <c r="E88" i="134"/>
  <c r="E90" i="134"/>
  <c r="E127" i="134" s="1"/>
  <c r="E91" i="134"/>
  <c r="E93" i="134"/>
  <c r="E105" i="134" s="1"/>
  <c r="E132" i="134" s="1"/>
  <c r="E94" i="134"/>
  <c r="E96" i="134"/>
  <c r="E129" i="134" s="1"/>
  <c r="E97" i="134"/>
  <c r="E99" i="134"/>
  <c r="E130" i="134" s="1"/>
  <c r="E100" i="134"/>
  <c r="E102" i="134"/>
  <c r="E131" i="134" s="1"/>
  <c r="E103" i="134"/>
  <c r="D108" i="134"/>
  <c r="D109" i="134"/>
  <c r="D111" i="134"/>
  <c r="D112" i="134"/>
  <c r="E74" i="134"/>
  <c r="E77" i="134"/>
  <c r="E80" i="134"/>
  <c r="E83" i="134"/>
  <c r="E86" i="134"/>
  <c r="E89" i="134"/>
  <c r="E92" i="134"/>
  <c r="E95" i="134"/>
  <c r="E98" i="134"/>
  <c r="E101" i="134"/>
  <c r="E104" i="134"/>
  <c r="F115" i="134"/>
  <c r="D116" i="134"/>
  <c r="D110" i="134"/>
  <c r="D113" i="134"/>
  <c r="D117" i="134"/>
  <c r="D133" i="134"/>
  <c r="D134" i="134"/>
  <c r="C134" i="134"/>
  <c r="B134" i="134"/>
  <c r="C133" i="134"/>
  <c r="B133" i="134"/>
  <c r="C132" i="134"/>
  <c r="B132" i="134"/>
  <c r="C131" i="134"/>
  <c r="C130" i="134"/>
  <c r="C129" i="134"/>
  <c r="C128" i="134"/>
  <c r="C127" i="134"/>
  <c r="C126" i="134"/>
  <c r="C125" i="134"/>
  <c r="C124" i="134"/>
  <c r="C123" i="134"/>
  <c r="C122" i="134"/>
  <c r="C121" i="134"/>
  <c r="C115" i="134"/>
  <c r="B115" i="134"/>
  <c r="B113" i="134"/>
  <c r="B112" i="134"/>
  <c r="B111" i="134"/>
  <c r="B110" i="134"/>
  <c r="B109" i="134"/>
  <c r="B108" i="134"/>
  <c r="B107" i="134"/>
  <c r="B106" i="134"/>
  <c r="B105" i="134"/>
  <c r="C70" i="134"/>
  <c r="B70" i="134"/>
  <c r="C69" i="134"/>
  <c r="B69" i="134"/>
  <c r="C68" i="134"/>
  <c r="B68" i="134"/>
  <c r="C67" i="134"/>
  <c r="B67" i="134"/>
  <c r="C66" i="134"/>
  <c r="B66" i="134"/>
  <c r="C65" i="134"/>
  <c r="B65" i="134"/>
  <c r="C64" i="134"/>
  <c r="B64" i="134"/>
  <c r="C63" i="134"/>
  <c r="B63" i="134"/>
  <c r="C61" i="134"/>
  <c r="B61" i="134"/>
  <c r="C20" i="134"/>
  <c r="B20" i="134"/>
  <c r="C19" i="134"/>
  <c r="B19" i="134"/>
  <c r="C18" i="134"/>
  <c r="B18" i="134"/>
  <c r="C60" i="134"/>
  <c r="B60" i="134"/>
  <c r="C56" i="134"/>
  <c r="B56" i="134"/>
  <c r="C55" i="134"/>
  <c r="B55" i="134"/>
  <c r="C54" i="134"/>
  <c r="B54" i="134"/>
  <c r="C51" i="134"/>
  <c r="B51" i="134"/>
  <c r="C50" i="134"/>
  <c r="B50" i="134"/>
  <c r="C49" i="134"/>
  <c r="B49" i="134"/>
  <c r="C48" i="134"/>
  <c r="B48" i="134"/>
  <c r="C47" i="134"/>
  <c r="B47" i="134"/>
  <c r="C46" i="134"/>
  <c r="B46" i="134"/>
  <c r="C45" i="134"/>
  <c r="B45" i="134"/>
  <c r="C44" i="134"/>
  <c r="B44" i="134"/>
  <c r="C43" i="134"/>
  <c r="B43" i="134"/>
  <c r="C42" i="134"/>
  <c r="B42" i="134"/>
  <c r="C40" i="134"/>
  <c r="B40" i="134"/>
  <c r="C39" i="134"/>
  <c r="B39" i="134"/>
  <c r="C38" i="134"/>
  <c r="B38" i="134"/>
  <c r="C37" i="134"/>
  <c r="B37" i="134"/>
  <c r="C36" i="134"/>
  <c r="B36" i="134"/>
  <c r="C35" i="134"/>
  <c r="B35" i="134"/>
  <c r="C34" i="134"/>
  <c r="B34" i="134"/>
  <c r="C33" i="134"/>
  <c r="B33" i="134"/>
  <c r="C31" i="134"/>
  <c r="B31" i="134"/>
  <c r="C30" i="134"/>
  <c r="B30" i="134"/>
  <c r="C29" i="134"/>
  <c r="B29" i="134"/>
  <c r="C28" i="134"/>
  <c r="B28" i="134"/>
  <c r="C27" i="134"/>
  <c r="B27" i="134"/>
  <c r="C26" i="134"/>
  <c r="B26" i="134"/>
  <c r="C25" i="134"/>
  <c r="B25" i="134"/>
  <c r="C24" i="134"/>
  <c r="B24" i="134"/>
  <c r="C23" i="134"/>
  <c r="B23" i="134"/>
  <c r="C22" i="134"/>
  <c r="B22" i="134"/>
  <c r="C21" i="134"/>
  <c r="B21" i="134"/>
  <c r="C14" i="134"/>
  <c r="C16" i="134"/>
  <c r="B16" i="134"/>
  <c r="C13" i="134"/>
  <c r="C12" i="134"/>
  <c r="C11" i="134"/>
  <c r="C10" i="134"/>
  <c r="C9" i="134"/>
  <c r="D9" i="133"/>
  <c r="D10" i="133"/>
  <c r="D11" i="133"/>
  <c r="D12" i="133"/>
  <c r="D13" i="133"/>
  <c r="F13" i="133" s="1"/>
  <c r="D16" i="133"/>
  <c r="F16" i="133" s="1"/>
  <c r="D14" i="133"/>
  <c r="D21" i="133"/>
  <c r="D22" i="133"/>
  <c r="D23" i="133"/>
  <c r="D24" i="133"/>
  <c r="D25" i="133"/>
  <c r="D26" i="133"/>
  <c r="D27" i="133"/>
  <c r="F27" i="133" s="1"/>
  <c r="D28" i="133"/>
  <c r="D29" i="133"/>
  <c r="D30" i="133"/>
  <c r="D31" i="133"/>
  <c r="D33" i="133"/>
  <c r="D34" i="133"/>
  <c r="D35" i="133"/>
  <c r="D36" i="133"/>
  <c r="F36" i="133" s="1"/>
  <c r="D37" i="133"/>
  <c r="D38" i="133"/>
  <c r="D39" i="133"/>
  <c r="D40" i="133"/>
  <c r="D42" i="133"/>
  <c r="D43" i="133"/>
  <c r="D44" i="133"/>
  <c r="D45" i="133"/>
  <c r="F45" i="133" s="1"/>
  <c r="D46" i="133"/>
  <c r="D47" i="133"/>
  <c r="D48" i="133"/>
  <c r="D49" i="133"/>
  <c r="D50" i="133"/>
  <c r="D51" i="133"/>
  <c r="D54" i="133"/>
  <c r="D55" i="133"/>
  <c r="F55" i="133" s="1"/>
  <c r="D56" i="133"/>
  <c r="D57" i="133"/>
  <c r="D60" i="133"/>
  <c r="D17" i="133"/>
  <c r="D18" i="133"/>
  <c r="D19" i="133"/>
  <c r="D20" i="133"/>
  <c r="D61" i="133"/>
  <c r="F61" i="133" s="1"/>
  <c r="F65" i="133"/>
  <c r="F67" i="133"/>
  <c r="F69" i="133"/>
  <c r="D108" i="133"/>
  <c r="D109" i="133"/>
  <c r="D111" i="133"/>
  <c r="D112" i="133"/>
  <c r="E113" i="133"/>
  <c r="H113" i="133" s="1"/>
  <c r="F115" i="133"/>
  <c r="D116" i="133"/>
  <c r="D110" i="133"/>
  <c r="D113" i="133"/>
  <c r="D117" i="133"/>
  <c r="E121" i="133"/>
  <c r="E123" i="133"/>
  <c r="E124" i="133"/>
  <c r="E127" i="133"/>
  <c r="E129" i="133"/>
  <c r="E131" i="133"/>
  <c r="D133" i="133"/>
  <c r="D134" i="133"/>
  <c r="C134" i="133"/>
  <c r="B134" i="133"/>
  <c r="C133" i="133"/>
  <c r="B133" i="133"/>
  <c r="C132" i="133"/>
  <c r="B132" i="133"/>
  <c r="C131" i="133"/>
  <c r="C130" i="133"/>
  <c r="C129" i="133"/>
  <c r="C128" i="133"/>
  <c r="C127" i="133"/>
  <c r="C126" i="133"/>
  <c r="C125" i="133"/>
  <c r="C124" i="133"/>
  <c r="C123" i="133"/>
  <c r="C122" i="133"/>
  <c r="C121" i="133"/>
  <c r="C115" i="133"/>
  <c r="B115" i="133"/>
  <c r="B113" i="133"/>
  <c r="B112" i="133"/>
  <c r="B111" i="133"/>
  <c r="B110" i="133"/>
  <c r="B109" i="133"/>
  <c r="B108" i="133"/>
  <c r="B107" i="133"/>
  <c r="B106" i="133"/>
  <c r="B105" i="133"/>
  <c r="C70" i="133"/>
  <c r="B70" i="133"/>
  <c r="C69" i="133"/>
  <c r="B69" i="133"/>
  <c r="C68" i="133"/>
  <c r="B68" i="133"/>
  <c r="C67" i="133"/>
  <c r="B67" i="133"/>
  <c r="C66" i="133"/>
  <c r="B66" i="133"/>
  <c r="C65" i="133"/>
  <c r="B65" i="133"/>
  <c r="C64" i="133"/>
  <c r="B64" i="133"/>
  <c r="C63" i="133"/>
  <c r="B63" i="133"/>
  <c r="C61" i="133"/>
  <c r="B61" i="133"/>
  <c r="C20" i="133"/>
  <c r="B20" i="133"/>
  <c r="C19" i="133"/>
  <c r="B19" i="133"/>
  <c r="C18" i="133"/>
  <c r="B18" i="133"/>
  <c r="C17" i="133"/>
  <c r="B17" i="133"/>
  <c r="C60" i="133"/>
  <c r="B60" i="133"/>
  <c r="C57" i="133"/>
  <c r="B57" i="133"/>
  <c r="C56" i="133"/>
  <c r="B56" i="133"/>
  <c r="C55" i="133"/>
  <c r="B55" i="133"/>
  <c r="C54" i="133"/>
  <c r="B54" i="133"/>
  <c r="C51" i="133"/>
  <c r="B51" i="133"/>
  <c r="C50" i="133"/>
  <c r="B50" i="133"/>
  <c r="C49" i="133"/>
  <c r="B49" i="133"/>
  <c r="C48" i="133"/>
  <c r="B48" i="133"/>
  <c r="C47" i="133"/>
  <c r="B47" i="133"/>
  <c r="C46" i="133"/>
  <c r="B46" i="133"/>
  <c r="C45" i="133"/>
  <c r="B45" i="133"/>
  <c r="C44" i="133"/>
  <c r="B44" i="133"/>
  <c r="C43" i="133"/>
  <c r="B43" i="133"/>
  <c r="C42" i="133"/>
  <c r="B42" i="133"/>
  <c r="C40" i="133"/>
  <c r="B40" i="133"/>
  <c r="C39" i="133"/>
  <c r="B39" i="133"/>
  <c r="C38" i="133"/>
  <c r="B38" i="133"/>
  <c r="C37" i="133"/>
  <c r="B37" i="133"/>
  <c r="C36" i="133"/>
  <c r="B36" i="133"/>
  <c r="C35" i="133"/>
  <c r="B35" i="133"/>
  <c r="C34" i="133"/>
  <c r="B34" i="133"/>
  <c r="C33" i="133"/>
  <c r="B33" i="133"/>
  <c r="C31" i="133"/>
  <c r="B31" i="133"/>
  <c r="C30" i="133"/>
  <c r="B30" i="133"/>
  <c r="C29" i="133"/>
  <c r="B29" i="133"/>
  <c r="C28" i="133"/>
  <c r="B28" i="133"/>
  <c r="C27" i="133"/>
  <c r="B27" i="133"/>
  <c r="C26" i="133"/>
  <c r="B26" i="133"/>
  <c r="C25" i="133"/>
  <c r="B25" i="133"/>
  <c r="C24" i="133"/>
  <c r="B24" i="133"/>
  <c r="C23" i="133"/>
  <c r="B23" i="133"/>
  <c r="C22" i="133"/>
  <c r="B22" i="133"/>
  <c r="C21" i="133"/>
  <c r="B21" i="133"/>
  <c r="C14" i="133"/>
  <c r="C16" i="133"/>
  <c r="B16" i="133"/>
  <c r="C13" i="133"/>
  <c r="C12" i="133"/>
  <c r="C11" i="133"/>
  <c r="C10" i="133"/>
  <c r="C9" i="133"/>
  <c r="D9" i="132"/>
  <c r="D10" i="132"/>
  <c r="D11" i="132"/>
  <c r="D12" i="132"/>
  <c r="F12" i="132" s="1"/>
  <c r="D13" i="132"/>
  <c r="F13" i="132" s="1"/>
  <c r="D16" i="132"/>
  <c r="D14" i="132"/>
  <c r="D21" i="132"/>
  <c r="D22" i="132"/>
  <c r="D23" i="132"/>
  <c r="D24" i="132"/>
  <c r="D25" i="132"/>
  <c r="F25" i="132" s="1"/>
  <c r="D26" i="132"/>
  <c r="F26" i="132" s="1"/>
  <c r="D27" i="132"/>
  <c r="D28" i="132"/>
  <c r="D29" i="132"/>
  <c r="D30" i="132"/>
  <c r="D33" i="132"/>
  <c r="D34" i="132"/>
  <c r="F34" i="132" s="1"/>
  <c r="D35" i="132"/>
  <c r="F35" i="132" s="1"/>
  <c r="D36" i="132"/>
  <c r="D37" i="132"/>
  <c r="D38" i="132"/>
  <c r="D39" i="132"/>
  <c r="D40" i="132"/>
  <c r="D42" i="132"/>
  <c r="D43" i="132"/>
  <c r="F43" i="132" s="1"/>
  <c r="D44" i="132"/>
  <c r="F44" i="132" s="1"/>
  <c r="D45" i="132"/>
  <c r="D46" i="132"/>
  <c r="D47" i="132"/>
  <c r="D48" i="132"/>
  <c r="D49" i="132"/>
  <c r="D50" i="132"/>
  <c r="D51" i="132"/>
  <c r="F51" i="132" s="1"/>
  <c r="D54" i="132"/>
  <c r="F54" i="132" s="1"/>
  <c r="D55" i="132"/>
  <c r="D56" i="132"/>
  <c r="D57" i="132"/>
  <c r="D60" i="132"/>
  <c r="D17" i="132"/>
  <c r="D18" i="132"/>
  <c r="D19" i="132"/>
  <c r="F19" i="132" s="1"/>
  <c r="D20" i="132"/>
  <c r="F20" i="132" s="1"/>
  <c r="D61" i="132"/>
  <c r="F65" i="132"/>
  <c r="D108" i="132"/>
  <c r="D109" i="132"/>
  <c r="D111" i="132"/>
  <c r="D112" i="132"/>
  <c r="F115" i="132"/>
  <c r="D116" i="132"/>
  <c r="D110" i="132"/>
  <c r="D113" i="132"/>
  <c r="D117" i="132"/>
  <c r="E121" i="132"/>
  <c r="E123" i="132"/>
  <c r="E126" i="132"/>
  <c r="E127" i="132"/>
  <c r="E129" i="132"/>
  <c r="D133" i="132"/>
  <c r="D134" i="132"/>
  <c r="C134" i="132"/>
  <c r="B134" i="132"/>
  <c r="C133" i="132"/>
  <c r="B133" i="132"/>
  <c r="C132" i="132"/>
  <c r="B132" i="132"/>
  <c r="C131" i="132"/>
  <c r="C130" i="132"/>
  <c r="C129" i="132"/>
  <c r="C128" i="132"/>
  <c r="C127" i="132"/>
  <c r="C126" i="132"/>
  <c r="C125" i="132"/>
  <c r="C124" i="132"/>
  <c r="C123" i="132"/>
  <c r="C122" i="132"/>
  <c r="C121" i="132"/>
  <c r="C115" i="132"/>
  <c r="B115" i="132"/>
  <c r="B113" i="132"/>
  <c r="B112" i="132"/>
  <c r="B111" i="132"/>
  <c r="B110" i="132"/>
  <c r="B109" i="132"/>
  <c r="B108" i="132"/>
  <c r="B107" i="132"/>
  <c r="B106" i="132"/>
  <c r="B105" i="132"/>
  <c r="C70" i="132"/>
  <c r="B70" i="132"/>
  <c r="C69" i="132"/>
  <c r="B69" i="132"/>
  <c r="C68" i="132"/>
  <c r="B68" i="132"/>
  <c r="C67" i="132"/>
  <c r="B67" i="132"/>
  <c r="C66" i="132"/>
  <c r="B66" i="132"/>
  <c r="C65" i="132"/>
  <c r="B65" i="132"/>
  <c r="C64" i="132"/>
  <c r="B64" i="132"/>
  <c r="C63" i="132"/>
  <c r="B63" i="132"/>
  <c r="G25" i="132"/>
  <c r="G26" i="132"/>
  <c r="G34" i="132"/>
  <c r="G35" i="132"/>
  <c r="G43" i="132"/>
  <c r="G44" i="132"/>
  <c r="G51" i="132"/>
  <c r="G54" i="132"/>
  <c r="G19" i="132"/>
  <c r="C61" i="132"/>
  <c r="B61" i="132"/>
  <c r="C20" i="132"/>
  <c r="B20" i="132"/>
  <c r="C19" i="132"/>
  <c r="B19" i="132"/>
  <c r="C18" i="132"/>
  <c r="B18" i="132"/>
  <c r="C17" i="132"/>
  <c r="B17" i="132"/>
  <c r="C60" i="132"/>
  <c r="B60" i="132"/>
  <c r="C57" i="132"/>
  <c r="B57" i="132"/>
  <c r="C56" i="132"/>
  <c r="B56" i="132"/>
  <c r="C55" i="132"/>
  <c r="B55" i="132"/>
  <c r="C54" i="132"/>
  <c r="B54" i="132"/>
  <c r="C51" i="132"/>
  <c r="B51" i="132"/>
  <c r="C50" i="132"/>
  <c r="B50" i="132"/>
  <c r="C49" i="132"/>
  <c r="B49" i="132"/>
  <c r="C48" i="132"/>
  <c r="B48" i="132"/>
  <c r="C47" i="132"/>
  <c r="B47" i="132"/>
  <c r="C46" i="132"/>
  <c r="B46" i="132"/>
  <c r="C45" i="132"/>
  <c r="B45" i="132"/>
  <c r="C44" i="132"/>
  <c r="B44" i="132"/>
  <c r="C43" i="132"/>
  <c r="B43" i="132"/>
  <c r="C42" i="132"/>
  <c r="B42" i="132"/>
  <c r="C40" i="132"/>
  <c r="B40" i="132"/>
  <c r="C39" i="132"/>
  <c r="B39" i="132"/>
  <c r="C38" i="132"/>
  <c r="B38" i="132"/>
  <c r="C37" i="132"/>
  <c r="B37" i="132"/>
  <c r="C36" i="132"/>
  <c r="B36" i="132"/>
  <c r="C35" i="132"/>
  <c r="B35" i="132"/>
  <c r="C34" i="132"/>
  <c r="B34" i="132"/>
  <c r="C33" i="132"/>
  <c r="B33" i="132"/>
  <c r="C30" i="132"/>
  <c r="B30" i="132"/>
  <c r="C29" i="132"/>
  <c r="B29" i="132"/>
  <c r="C28" i="132"/>
  <c r="B28" i="132"/>
  <c r="C27" i="132"/>
  <c r="B27" i="132"/>
  <c r="C26" i="132"/>
  <c r="B26" i="132"/>
  <c r="C25" i="132"/>
  <c r="B25" i="132"/>
  <c r="C24" i="132"/>
  <c r="B24" i="132"/>
  <c r="C23" i="132"/>
  <c r="B23" i="132"/>
  <c r="C22" i="132"/>
  <c r="B22" i="132"/>
  <c r="C21" i="132"/>
  <c r="B21" i="132"/>
  <c r="C14" i="132"/>
  <c r="C16" i="132"/>
  <c r="B16" i="132"/>
  <c r="C13" i="132"/>
  <c r="C12" i="132"/>
  <c r="C11" i="132"/>
  <c r="C10" i="132"/>
  <c r="C9" i="132"/>
  <c r="Z3" i="50"/>
  <c r="T3" i="50"/>
  <c r="Y3" i="50"/>
  <c r="K3" i="50"/>
  <c r="R3" i="50"/>
  <c r="F3" i="50"/>
  <c r="E3" i="50"/>
  <c r="D3" i="50"/>
  <c r="O3" i="50"/>
  <c r="Y3" i="127"/>
  <c r="S3" i="127"/>
  <c r="X3" i="127"/>
  <c r="J3" i="127"/>
  <c r="Q3" i="127"/>
  <c r="E3" i="127"/>
  <c r="D3" i="127"/>
  <c r="C3" i="127"/>
  <c r="N3" i="127"/>
  <c r="O3" i="127"/>
  <c r="V3" i="127"/>
  <c r="G3" i="127"/>
  <c r="W3" i="127"/>
  <c r="R3" i="127"/>
  <c r="P3" i="127"/>
  <c r="H3" i="127"/>
  <c r="I3" i="127"/>
  <c r="U3" i="127"/>
  <c r="T3" i="127"/>
  <c r="F3" i="127"/>
  <c r="Z3" i="127"/>
  <c r="K3" i="127"/>
  <c r="L3" i="127"/>
  <c r="AB4" i="126"/>
  <c r="V4" i="126"/>
  <c r="AA4" i="126"/>
  <c r="M4" i="126"/>
  <c r="T4" i="126"/>
  <c r="H4" i="126"/>
  <c r="G4" i="126"/>
  <c r="F4" i="126"/>
  <c r="Q4" i="126"/>
  <c r="E61" i="119"/>
  <c r="G61" i="119" s="1"/>
  <c r="E20" i="119"/>
  <c r="G20" i="119" s="1"/>
  <c r="E19" i="119"/>
  <c r="G19" i="119" s="1"/>
  <c r="E18" i="119"/>
  <c r="G18" i="119" s="1"/>
  <c r="E17" i="119"/>
  <c r="G17" i="119" s="1"/>
  <c r="E60" i="119"/>
  <c r="G60" i="119" s="1"/>
  <c r="E57" i="119"/>
  <c r="G57" i="119" s="1"/>
  <c r="E56" i="119"/>
  <c r="G56" i="119" s="1"/>
  <c r="E55" i="119"/>
  <c r="G55" i="119" s="1"/>
  <c r="E54" i="119"/>
  <c r="G54" i="119" s="1"/>
  <c r="E51" i="119"/>
  <c r="G51" i="119" s="1"/>
  <c r="E50" i="119"/>
  <c r="G50" i="119" s="1"/>
  <c r="E49" i="119"/>
  <c r="G49" i="119" s="1"/>
  <c r="E48" i="119"/>
  <c r="G48" i="119" s="1"/>
  <c r="E47" i="119"/>
  <c r="G47" i="119" s="1"/>
  <c r="E46" i="119"/>
  <c r="G46" i="119" s="1"/>
  <c r="E45" i="119"/>
  <c r="G45" i="119" s="1"/>
  <c r="E44" i="119"/>
  <c r="G44" i="119" s="1"/>
  <c r="E43" i="119"/>
  <c r="G43" i="119" s="1"/>
  <c r="E40" i="119"/>
  <c r="G40" i="119" s="1"/>
  <c r="E39" i="119"/>
  <c r="G39" i="119" s="1"/>
  <c r="E38" i="119"/>
  <c r="G38" i="119" s="1"/>
  <c r="E37" i="119"/>
  <c r="G37" i="119" s="1"/>
  <c r="E36" i="119"/>
  <c r="G36" i="119" s="1"/>
  <c r="E35" i="119"/>
  <c r="G35" i="119" s="1"/>
  <c r="E34" i="119"/>
  <c r="G34" i="119" s="1"/>
  <c r="E33" i="119"/>
  <c r="G33" i="119" s="1"/>
  <c r="E31" i="119"/>
  <c r="G31" i="119" s="1"/>
  <c r="E30" i="119"/>
  <c r="G30" i="119" s="1"/>
  <c r="E29" i="119"/>
  <c r="G29" i="119" s="1"/>
  <c r="E28" i="119"/>
  <c r="G28" i="119" s="1"/>
  <c r="E27" i="119"/>
  <c r="G27" i="119" s="1"/>
  <c r="E26" i="119"/>
  <c r="G26" i="119" s="1"/>
  <c r="E25" i="119"/>
  <c r="G25" i="119" s="1"/>
  <c r="E24" i="119"/>
  <c r="G24" i="119" s="1"/>
  <c r="E23" i="119"/>
  <c r="G23" i="119" s="1"/>
  <c r="E22" i="119"/>
  <c r="G22" i="119" s="1"/>
  <c r="E21" i="119"/>
  <c r="G21" i="119" s="1"/>
  <c r="E14" i="119"/>
  <c r="G14" i="119" s="1"/>
  <c r="E16" i="119"/>
  <c r="G16" i="119" s="1"/>
  <c r="E13" i="119"/>
  <c r="E12" i="119"/>
  <c r="E11" i="119"/>
  <c r="E10" i="119"/>
  <c r="E9" i="119"/>
  <c r="HO24" i="94" s="1"/>
  <c r="E61" i="118"/>
  <c r="G61" i="118" s="1"/>
  <c r="E20" i="118"/>
  <c r="G20" i="118" s="1"/>
  <c r="E19" i="118"/>
  <c r="G19" i="118" s="1"/>
  <c r="E18" i="118"/>
  <c r="G18" i="118" s="1"/>
  <c r="E17" i="118"/>
  <c r="G17" i="118" s="1"/>
  <c r="E60" i="118"/>
  <c r="G60" i="118" s="1"/>
  <c r="E57" i="118"/>
  <c r="G57" i="118" s="1"/>
  <c r="E56" i="118"/>
  <c r="G56" i="118" s="1"/>
  <c r="E55" i="118"/>
  <c r="G55" i="118" s="1"/>
  <c r="E54" i="118"/>
  <c r="G54" i="118" s="1"/>
  <c r="E51" i="118"/>
  <c r="G51" i="118" s="1"/>
  <c r="E50" i="118"/>
  <c r="G50" i="118" s="1"/>
  <c r="E49" i="118"/>
  <c r="G49" i="118" s="1"/>
  <c r="E48" i="118"/>
  <c r="G48" i="118" s="1"/>
  <c r="E47" i="118"/>
  <c r="G47" i="118" s="1"/>
  <c r="E46" i="118"/>
  <c r="G46" i="118" s="1"/>
  <c r="E45" i="118"/>
  <c r="G45" i="118" s="1"/>
  <c r="E44" i="118"/>
  <c r="G44" i="118" s="1"/>
  <c r="E43" i="118"/>
  <c r="G43" i="118" s="1"/>
  <c r="E42" i="118"/>
  <c r="G42" i="118" s="1"/>
  <c r="E40" i="118"/>
  <c r="G40" i="118" s="1"/>
  <c r="E39" i="118"/>
  <c r="G39" i="118" s="1"/>
  <c r="E38" i="118"/>
  <c r="G38" i="118" s="1"/>
  <c r="E37" i="118"/>
  <c r="G37" i="118" s="1"/>
  <c r="E36" i="118"/>
  <c r="G36" i="118" s="1"/>
  <c r="E35" i="118"/>
  <c r="G35" i="118" s="1"/>
  <c r="E34" i="118"/>
  <c r="G34" i="118" s="1"/>
  <c r="E33" i="118"/>
  <c r="G33" i="118" s="1"/>
  <c r="E31" i="118"/>
  <c r="G31" i="118" s="1"/>
  <c r="E30" i="118"/>
  <c r="G30" i="118" s="1"/>
  <c r="E29" i="118"/>
  <c r="G29" i="118" s="1"/>
  <c r="E28" i="118"/>
  <c r="G28" i="118" s="1"/>
  <c r="E27" i="118"/>
  <c r="G27" i="118" s="1"/>
  <c r="E26" i="118"/>
  <c r="G26" i="118" s="1"/>
  <c r="E25" i="118"/>
  <c r="G25" i="118" s="1"/>
  <c r="E24" i="118"/>
  <c r="G24" i="118" s="1"/>
  <c r="E23" i="118"/>
  <c r="G23" i="118" s="1"/>
  <c r="E21" i="118"/>
  <c r="G21" i="118" s="1"/>
  <c r="E14" i="118"/>
  <c r="G14" i="118" s="1"/>
  <c r="E16" i="118"/>
  <c r="G16" i="118" s="1"/>
  <c r="E13" i="118"/>
  <c r="E12" i="118"/>
  <c r="E11" i="118"/>
  <c r="E10" i="118"/>
  <c r="E9" i="118"/>
  <c r="E61" i="98"/>
  <c r="G61" i="98" s="1"/>
  <c r="E20" i="98"/>
  <c r="G20" i="98" s="1"/>
  <c r="E19" i="98"/>
  <c r="G19" i="98" s="1"/>
  <c r="E18" i="98"/>
  <c r="G18" i="98" s="1"/>
  <c r="E17" i="98"/>
  <c r="G17" i="98" s="1"/>
  <c r="E60" i="98"/>
  <c r="G60" i="98" s="1"/>
  <c r="E57" i="98"/>
  <c r="G57" i="98" s="1"/>
  <c r="E56" i="98"/>
  <c r="G56" i="98" s="1"/>
  <c r="E55" i="98"/>
  <c r="G55" i="98" s="1"/>
  <c r="E54" i="98"/>
  <c r="G54" i="98" s="1"/>
  <c r="E51" i="98"/>
  <c r="G51" i="98" s="1"/>
  <c r="E50" i="98"/>
  <c r="G50" i="98" s="1"/>
  <c r="E49" i="98"/>
  <c r="G49" i="98" s="1"/>
  <c r="E48" i="98"/>
  <c r="G48" i="98" s="1"/>
  <c r="E47" i="98"/>
  <c r="G47" i="98" s="1"/>
  <c r="E46" i="98"/>
  <c r="G46" i="98" s="1"/>
  <c r="E45" i="98"/>
  <c r="G45" i="98" s="1"/>
  <c r="E44" i="98"/>
  <c r="G44" i="98" s="1"/>
  <c r="E43" i="98"/>
  <c r="G43" i="98" s="1"/>
  <c r="E42" i="98"/>
  <c r="G42" i="98" s="1"/>
  <c r="E40" i="98"/>
  <c r="G40" i="98" s="1"/>
  <c r="E39" i="98"/>
  <c r="G39" i="98" s="1"/>
  <c r="E38" i="98"/>
  <c r="G38" i="98" s="1"/>
  <c r="E37" i="98"/>
  <c r="G37" i="98" s="1"/>
  <c r="E36" i="98"/>
  <c r="G36" i="98" s="1"/>
  <c r="E35" i="98"/>
  <c r="G35" i="98" s="1"/>
  <c r="E34" i="98"/>
  <c r="G34" i="98" s="1"/>
  <c r="E33" i="98"/>
  <c r="G33" i="98" s="1"/>
  <c r="E31" i="98"/>
  <c r="G31" i="98" s="1"/>
  <c r="E30" i="98"/>
  <c r="G30" i="98" s="1"/>
  <c r="E29" i="98"/>
  <c r="G29" i="98" s="1"/>
  <c r="E28" i="98"/>
  <c r="G28" i="98" s="1"/>
  <c r="E27" i="98"/>
  <c r="G27" i="98" s="1"/>
  <c r="E26" i="98"/>
  <c r="G26" i="98" s="1"/>
  <c r="E25" i="98"/>
  <c r="G25" i="98" s="1"/>
  <c r="E24" i="98"/>
  <c r="G24" i="98" s="1"/>
  <c r="E23" i="98"/>
  <c r="G23" i="98" s="1"/>
  <c r="E22" i="98"/>
  <c r="G22" i="98" s="1"/>
  <c r="E21" i="98"/>
  <c r="G21" i="98" s="1"/>
  <c r="E14" i="98"/>
  <c r="G14" i="98" s="1"/>
  <c r="E16" i="98"/>
  <c r="G16" i="98" s="1"/>
  <c r="E13" i="98"/>
  <c r="E12" i="98"/>
  <c r="E11" i="98"/>
  <c r="E10" i="98"/>
  <c r="E9" i="98"/>
  <c r="E61" i="97"/>
  <c r="G61" i="97" s="1"/>
  <c r="E20" i="97"/>
  <c r="G20" i="97" s="1"/>
  <c r="E19" i="97"/>
  <c r="G19" i="97" s="1"/>
  <c r="E18" i="97"/>
  <c r="G18" i="97" s="1"/>
  <c r="E17" i="97"/>
  <c r="G17" i="97" s="1"/>
  <c r="E60" i="97"/>
  <c r="G60" i="97" s="1"/>
  <c r="E57" i="97"/>
  <c r="G57" i="97" s="1"/>
  <c r="E56" i="97"/>
  <c r="G56" i="97" s="1"/>
  <c r="E55" i="97"/>
  <c r="G55" i="97" s="1"/>
  <c r="E54" i="97"/>
  <c r="G54" i="97" s="1"/>
  <c r="E51" i="97"/>
  <c r="G51" i="97" s="1"/>
  <c r="E50" i="97"/>
  <c r="G50" i="97" s="1"/>
  <c r="E49" i="97"/>
  <c r="G49" i="97" s="1"/>
  <c r="E48" i="97"/>
  <c r="G48" i="97" s="1"/>
  <c r="E47" i="97"/>
  <c r="G47" i="97" s="1"/>
  <c r="E46" i="97"/>
  <c r="G46" i="97" s="1"/>
  <c r="E45" i="97"/>
  <c r="G45" i="97" s="1"/>
  <c r="E44" i="97"/>
  <c r="G44" i="97" s="1"/>
  <c r="E43" i="97"/>
  <c r="G43" i="97" s="1"/>
  <c r="E42" i="97"/>
  <c r="G42" i="97" s="1"/>
  <c r="E40" i="97"/>
  <c r="G40" i="97" s="1"/>
  <c r="E39" i="97"/>
  <c r="G39" i="97" s="1"/>
  <c r="E38" i="97"/>
  <c r="G38" i="97" s="1"/>
  <c r="E37" i="97"/>
  <c r="G37" i="97" s="1"/>
  <c r="E36" i="97"/>
  <c r="G36" i="97" s="1"/>
  <c r="E35" i="97"/>
  <c r="G35" i="97" s="1"/>
  <c r="E34" i="97"/>
  <c r="G34" i="97" s="1"/>
  <c r="E33" i="97"/>
  <c r="G33" i="97" s="1"/>
  <c r="E31" i="97"/>
  <c r="G31" i="97" s="1"/>
  <c r="E30" i="97"/>
  <c r="G30" i="97" s="1"/>
  <c r="E29" i="97"/>
  <c r="G29" i="97" s="1"/>
  <c r="E28" i="97"/>
  <c r="G28" i="97" s="1"/>
  <c r="E27" i="97"/>
  <c r="G27" i="97" s="1"/>
  <c r="E26" i="97"/>
  <c r="G26" i="97" s="1"/>
  <c r="E25" i="97"/>
  <c r="G25" i="97" s="1"/>
  <c r="E24" i="97"/>
  <c r="G24" i="97" s="1"/>
  <c r="E23" i="97"/>
  <c r="G23" i="97" s="1"/>
  <c r="E22" i="97"/>
  <c r="G22" i="97" s="1"/>
  <c r="E21" i="97"/>
  <c r="G21" i="97" s="1"/>
  <c r="E14" i="97"/>
  <c r="G14" i="97" s="1"/>
  <c r="E16" i="97"/>
  <c r="G16" i="97" s="1"/>
  <c r="E13" i="97"/>
  <c r="E12" i="97"/>
  <c r="E11" i="97"/>
  <c r="E10" i="97"/>
  <c r="E9" i="97"/>
  <c r="E61" i="117"/>
  <c r="G61" i="117" s="1"/>
  <c r="E20" i="117"/>
  <c r="G20" i="117" s="1"/>
  <c r="E19" i="117"/>
  <c r="G19" i="117" s="1"/>
  <c r="E18" i="117"/>
  <c r="G18" i="117" s="1"/>
  <c r="E17" i="117"/>
  <c r="G17" i="117" s="1"/>
  <c r="E60" i="117"/>
  <c r="G60" i="117" s="1"/>
  <c r="E57" i="117"/>
  <c r="G57" i="117" s="1"/>
  <c r="E56" i="117"/>
  <c r="G56" i="117" s="1"/>
  <c r="E55" i="117"/>
  <c r="G55" i="117" s="1"/>
  <c r="E54" i="117"/>
  <c r="G54" i="117" s="1"/>
  <c r="E51" i="117"/>
  <c r="G51" i="117" s="1"/>
  <c r="E50" i="117"/>
  <c r="G50" i="117" s="1"/>
  <c r="E49" i="117"/>
  <c r="G49" i="117" s="1"/>
  <c r="E48" i="117"/>
  <c r="G48" i="117" s="1"/>
  <c r="E47" i="117"/>
  <c r="G47" i="117" s="1"/>
  <c r="E46" i="117"/>
  <c r="G46" i="117" s="1"/>
  <c r="E45" i="117"/>
  <c r="G45" i="117" s="1"/>
  <c r="E44" i="117"/>
  <c r="G44" i="117" s="1"/>
  <c r="E43" i="117"/>
  <c r="G43" i="117" s="1"/>
  <c r="E42" i="117"/>
  <c r="G42" i="117" s="1"/>
  <c r="E40" i="117"/>
  <c r="G40" i="117" s="1"/>
  <c r="E39" i="117"/>
  <c r="G39" i="117" s="1"/>
  <c r="E38" i="117"/>
  <c r="G38" i="117" s="1"/>
  <c r="E37" i="117"/>
  <c r="G37" i="117" s="1"/>
  <c r="E36" i="117"/>
  <c r="G36" i="117" s="1"/>
  <c r="E35" i="117"/>
  <c r="G35" i="117" s="1"/>
  <c r="E34" i="117"/>
  <c r="G34" i="117" s="1"/>
  <c r="E33" i="117"/>
  <c r="G33" i="117" s="1"/>
  <c r="E31" i="117"/>
  <c r="G31" i="117" s="1"/>
  <c r="E30" i="117"/>
  <c r="G30" i="117" s="1"/>
  <c r="E29" i="117"/>
  <c r="G29" i="117" s="1"/>
  <c r="E28" i="117"/>
  <c r="G28" i="117" s="1"/>
  <c r="E27" i="117"/>
  <c r="G27" i="117" s="1"/>
  <c r="E26" i="117"/>
  <c r="G26" i="117" s="1"/>
  <c r="E25" i="117"/>
  <c r="G25" i="117" s="1"/>
  <c r="E24" i="117"/>
  <c r="G24" i="117" s="1"/>
  <c r="E23" i="117"/>
  <c r="G23" i="117" s="1"/>
  <c r="E22" i="117"/>
  <c r="G22" i="117" s="1"/>
  <c r="E21" i="117"/>
  <c r="G21" i="117" s="1"/>
  <c r="E14" i="117"/>
  <c r="G14" i="117" s="1"/>
  <c r="E16" i="117"/>
  <c r="G16" i="117" s="1"/>
  <c r="E13" i="117"/>
  <c r="E12" i="117"/>
  <c r="E11" i="117"/>
  <c r="E10" i="117"/>
  <c r="E9" i="117"/>
  <c r="E61" i="123"/>
  <c r="G61" i="123" s="1"/>
  <c r="E20" i="123"/>
  <c r="G20" i="123" s="1"/>
  <c r="E19" i="123"/>
  <c r="G19" i="123" s="1"/>
  <c r="E18" i="123"/>
  <c r="G18" i="123" s="1"/>
  <c r="E17" i="123"/>
  <c r="G17" i="123" s="1"/>
  <c r="E60" i="123"/>
  <c r="G60" i="123" s="1"/>
  <c r="E57" i="123"/>
  <c r="G57" i="123" s="1"/>
  <c r="E56" i="123"/>
  <c r="G56" i="123" s="1"/>
  <c r="E55" i="123"/>
  <c r="G55" i="123" s="1"/>
  <c r="E54" i="123"/>
  <c r="G54" i="123" s="1"/>
  <c r="E51" i="123"/>
  <c r="G51" i="123" s="1"/>
  <c r="E50" i="123"/>
  <c r="G50" i="123" s="1"/>
  <c r="E49" i="123"/>
  <c r="G49" i="123" s="1"/>
  <c r="E48" i="123"/>
  <c r="G48" i="123" s="1"/>
  <c r="E47" i="123"/>
  <c r="G47" i="123" s="1"/>
  <c r="E46" i="123"/>
  <c r="G46" i="123" s="1"/>
  <c r="E45" i="123"/>
  <c r="G45" i="123" s="1"/>
  <c r="E44" i="123"/>
  <c r="G44" i="123" s="1"/>
  <c r="E43" i="123"/>
  <c r="G43" i="123" s="1"/>
  <c r="E42" i="123"/>
  <c r="G42" i="123" s="1"/>
  <c r="E40" i="123"/>
  <c r="G40" i="123" s="1"/>
  <c r="E39" i="123"/>
  <c r="G39" i="123" s="1"/>
  <c r="E38" i="123"/>
  <c r="G38" i="123" s="1"/>
  <c r="E37" i="123"/>
  <c r="G37" i="123" s="1"/>
  <c r="E36" i="123"/>
  <c r="G36" i="123" s="1"/>
  <c r="E35" i="123"/>
  <c r="G35" i="123" s="1"/>
  <c r="E34" i="123"/>
  <c r="G34" i="123" s="1"/>
  <c r="E33" i="123"/>
  <c r="G33" i="123" s="1"/>
  <c r="E31" i="123"/>
  <c r="G31" i="123" s="1"/>
  <c r="E30" i="123"/>
  <c r="G30" i="123" s="1"/>
  <c r="E29" i="123"/>
  <c r="G29" i="123" s="1"/>
  <c r="E28" i="123"/>
  <c r="G28" i="123" s="1"/>
  <c r="E27" i="123"/>
  <c r="G27" i="123" s="1"/>
  <c r="E26" i="123"/>
  <c r="G26" i="123" s="1"/>
  <c r="E25" i="123"/>
  <c r="G25" i="123" s="1"/>
  <c r="E24" i="123"/>
  <c r="G24" i="123" s="1"/>
  <c r="E23" i="123"/>
  <c r="G23" i="123" s="1"/>
  <c r="E22" i="123"/>
  <c r="G22" i="123" s="1"/>
  <c r="E21" i="123"/>
  <c r="G21" i="123" s="1"/>
  <c r="E14" i="123"/>
  <c r="G14" i="123" s="1"/>
  <c r="E16" i="123"/>
  <c r="G16" i="123" s="1"/>
  <c r="E13" i="123"/>
  <c r="E12" i="123"/>
  <c r="E11" i="123"/>
  <c r="E10" i="123"/>
  <c r="E9" i="123"/>
  <c r="E61" i="96"/>
  <c r="G61" i="96" s="1"/>
  <c r="E20" i="96"/>
  <c r="G20" i="96" s="1"/>
  <c r="E19" i="96"/>
  <c r="G19" i="96" s="1"/>
  <c r="E18" i="96"/>
  <c r="G18" i="96" s="1"/>
  <c r="E17" i="96"/>
  <c r="G17" i="96" s="1"/>
  <c r="E60" i="96"/>
  <c r="G60" i="96" s="1"/>
  <c r="E57" i="96"/>
  <c r="G57" i="96" s="1"/>
  <c r="E56" i="96"/>
  <c r="G56" i="96" s="1"/>
  <c r="E55" i="96"/>
  <c r="G55" i="96" s="1"/>
  <c r="E54" i="96"/>
  <c r="G54" i="96" s="1"/>
  <c r="E51" i="96"/>
  <c r="G51" i="96" s="1"/>
  <c r="E50" i="96"/>
  <c r="G50" i="96" s="1"/>
  <c r="E49" i="96"/>
  <c r="G49" i="96" s="1"/>
  <c r="E48" i="96"/>
  <c r="G48" i="96" s="1"/>
  <c r="E47" i="96"/>
  <c r="G47" i="96" s="1"/>
  <c r="E46" i="96"/>
  <c r="G46" i="96" s="1"/>
  <c r="E45" i="96"/>
  <c r="G45" i="96" s="1"/>
  <c r="E44" i="96"/>
  <c r="G44" i="96" s="1"/>
  <c r="E43" i="96"/>
  <c r="G43" i="96" s="1"/>
  <c r="E42" i="96"/>
  <c r="G42" i="96" s="1"/>
  <c r="E40" i="96"/>
  <c r="G40" i="96" s="1"/>
  <c r="E39" i="96"/>
  <c r="G39" i="96" s="1"/>
  <c r="E38" i="96"/>
  <c r="G38" i="96" s="1"/>
  <c r="E37" i="96"/>
  <c r="G37" i="96" s="1"/>
  <c r="E36" i="96"/>
  <c r="G36" i="96" s="1"/>
  <c r="E35" i="96"/>
  <c r="G35" i="96" s="1"/>
  <c r="E34" i="96"/>
  <c r="G34" i="96" s="1"/>
  <c r="E33" i="96"/>
  <c r="G33" i="96" s="1"/>
  <c r="E31" i="96"/>
  <c r="G31" i="96" s="1"/>
  <c r="E30" i="96"/>
  <c r="G30" i="96" s="1"/>
  <c r="E29" i="96"/>
  <c r="G29" i="96" s="1"/>
  <c r="E28" i="96"/>
  <c r="G28" i="96" s="1"/>
  <c r="E27" i="96"/>
  <c r="G27" i="96" s="1"/>
  <c r="E26" i="96"/>
  <c r="G26" i="96" s="1"/>
  <c r="E25" i="96"/>
  <c r="G25" i="96" s="1"/>
  <c r="E24" i="96"/>
  <c r="G24" i="96" s="1"/>
  <c r="E23" i="96"/>
  <c r="G23" i="96" s="1"/>
  <c r="E22" i="96"/>
  <c r="G22" i="96" s="1"/>
  <c r="E21" i="96"/>
  <c r="G21" i="96" s="1"/>
  <c r="E14" i="96"/>
  <c r="G14" i="96" s="1"/>
  <c r="E16" i="96"/>
  <c r="G16" i="96" s="1"/>
  <c r="E13" i="96"/>
  <c r="E12" i="96"/>
  <c r="E11" i="96"/>
  <c r="E10" i="96"/>
  <c r="E9" i="96"/>
  <c r="HK26" i="94" s="1"/>
  <c r="E61" i="91"/>
  <c r="G61" i="91" s="1"/>
  <c r="E20" i="91"/>
  <c r="G20" i="91" s="1"/>
  <c r="E19" i="91"/>
  <c r="G19" i="91" s="1"/>
  <c r="E18" i="91"/>
  <c r="G18" i="91" s="1"/>
  <c r="E17" i="91"/>
  <c r="G17" i="91" s="1"/>
  <c r="E60" i="91"/>
  <c r="G60" i="91" s="1"/>
  <c r="E57" i="91"/>
  <c r="G57" i="91" s="1"/>
  <c r="E56" i="91"/>
  <c r="G56" i="91" s="1"/>
  <c r="E55" i="91"/>
  <c r="G55" i="91" s="1"/>
  <c r="E54" i="91"/>
  <c r="G54" i="91" s="1"/>
  <c r="E51" i="91"/>
  <c r="G51" i="91" s="1"/>
  <c r="E50" i="91"/>
  <c r="G50" i="91" s="1"/>
  <c r="E49" i="91"/>
  <c r="G49" i="91" s="1"/>
  <c r="E48" i="91"/>
  <c r="G48" i="91" s="1"/>
  <c r="E47" i="91"/>
  <c r="G47" i="91" s="1"/>
  <c r="E46" i="91"/>
  <c r="G46" i="91" s="1"/>
  <c r="E45" i="91"/>
  <c r="G45" i="91" s="1"/>
  <c r="E44" i="91"/>
  <c r="G44" i="91" s="1"/>
  <c r="E43" i="91"/>
  <c r="G43" i="91" s="1"/>
  <c r="E42" i="91"/>
  <c r="G42" i="91" s="1"/>
  <c r="E40" i="91"/>
  <c r="G40" i="91" s="1"/>
  <c r="E39" i="91"/>
  <c r="G39" i="91" s="1"/>
  <c r="E38" i="91"/>
  <c r="G38" i="91" s="1"/>
  <c r="E37" i="91"/>
  <c r="G37" i="91" s="1"/>
  <c r="E36" i="91"/>
  <c r="G36" i="91" s="1"/>
  <c r="E35" i="91"/>
  <c r="G35" i="91" s="1"/>
  <c r="E34" i="91"/>
  <c r="G34" i="91" s="1"/>
  <c r="E33" i="91"/>
  <c r="G33" i="91" s="1"/>
  <c r="E31" i="91"/>
  <c r="G31" i="91" s="1"/>
  <c r="E30" i="91"/>
  <c r="G30" i="91" s="1"/>
  <c r="E29" i="91"/>
  <c r="G29" i="91" s="1"/>
  <c r="E28" i="91"/>
  <c r="G28" i="91" s="1"/>
  <c r="E27" i="91"/>
  <c r="G27" i="91" s="1"/>
  <c r="E26" i="91"/>
  <c r="G26" i="91" s="1"/>
  <c r="E25" i="91"/>
  <c r="G25" i="91" s="1"/>
  <c r="E24" i="91"/>
  <c r="G24" i="91" s="1"/>
  <c r="E23" i="91"/>
  <c r="G23" i="91" s="1"/>
  <c r="E22" i="91"/>
  <c r="G22" i="91" s="1"/>
  <c r="E21" i="91"/>
  <c r="G21" i="91" s="1"/>
  <c r="E14" i="91"/>
  <c r="G14" i="91" s="1"/>
  <c r="E16" i="91"/>
  <c r="G16" i="91" s="1"/>
  <c r="E13" i="91"/>
  <c r="E12" i="91"/>
  <c r="E11" i="91"/>
  <c r="E10" i="91"/>
  <c r="E9" i="91"/>
  <c r="E61" i="124"/>
  <c r="G61" i="124" s="1"/>
  <c r="E20" i="124"/>
  <c r="G20" i="124" s="1"/>
  <c r="E19" i="124"/>
  <c r="G19" i="124" s="1"/>
  <c r="E18" i="124"/>
  <c r="G18" i="124" s="1"/>
  <c r="E17" i="124"/>
  <c r="G17" i="124" s="1"/>
  <c r="E60" i="124"/>
  <c r="G60" i="124" s="1"/>
  <c r="E57" i="124"/>
  <c r="G57" i="124" s="1"/>
  <c r="E56" i="124"/>
  <c r="G56" i="124" s="1"/>
  <c r="E55" i="124"/>
  <c r="G55" i="124" s="1"/>
  <c r="E54" i="124"/>
  <c r="G54" i="124" s="1"/>
  <c r="E51" i="124"/>
  <c r="G51" i="124" s="1"/>
  <c r="E50" i="124"/>
  <c r="G50" i="124" s="1"/>
  <c r="E49" i="124"/>
  <c r="G49" i="124" s="1"/>
  <c r="E48" i="124"/>
  <c r="G48" i="124" s="1"/>
  <c r="E47" i="124"/>
  <c r="G47" i="124" s="1"/>
  <c r="E46" i="124"/>
  <c r="G46" i="124" s="1"/>
  <c r="E45" i="124"/>
  <c r="G45" i="124" s="1"/>
  <c r="E44" i="124"/>
  <c r="G44" i="124" s="1"/>
  <c r="E43" i="124"/>
  <c r="G43" i="124" s="1"/>
  <c r="E42" i="124"/>
  <c r="G42" i="124" s="1"/>
  <c r="E40" i="124"/>
  <c r="G40" i="124" s="1"/>
  <c r="E39" i="124"/>
  <c r="G39" i="124" s="1"/>
  <c r="E38" i="124"/>
  <c r="G38" i="124" s="1"/>
  <c r="E37" i="124"/>
  <c r="G37" i="124" s="1"/>
  <c r="E36" i="124"/>
  <c r="G36" i="124" s="1"/>
  <c r="E35" i="124"/>
  <c r="G35" i="124" s="1"/>
  <c r="E34" i="124"/>
  <c r="G34" i="124" s="1"/>
  <c r="E33" i="124"/>
  <c r="G33" i="124" s="1"/>
  <c r="E31" i="124"/>
  <c r="G31" i="124" s="1"/>
  <c r="E30" i="124"/>
  <c r="G30" i="124" s="1"/>
  <c r="E29" i="124"/>
  <c r="G29" i="124" s="1"/>
  <c r="E28" i="124"/>
  <c r="G28" i="124" s="1"/>
  <c r="E27" i="124"/>
  <c r="G27" i="124" s="1"/>
  <c r="E26" i="124"/>
  <c r="G26" i="124" s="1"/>
  <c r="E25" i="124"/>
  <c r="G25" i="124" s="1"/>
  <c r="E24" i="124"/>
  <c r="G24" i="124" s="1"/>
  <c r="E23" i="124"/>
  <c r="G23" i="124" s="1"/>
  <c r="E22" i="124"/>
  <c r="G22" i="124" s="1"/>
  <c r="E21" i="124"/>
  <c r="G21" i="124" s="1"/>
  <c r="E14" i="124"/>
  <c r="G14" i="124" s="1"/>
  <c r="E16" i="124"/>
  <c r="G16" i="124" s="1"/>
  <c r="E13" i="124"/>
  <c r="E12" i="124"/>
  <c r="E11" i="124"/>
  <c r="E10" i="124"/>
  <c r="E9" i="124"/>
  <c r="E8" i="113"/>
  <c r="E61" i="113"/>
  <c r="G61" i="113" s="1"/>
  <c r="E20" i="113"/>
  <c r="G20" i="113" s="1"/>
  <c r="E19" i="113"/>
  <c r="G19" i="113" s="1"/>
  <c r="E18" i="113"/>
  <c r="G18" i="113" s="1"/>
  <c r="E17" i="113"/>
  <c r="G17" i="113" s="1"/>
  <c r="E60" i="113"/>
  <c r="G60" i="113" s="1"/>
  <c r="E57" i="113"/>
  <c r="G57" i="113" s="1"/>
  <c r="E56" i="113"/>
  <c r="G56" i="113" s="1"/>
  <c r="E55" i="113"/>
  <c r="G55" i="113" s="1"/>
  <c r="E54" i="113"/>
  <c r="G54" i="113" s="1"/>
  <c r="E51" i="113"/>
  <c r="G51" i="113" s="1"/>
  <c r="E50" i="113"/>
  <c r="G50" i="113" s="1"/>
  <c r="E49" i="113"/>
  <c r="G49" i="113" s="1"/>
  <c r="E48" i="113"/>
  <c r="G48" i="113" s="1"/>
  <c r="E47" i="113"/>
  <c r="G47" i="113" s="1"/>
  <c r="E46" i="113"/>
  <c r="G46" i="113" s="1"/>
  <c r="E45" i="113"/>
  <c r="G45" i="113" s="1"/>
  <c r="E44" i="113"/>
  <c r="G44" i="113" s="1"/>
  <c r="E43" i="113"/>
  <c r="G43" i="113" s="1"/>
  <c r="E42" i="113"/>
  <c r="G42" i="113" s="1"/>
  <c r="E40" i="113"/>
  <c r="G40" i="113" s="1"/>
  <c r="E39" i="113"/>
  <c r="G39" i="113" s="1"/>
  <c r="E38" i="113"/>
  <c r="G38" i="113" s="1"/>
  <c r="E37" i="113"/>
  <c r="G37" i="113" s="1"/>
  <c r="E36" i="113"/>
  <c r="G36" i="113" s="1"/>
  <c r="E35" i="113"/>
  <c r="G35" i="113" s="1"/>
  <c r="E34" i="113"/>
  <c r="G34" i="113" s="1"/>
  <c r="E33" i="113"/>
  <c r="G33" i="113" s="1"/>
  <c r="E31" i="113"/>
  <c r="G31" i="113" s="1"/>
  <c r="E30" i="113"/>
  <c r="G30" i="113" s="1"/>
  <c r="E29" i="113"/>
  <c r="G29" i="113" s="1"/>
  <c r="E28" i="113"/>
  <c r="G28" i="113" s="1"/>
  <c r="E27" i="113"/>
  <c r="G27" i="113" s="1"/>
  <c r="E26" i="113"/>
  <c r="G26" i="113" s="1"/>
  <c r="E25" i="113"/>
  <c r="G25" i="113" s="1"/>
  <c r="E24" i="113"/>
  <c r="G24" i="113" s="1"/>
  <c r="E23" i="113"/>
  <c r="G23" i="113" s="1"/>
  <c r="E22" i="113"/>
  <c r="G22" i="113" s="1"/>
  <c r="E21" i="113"/>
  <c r="G21" i="113" s="1"/>
  <c r="E14" i="113"/>
  <c r="G14" i="113" s="1"/>
  <c r="E13" i="113"/>
  <c r="E12" i="113"/>
  <c r="E11" i="113"/>
  <c r="E10" i="113"/>
  <c r="E9" i="113"/>
  <c r="F18" i="129"/>
  <c r="F23" i="129"/>
  <c r="F22" i="129"/>
  <c r="F15" i="129"/>
  <c r="F20" i="129"/>
  <c r="F7" i="129"/>
  <c r="F8" i="129"/>
  <c r="F9" i="129"/>
  <c r="F10" i="129"/>
  <c r="F11" i="129"/>
  <c r="F12" i="129"/>
  <c r="F13" i="129"/>
  <c r="F14" i="129"/>
  <c r="F21" i="129"/>
  <c r="E72" i="86"/>
  <c r="E121" i="86" s="1"/>
  <c r="E75" i="86"/>
  <c r="E78" i="86"/>
  <c r="E123" i="86" s="1"/>
  <c r="E81" i="86"/>
  <c r="E124" i="86" s="1"/>
  <c r="E84" i="86"/>
  <c r="E125" i="86" s="1"/>
  <c r="E87" i="86"/>
  <c r="E126" i="86" s="1"/>
  <c r="E90" i="86"/>
  <c r="E93" i="86"/>
  <c r="E96" i="86"/>
  <c r="E129" i="86" s="1"/>
  <c r="E99" i="86"/>
  <c r="E102" i="86"/>
  <c r="E131" i="86" s="1"/>
  <c r="E73" i="86"/>
  <c r="E76" i="86"/>
  <c r="E79" i="86"/>
  <c r="E82" i="86"/>
  <c r="E85" i="86"/>
  <c r="E88" i="86"/>
  <c r="E91" i="86"/>
  <c r="E94" i="86"/>
  <c r="E97" i="86"/>
  <c r="E100" i="86"/>
  <c r="E103" i="86"/>
  <c r="E106" i="86"/>
  <c r="E74" i="86"/>
  <c r="E77" i="86"/>
  <c r="E80" i="86"/>
  <c r="E83" i="86"/>
  <c r="E86" i="86"/>
  <c r="E89" i="86"/>
  <c r="E92" i="86"/>
  <c r="E95" i="86"/>
  <c r="E98" i="86"/>
  <c r="E101" i="86"/>
  <c r="E104" i="86"/>
  <c r="E107" i="86"/>
  <c r="E110" i="86"/>
  <c r="E113" i="86"/>
  <c r="E122" i="86"/>
  <c r="E127" i="86"/>
  <c r="E128" i="86"/>
  <c r="E130" i="86"/>
  <c r="E105" i="86"/>
  <c r="E132" i="86" s="1"/>
  <c r="E108" i="86"/>
  <c r="E111" i="86"/>
  <c r="D8" i="86"/>
  <c r="E8" i="86"/>
  <c r="D9" i="86"/>
  <c r="E9" i="86"/>
  <c r="D10" i="86"/>
  <c r="E10" i="86"/>
  <c r="D11" i="86"/>
  <c r="E11" i="86"/>
  <c r="D12" i="86"/>
  <c r="E12" i="86"/>
  <c r="D13" i="86"/>
  <c r="E13" i="86"/>
  <c r="D16" i="86"/>
  <c r="E16" i="86"/>
  <c r="G16" i="86" s="1"/>
  <c r="D14" i="86"/>
  <c r="E14" i="86"/>
  <c r="D21" i="86"/>
  <c r="E21" i="86"/>
  <c r="G21" i="86" s="1"/>
  <c r="D22" i="86"/>
  <c r="E22" i="86"/>
  <c r="G22" i="86" s="1"/>
  <c r="D23" i="86"/>
  <c r="E23" i="86"/>
  <c r="G23" i="86" s="1"/>
  <c r="D24" i="86"/>
  <c r="E24" i="86"/>
  <c r="G24" i="86" s="1"/>
  <c r="D25" i="86"/>
  <c r="E25" i="86"/>
  <c r="G25" i="86" s="1"/>
  <c r="D26" i="86"/>
  <c r="E26" i="86"/>
  <c r="G26" i="86" s="1"/>
  <c r="D27" i="86"/>
  <c r="E27" i="86"/>
  <c r="G27" i="86" s="1"/>
  <c r="D28" i="86"/>
  <c r="E28" i="86"/>
  <c r="G28" i="86" s="1"/>
  <c r="D29" i="86"/>
  <c r="E29" i="86"/>
  <c r="G29" i="86" s="1"/>
  <c r="D30" i="86"/>
  <c r="E30" i="86"/>
  <c r="G30" i="86" s="1"/>
  <c r="D31" i="86"/>
  <c r="E31" i="86"/>
  <c r="G31" i="86" s="1"/>
  <c r="D33" i="86"/>
  <c r="E33" i="86"/>
  <c r="G33" i="86" s="1"/>
  <c r="D34" i="86"/>
  <c r="E34" i="86"/>
  <c r="G34" i="86" s="1"/>
  <c r="D35" i="86"/>
  <c r="E35" i="86"/>
  <c r="G35" i="86" s="1"/>
  <c r="D36" i="86"/>
  <c r="E36" i="86"/>
  <c r="G36" i="86" s="1"/>
  <c r="D37" i="86"/>
  <c r="E37" i="86"/>
  <c r="G37" i="86" s="1"/>
  <c r="D38" i="86"/>
  <c r="E38" i="86"/>
  <c r="G38" i="86" s="1"/>
  <c r="D39" i="86"/>
  <c r="E39" i="86"/>
  <c r="G39" i="86" s="1"/>
  <c r="D40" i="86"/>
  <c r="E40" i="86"/>
  <c r="G40" i="86" s="1"/>
  <c r="D42" i="86"/>
  <c r="E42" i="86"/>
  <c r="G42" i="86" s="1"/>
  <c r="D43" i="86"/>
  <c r="E43" i="86"/>
  <c r="G43" i="86" s="1"/>
  <c r="D44" i="86"/>
  <c r="E44" i="86"/>
  <c r="G44" i="86" s="1"/>
  <c r="D45" i="86"/>
  <c r="E45" i="86"/>
  <c r="G45" i="86" s="1"/>
  <c r="D46" i="86"/>
  <c r="E46" i="86"/>
  <c r="G46" i="86" s="1"/>
  <c r="D47" i="86"/>
  <c r="E47" i="86"/>
  <c r="G47" i="86" s="1"/>
  <c r="D48" i="86"/>
  <c r="E48" i="86"/>
  <c r="G48" i="86" s="1"/>
  <c r="D49" i="86"/>
  <c r="E49" i="86"/>
  <c r="G49" i="86" s="1"/>
  <c r="D50" i="86"/>
  <c r="E50" i="86"/>
  <c r="G50" i="86" s="1"/>
  <c r="D51" i="86"/>
  <c r="E51" i="86"/>
  <c r="G51" i="86" s="1"/>
  <c r="D54" i="86"/>
  <c r="E54" i="86"/>
  <c r="G54" i="86" s="1"/>
  <c r="D55" i="86"/>
  <c r="E55" i="86"/>
  <c r="G55" i="86" s="1"/>
  <c r="D56" i="86"/>
  <c r="E56" i="86"/>
  <c r="G56" i="86" s="1"/>
  <c r="D57" i="86"/>
  <c r="E57" i="86"/>
  <c r="G57" i="86" s="1"/>
  <c r="D60" i="86"/>
  <c r="E60" i="86"/>
  <c r="G60" i="86" s="1"/>
  <c r="D17" i="86"/>
  <c r="E17" i="86"/>
  <c r="G17" i="86" s="1"/>
  <c r="D18" i="86"/>
  <c r="E18" i="86"/>
  <c r="G18" i="86" s="1"/>
  <c r="D19" i="86"/>
  <c r="E19" i="86"/>
  <c r="G19" i="86" s="1"/>
  <c r="D20" i="86"/>
  <c r="E20" i="86"/>
  <c r="G20" i="86" s="1"/>
  <c r="D61" i="86"/>
  <c r="E61" i="86"/>
  <c r="G61" i="86" s="1"/>
  <c r="E109" i="86"/>
  <c r="E112" i="86"/>
  <c r="D63" i="86"/>
  <c r="E63" i="86"/>
  <c r="D64" i="86"/>
  <c r="E64" i="86"/>
  <c r="D65" i="86"/>
  <c r="E65" i="86"/>
  <c r="D66" i="86"/>
  <c r="E66" i="86"/>
  <c r="D67" i="86"/>
  <c r="E67" i="86"/>
  <c r="D68" i="86"/>
  <c r="E68" i="86"/>
  <c r="D69" i="86"/>
  <c r="E69" i="86"/>
  <c r="D70" i="86"/>
  <c r="E70" i="86"/>
  <c r="E72" i="116"/>
  <c r="E75" i="116"/>
  <c r="E78" i="116"/>
  <c r="E123" i="116" s="1"/>
  <c r="E81" i="116"/>
  <c r="E124" i="116" s="1"/>
  <c r="E84" i="116"/>
  <c r="E125" i="116" s="1"/>
  <c r="E87" i="116"/>
  <c r="E90" i="116"/>
  <c r="E127" i="116" s="1"/>
  <c r="E93" i="116"/>
  <c r="E96" i="116"/>
  <c r="E129" i="116" s="1"/>
  <c r="E99" i="116"/>
  <c r="E130" i="116" s="1"/>
  <c r="E102" i="116"/>
  <c r="E131" i="116" s="1"/>
  <c r="E73" i="116"/>
  <c r="E76" i="116"/>
  <c r="E79" i="116"/>
  <c r="E82" i="116"/>
  <c r="E85" i="116"/>
  <c r="E88" i="116"/>
  <c r="E91" i="116"/>
  <c r="E94" i="116"/>
  <c r="E97" i="116"/>
  <c r="E100" i="116"/>
  <c r="E103" i="116"/>
  <c r="E106" i="116"/>
  <c r="E74" i="116"/>
  <c r="E77" i="116"/>
  <c r="E80" i="116"/>
  <c r="E83" i="116"/>
  <c r="E86" i="116"/>
  <c r="E89" i="116"/>
  <c r="E92" i="116"/>
  <c r="E95" i="116"/>
  <c r="E98" i="116"/>
  <c r="E101" i="116"/>
  <c r="E104" i="116"/>
  <c r="E107" i="116"/>
  <c r="E110" i="116"/>
  <c r="E113" i="116"/>
  <c r="E126" i="116"/>
  <c r="E128" i="116"/>
  <c r="E105" i="116"/>
  <c r="E132" i="116" s="1"/>
  <c r="E108" i="116"/>
  <c r="E111" i="116"/>
  <c r="D8" i="116"/>
  <c r="D9" i="116"/>
  <c r="E9" i="116"/>
  <c r="D10" i="116"/>
  <c r="E10" i="116"/>
  <c r="D11" i="116"/>
  <c r="E11" i="116"/>
  <c r="D12" i="116"/>
  <c r="E12" i="116"/>
  <c r="D13" i="116"/>
  <c r="E13" i="116"/>
  <c r="D16" i="116"/>
  <c r="E16" i="116"/>
  <c r="G16" i="116" s="1"/>
  <c r="D21" i="116"/>
  <c r="E21" i="116"/>
  <c r="G21" i="116" s="1"/>
  <c r="D22" i="116"/>
  <c r="E22" i="116"/>
  <c r="G22" i="116" s="1"/>
  <c r="D23" i="116"/>
  <c r="E23" i="116"/>
  <c r="G23" i="116" s="1"/>
  <c r="D24" i="116"/>
  <c r="E24" i="116"/>
  <c r="G24" i="116" s="1"/>
  <c r="D25" i="116"/>
  <c r="E25" i="116"/>
  <c r="G25" i="116" s="1"/>
  <c r="D26" i="116"/>
  <c r="E26" i="116"/>
  <c r="G26" i="116" s="1"/>
  <c r="D27" i="116"/>
  <c r="E27" i="116"/>
  <c r="G27" i="116" s="1"/>
  <c r="D28" i="116"/>
  <c r="E28" i="116"/>
  <c r="G28" i="116" s="1"/>
  <c r="D29" i="116"/>
  <c r="E29" i="116"/>
  <c r="G29" i="116" s="1"/>
  <c r="D30" i="116"/>
  <c r="E30" i="116"/>
  <c r="G30" i="116" s="1"/>
  <c r="D31" i="116"/>
  <c r="E31" i="116"/>
  <c r="G31" i="116" s="1"/>
  <c r="D33" i="116"/>
  <c r="E33" i="116"/>
  <c r="G33" i="116" s="1"/>
  <c r="D34" i="116"/>
  <c r="E34" i="116"/>
  <c r="G34" i="116" s="1"/>
  <c r="D35" i="116"/>
  <c r="E35" i="116"/>
  <c r="G35" i="116" s="1"/>
  <c r="D36" i="116"/>
  <c r="E36" i="116"/>
  <c r="G36" i="116" s="1"/>
  <c r="D37" i="116"/>
  <c r="E37" i="116"/>
  <c r="G37" i="116" s="1"/>
  <c r="D38" i="116"/>
  <c r="E38" i="116"/>
  <c r="G38" i="116" s="1"/>
  <c r="D39" i="116"/>
  <c r="E39" i="116"/>
  <c r="G39" i="116" s="1"/>
  <c r="D40" i="116"/>
  <c r="E40" i="116"/>
  <c r="G40" i="116" s="1"/>
  <c r="D42" i="116"/>
  <c r="E42" i="116"/>
  <c r="G42" i="116" s="1"/>
  <c r="D43" i="116"/>
  <c r="E43" i="116"/>
  <c r="G43" i="116" s="1"/>
  <c r="D44" i="116"/>
  <c r="E44" i="116"/>
  <c r="G44" i="116" s="1"/>
  <c r="D45" i="116"/>
  <c r="E45" i="116"/>
  <c r="G45" i="116" s="1"/>
  <c r="D46" i="116"/>
  <c r="E46" i="116"/>
  <c r="G46" i="116" s="1"/>
  <c r="D47" i="116"/>
  <c r="E47" i="116"/>
  <c r="G47" i="116" s="1"/>
  <c r="D48" i="116"/>
  <c r="E48" i="116"/>
  <c r="G48" i="116" s="1"/>
  <c r="D49" i="116"/>
  <c r="E49" i="116"/>
  <c r="G49" i="116" s="1"/>
  <c r="D50" i="116"/>
  <c r="E50" i="116"/>
  <c r="G50" i="116" s="1"/>
  <c r="D51" i="116"/>
  <c r="E51" i="116"/>
  <c r="G51" i="116" s="1"/>
  <c r="D54" i="116"/>
  <c r="E54" i="116"/>
  <c r="G54" i="116" s="1"/>
  <c r="D55" i="116"/>
  <c r="E55" i="116"/>
  <c r="G55" i="116" s="1"/>
  <c r="D56" i="116"/>
  <c r="E56" i="116"/>
  <c r="G56" i="116" s="1"/>
  <c r="D57" i="116"/>
  <c r="E57" i="116"/>
  <c r="G57" i="116" s="1"/>
  <c r="D60" i="116"/>
  <c r="E60" i="116"/>
  <c r="G60" i="116" s="1"/>
  <c r="D20" i="116"/>
  <c r="E20" i="116"/>
  <c r="G20" i="116" s="1"/>
  <c r="D61" i="116"/>
  <c r="E61" i="116"/>
  <c r="G61" i="116" s="1"/>
  <c r="E109" i="116"/>
  <c r="E112" i="116"/>
  <c r="D63" i="116"/>
  <c r="E63" i="116"/>
  <c r="D64" i="116"/>
  <c r="E64" i="116"/>
  <c r="D65" i="116"/>
  <c r="E65" i="116"/>
  <c r="D66" i="116"/>
  <c r="E66" i="116"/>
  <c r="D67" i="116"/>
  <c r="E67" i="116"/>
  <c r="D68" i="116"/>
  <c r="E68" i="116"/>
  <c r="D69" i="116"/>
  <c r="E69" i="116"/>
  <c r="D70" i="116"/>
  <c r="E70" i="116"/>
  <c r="E72" i="95"/>
  <c r="E75" i="95"/>
  <c r="E122" i="95" s="1"/>
  <c r="E78" i="95"/>
  <c r="E123" i="95" s="1"/>
  <c r="E81" i="95"/>
  <c r="E124" i="95" s="1"/>
  <c r="E84" i="95"/>
  <c r="E125" i="95" s="1"/>
  <c r="E87" i="95"/>
  <c r="E126" i="95" s="1"/>
  <c r="E90" i="95"/>
  <c r="E127" i="95" s="1"/>
  <c r="E93" i="95"/>
  <c r="E96" i="95"/>
  <c r="E129" i="95" s="1"/>
  <c r="E99" i="95"/>
  <c r="E130" i="95" s="1"/>
  <c r="E102" i="95"/>
  <c r="E131" i="95" s="1"/>
  <c r="E73" i="95"/>
  <c r="E76" i="95"/>
  <c r="E79" i="95"/>
  <c r="E82" i="95"/>
  <c r="E85" i="95"/>
  <c r="E88" i="95"/>
  <c r="E91" i="95"/>
  <c r="E94" i="95"/>
  <c r="E97" i="95"/>
  <c r="E100" i="95"/>
  <c r="E103" i="95"/>
  <c r="E106" i="95"/>
  <c r="E74" i="95"/>
  <c r="E77" i="95"/>
  <c r="E80" i="95"/>
  <c r="E83" i="95"/>
  <c r="E86" i="95"/>
  <c r="E89" i="95"/>
  <c r="E92" i="95"/>
  <c r="E95" i="95"/>
  <c r="E98" i="95"/>
  <c r="E101" i="95"/>
  <c r="E104" i="95"/>
  <c r="E107" i="95"/>
  <c r="E110" i="95"/>
  <c r="E113" i="95"/>
  <c r="E128" i="95"/>
  <c r="E105" i="95"/>
  <c r="E132" i="95" s="1"/>
  <c r="E108" i="95"/>
  <c r="E111" i="95"/>
  <c r="D8" i="95"/>
  <c r="E8" i="95"/>
  <c r="D9" i="95"/>
  <c r="E9" i="95"/>
  <c r="D10" i="95"/>
  <c r="E10" i="95"/>
  <c r="D11" i="95"/>
  <c r="E11" i="95"/>
  <c r="D12" i="95"/>
  <c r="E12" i="95"/>
  <c r="D13" i="95"/>
  <c r="E13" i="95"/>
  <c r="D16" i="95"/>
  <c r="E16" i="95"/>
  <c r="G16" i="95" s="1"/>
  <c r="D14" i="95"/>
  <c r="E14" i="95"/>
  <c r="D21" i="95"/>
  <c r="E21" i="95"/>
  <c r="G21" i="95" s="1"/>
  <c r="D22" i="95"/>
  <c r="E22" i="95"/>
  <c r="G22" i="95" s="1"/>
  <c r="D23" i="95"/>
  <c r="E23" i="95"/>
  <c r="G23" i="95" s="1"/>
  <c r="D24" i="95"/>
  <c r="E24" i="95"/>
  <c r="G24" i="95" s="1"/>
  <c r="D25" i="95"/>
  <c r="E25" i="95"/>
  <c r="G25" i="95" s="1"/>
  <c r="D26" i="95"/>
  <c r="E26" i="95"/>
  <c r="G26" i="95" s="1"/>
  <c r="D27" i="95"/>
  <c r="E27" i="95"/>
  <c r="G27" i="95" s="1"/>
  <c r="D28" i="95"/>
  <c r="E28" i="95"/>
  <c r="G28" i="95" s="1"/>
  <c r="D29" i="95"/>
  <c r="E29" i="95"/>
  <c r="G29" i="95" s="1"/>
  <c r="D30" i="95"/>
  <c r="E30" i="95"/>
  <c r="G30" i="95" s="1"/>
  <c r="D31" i="95"/>
  <c r="E31" i="95"/>
  <c r="G31" i="95" s="1"/>
  <c r="D33" i="95"/>
  <c r="E33" i="95"/>
  <c r="G33" i="95" s="1"/>
  <c r="D34" i="95"/>
  <c r="E34" i="95"/>
  <c r="G34" i="95" s="1"/>
  <c r="D35" i="95"/>
  <c r="E35" i="95"/>
  <c r="G35" i="95" s="1"/>
  <c r="D36" i="95"/>
  <c r="E36" i="95"/>
  <c r="G36" i="95" s="1"/>
  <c r="D37" i="95"/>
  <c r="E37" i="95"/>
  <c r="G37" i="95" s="1"/>
  <c r="D38" i="95"/>
  <c r="E38" i="95"/>
  <c r="G38" i="95" s="1"/>
  <c r="D39" i="95"/>
  <c r="E39" i="95"/>
  <c r="G39" i="95" s="1"/>
  <c r="D40" i="95"/>
  <c r="E40" i="95"/>
  <c r="G40" i="95" s="1"/>
  <c r="D42" i="95"/>
  <c r="E42" i="95"/>
  <c r="G42" i="95" s="1"/>
  <c r="D43" i="95"/>
  <c r="E43" i="95"/>
  <c r="G43" i="95" s="1"/>
  <c r="D44" i="95"/>
  <c r="E44" i="95"/>
  <c r="G44" i="95" s="1"/>
  <c r="D45" i="95"/>
  <c r="E45" i="95"/>
  <c r="G45" i="95" s="1"/>
  <c r="D46" i="95"/>
  <c r="E46" i="95"/>
  <c r="G46" i="95" s="1"/>
  <c r="D47" i="95"/>
  <c r="E47" i="95"/>
  <c r="G47" i="95" s="1"/>
  <c r="D48" i="95"/>
  <c r="E48" i="95"/>
  <c r="G48" i="95" s="1"/>
  <c r="D49" i="95"/>
  <c r="E49" i="95"/>
  <c r="G49" i="95" s="1"/>
  <c r="D50" i="95"/>
  <c r="E50" i="95"/>
  <c r="G50" i="95" s="1"/>
  <c r="D51" i="95"/>
  <c r="E51" i="95"/>
  <c r="G51" i="95" s="1"/>
  <c r="D54" i="95"/>
  <c r="E54" i="95"/>
  <c r="G54" i="95" s="1"/>
  <c r="D55" i="95"/>
  <c r="E55" i="95"/>
  <c r="G55" i="95" s="1"/>
  <c r="D56" i="95"/>
  <c r="E56" i="95"/>
  <c r="G56" i="95" s="1"/>
  <c r="D57" i="95"/>
  <c r="E57" i="95"/>
  <c r="G57" i="95" s="1"/>
  <c r="D60" i="95"/>
  <c r="E60" i="95"/>
  <c r="G60" i="95" s="1"/>
  <c r="D17" i="95"/>
  <c r="E17" i="95"/>
  <c r="G17" i="95" s="1"/>
  <c r="D18" i="95"/>
  <c r="E18" i="95"/>
  <c r="G18" i="95" s="1"/>
  <c r="D19" i="95"/>
  <c r="E19" i="95"/>
  <c r="G19" i="95" s="1"/>
  <c r="D20" i="95"/>
  <c r="E20" i="95"/>
  <c r="G20" i="95" s="1"/>
  <c r="D61" i="95"/>
  <c r="E61" i="95"/>
  <c r="G61" i="95" s="1"/>
  <c r="E109" i="95"/>
  <c r="E112" i="95"/>
  <c r="D63" i="95"/>
  <c r="E63" i="95"/>
  <c r="D64" i="95"/>
  <c r="E64" i="95"/>
  <c r="D65" i="95"/>
  <c r="E65" i="95"/>
  <c r="D66" i="95"/>
  <c r="E66" i="95"/>
  <c r="D67" i="95"/>
  <c r="E67" i="95"/>
  <c r="D68" i="95"/>
  <c r="E68" i="95"/>
  <c r="D69" i="95"/>
  <c r="E69" i="95"/>
  <c r="D70" i="95"/>
  <c r="E70" i="95"/>
  <c r="E72" i="124"/>
  <c r="E75" i="124"/>
  <c r="E78" i="124"/>
  <c r="E123" i="124" s="1"/>
  <c r="E81" i="124"/>
  <c r="E84" i="124"/>
  <c r="E125" i="124" s="1"/>
  <c r="E87" i="124"/>
  <c r="E90" i="124"/>
  <c r="E127" i="124" s="1"/>
  <c r="E93" i="124"/>
  <c r="E106" i="124" s="1"/>
  <c r="E96" i="124"/>
  <c r="E129" i="124" s="1"/>
  <c r="E99" i="124"/>
  <c r="E102" i="124"/>
  <c r="E131" i="124" s="1"/>
  <c r="E73" i="124"/>
  <c r="E76" i="124"/>
  <c r="E79" i="124"/>
  <c r="E82" i="124"/>
  <c r="E85" i="124"/>
  <c r="E88" i="124"/>
  <c r="E91" i="124"/>
  <c r="E94" i="124"/>
  <c r="E97" i="124"/>
  <c r="E100" i="124"/>
  <c r="E103" i="124"/>
  <c r="E74" i="124"/>
  <c r="E77" i="124"/>
  <c r="E80" i="124"/>
  <c r="E83" i="124"/>
  <c r="E86" i="124"/>
  <c r="E89" i="124"/>
  <c r="E92" i="124"/>
  <c r="E95" i="124"/>
  <c r="E98" i="124"/>
  <c r="E101" i="124"/>
  <c r="E104" i="124"/>
  <c r="E107" i="124"/>
  <c r="E110" i="124"/>
  <c r="E113" i="124"/>
  <c r="E122" i="124"/>
  <c r="E124" i="124"/>
  <c r="E126" i="124"/>
  <c r="E128" i="124"/>
  <c r="E130" i="124"/>
  <c r="E105" i="124"/>
  <c r="E132" i="124" s="1"/>
  <c r="E108" i="124"/>
  <c r="E111" i="124"/>
  <c r="D9" i="124"/>
  <c r="F9" i="124" s="1"/>
  <c r="D10" i="124"/>
  <c r="D11" i="124"/>
  <c r="D12" i="124"/>
  <c r="D13" i="124"/>
  <c r="D16" i="124"/>
  <c r="D14" i="124"/>
  <c r="D21" i="124"/>
  <c r="D22" i="124"/>
  <c r="D23" i="124"/>
  <c r="D24" i="124"/>
  <c r="D25" i="124"/>
  <c r="D26" i="124"/>
  <c r="D27" i="124"/>
  <c r="D28" i="124"/>
  <c r="D29" i="124"/>
  <c r="D30" i="124"/>
  <c r="D31" i="124"/>
  <c r="D33" i="124"/>
  <c r="D34" i="124"/>
  <c r="D35" i="124"/>
  <c r="D36" i="124"/>
  <c r="D37" i="124"/>
  <c r="D38" i="124"/>
  <c r="D39" i="124"/>
  <c r="D40" i="124"/>
  <c r="D42" i="124"/>
  <c r="D43" i="124"/>
  <c r="D44" i="124"/>
  <c r="D45" i="124"/>
  <c r="D46" i="124"/>
  <c r="D47" i="124"/>
  <c r="D48" i="124"/>
  <c r="D49" i="124"/>
  <c r="D50" i="124"/>
  <c r="D51" i="124"/>
  <c r="D54" i="124"/>
  <c r="D55" i="124"/>
  <c r="D56" i="124"/>
  <c r="D57" i="124"/>
  <c r="D60" i="124"/>
  <c r="D17" i="124"/>
  <c r="D18" i="124"/>
  <c r="D19" i="124"/>
  <c r="D20" i="124"/>
  <c r="D61" i="124"/>
  <c r="F8" i="124"/>
  <c r="E109" i="124"/>
  <c r="E112" i="124"/>
  <c r="F63" i="124"/>
  <c r="F65" i="124"/>
  <c r="F67" i="124"/>
  <c r="F69" i="124"/>
  <c r="E72" i="91"/>
  <c r="E75" i="91"/>
  <c r="E78" i="91"/>
  <c r="E81" i="91"/>
  <c r="E84" i="91"/>
  <c r="E87" i="91"/>
  <c r="E90" i="91"/>
  <c r="E93" i="91"/>
  <c r="E107" i="91" s="1"/>
  <c r="E96" i="91"/>
  <c r="E129" i="91" s="1"/>
  <c r="E99" i="91"/>
  <c r="E130" i="91" s="1"/>
  <c r="E102" i="91"/>
  <c r="E73" i="91"/>
  <c r="E76" i="91"/>
  <c r="E79" i="91"/>
  <c r="E82" i="91"/>
  <c r="E85" i="91"/>
  <c r="E88" i="91"/>
  <c r="E91" i="91"/>
  <c r="E94" i="91"/>
  <c r="E97" i="91"/>
  <c r="E100" i="91"/>
  <c r="E103" i="91"/>
  <c r="E74" i="91"/>
  <c r="E77" i="91"/>
  <c r="E80" i="91"/>
  <c r="E83" i="91"/>
  <c r="E86" i="91"/>
  <c r="E89" i="91"/>
  <c r="E92" i="91"/>
  <c r="E95" i="91"/>
  <c r="E98" i="91"/>
  <c r="E101" i="91"/>
  <c r="E104" i="91"/>
  <c r="E122" i="91"/>
  <c r="E123" i="91"/>
  <c r="E124" i="91"/>
  <c r="E125" i="91"/>
  <c r="E126" i="91"/>
  <c r="E127" i="91"/>
  <c r="E131" i="91"/>
  <c r="D9" i="91"/>
  <c r="D10" i="91"/>
  <c r="D11" i="91"/>
  <c r="D12" i="91"/>
  <c r="D13" i="91"/>
  <c r="F13" i="91"/>
  <c r="D16" i="91"/>
  <c r="D14" i="91"/>
  <c r="D21" i="91"/>
  <c r="D22" i="91"/>
  <c r="D23" i="91"/>
  <c r="D24" i="91"/>
  <c r="F24" i="91" s="1"/>
  <c r="D25" i="91"/>
  <c r="D26" i="91"/>
  <c r="D27" i="91"/>
  <c r="D28" i="91"/>
  <c r="D29" i="91"/>
  <c r="D30" i="91"/>
  <c r="D31" i="91"/>
  <c r="D33" i="91"/>
  <c r="F33" i="91" s="1"/>
  <c r="D34" i="91"/>
  <c r="D35" i="91"/>
  <c r="D36" i="91"/>
  <c r="D37" i="91"/>
  <c r="D38" i="91"/>
  <c r="D39" i="91"/>
  <c r="D40" i="91"/>
  <c r="D42" i="91"/>
  <c r="F42" i="91" s="1"/>
  <c r="D43" i="91"/>
  <c r="D44" i="91"/>
  <c r="D45" i="91"/>
  <c r="D46" i="91"/>
  <c r="D47" i="91"/>
  <c r="D48" i="91"/>
  <c r="D49" i="91"/>
  <c r="D50" i="91"/>
  <c r="F50" i="91" s="1"/>
  <c r="D51" i="91"/>
  <c r="D54" i="91"/>
  <c r="D55" i="91"/>
  <c r="D56" i="91"/>
  <c r="D57" i="91"/>
  <c r="D60" i="91"/>
  <c r="D17" i="91"/>
  <c r="D18" i="91"/>
  <c r="F18" i="91" s="1"/>
  <c r="D19" i="91"/>
  <c r="D20" i="91"/>
  <c r="D61" i="91"/>
  <c r="F8" i="91"/>
  <c r="F63" i="91"/>
  <c r="F67" i="91"/>
  <c r="F69" i="91"/>
  <c r="E72" i="99"/>
  <c r="E75" i="99"/>
  <c r="E78" i="99"/>
  <c r="E81" i="99"/>
  <c r="E84" i="99"/>
  <c r="E125" i="99" s="1"/>
  <c r="E87" i="99"/>
  <c r="E90" i="99"/>
  <c r="E127" i="99" s="1"/>
  <c r="E93" i="99"/>
  <c r="E113" i="99" s="1"/>
  <c r="E96" i="99"/>
  <c r="E99" i="99"/>
  <c r="E130" i="99" s="1"/>
  <c r="E102" i="99"/>
  <c r="E73" i="99"/>
  <c r="E76" i="99"/>
  <c r="E79" i="99"/>
  <c r="E82" i="99"/>
  <c r="E85" i="99"/>
  <c r="E88" i="99"/>
  <c r="E91" i="99"/>
  <c r="E94" i="99"/>
  <c r="E97" i="99"/>
  <c r="E100" i="99"/>
  <c r="E103" i="99"/>
  <c r="E74" i="99"/>
  <c r="E77" i="99"/>
  <c r="E80" i="99"/>
  <c r="E83" i="99"/>
  <c r="E86" i="99"/>
  <c r="E89" i="99"/>
  <c r="E92" i="99"/>
  <c r="E95" i="99"/>
  <c r="E98" i="99"/>
  <c r="E101" i="99"/>
  <c r="E104" i="99"/>
  <c r="E121" i="99"/>
  <c r="E123" i="99"/>
  <c r="E124" i="99"/>
  <c r="E126" i="99"/>
  <c r="E128" i="99"/>
  <c r="E129" i="99"/>
  <c r="E131" i="99"/>
  <c r="D9" i="99"/>
  <c r="E9" i="99"/>
  <c r="D10" i="99"/>
  <c r="E10" i="99"/>
  <c r="D11" i="99"/>
  <c r="E11" i="99"/>
  <c r="D12" i="99"/>
  <c r="E12" i="99"/>
  <c r="D13" i="99"/>
  <c r="E13" i="99"/>
  <c r="D16" i="99"/>
  <c r="E16" i="99"/>
  <c r="G16" i="99" s="1"/>
  <c r="D14" i="99"/>
  <c r="E14" i="99"/>
  <c r="G14" i="99" s="1"/>
  <c r="D21" i="99"/>
  <c r="E21" i="99"/>
  <c r="G21" i="99" s="1"/>
  <c r="D22" i="99"/>
  <c r="E22" i="99"/>
  <c r="G22" i="99" s="1"/>
  <c r="D23" i="99"/>
  <c r="E23" i="99"/>
  <c r="G23" i="99" s="1"/>
  <c r="D24" i="99"/>
  <c r="E24" i="99"/>
  <c r="G24" i="99" s="1"/>
  <c r="D25" i="99"/>
  <c r="E25" i="99"/>
  <c r="G25" i="99" s="1"/>
  <c r="D26" i="99"/>
  <c r="E26" i="99"/>
  <c r="G26" i="99" s="1"/>
  <c r="D27" i="99"/>
  <c r="E27" i="99"/>
  <c r="G27" i="99" s="1"/>
  <c r="D28" i="99"/>
  <c r="E28" i="99"/>
  <c r="G28" i="99" s="1"/>
  <c r="D29" i="99"/>
  <c r="E29" i="99"/>
  <c r="G29" i="99" s="1"/>
  <c r="D30" i="99"/>
  <c r="E30" i="99"/>
  <c r="G30" i="99" s="1"/>
  <c r="D31" i="99"/>
  <c r="E31" i="99"/>
  <c r="G31" i="99" s="1"/>
  <c r="D33" i="99"/>
  <c r="E33" i="99"/>
  <c r="G33" i="99" s="1"/>
  <c r="D34" i="99"/>
  <c r="E34" i="99"/>
  <c r="G34" i="99" s="1"/>
  <c r="D35" i="99"/>
  <c r="E35" i="99"/>
  <c r="G35" i="99" s="1"/>
  <c r="D36" i="99"/>
  <c r="E36" i="99"/>
  <c r="G36" i="99" s="1"/>
  <c r="D37" i="99"/>
  <c r="E37" i="99"/>
  <c r="G37" i="99" s="1"/>
  <c r="D38" i="99"/>
  <c r="E38" i="99"/>
  <c r="G38" i="99" s="1"/>
  <c r="D39" i="99"/>
  <c r="E39" i="99"/>
  <c r="G39" i="99" s="1"/>
  <c r="D40" i="99"/>
  <c r="E40" i="99"/>
  <c r="G40" i="99" s="1"/>
  <c r="D42" i="99"/>
  <c r="E42" i="99"/>
  <c r="G42" i="99" s="1"/>
  <c r="D43" i="99"/>
  <c r="E43" i="99"/>
  <c r="G43" i="99" s="1"/>
  <c r="D44" i="99"/>
  <c r="E44" i="99"/>
  <c r="G44" i="99" s="1"/>
  <c r="D45" i="99"/>
  <c r="E45" i="99"/>
  <c r="G45" i="99" s="1"/>
  <c r="D46" i="99"/>
  <c r="E46" i="99"/>
  <c r="G46" i="99" s="1"/>
  <c r="D47" i="99"/>
  <c r="E47" i="99"/>
  <c r="G47" i="99" s="1"/>
  <c r="D48" i="99"/>
  <c r="E48" i="99"/>
  <c r="G48" i="99" s="1"/>
  <c r="D49" i="99"/>
  <c r="E49" i="99"/>
  <c r="G49" i="99" s="1"/>
  <c r="D50" i="99"/>
  <c r="E50" i="99"/>
  <c r="G50" i="99" s="1"/>
  <c r="D51" i="99"/>
  <c r="E51" i="99"/>
  <c r="G51" i="99" s="1"/>
  <c r="D54" i="99"/>
  <c r="E54" i="99"/>
  <c r="G54" i="99" s="1"/>
  <c r="D55" i="99"/>
  <c r="E55" i="99"/>
  <c r="G55" i="99" s="1"/>
  <c r="D56" i="99"/>
  <c r="E56" i="99"/>
  <c r="G56" i="99" s="1"/>
  <c r="D57" i="99"/>
  <c r="E57" i="99"/>
  <c r="G57" i="99" s="1"/>
  <c r="D60" i="99"/>
  <c r="E60" i="99"/>
  <c r="G60" i="99" s="1"/>
  <c r="D17" i="99"/>
  <c r="E17" i="99"/>
  <c r="G17" i="99" s="1"/>
  <c r="D18" i="99"/>
  <c r="E18" i="99"/>
  <c r="G18" i="99" s="1"/>
  <c r="D19" i="99"/>
  <c r="E19" i="99"/>
  <c r="G19" i="99" s="1"/>
  <c r="D20" i="99"/>
  <c r="E20" i="99"/>
  <c r="G20" i="99" s="1"/>
  <c r="D61" i="99"/>
  <c r="E61" i="99"/>
  <c r="G61" i="99" s="1"/>
  <c r="D63" i="99"/>
  <c r="E63" i="99"/>
  <c r="D64" i="99"/>
  <c r="E64" i="99"/>
  <c r="D65" i="99"/>
  <c r="E65" i="99"/>
  <c r="D66" i="99"/>
  <c r="E66" i="99"/>
  <c r="D67" i="99"/>
  <c r="E67" i="99"/>
  <c r="D68" i="99"/>
  <c r="E68" i="99"/>
  <c r="D69" i="99"/>
  <c r="E69" i="99"/>
  <c r="D70" i="99"/>
  <c r="E70" i="99"/>
  <c r="E72" i="96"/>
  <c r="E75" i="96"/>
  <c r="E78" i="96"/>
  <c r="E123" i="96" s="1"/>
  <c r="E81" i="96"/>
  <c r="E84" i="96"/>
  <c r="E87" i="96"/>
  <c r="E90" i="96"/>
  <c r="E93" i="96"/>
  <c r="E110" i="96" s="1"/>
  <c r="E96" i="96"/>
  <c r="E129" i="96" s="1"/>
  <c r="E99" i="96"/>
  <c r="E130" i="96" s="1"/>
  <c r="E102" i="96"/>
  <c r="E131" i="96" s="1"/>
  <c r="E73" i="96"/>
  <c r="E76" i="96"/>
  <c r="E79" i="96"/>
  <c r="E82" i="96"/>
  <c r="E85" i="96"/>
  <c r="E88" i="96"/>
  <c r="E91" i="96"/>
  <c r="E94" i="96"/>
  <c r="E97" i="96"/>
  <c r="E100" i="96"/>
  <c r="E103" i="96"/>
  <c r="E74" i="96"/>
  <c r="E77" i="96"/>
  <c r="E80" i="96"/>
  <c r="E83" i="96"/>
  <c r="E86" i="96"/>
  <c r="E89" i="96"/>
  <c r="E92" i="96"/>
  <c r="E95" i="96"/>
  <c r="E98" i="96"/>
  <c r="E101" i="96"/>
  <c r="E104" i="96"/>
  <c r="E122" i="96"/>
  <c r="E124" i="96"/>
  <c r="E125" i="96"/>
  <c r="E126" i="96"/>
  <c r="E127" i="96"/>
  <c r="E105" i="96"/>
  <c r="E132" i="96" s="1"/>
  <c r="D9" i="96"/>
  <c r="D10" i="96"/>
  <c r="D11" i="96"/>
  <c r="D12" i="96"/>
  <c r="D13" i="96"/>
  <c r="D16" i="96"/>
  <c r="D14" i="96"/>
  <c r="D21" i="96"/>
  <c r="D22" i="96"/>
  <c r="D23" i="96"/>
  <c r="D24" i="96"/>
  <c r="D25" i="96"/>
  <c r="D26" i="96"/>
  <c r="D27" i="96"/>
  <c r="D28" i="96"/>
  <c r="D29" i="96"/>
  <c r="D30" i="96"/>
  <c r="D31" i="96"/>
  <c r="D33" i="96"/>
  <c r="D34" i="96"/>
  <c r="D35" i="96"/>
  <c r="D36" i="96"/>
  <c r="D37" i="96"/>
  <c r="D38" i="96"/>
  <c r="D39" i="96"/>
  <c r="D40" i="96"/>
  <c r="D42" i="96"/>
  <c r="D43" i="96"/>
  <c r="D44" i="96"/>
  <c r="D45" i="96"/>
  <c r="D46" i="96"/>
  <c r="D47" i="96"/>
  <c r="D48" i="96"/>
  <c r="D49" i="96"/>
  <c r="D50" i="96"/>
  <c r="D51" i="96"/>
  <c r="D54" i="96"/>
  <c r="D55" i="96"/>
  <c r="D56" i="96"/>
  <c r="D57" i="96"/>
  <c r="D60" i="96"/>
  <c r="D17" i="96"/>
  <c r="D18" i="96"/>
  <c r="D19" i="96"/>
  <c r="D20" i="96"/>
  <c r="D61" i="96"/>
  <c r="E112" i="96"/>
  <c r="F63" i="96"/>
  <c r="F65" i="96"/>
  <c r="F69" i="96"/>
  <c r="E72" i="123"/>
  <c r="E121" i="123" s="1"/>
  <c r="E75" i="123"/>
  <c r="E122" i="123" s="1"/>
  <c r="E78" i="123"/>
  <c r="E123" i="123" s="1"/>
  <c r="E81" i="123"/>
  <c r="E124" i="123" s="1"/>
  <c r="E84" i="123"/>
  <c r="E125" i="123" s="1"/>
  <c r="E87" i="123"/>
  <c r="E90" i="123"/>
  <c r="E93" i="123"/>
  <c r="E96" i="123"/>
  <c r="E129" i="123" s="1"/>
  <c r="E99" i="123"/>
  <c r="E130" i="123" s="1"/>
  <c r="E102" i="123"/>
  <c r="E131" i="123" s="1"/>
  <c r="E73" i="123"/>
  <c r="E76" i="123"/>
  <c r="E79" i="123"/>
  <c r="E82" i="123"/>
  <c r="E85" i="123"/>
  <c r="E88" i="123"/>
  <c r="E91" i="123"/>
  <c r="E94" i="123"/>
  <c r="E97" i="123"/>
  <c r="E100" i="123"/>
  <c r="E103" i="123"/>
  <c r="E106" i="123"/>
  <c r="E74" i="123"/>
  <c r="E77" i="123"/>
  <c r="E80" i="123"/>
  <c r="E83" i="123"/>
  <c r="E86" i="123"/>
  <c r="E89" i="123"/>
  <c r="E92" i="123"/>
  <c r="E95" i="123"/>
  <c r="E98" i="123"/>
  <c r="E101" i="123"/>
  <c r="E104" i="123"/>
  <c r="E107" i="123"/>
  <c r="E110" i="123"/>
  <c r="E113" i="123"/>
  <c r="E126" i="123"/>
  <c r="E127" i="123"/>
  <c r="E128" i="123"/>
  <c r="E105" i="123"/>
  <c r="E132" i="123" s="1"/>
  <c r="E108" i="123"/>
  <c r="E111" i="123"/>
  <c r="D9" i="123"/>
  <c r="D10" i="123"/>
  <c r="D11" i="123"/>
  <c r="D12" i="123"/>
  <c r="D13" i="123"/>
  <c r="D16" i="123"/>
  <c r="D14" i="123"/>
  <c r="D21" i="123"/>
  <c r="D22" i="123"/>
  <c r="D23" i="123"/>
  <c r="D24" i="123"/>
  <c r="D25" i="123"/>
  <c r="D26" i="123"/>
  <c r="D27" i="123"/>
  <c r="D28" i="123"/>
  <c r="D29" i="123"/>
  <c r="D30" i="123"/>
  <c r="F30" i="123" s="1"/>
  <c r="D31" i="123"/>
  <c r="D33" i="123"/>
  <c r="D34" i="123"/>
  <c r="F34" i="123" s="1"/>
  <c r="D35" i="123"/>
  <c r="D36" i="123"/>
  <c r="D37" i="123"/>
  <c r="D38" i="123"/>
  <c r="D39" i="123"/>
  <c r="F39" i="123" s="1"/>
  <c r="D40" i="123"/>
  <c r="D42" i="123"/>
  <c r="D43" i="123"/>
  <c r="F43" i="123" s="1"/>
  <c r="D44" i="123"/>
  <c r="D45" i="123"/>
  <c r="D46" i="123"/>
  <c r="D47" i="123"/>
  <c r="D48" i="123"/>
  <c r="F48" i="123" s="1"/>
  <c r="D49" i="123"/>
  <c r="D50" i="123"/>
  <c r="D51" i="123"/>
  <c r="F51" i="123" s="1"/>
  <c r="D54" i="123"/>
  <c r="D55" i="123"/>
  <c r="D56" i="123"/>
  <c r="D57" i="123"/>
  <c r="D60" i="123"/>
  <c r="F60" i="123" s="1"/>
  <c r="D17" i="123"/>
  <c r="D18" i="123"/>
  <c r="D19" i="123"/>
  <c r="F19" i="123" s="1"/>
  <c r="D20" i="123"/>
  <c r="D61" i="123"/>
  <c r="E109" i="123"/>
  <c r="E112" i="123"/>
  <c r="F63" i="123"/>
  <c r="F65" i="123"/>
  <c r="F67" i="123"/>
  <c r="F69" i="123"/>
  <c r="F70" i="123"/>
  <c r="E72" i="117"/>
  <c r="E75" i="117"/>
  <c r="E78" i="117"/>
  <c r="E123" i="117" s="1"/>
  <c r="E81" i="117"/>
  <c r="E124" i="117" s="1"/>
  <c r="E84" i="117"/>
  <c r="E125" i="117" s="1"/>
  <c r="E87" i="117"/>
  <c r="E90" i="117"/>
  <c r="E127" i="117" s="1"/>
  <c r="E93" i="117"/>
  <c r="E106" i="117" s="1"/>
  <c r="E96" i="117"/>
  <c r="E129" i="117" s="1"/>
  <c r="E99" i="117"/>
  <c r="E130" i="117" s="1"/>
  <c r="E102" i="117"/>
  <c r="E131" i="117" s="1"/>
  <c r="E73" i="117"/>
  <c r="E76" i="117"/>
  <c r="E79" i="117"/>
  <c r="E82" i="117"/>
  <c r="E85" i="117"/>
  <c r="E88" i="117"/>
  <c r="E91" i="117"/>
  <c r="E94" i="117"/>
  <c r="E97" i="117"/>
  <c r="E100" i="117"/>
  <c r="E103" i="117"/>
  <c r="E74" i="117"/>
  <c r="E77" i="117"/>
  <c r="E80" i="117"/>
  <c r="E83" i="117"/>
  <c r="E86" i="117"/>
  <c r="E89" i="117"/>
  <c r="E92" i="117"/>
  <c r="E95" i="117"/>
  <c r="E98" i="117"/>
  <c r="E101" i="117"/>
  <c r="E104" i="117"/>
  <c r="E126" i="117"/>
  <c r="D9" i="117"/>
  <c r="F9" i="117" s="1"/>
  <c r="D10" i="117"/>
  <c r="D11" i="117"/>
  <c r="D12" i="117"/>
  <c r="D13" i="117"/>
  <c r="D16" i="117"/>
  <c r="D14" i="117"/>
  <c r="D21" i="117"/>
  <c r="D22" i="117"/>
  <c r="D23" i="117"/>
  <c r="D24" i="117"/>
  <c r="D25" i="117"/>
  <c r="D26" i="117"/>
  <c r="D27" i="117"/>
  <c r="D28" i="117"/>
  <c r="D29" i="117"/>
  <c r="D30" i="117"/>
  <c r="D31" i="117"/>
  <c r="D33" i="117"/>
  <c r="F33" i="117" s="1"/>
  <c r="D34" i="117"/>
  <c r="D35" i="117"/>
  <c r="D36" i="117"/>
  <c r="D37" i="117"/>
  <c r="D38" i="117"/>
  <c r="D39" i="117"/>
  <c r="D40" i="117"/>
  <c r="F40" i="117" s="1"/>
  <c r="D42" i="117"/>
  <c r="D43" i="117"/>
  <c r="D44" i="117"/>
  <c r="D45" i="117"/>
  <c r="D46" i="117"/>
  <c r="D47" i="117"/>
  <c r="D48" i="117"/>
  <c r="D49" i="117"/>
  <c r="F49" i="117" s="1"/>
  <c r="D50" i="117"/>
  <c r="D51" i="117"/>
  <c r="D54" i="117"/>
  <c r="D55" i="117"/>
  <c r="D56" i="117"/>
  <c r="D57" i="117"/>
  <c r="D60" i="117"/>
  <c r="F60" i="117" s="1"/>
  <c r="D17" i="117"/>
  <c r="D18" i="117"/>
  <c r="D19" i="117"/>
  <c r="D20" i="117"/>
  <c r="D61" i="117"/>
  <c r="F63" i="117"/>
  <c r="F65" i="117"/>
  <c r="F67" i="117"/>
  <c r="F69" i="117"/>
  <c r="E72" i="97"/>
  <c r="E75" i="97"/>
  <c r="E78" i="97"/>
  <c r="E81" i="97"/>
  <c r="E84" i="97"/>
  <c r="E87" i="97"/>
  <c r="E126" i="97" s="1"/>
  <c r="E90" i="97"/>
  <c r="E93" i="97"/>
  <c r="E107" i="97" s="1"/>
  <c r="E96" i="97"/>
  <c r="E129" i="97" s="1"/>
  <c r="E99" i="97"/>
  <c r="E130" i="97" s="1"/>
  <c r="E102" i="97"/>
  <c r="E131" i="97" s="1"/>
  <c r="E73" i="97"/>
  <c r="E76" i="97"/>
  <c r="E79" i="97"/>
  <c r="E82" i="97"/>
  <c r="E85" i="97"/>
  <c r="E88" i="97"/>
  <c r="E91" i="97"/>
  <c r="E94" i="97"/>
  <c r="E97" i="97"/>
  <c r="E100" i="97"/>
  <c r="E103" i="97"/>
  <c r="E74" i="97"/>
  <c r="E77" i="97"/>
  <c r="E80" i="97"/>
  <c r="E83" i="97"/>
  <c r="E86" i="97"/>
  <c r="E89" i="97"/>
  <c r="E92" i="97"/>
  <c r="E95" i="97"/>
  <c r="E98" i="97"/>
  <c r="E101" i="97"/>
  <c r="E104" i="97"/>
  <c r="E122" i="97"/>
  <c r="E123" i="97"/>
  <c r="E124" i="97"/>
  <c r="E125" i="97"/>
  <c r="E127" i="97"/>
  <c r="D9" i="97"/>
  <c r="D10" i="97"/>
  <c r="D11" i="97"/>
  <c r="D12" i="97"/>
  <c r="F12" i="97" s="1"/>
  <c r="D13" i="97"/>
  <c r="D16" i="97"/>
  <c r="F16" i="97" s="1"/>
  <c r="D14" i="97"/>
  <c r="D21" i="97"/>
  <c r="D22" i="97"/>
  <c r="D23" i="97"/>
  <c r="D24" i="97"/>
  <c r="D25" i="97"/>
  <c r="D26" i="97"/>
  <c r="D27" i="97"/>
  <c r="F27" i="97" s="1"/>
  <c r="D28" i="97"/>
  <c r="D29" i="97"/>
  <c r="D30" i="97"/>
  <c r="D31" i="97"/>
  <c r="D33" i="97"/>
  <c r="D34" i="97"/>
  <c r="D35" i="97"/>
  <c r="D36" i="97"/>
  <c r="D37" i="97"/>
  <c r="D38" i="97"/>
  <c r="D39" i="97"/>
  <c r="D40" i="97"/>
  <c r="D42" i="97"/>
  <c r="D43" i="97"/>
  <c r="F43" i="97" s="1"/>
  <c r="D44" i="97"/>
  <c r="D45" i="97"/>
  <c r="D46" i="97"/>
  <c r="D47" i="97"/>
  <c r="D48" i="97"/>
  <c r="D49" i="97"/>
  <c r="D50" i="97"/>
  <c r="D51" i="97"/>
  <c r="F51" i="97" s="1"/>
  <c r="D54" i="97"/>
  <c r="D55" i="97"/>
  <c r="D56" i="97"/>
  <c r="D57" i="97"/>
  <c r="D60" i="97"/>
  <c r="D17" i="97"/>
  <c r="D18" i="97"/>
  <c r="D19" i="97"/>
  <c r="D20" i="97"/>
  <c r="D61" i="97"/>
  <c r="F8" i="97"/>
  <c r="F63" i="97"/>
  <c r="F67" i="97"/>
  <c r="F69" i="97"/>
  <c r="E72" i="98"/>
  <c r="E75" i="98"/>
  <c r="E78" i="98"/>
  <c r="E81" i="98"/>
  <c r="E124" i="98" s="1"/>
  <c r="E84" i="98"/>
  <c r="E125" i="98" s="1"/>
  <c r="E87" i="98"/>
  <c r="E126" i="98" s="1"/>
  <c r="E90" i="98"/>
  <c r="E127" i="98" s="1"/>
  <c r="E93" i="98"/>
  <c r="E113" i="98" s="1"/>
  <c r="E96" i="98"/>
  <c r="E129" i="98" s="1"/>
  <c r="E99" i="98"/>
  <c r="E130" i="98" s="1"/>
  <c r="E102" i="98"/>
  <c r="E73" i="98"/>
  <c r="E76" i="98"/>
  <c r="E79" i="98"/>
  <c r="E82" i="98"/>
  <c r="E85" i="98"/>
  <c r="E88" i="98"/>
  <c r="E91" i="98"/>
  <c r="E94" i="98"/>
  <c r="E97" i="98"/>
  <c r="E100" i="98"/>
  <c r="E103" i="98"/>
  <c r="E74" i="98"/>
  <c r="E77" i="98"/>
  <c r="E80" i="98"/>
  <c r="E83" i="98"/>
  <c r="E86" i="98"/>
  <c r="E89" i="98"/>
  <c r="E92" i="98"/>
  <c r="E95" i="98"/>
  <c r="E98" i="98"/>
  <c r="E101" i="98"/>
  <c r="E104" i="98"/>
  <c r="E122" i="98"/>
  <c r="E123" i="98"/>
  <c r="E131" i="98"/>
  <c r="D9" i="98"/>
  <c r="D10" i="98"/>
  <c r="D11" i="98"/>
  <c r="D12" i="98"/>
  <c r="D13" i="98"/>
  <c r="D16" i="98"/>
  <c r="D14" i="98"/>
  <c r="D21" i="98"/>
  <c r="D22" i="98"/>
  <c r="D23" i="98"/>
  <c r="D24" i="98"/>
  <c r="D25" i="98"/>
  <c r="D26" i="98"/>
  <c r="D27" i="98"/>
  <c r="D28" i="98"/>
  <c r="D29" i="98"/>
  <c r="D30" i="98"/>
  <c r="D31" i="98"/>
  <c r="D33" i="98"/>
  <c r="D34" i="98"/>
  <c r="D35" i="98"/>
  <c r="D36" i="98"/>
  <c r="F36" i="98" s="1"/>
  <c r="D37" i="98"/>
  <c r="F37" i="98" s="1"/>
  <c r="D38" i="98"/>
  <c r="D39" i="98"/>
  <c r="D40" i="98"/>
  <c r="D42" i="98"/>
  <c r="D43" i="98"/>
  <c r="D44" i="98"/>
  <c r="D45" i="98"/>
  <c r="D46" i="98"/>
  <c r="F46" i="98" s="1"/>
  <c r="D47" i="98"/>
  <c r="D48" i="98"/>
  <c r="D49" i="98"/>
  <c r="D50" i="98"/>
  <c r="D51" i="98"/>
  <c r="D54" i="98"/>
  <c r="D55" i="98"/>
  <c r="F55" i="98" s="1"/>
  <c r="D56" i="98"/>
  <c r="F56" i="98" s="1"/>
  <c r="D57" i="98"/>
  <c r="D60" i="98"/>
  <c r="D17" i="98"/>
  <c r="D18" i="98"/>
  <c r="D19" i="98"/>
  <c r="D20" i="98"/>
  <c r="F20" i="98" s="1"/>
  <c r="D61" i="98"/>
  <c r="F63" i="98"/>
  <c r="F65" i="98"/>
  <c r="F67" i="98"/>
  <c r="F69" i="98"/>
  <c r="E72" i="113"/>
  <c r="E75" i="113"/>
  <c r="E78" i="113"/>
  <c r="E81" i="113"/>
  <c r="E124" i="113" s="1"/>
  <c r="E84" i="113"/>
  <c r="E87" i="113"/>
  <c r="E126" i="113" s="1"/>
  <c r="E90" i="113"/>
  <c r="E127" i="113" s="1"/>
  <c r="E93" i="113"/>
  <c r="E107" i="113" s="1"/>
  <c r="E96" i="113"/>
  <c r="E129" i="113" s="1"/>
  <c r="E99" i="113"/>
  <c r="E130" i="113" s="1"/>
  <c r="E102" i="113"/>
  <c r="E131" i="113" s="1"/>
  <c r="E73" i="113"/>
  <c r="E76" i="113"/>
  <c r="E79" i="113"/>
  <c r="E82" i="113"/>
  <c r="E85" i="113"/>
  <c r="E88" i="113"/>
  <c r="E91" i="113"/>
  <c r="E94" i="113"/>
  <c r="E97" i="113"/>
  <c r="E100" i="113"/>
  <c r="E103" i="113"/>
  <c r="E74" i="113"/>
  <c r="E77" i="113"/>
  <c r="E80" i="113"/>
  <c r="E83" i="113"/>
  <c r="E86" i="113"/>
  <c r="E89" i="113"/>
  <c r="E92" i="113"/>
  <c r="E95" i="113"/>
  <c r="E98" i="113"/>
  <c r="E101" i="113"/>
  <c r="E104" i="113"/>
  <c r="E123" i="113"/>
  <c r="E125" i="113"/>
  <c r="D9" i="113"/>
  <c r="F9" i="113" s="1"/>
  <c r="D10" i="113"/>
  <c r="F10" i="113" s="1"/>
  <c r="D11" i="113"/>
  <c r="D12" i="113"/>
  <c r="D13" i="113"/>
  <c r="D14" i="113"/>
  <c r="D21" i="113"/>
  <c r="D22" i="113"/>
  <c r="F22" i="113" s="1"/>
  <c r="D23" i="113"/>
  <c r="D24" i="113"/>
  <c r="D25" i="113"/>
  <c r="D26" i="113"/>
  <c r="D27" i="113"/>
  <c r="D28" i="113"/>
  <c r="D29" i="113"/>
  <c r="D30" i="113"/>
  <c r="D31" i="113"/>
  <c r="D33" i="113"/>
  <c r="D34" i="113"/>
  <c r="D35" i="113"/>
  <c r="D36" i="113"/>
  <c r="D37" i="113"/>
  <c r="D38" i="113"/>
  <c r="D39" i="113"/>
  <c r="F39" i="113" s="1"/>
  <c r="D40" i="113"/>
  <c r="D42" i="113"/>
  <c r="D43" i="113"/>
  <c r="F43" i="113" s="1"/>
  <c r="D44" i="113"/>
  <c r="D45" i="113"/>
  <c r="D46" i="113"/>
  <c r="D47" i="113"/>
  <c r="F47" i="113" s="1"/>
  <c r="D48" i="113"/>
  <c r="D49" i="113"/>
  <c r="D50" i="113"/>
  <c r="D51" i="113"/>
  <c r="D54" i="113"/>
  <c r="D55" i="113"/>
  <c r="D56" i="113"/>
  <c r="D57" i="113"/>
  <c r="F57" i="113" s="1"/>
  <c r="D60" i="113"/>
  <c r="D17" i="113"/>
  <c r="D18" i="113"/>
  <c r="D19" i="113"/>
  <c r="D20" i="113"/>
  <c r="D61" i="113"/>
  <c r="F63" i="113"/>
  <c r="F65" i="113"/>
  <c r="F67" i="113"/>
  <c r="F69" i="113"/>
  <c r="E72" i="118"/>
  <c r="E75" i="118"/>
  <c r="E122" i="118" s="1"/>
  <c r="E78" i="118"/>
  <c r="E123" i="118" s="1"/>
  <c r="E81" i="118"/>
  <c r="E84" i="118"/>
  <c r="E87" i="118"/>
  <c r="E126" i="118" s="1"/>
  <c r="E90" i="118"/>
  <c r="E127" i="118" s="1"/>
  <c r="E93" i="118"/>
  <c r="E113" i="118" s="1"/>
  <c r="E96" i="118"/>
  <c r="E129" i="118" s="1"/>
  <c r="E99" i="118"/>
  <c r="E130" i="118" s="1"/>
  <c r="E102" i="118"/>
  <c r="E131" i="118" s="1"/>
  <c r="E73" i="118"/>
  <c r="E76" i="118"/>
  <c r="E79" i="118"/>
  <c r="E82" i="118"/>
  <c r="E85" i="118"/>
  <c r="E88" i="118"/>
  <c r="E91" i="118"/>
  <c r="E94" i="118"/>
  <c r="E97" i="118"/>
  <c r="E100" i="118"/>
  <c r="E103" i="118"/>
  <c r="E74" i="118"/>
  <c r="E77" i="118"/>
  <c r="E80" i="118"/>
  <c r="E83" i="118"/>
  <c r="E86" i="118"/>
  <c r="E89" i="118"/>
  <c r="E92" i="118"/>
  <c r="E95" i="118"/>
  <c r="E98" i="118"/>
  <c r="E101" i="118"/>
  <c r="E104" i="118"/>
  <c r="E124" i="118"/>
  <c r="E125" i="118"/>
  <c r="E128" i="118"/>
  <c r="D9" i="118"/>
  <c r="D10" i="118"/>
  <c r="D11" i="118"/>
  <c r="D12" i="118"/>
  <c r="D13" i="118"/>
  <c r="D16" i="118"/>
  <c r="D14" i="118"/>
  <c r="D21" i="118"/>
  <c r="F21" i="118" s="1"/>
  <c r="D22" i="118"/>
  <c r="F22" i="118" s="1"/>
  <c r="D23" i="118"/>
  <c r="F23" i="118" s="1"/>
  <c r="D24" i="118"/>
  <c r="F24" i="118" s="1"/>
  <c r="D25" i="118"/>
  <c r="D26" i="118"/>
  <c r="D27" i="118"/>
  <c r="D28" i="118"/>
  <c r="D29" i="118"/>
  <c r="F29" i="118" s="1"/>
  <c r="D30" i="118"/>
  <c r="F30" i="118" s="1"/>
  <c r="D31" i="118"/>
  <c r="F31" i="118" s="1"/>
  <c r="D33" i="118"/>
  <c r="D34" i="118"/>
  <c r="D35" i="118"/>
  <c r="D36" i="118"/>
  <c r="D37" i="118"/>
  <c r="D38" i="118"/>
  <c r="F38" i="118" s="1"/>
  <c r="D39" i="118"/>
  <c r="F39" i="118" s="1"/>
  <c r="D40" i="118"/>
  <c r="F40" i="118" s="1"/>
  <c r="D42" i="118"/>
  <c r="F42" i="118" s="1"/>
  <c r="D43" i="118"/>
  <c r="D44" i="118"/>
  <c r="D45" i="118"/>
  <c r="D46" i="118"/>
  <c r="D47" i="118"/>
  <c r="F47" i="118" s="1"/>
  <c r="D48" i="118"/>
  <c r="D49" i="118"/>
  <c r="F49" i="118" s="1"/>
  <c r="D50" i="118"/>
  <c r="F50" i="118" s="1"/>
  <c r="D51" i="118"/>
  <c r="D54" i="118"/>
  <c r="D55" i="118"/>
  <c r="D56" i="118"/>
  <c r="D57" i="118"/>
  <c r="F57" i="118" s="1"/>
  <c r="D60" i="118"/>
  <c r="F60" i="118" s="1"/>
  <c r="D17" i="118"/>
  <c r="D18" i="118"/>
  <c r="F18" i="118" s="1"/>
  <c r="D19" i="118"/>
  <c r="F19" i="118" s="1"/>
  <c r="D20" i="118"/>
  <c r="D61" i="118"/>
  <c r="D8" i="118"/>
  <c r="E8" i="118"/>
  <c r="E112" i="118"/>
  <c r="D63" i="118"/>
  <c r="E63" i="118"/>
  <c r="D64" i="118"/>
  <c r="E64" i="118"/>
  <c r="D65" i="118"/>
  <c r="E65" i="118"/>
  <c r="D66" i="118"/>
  <c r="F66" i="118" s="1"/>
  <c r="E66" i="118"/>
  <c r="D67" i="118"/>
  <c r="E67" i="118"/>
  <c r="D68" i="118"/>
  <c r="E68" i="118"/>
  <c r="D69" i="118"/>
  <c r="E69" i="118"/>
  <c r="D70" i="118"/>
  <c r="F70" i="118" s="1"/>
  <c r="E70" i="118"/>
  <c r="E72" i="119"/>
  <c r="E75" i="119"/>
  <c r="E78" i="119"/>
  <c r="E81" i="119"/>
  <c r="E84" i="119"/>
  <c r="E125" i="119" s="1"/>
  <c r="E87" i="119"/>
  <c r="E90" i="119"/>
  <c r="E127" i="119" s="1"/>
  <c r="E93" i="119"/>
  <c r="E113" i="119" s="1"/>
  <c r="E96" i="119"/>
  <c r="E129" i="119" s="1"/>
  <c r="E99" i="119"/>
  <c r="E130" i="119" s="1"/>
  <c r="E102" i="119"/>
  <c r="E73" i="119"/>
  <c r="E76" i="119"/>
  <c r="E79" i="119"/>
  <c r="E82" i="119"/>
  <c r="E85" i="119"/>
  <c r="E88" i="119"/>
  <c r="E91" i="119"/>
  <c r="E94" i="119"/>
  <c r="E97" i="119"/>
  <c r="E100" i="119"/>
  <c r="E103" i="119"/>
  <c r="E74" i="119"/>
  <c r="E77" i="119"/>
  <c r="E80" i="119"/>
  <c r="E83" i="119"/>
  <c r="E86" i="119"/>
  <c r="E89" i="119"/>
  <c r="E92" i="119"/>
  <c r="E95" i="119"/>
  <c r="E98" i="119"/>
  <c r="E101" i="119"/>
  <c r="E104" i="119"/>
  <c r="E122" i="119"/>
  <c r="E123" i="119"/>
  <c r="E124" i="119"/>
  <c r="E126" i="119"/>
  <c r="E131" i="119"/>
  <c r="E108" i="119"/>
  <c r="D9" i="119"/>
  <c r="D10" i="119"/>
  <c r="D11" i="119"/>
  <c r="D12" i="119"/>
  <c r="D13" i="119"/>
  <c r="D16" i="119"/>
  <c r="D14" i="119"/>
  <c r="D21" i="119"/>
  <c r="D22" i="119"/>
  <c r="D23" i="119"/>
  <c r="D24" i="119"/>
  <c r="D25" i="119"/>
  <c r="D26" i="119"/>
  <c r="D27" i="119"/>
  <c r="D28" i="119"/>
  <c r="D29" i="119"/>
  <c r="D30" i="119"/>
  <c r="D31" i="119"/>
  <c r="F31" i="119" s="1"/>
  <c r="D33" i="119"/>
  <c r="F33" i="119" s="1"/>
  <c r="D34" i="119"/>
  <c r="F34" i="119" s="1"/>
  <c r="D35" i="119"/>
  <c r="D36" i="119"/>
  <c r="D37" i="119"/>
  <c r="D38" i="119"/>
  <c r="D39" i="119"/>
  <c r="D40" i="119"/>
  <c r="F40" i="119" s="1"/>
  <c r="D43" i="119"/>
  <c r="F43" i="119" s="1"/>
  <c r="D44" i="119"/>
  <c r="D45" i="119"/>
  <c r="D46" i="119"/>
  <c r="F46" i="119" s="1"/>
  <c r="D47" i="119"/>
  <c r="D48" i="119"/>
  <c r="D49" i="119"/>
  <c r="D50" i="119"/>
  <c r="D51" i="119"/>
  <c r="D54" i="119"/>
  <c r="D55" i="119"/>
  <c r="D56" i="119"/>
  <c r="F56" i="119" s="1"/>
  <c r="D57" i="119"/>
  <c r="D60" i="119"/>
  <c r="D17" i="119"/>
  <c r="D18" i="119"/>
  <c r="D19" i="119"/>
  <c r="D20" i="119"/>
  <c r="D61" i="119"/>
  <c r="D8" i="119"/>
  <c r="E8" i="119"/>
  <c r="E112" i="119"/>
  <c r="D63" i="119"/>
  <c r="E63" i="119"/>
  <c r="D64" i="119"/>
  <c r="E64" i="119"/>
  <c r="D65" i="119"/>
  <c r="E65" i="119"/>
  <c r="D66" i="119"/>
  <c r="E66" i="119"/>
  <c r="D67" i="119"/>
  <c r="E67" i="119"/>
  <c r="D68" i="119"/>
  <c r="E68" i="119"/>
  <c r="D69" i="119"/>
  <c r="E69" i="119"/>
  <c r="D70" i="119"/>
  <c r="E70" i="119"/>
  <c r="E93" i="120"/>
  <c r="E108" i="120" s="1"/>
  <c r="E9" i="120"/>
  <c r="HP25" i="94" s="1"/>
  <c r="E10" i="120"/>
  <c r="E11" i="120"/>
  <c r="E12" i="120"/>
  <c r="E13" i="120"/>
  <c r="E16" i="120"/>
  <c r="G16" i="120" s="1"/>
  <c r="E14" i="120"/>
  <c r="G14" i="120" s="1"/>
  <c r="E21" i="120"/>
  <c r="G21" i="120" s="1"/>
  <c r="E22" i="120"/>
  <c r="G22" i="120" s="1"/>
  <c r="E23" i="120"/>
  <c r="G23" i="120" s="1"/>
  <c r="E24" i="120"/>
  <c r="G24" i="120" s="1"/>
  <c r="E25" i="120"/>
  <c r="G25" i="120" s="1"/>
  <c r="E26" i="120"/>
  <c r="G26" i="120" s="1"/>
  <c r="E27" i="120"/>
  <c r="G27" i="120" s="1"/>
  <c r="E28" i="120"/>
  <c r="G28" i="120" s="1"/>
  <c r="E29" i="120"/>
  <c r="G29" i="120" s="1"/>
  <c r="E30" i="120"/>
  <c r="G30" i="120" s="1"/>
  <c r="E31" i="120"/>
  <c r="G31" i="120" s="1"/>
  <c r="E33" i="120"/>
  <c r="G33" i="120" s="1"/>
  <c r="E34" i="120"/>
  <c r="G34" i="120" s="1"/>
  <c r="E35" i="120"/>
  <c r="G35" i="120" s="1"/>
  <c r="E36" i="120"/>
  <c r="G36" i="120" s="1"/>
  <c r="E37" i="120"/>
  <c r="G37" i="120" s="1"/>
  <c r="E38" i="120"/>
  <c r="G38" i="120" s="1"/>
  <c r="E39" i="120"/>
  <c r="G39" i="120" s="1"/>
  <c r="E40" i="120"/>
  <c r="G40" i="120" s="1"/>
  <c r="E42" i="120"/>
  <c r="G42" i="120" s="1"/>
  <c r="E43" i="120"/>
  <c r="G43" i="120" s="1"/>
  <c r="E44" i="120"/>
  <c r="G44" i="120" s="1"/>
  <c r="E45" i="120"/>
  <c r="G45" i="120" s="1"/>
  <c r="E46" i="120"/>
  <c r="G46" i="120" s="1"/>
  <c r="E47" i="120"/>
  <c r="G47" i="120" s="1"/>
  <c r="E48" i="120"/>
  <c r="G48" i="120" s="1"/>
  <c r="E49" i="120"/>
  <c r="G49" i="120" s="1"/>
  <c r="E50" i="120"/>
  <c r="G50" i="120" s="1"/>
  <c r="E51" i="120"/>
  <c r="G51" i="120" s="1"/>
  <c r="E54" i="120"/>
  <c r="G54" i="120" s="1"/>
  <c r="E55" i="120"/>
  <c r="G55" i="120" s="1"/>
  <c r="E56" i="120"/>
  <c r="G56" i="120" s="1"/>
  <c r="E57" i="120"/>
  <c r="G57" i="120" s="1"/>
  <c r="E17" i="120"/>
  <c r="G17" i="120" s="1"/>
  <c r="E18" i="120"/>
  <c r="G18" i="120" s="1"/>
  <c r="E19" i="120"/>
  <c r="G19" i="120" s="1"/>
  <c r="E20" i="120"/>
  <c r="G20" i="120" s="1"/>
  <c r="E75" i="120"/>
  <c r="E78" i="120"/>
  <c r="E123" i="120" s="1"/>
  <c r="E81" i="120"/>
  <c r="E124" i="120" s="1"/>
  <c r="E84" i="120"/>
  <c r="E125" i="120" s="1"/>
  <c r="E87" i="120"/>
  <c r="E126" i="120" s="1"/>
  <c r="E90" i="120"/>
  <c r="E96" i="120"/>
  <c r="E99" i="120"/>
  <c r="E130" i="120" s="1"/>
  <c r="E102" i="120"/>
  <c r="E131" i="120" s="1"/>
  <c r="E111" i="120"/>
  <c r="E134" i="120" s="1"/>
  <c r="I134" i="120" s="1"/>
  <c r="E73" i="120"/>
  <c r="E76" i="120"/>
  <c r="E79" i="120"/>
  <c r="E82" i="120"/>
  <c r="E85" i="120"/>
  <c r="E88" i="120"/>
  <c r="E91" i="120"/>
  <c r="E94" i="120"/>
  <c r="E97" i="120"/>
  <c r="E100" i="120"/>
  <c r="E103" i="120"/>
  <c r="E112" i="120"/>
  <c r="E74" i="120"/>
  <c r="E77" i="120"/>
  <c r="E80" i="120"/>
  <c r="E83" i="120"/>
  <c r="E86" i="120"/>
  <c r="E89" i="120"/>
  <c r="E92" i="120"/>
  <c r="E95" i="120"/>
  <c r="E98" i="120"/>
  <c r="E101" i="120"/>
  <c r="E104" i="120"/>
  <c r="D115" i="86"/>
  <c r="F115" i="86" s="1"/>
  <c r="D4" i="86"/>
  <c r="E4" i="86"/>
  <c r="F115" i="99"/>
  <c r="E4" i="99"/>
  <c r="F4" i="99" s="1"/>
  <c r="F5" i="99" s="1"/>
  <c r="F115" i="113"/>
  <c r="E4" i="113"/>
  <c r="F4" i="113" s="1"/>
  <c r="F5" i="113" s="1"/>
  <c r="F115" i="118"/>
  <c r="D4" i="118"/>
  <c r="E4" i="118"/>
  <c r="F115" i="119"/>
  <c r="D4" i="119"/>
  <c r="E4" i="119"/>
  <c r="JK24" i="94" s="1"/>
  <c r="D9" i="120"/>
  <c r="D10" i="120"/>
  <c r="D11" i="120"/>
  <c r="D12" i="120"/>
  <c r="F12" i="120" s="1"/>
  <c r="D13" i="120"/>
  <c r="D16" i="120"/>
  <c r="D14" i="120"/>
  <c r="D21" i="120"/>
  <c r="D22" i="120"/>
  <c r="D23" i="120"/>
  <c r="D24" i="120"/>
  <c r="F24" i="120" s="1"/>
  <c r="D25" i="120"/>
  <c r="D26" i="120"/>
  <c r="D27" i="120"/>
  <c r="D28" i="120"/>
  <c r="D29" i="120"/>
  <c r="D30" i="120"/>
  <c r="D31" i="120"/>
  <c r="D33" i="120"/>
  <c r="F33" i="120" s="1"/>
  <c r="D34" i="120"/>
  <c r="D35" i="120"/>
  <c r="D36" i="120"/>
  <c r="D37" i="120"/>
  <c r="D38" i="120"/>
  <c r="D39" i="120"/>
  <c r="D40" i="120"/>
  <c r="D42" i="120"/>
  <c r="D43" i="120"/>
  <c r="D44" i="120"/>
  <c r="D45" i="120"/>
  <c r="D46" i="120"/>
  <c r="D47" i="120"/>
  <c r="D48" i="120"/>
  <c r="D49" i="120"/>
  <c r="D50" i="120"/>
  <c r="D51" i="120"/>
  <c r="D54" i="120"/>
  <c r="D55" i="120"/>
  <c r="D56" i="120"/>
  <c r="D57" i="120"/>
  <c r="D17" i="120"/>
  <c r="D18" i="120"/>
  <c r="D19" i="120"/>
  <c r="D20" i="120"/>
  <c r="D115" i="120"/>
  <c r="F115" i="120" s="1"/>
  <c r="D64" i="120"/>
  <c r="E64" i="120"/>
  <c r="D65" i="120"/>
  <c r="E65" i="120"/>
  <c r="D66" i="120"/>
  <c r="E66" i="120"/>
  <c r="D67" i="120"/>
  <c r="E67" i="120"/>
  <c r="D68" i="120"/>
  <c r="E68" i="120"/>
  <c r="D69" i="120"/>
  <c r="E69" i="120"/>
  <c r="D70" i="120"/>
  <c r="E70" i="120"/>
  <c r="F62" i="120"/>
  <c r="E72" i="120"/>
  <c r="E127" i="120"/>
  <c r="E129" i="120"/>
  <c r="D4" i="120"/>
  <c r="E4" i="120"/>
  <c r="JL25" i="94" s="1"/>
  <c r="F115" i="96"/>
  <c r="E4" i="96"/>
  <c r="JG26" i="94" s="1"/>
  <c r="F115" i="116"/>
  <c r="D4" i="116"/>
  <c r="E4" i="116"/>
  <c r="D115" i="95"/>
  <c r="F115" i="95" s="1"/>
  <c r="D4" i="95"/>
  <c r="E4" i="95"/>
  <c r="F115" i="123"/>
  <c r="E4" i="123"/>
  <c r="F115" i="91"/>
  <c r="D4" i="91"/>
  <c r="E4" i="91"/>
  <c r="AN19" i="130"/>
  <c r="AA19" i="130" s="1"/>
  <c r="AO16" i="130"/>
  <c r="AA16" i="130" s="1"/>
  <c r="AI19" i="130"/>
  <c r="Z19" i="130" s="1"/>
  <c r="AJ16" i="130"/>
  <c r="AE9" i="130"/>
  <c r="AD19" i="130"/>
  <c r="Y19" i="130" s="1"/>
  <c r="AC9" i="130"/>
  <c r="AB11" i="130"/>
  <c r="AF18" i="130"/>
  <c r="Y18" i="130" s="1"/>
  <c r="F115" i="98"/>
  <c r="F115" i="97"/>
  <c r="F115" i="117"/>
  <c r="F115" i="124"/>
  <c r="D109" i="86"/>
  <c r="F109" i="86" s="1"/>
  <c r="D112" i="86"/>
  <c r="F112" i="86" s="1"/>
  <c r="D108" i="86"/>
  <c r="F108" i="86" s="1"/>
  <c r="D111" i="86"/>
  <c r="F111" i="86" s="1"/>
  <c r="D110" i="86"/>
  <c r="D113" i="86"/>
  <c r="F113" i="86" s="1"/>
  <c r="D116" i="86"/>
  <c r="D117" i="86"/>
  <c r="D133" i="86"/>
  <c r="D134" i="86"/>
  <c r="D109" i="99"/>
  <c r="D112" i="99"/>
  <c r="D108" i="99"/>
  <c r="D111" i="99"/>
  <c r="D110" i="99"/>
  <c r="D113" i="99"/>
  <c r="D116" i="99"/>
  <c r="D117" i="99"/>
  <c r="D133" i="99"/>
  <c r="D134" i="99"/>
  <c r="BG5" i="94"/>
  <c r="D108" i="116"/>
  <c r="F108" i="116" s="1"/>
  <c r="D111" i="116"/>
  <c r="D109" i="116"/>
  <c r="D112" i="116"/>
  <c r="F112" i="116" s="1"/>
  <c r="D108" i="95"/>
  <c r="D111" i="95"/>
  <c r="F111" i="95" s="1"/>
  <c r="D109" i="95"/>
  <c r="D112" i="95"/>
  <c r="F112" i="95" s="1"/>
  <c r="D108" i="124"/>
  <c r="D111" i="124"/>
  <c r="F111" i="124" s="1"/>
  <c r="D109" i="124"/>
  <c r="D112" i="124"/>
  <c r="F112" i="124" s="1"/>
  <c r="D108" i="91"/>
  <c r="D111" i="91"/>
  <c r="D109" i="91"/>
  <c r="D112" i="91"/>
  <c r="D108" i="96"/>
  <c r="D111" i="96"/>
  <c r="D109" i="96"/>
  <c r="D112" i="96"/>
  <c r="D108" i="123"/>
  <c r="D111" i="123"/>
  <c r="D109" i="123"/>
  <c r="D112" i="123"/>
  <c r="F112" i="123" s="1"/>
  <c r="D108" i="117"/>
  <c r="D111" i="117"/>
  <c r="D109" i="117"/>
  <c r="D112" i="117"/>
  <c r="D108" i="97"/>
  <c r="D111" i="97"/>
  <c r="D109" i="97"/>
  <c r="D112" i="97"/>
  <c r="D108" i="98"/>
  <c r="D111" i="98"/>
  <c r="D109" i="98"/>
  <c r="D112" i="98"/>
  <c r="D108" i="113"/>
  <c r="D111" i="113"/>
  <c r="D109" i="113"/>
  <c r="D112" i="113"/>
  <c r="D108" i="118"/>
  <c r="D111" i="118"/>
  <c r="D109" i="118"/>
  <c r="D112" i="118"/>
  <c r="D108" i="119"/>
  <c r="D111" i="119"/>
  <c r="D109" i="119"/>
  <c r="D112" i="119"/>
  <c r="D110" i="116"/>
  <c r="D113" i="116"/>
  <c r="D133" i="116"/>
  <c r="D134" i="116"/>
  <c r="D110" i="95"/>
  <c r="D113" i="95"/>
  <c r="F113" i="95" s="1"/>
  <c r="D133" i="95"/>
  <c r="D134" i="95"/>
  <c r="D110" i="124"/>
  <c r="F110" i="124" s="1"/>
  <c r="D113" i="124"/>
  <c r="D133" i="124"/>
  <c r="D134" i="124"/>
  <c r="D110" i="91"/>
  <c r="D113" i="91"/>
  <c r="D133" i="91"/>
  <c r="D134" i="91"/>
  <c r="D110" i="96"/>
  <c r="D113" i="96"/>
  <c r="D133" i="96"/>
  <c r="D134" i="96"/>
  <c r="D110" i="123"/>
  <c r="D113" i="123"/>
  <c r="D133" i="123"/>
  <c r="D134" i="123"/>
  <c r="D110" i="117"/>
  <c r="D113" i="117"/>
  <c r="D133" i="117"/>
  <c r="D134" i="117"/>
  <c r="D110" i="97"/>
  <c r="D113" i="97"/>
  <c r="D133" i="97"/>
  <c r="D134" i="97"/>
  <c r="D110" i="98"/>
  <c r="D113" i="98"/>
  <c r="D133" i="98"/>
  <c r="D134" i="98"/>
  <c r="D110" i="113"/>
  <c r="D113" i="113"/>
  <c r="D133" i="113"/>
  <c r="D134" i="113"/>
  <c r="D110" i="118"/>
  <c r="D113" i="118"/>
  <c r="D133" i="118"/>
  <c r="D134" i="118"/>
  <c r="D110" i="119"/>
  <c r="D113" i="119"/>
  <c r="D133" i="119"/>
  <c r="D134" i="119"/>
  <c r="B24" i="130"/>
  <c r="B25" i="130"/>
  <c r="B26" i="130"/>
  <c r="B27" i="130"/>
  <c r="B5" i="130"/>
  <c r="D108" i="120"/>
  <c r="D109" i="120"/>
  <c r="D110" i="120"/>
  <c r="D111" i="120"/>
  <c r="D112" i="120"/>
  <c r="F112" i="120" s="1"/>
  <c r="D113" i="120"/>
  <c r="D116" i="120"/>
  <c r="D117" i="120"/>
  <c r="D116" i="113"/>
  <c r="D117" i="113"/>
  <c r="D116" i="123"/>
  <c r="D117" i="123"/>
  <c r="D116" i="119"/>
  <c r="D117" i="119"/>
  <c r="D116" i="91"/>
  <c r="D117" i="91"/>
  <c r="D116" i="116"/>
  <c r="D117" i="116"/>
  <c r="D116" i="96"/>
  <c r="D117" i="96"/>
  <c r="D116" i="97"/>
  <c r="D117" i="97"/>
  <c r="D4" i="97"/>
  <c r="E4" i="97"/>
  <c r="D116" i="118"/>
  <c r="D117" i="118"/>
  <c r="D116" i="98"/>
  <c r="D117" i="98"/>
  <c r="D116" i="117"/>
  <c r="D117" i="117"/>
  <c r="D116" i="95"/>
  <c r="D117" i="95"/>
  <c r="D116" i="124"/>
  <c r="D117" i="124"/>
  <c r="L40" i="128"/>
  <c r="L41" i="128"/>
  <c r="L60" i="128"/>
  <c r="L61" i="128"/>
  <c r="D4" i="98"/>
  <c r="E4" i="98"/>
  <c r="D4" i="117"/>
  <c r="E4" i="117"/>
  <c r="D4" i="124"/>
  <c r="E4" i="124"/>
  <c r="S60" i="128"/>
  <c r="S61" i="128"/>
  <c r="S40" i="128"/>
  <c r="S41" i="128"/>
  <c r="R40" i="128"/>
  <c r="R60" i="128" s="1"/>
  <c r="R41" i="128"/>
  <c r="R61" i="128" s="1"/>
  <c r="N58" i="128"/>
  <c r="O41" i="128"/>
  <c r="O61" i="128" s="1"/>
  <c r="O40" i="128"/>
  <c r="O60" i="128" s="1"/>
  <c r="N49" i="128"/>
  <c r="N50" i="128"/>
  <c r="N51" i="128"/>
  <c r="N52" i="128"/>
  <c r="N53" i="128"/>
  <c r="N54" i="128"/>
  <c r="N55" i="128"/>
  <c r="N59" i="128" s="1"/>
  <c r="N56" i="128"/>
  <c r="N57" i="128"/>
  <c r="N48" i="128"/>
  <c r="N29" i="128"/>
  <c r="N30" i="128"/>
  <c r="N31" i="128"/>
  <c r="N32" i="128"/>
  <c r="N33" i="128"/>
  <c r="N34" i="128"/>
  <c r="N35" i="128"/>
  <c r="N39" i="128" s="1"/>
  <c r="N36" i="128"/>
  <c r="N37" i="128"/>
  <c r="N38" i="128"/>
  <c r="N28" i="128"/>
  <c r="D133" i="120"/>
  <c r="D134" i="120"/>
  <c r="C4" i="86"/>
  <c r="N3" i="50"/>
  <c r="M3" i="50"/>
  <c r="L3" i="50"/>
  <c r="AA3" i="50"/>
  <c r="G3" i="50"/>
  <c r="U3" i="50"/>
  <c r="V3" i="50"/>
  <c r="J3" i="50"/>
  <c r="I3" i="50"/>
  <c r="Q3" i="50"/>
  <c r="S3" i="50"/>
  <c r="X3" i="50"/>
  <c r="H3" i="50"/>
  <c r="W3" i="50"/>
  <c r="P3" i="50"/>
  <c r="M3" i="127"/>
  <c r="R4" i="126"/>
  <c r="C126" i="120"/>
  <c r="B89" i="139"/>
  <c r="C125" i="120"/>
  <c r="B85" i="138"/>
  <c r="C126" i="119"/>
  <c r="C125" i="119"/>
  <c r="B124" i="140"/>
  <c r="C124" i="119"/>
  <c r="C126" i="118"/>
  <c r="C125" i="118"/>
  <c r="C126" i="113"/>
  <c r="C125" i="113"/>
  <c r="C126" i="98"/>
  <c r="C125" i="98"/>
  <c r="C126" i="97"/>
  <c r="C125" i="97"/>
  <c r="C126" i="117"/>
  <c r="C125" i="117"/>
  <c r="C126" i="123"/>
  <c r="C125" i="123"/>
  <c r="C126" i="96"/>
  <c r="C125" i="96"/>
  <c r="C126" i="99"/>
  <c r="C125" i="99"/>
  <c r="C126" i="91"/>
  <c r="C125" i="91"/>
  <c r="C126" i="124"/>
  <c r="C125" i="124"/>
  <c r="C126" i="95"/>
  <c r="B126" i="95"/>
  <c r="C125" i="95"/>
  <c r="B88" i="118"/>
  <c r="B86" i="97"/>
  <c r="B88" i="117"/>
  <c r="B85" i="117"/>
  <c r="B84" i="117"/>
  <c r="B86" i="123"/>
  <c r="B85" i="123"/>
  <c r="B84" i="123"/>
  <c r="B86" i="96"/>
  <c r="B85" i="96"/>
  <c r="B84" i="96"/>
  <c r="B86" i="99"/>
  <c r="B85" i="99"/>
  <c r="B84" i="99"/>
  <c r="B88" i="91"/>
  <c r="B86" i="91"/>
  <c r="B85" i="91"/>
  <c r="B84" i="91"/>
  <c r="B86" i="124"/>
  <c r="B85" i="124"/>
  <c r="B84" i="124"/>
  <c r="B86" i="95"/>
  <c r="B85" i="95"/>
  <c r="B84" i="95"/>
  <c r="B125" i="116"/>
  <c r="C125" i="116"/>
  <c r="C126" i="116"/>
  <c r="B86" i="116"/>
  <c r="B85" i="116"/>
  <c r="B84" i="116"/>
  <c r="B125" i="86"/>
  <c r="C125" i="86"/>
  <c r="C126" i="86"/>
  <c r="B85" i="86"/>
  <c r="B89" i="86"/>
  <c r="B86" i="86"/>
  <c r="B84" i="86"/>
  <c r="X13" i="128"/>
  <c r="X14" i="128"/>
  <c r="N11" i="128"/>
  <c r="N12" i="128"/>
  <c r="N7" i="128"/>
  <c r="N14" i="128"/>
  <c r="N15" i="128" s="1"/>
  <c r="N18" i="128"/>
  <c r="N8" i="128"/>
  <c r="N13" i="128"/>
  <c r="C134" i="120"/>
  <c r="B134" i="120"/>
  <c r="C133" i="120"/>
  <c r="B133" i="120"/>
  <c r="C132" i="120"/>
  <c r="B132" i="120"/>
  <c r="C131" i="120"/>
  <c r="X18" i="128"/>
  <c r="C130" i="120"/>
  <c r="X17" i="128"/>
  <c r="C129" i="120"/>
  <c r="B98" i="140"/>
  <c r="C128" i="120"/>
  <c r="C127" i="120"/>
  <c r="B127" i="120"/>
  <c r="C124" i="120"/>
  <c r="C123" i="120"/>
  <c r="B78" i="136"/>
  <c r="C122" i="120"/>
  <c r="X8" i="128"/>
  <c r="C121" i="120"/>
  <c r="C134" i="119"/>
  <c r="B134" i="119"/>
  <c r="C133" i="119"/>
  <c r="B133" i="119"/>
  <c r="C132" i="119"/>
  <c r="B132" i="119"/>
  <c r="C131" i="119"/>
  <c r="C130" i="119"/>
  <c r="C129" i="119"/>
  <c r="C128" i="119"/>
  <c r="C127" i="119"/>
  <c r="B127" i="119"/>
  <c r="C123" i="119"/>
  <c r="C122" i="119"/>
  <c r="C121" i="119"/>
  <c r="C134" i="118"/>
  <c r="B134" i="118"/>
  <c r="C133" i="118"/>
  <c r="B133" i="118"/>
  <c r="C132" i="118"/>
  <c r="B132" i="118"/>
  <c r="C131" i="118"/>
  <c r="C130" i="118"/>
  <c r="C129" i="118"/>
  <c r="C128" i="118"/>
  <c r="C127" i="118"/>
  <c r="B127" i="118"/>
  <c r="C124" i="118"/>
  <c r="B124" i="118"/>
  <c r="C123" i="118"/>
  <c r="B123" i="118"/>
  <c r="C122" i="118"/>
  <c r="C121" i="118"/>
  <c r="C134" i="113"/>
  <c r="B134" i="113"/>
  <c r="C133" i="113"/>
  <c r="B133" i="113"/>
  <c r="C132" i="113"/>
  <c r="B132" i="113"/>
  <c r="C131" i="113"/>
  <c r="C130" i="113"/>
  <c r="B130" i="113"/>
  <c r="C129" i="113"/>
  <c r="B129" i="113"/>
  <c r="C128" i="113"/>
  <c r="B128" i="113"/>
  <c r="C127" i="113"/>
  <c r="B127" i="113"/>
  <c r="C124" i="113"/>
  <c r="B124" i="113"/>
  <c r="C123" i="113"/>
  <c r="C122" i="113"/>
  <c r="C121" i="113"/>
  <c r="C134" i="98"/>
  <c r="B134" i="98"/>
  <c r="C133" i="98"/>
  <c r="B133" i="98"/>
  <c r="C132" i="98"/>
  <c r="B132" i="98"/>
  <c r="C131" i="98"/>
  <c r="C130" i="98"/>
  <c r="C129" i="98"/>
  <c r="B129" i="98"/>
  <c r="C128" i="98"/>
  <c r="B128" i="98"/>
  <c r="C127" i="98"/>
  <c r="B127" i="98"/>
  <c r="C124" i="98"/>
  <c r="B124" i="98"/>
  <c r="C123" i="98"/>
  <c r="B123" i="98"/>
  <c r="C122" i="98"/>
  <c r="C121" i="98"/>
  <c r="C134" i="97"/>
  <c r="B134" i="97"/>
  <c r="C133" i="97"/>
  <c r="B133" i="97"/>
  <c r="C132" i="97"/>
  <c r="B132" i="97"/>
  <c r="C131" i="97"/>
  <c r="C130" i="97"/>
  <c r="C129" i="97"/>
  <c r="B129" i="97"/>
  <c r="C128" i="97"/>
  <c r="B128" i="97"/>
  <c r="C127" i="97"/>
  <c r="B127" i="97"/>
  <c r="C124" i="97"/>
  <c r="B124" i="97"/>
  <c r="C123" i="97"/>
  <c r="B123" i="97"/>
  <c r="C122" i="97"/>
  <c r="C121" i="97"/>
  <c r="C134" i="117"/>
  <c r="B134" i="117"/>
  <c r="C133" i="117"/>
  <c r="B133" i="117"/>
  <c r="C132" i="117"/>
  <c r="B132" i="117"/>
  <c r="C131" i="117"/>
  <c r="C130" i="117"/>
  <c r="C129" i="117"/>
  <c r="B129" i="117"/>
  <c r="C128" i="117"/>
  <c r="B128" i="117"/>
  <c r="C127" i="117"/>
  <c r="B127" i="117"/>
  <c r="C124" i="117"/>
  <c r="B124" i="117"/>
  <c r="C123" i="117"/>
  <c r="B123" i="117"/>
  <c r="C122" i="117"/>
  <c r="C121" i="117"/>
  <c r="C134" i="123"/>
  <c r="B134" i="123"/>
  <c r="C133" i="123"/>
  <c r="B133" i="123"/>
  <c r="C132" i="123"/>
  <c r="B132" i="123"/>
  <c r="C131" i="123"/>
  <c r="C130" i="123"/>
  <c r="C129" i="123"/>
  <c r="B129" i="123"/>
  <c r="C128" i="123"/>
  <c r="B128" i="123"/>
  <c r="C127" i="123"/>
  <c r="B127" i="123"/>
  <c r="C124" i="123"/>
  <c r="B124" i="123"/>
  <c r="C123" i="123"/>
  <c r="B123" i="123"/>
  <c r="C122" i="123"/>
  <c r="C121" i="123"/>
  <c r="C134" i="96"/>
  <c r="B134" i="96"/>
  <c r="C133" i="96"/>
  <c r="B133" i="96"/>
  <c r="C132" i="96"/>
  <c r="B132" i="96"/>
  <c r="C131" i="96"/>
  <c r="C130" i="96"/>
  <c r="C129" i="96"/>
  <c r="B129" i="96"/>
  <c r="C128" i="96"/>
  <c r="B128" i="96"/>
  <c r="C127" i="96"/>
  <c r="B127" i="96"/>
  <c r="C124" i="96"/>
  <c r="B124" i="96"/>
  <c r="C123" i="96"/>
  <c r="B123" i="96"/>
  <c r="C122" i="96"/>
  <c r="C121" i="96"/>
  <c r="C134" i="99"/>
  <c r="B134" i="99"/>
  <c r="C133" i="99"/>
  <c r="B133" i="99"/>
  <c r="C132" i="99"/>
  <c r="B132" i="99"/>
  <c r="C131" i="99"/>
  <c r="C130" i="99"/>
  <c r="C129" i="99"/>
  <c r="B129" i="99"/>
  <c r="C128" i="99"/>
  <c r="B128" i="99"/>
  <c r="C127" i="99"/>
  <c r="B127" i="99"/>
  <c r="C124" i="99"/>
  <c r="B124" i="99"/>
  <c r="C123" i="99"/>
  <c r="B123" i="99"/>
  <c r="C122" i="99"/>
  <c r="C121" i="99"/>
  <c r="C134" i="91"/>
  <c r="B134" i="91"/>
  <c r="C133" i="91"/>
  <c r="B133" i="91"/>
  <c r="C132" i="91"/>
  <c r="B132" i="91"/>
  <c r="C131" i="91"/>
  <c r="C130" i="91"/>
  <c r="C129" i="91"/>
  <c r="B129" i="91"/>
  <c r="C128" i="91"/>
  <c r="B128" i="91"/>
  <c r="C127" i="91"/>
  <c r="B127" i="91"/>
  <c r="C124" i="91"/>
  <c r="B124" i="91"/>
  <c r="C123" i="91"/>
  <c r="B123" i="91"/>
  <c r="C122" i="91"/>
  <c r="C121" i="91"/>
  <c r="C134" i="124"/>
  <c r="B134" i="124"/>
  <c r="C133" i="124"/>
  <c r="B133" i="124"/>
  <c r="C132" i="124"/>
  <c r="B132" i="124"/>
  <c r="C131" i="124"/>
  <c r="C130" i="124"/>
  <c r="B130" i="124"/>
  <c r="C129" i="124"/>
  <c r="B129" i="124"/>
  <c r="C128" i="124"/>
  <c r="B128" i="124"/>
  <c r="C127" i="124"/>
  <c r="B127" i="124"/>
  <c r="C124" i="124"/>
  <c r="B124" i="124"/>
  <c r="C123" i="124"/>
  <c r="B123" i="124"/>
  <c r="C122" i="124"/>
  <c r="C121" i="124"/>
  <c r="C134" i="95"/>
  <c r="B134" i="95"/>
  <c r="C133" i="95"/>
  <c r="B133" i="95"/>
  <c r="C132" i="95"/>
  <c r="B132" i="95"/>
  <c r="C131" i="95"/>
  <c r="C130" i="95"/>
  <c r="C129" i="95"/>
  <c r="B129" i="95"/>
  <c r="C128" i="95"/>
  <c r="B128" i="95"/>
  <c r="C127" i="95"/>
  <c r="B127" i="95"/>
  <c r="C124" i="95"/>
  <c r="B124" i="95"/>
  <c r="C123" i="95"/>
  <c r="B123" i="95"/>
  <c r="C122" i="95"/>
  <c r="C121" i="95"/>
  <c r="C134" i="116"/>
  <c r="B134" i="116"/>
  <c r="C133" i="116"/>
  <c r="B133" i="116"/>
  <c r="C132" i="116"/>
  <c r="B132" i="116"/>
  <c r="C131" i="116"/>
  <c r="C130" i="116"/>
  <c r="C129" i="116"/>
  <c r="B129" i="116"/>
  <c r="C128" i="116"/>
  <c r="B128" i="116"/>
  <c r="C127" i="116"/>
  <c r="B127" i="116"/>
  <c r="C124" i="116"/>
  <c r="B124" i="116"/>
  <c r="C123" i="116"/>
  <c r="B123" i="116"/>
  <c r="C122" i="116"/>
  <c r="C121" i="116"/>
  <c r="B113" i="120"/>
  <c r="B112" i="120"/>
  <c r="B111" i="120"/>
  <c r="B110" i="120"/>
  <c r="B109" i="120"/>
  <c r="B108" i="120"/>
  <c r="B107" i="120"/>
  <c r="B106" i="120"/>
  <c r="B105" i="120"/>
  <c r="B101" i="120"/>
  <c r="B99" i="120"/>
  <c r="B98" i="120"/>
  <c r="B97" i="120"/>
  <c r="B96" i="120"/>
  <c r="B95" i="120"/>
  <c r="B94" i="120"/>
  <c r="B93" i="120"/>
  <c r="B92" i="120"/>
  <c r="B91" i="120"/>
  <c r="B90" i="120"/>
  <c r="B83" i="120"/>
  <c r="B82" i="120"/>
  <c r="B81" i="120"/>
  <c r="B80" i="120"/>
  <c r="B79" i="120"/>
  <c r="B78" i="120"/>
  <c r="B113" i="119"/>
  <c r="B112" i="119"/>
  <c r="B111" i="119"/>
  <c r="B110" i="119"/>
  <c r="B109" i="119"/>
  <c r="B108" i="119"/>
  <c r="B107" i="119"/>
  <c r="B106" i="119"/>
  <c r="B105" i="119"/>
  <c r="B103" i="119"/>
  <c r="B101" i="119"/>
  <c r="B100" i="119"/>
  <c r="B99" i="119"/>
  <c r="B98" i="119"/>
  <c r="B97" i="119"/>
  <c r="B96" i="119"/>
  <c r="B95" i="119"/>
  <c r="B94" i="119"/>
  <c r="B93" i="119"/>
  <c r="B92" i="119"/>
  <c r="B91" i="119"/>
  <c r="B90" i="119"/>
  <c r="B83" i="119"/>
  <c r="B82" i="119"/>
  <c r="B81" i="119"/>
  <c r="B80" i="119"/>
  <c r="B79" i="119"/>
  <c r="B78" i="119"/>
  <c r="B113" i="118"/>
  <c r="B112" i="118"/>
  <c r="B111" i="118"/>
  <c r="B110" i="118"/>
  <c r="B109" i="118"/>
  <c r="B108" i="118"/>
  <c r="B107" i="118"/>
  <c r="B106" i="118"/>
  <c r="B105" i="118"/>
  <c r="B101" i="118"/>
  <c r="B100" i="118"/>
  <c r="B99" i="118"/>
  <c r="B98" i="118"/>
  <c r="B97" i="118"/>
  <c r="B96" i="118"/>
  <c r="B95" i="118"/>
  <c r="B94" i="118"/>
  <c r="B93" i="118"/>
  <c r="B92" i="118"/>
  <c r="B91" i="118"/>
  <c r="B90" i="118"/>
  <c r="B83" i="118"/>
  <c r="B82" i="118"/>
  <c r="B81" i="118"/>
  <c r="B80" i="118"/>
  <c r="B79" i="118"/>
  <c r="B78" i="118"/>
  <c r="B113" i="113"/>
  <c r="B112" i="113"/>
  <c r="B111" i="113"/>
  <c r="B110" i="113"/>
  <c r="B109" i="113"/>
  <c r="B108" i="113"/>
  <c r="B107" i="113"/>
  <c r="B106" i="113"/>
  <c r="B105" i="113"/>
  <c r="B103" i="113"/>
  <c r="B101" i="113"/>
  <c r="B100" i="113"/>
  <c r="B99" i="113"/>
  <c r="B98" i="113"/>
  <c r="B97" i="113"/>
  <c r="B96" i="113"/>
  <c r="B95" i="113"/>
  <c r="B94" i="113"/>
  <c r="B93" i="113"/>
  <c r="B92" i="113"/>
  <c r="B91" i="113"/>
  <c r="B90" i="113"/>
  <c r="B83" i="113"/>
  <c r="B82" i="113"/>
  <c r="B81" i="113"/>
  <c r="B80" i="113"/>
  <c r="B79" i="113"/>
  <c r="B78" i="113"/>
  <c r="B113" i="98"/>
  <c r="B112" i="98"/>
  <c r="B111" i="98"/>
  <c r="B110" i="98"/>
  <c r="B109" i="98"/>
  <c r="B108" i="98"/>
  <c r="B107" i="98"/>
  <c r="B106" i="98"/>
  <c r="B105" i="98"/>
  <c r="B101" i="98"/>
  <c r="B100" i="98"/>
  <c r="B99" i="98"/>
  <c r="B98" i="98"/>
  <c r="B97" i="98"/>
  <c r="B96" i="98"/>
  <c r="B95" i="98"/>
  <c r="B94" i="98"/>
  <c r="B93" i="98"/>
  <c r="B92" i="98"/>
  <c r="B91" i="98"/>
  <c r="B90" i="98"/>
  <c r="B83" i="98"/>
  <c r="B82" i="98"/>
  <c r="B81" i="98"/>
  <c r="B80" i="98"/>
  <c r="B79" i="98"/>
  <c r="B78" i="98"/>
  <c r="B113" i="97"/>
  <c r="B112" i="97"/>
  <c r="B111" i="97"/>
  <c r="B110" i="97"/>
  <c r="B109" i="97"/>
  <c r="B108" i="97"/>
  <c r="B107" i="97"/>
  <c r="B106" i="97"/>
  <c r="B105" i="97"/>
  <c r="B103" i="97"/>
  <c r="B101" i="97"/>
  <c r="B100" i="97"/>
  <c r="B99" i="97"/>
  <c r="B98" i="97"/>
  <c r="B97" i="97"/>
  <c r="B96" i="97"/>
  <c r="B95" i="97"/>
  <c r="B94" i="97"/>
  <c r="B93" i="97"/>
  <c r="B92" i="97"/>
  <c r="B91" i="97"/>
  <c r="B90" i="97"/>
  <c r="B83" i="97"/>
  <c r="B82" i="97"/>
  <c r="B81" i="97"/>
  <c r="B80" i="97"/>
  <c r="B79" i="97"/>
  <c r="B78" i="97"/>
  <c r="B113" i="117"/>
  <c r="B112" i="117"/>
  <c r="B111" i="117"/>
  <c r="B110" i="117"/>
  <c r="B109" i="117"/>
  <c r="B108" i="117"/>
  <c r="B107" i="117"/>
  <c r="B106" i="117"/>
  <c r="B105" i="117"/>
  <c r="B101" i="117"/>
  <c r="B100" i="117"/>
  <c r="B99" i="117"/>
  <c r="B98" i="117"/>
  <c r="B97" i="117"/>
  <c r="B96" i="117"/>
  <c r="B95" i="117"/>
  <c r="B94" i="117"/>
  <c r="B93" i="117"/>
  <c r="B92" i="117"/>
  <c r="B91" i="117"/>
  <c r="B90" i="117"/>
  <c r="B83" i="117"/>
  <c r="B82" i="117"/>
  <c r="B81" i="117"/>
  <c r="B80" i="117"/>
  <c r="B79" i="117"/>
  <c r="B78" i="117"/>
  <c r="B113" i="123"/>
  <c r="B112" i="123"/>
  <c r="B111" i="123"/>
  <c r="B110" i="123"/>
  <c r="B109" i="123"/>
  <c r="B108" i="123"/>
  <c r="B107" i="123"/>
  <c r="B106" i="123"/>
  <c r="B105" i="123"/>
  <c r="B103" i="123"/>
  <c r="B101" i="123"/>
  <c r="B100" i="123"/>
  <c r="B99" i="123"/>
  <c r="B98" i="123"/>
  <c r="B97" i="123"/>
  <c r="B96" i="123"/>
  <c r="B95" i="123"/>
  <c r="B94" i="123"/>
  <c r="B93" i="123"/>
  <c r="B92" i="123"/>
  <c r="B91" i="123"/>
  <c r="B90" i="123"/>
  <c r="B83" i="123"/>
  <c r="B82" i="123"/>
  <c r="B81" i="123"/>
  <c r="B80" i="123"/>
  <c r="B79" i="123"/>
  <c r="B78" i="123"/>
  <c r="B113" i="96"/>
  <c r="B112" i="96"/>
  <c r="B111" i="96"/>
  <c r="B110" i="96"/>
  <c r="B109" i="96"/>
  <c r="B108" i="96"/>
  <c r="B107" i="96"/>
  <c r="B106" i="96"/>
  <c r="B105" i="96"/>
  <c r="B101" i="96"/>
  <c r="B100" i="96"/>
  <c r="B99" i="96"/>
  <c r="B98" i="96"/>
  <c r="B97" i="96"/>
  <c r="B96" i="96"/>
  <c r="B83" i="96"/>
  <c r="B82" i="96"/>
  <c r="B81" i="96"/>
  <c r="B80" i="96"/>
  <c r="B79" i="96"/>
  <c r="B78" i="96"/>
  <c r="B113" i="99"/>
  <c r="B112" i="99"/>
  <c r="B111" i="99"/>
  <c r="B110" i="99"/>
  <c r="B109" i="99"/>
  <c r="B108" i="99"/>
  <c r="B107" i="99"/>
  <c r="B106" i="99"/>
  <c r="B105" i="99"/>
  <c r="B101" i="99"/>
  <c r="B100" i="99"/>
  <c r="B99" i="99"/>
  <c r="B98" i="99"/>
  <c r="B97" i="99"/>
  <c r="B96" i="99"/>
  <c r="B95" i="99"/>
  <c r="B94" i="99"/>
  <c r="B93" i="99"/>
  <c r="B92" i="99"/>
  <c r="B91" i="99"/>
  <c r="B90" i="99"/>
  <c r="B83" i="99"/>
  <c r="B82" i="99"/>
  <c r="B81" i="99"/>
  <c r="B80" i="99"/>
  <c r="B79" i="99"/>
  <c r="B78" i="99"/>
  <c r="B113" i="91"/>
  <c r="B112" i="91"/>
  <c r="B111" i="91"/>
  <c r="B110" i="91"/>
  <c r="B109" i="91"/>
  <c r="B108" i="91"/>
  <c r="B107" i="91"/>
  <c r="B106" i="91"/>
  <c r="B105" i="91"/>
  <c r="B101" i="91"/>
  <c r="B100" i="91"/>
  <c r="B99" i="91"/>
  <c r="B98" i="91"/>
  <c r="B97" i="91"/>
  <c r="B96" i="91"/>
  <c r="B95" i="91"/>
  <c r="B94" i="91"/>
  <c r="B93" i="91"/>
  <c r="B92" i="91"/>
  <c r="B91" i="91"/>
  <c r="B90" i="91"/>
  <c r="B83" i="91"/>
  <c r="B82" i="91"/>
  <c r="B81" i="91"/>
  <c r="B80" i="91"/>
  <c r="B79" i="91"/>
  <c r="B78" i="91"/>
  <c r="B113" i="124"/>
  <c r="B112" i="124"/>
  <c r="B111" i="124"/>
  <c r="B110" i="124"/>
  <c r="B109" i="124"/>
  <c r="B108" i="124"/>
  <c r="B107" i="124"/>
  <c r="B106" i="124"/>
  <c r="B105" i="124"/>
  <c r="B101" i="124"/>
  <c r="B100" i="124"/>
  <c r="B99" i="124"/>
  <c r="B98" i="124"/>
  <c r="B97" i="124"/>
  <c r="B96" i="124"/>
  <c r="B95" i="124"/>
  <c r="B94" i="124"/>
  <c r="B93" i="124"/>
  <c r="B92" i="124"/>
  <c r="B91" i="124"/>
  <c r="B90" i="124"/>
  <c r="B83" i="124"/>
  <c r="B82" i="124"/>
  <c r="B81" i="124"/>
  <c r="B80" i="124"/>
  <c r="B79" i="124"/>
  <c r="B78" i="124"/>
  <c r="B113" i="95"/>
  <c r="B112" i="95"/>
  <c r="B111" i="95"/>
  <c r="B110" i="95"/>
  <c r="B109" i="95"/>
  <c r="B108" i="95"/>
  <c r="B107" i="95"/>
  <c r="B106" i="95"/>
  <c r="B105" i="95"/>
  <c r="B101" i="95"/>
  <c r="B100" i="95"/>
  <c r="B99" i="95"/>
  <c r="B98" i="95"/>
  <c r="B97" i="95"/>
  <c r="B96" i="95"/>
  <c r="B95" i="95"/>
  <c r="B94" i="95"/>
  <c r="B93" i="95"/>
  <c r="B92" i="95"/>
  <c r="B91" i="95"/>
  <c r="B90" i="95"/>
  <c r="B83" i="95"/>
  <c r="B82" i="95"/>
  <c r="B81" i="95"/>
  <c r="B80" i="95"/>
  <c r="B79" i="95"/>
  <c r="B78" i="95"/>
  <c r="B113" i="116"/>
  <c r="B112" i="116"/>
  <c r="B111" i="116"/>
  <c r="B110" i="116"/>
  <c r="B109" i="116"/>
  <c r="B108" i="116"/>
  <c r="B107" i="116"/>
  <c r="B106" i="116"/>
  <c r="B105" i="116"/>
  <c r="B101" i="116"/>
  <c r="B100" i="116"/>
  <c r="B99" i="116"/>
  <c r="B98" i="116"/>
  <c r="B97" i="116"/>
  <c r="B96" i="116"/>
  <c r="B95" i="116"/>
  <c r="B94" i="116"/>
  <c r="B93" i="116"/>
  <c r="B92" i="116"/>
  <c r="B91" i="116"/>
  <c r="B90" i="116"/>
  <c r="B83" i="116"/>
  <c r="B82" i="116"/>
  <c r="B81" i="116"/>
  <c r="B80" i="116"/>
  <c r="B79" i="116"/>
  <c r="B78" i="116"/>
  <c r="B76" i="116"/>
  <c r="B113" i="86"/>
  <c r="B112" i="86"/>
  <c r="B111" i="86"/>
  <c r="B110" i="86"/>
  <c r="B109" i="86"/>
  <c r="B108" i="86"/>
  <c r="B107" i="86"/>
  <c r="B106" i="86"/>
  <c r="B105" i="86"/>
  <c r="B101" i="86"/>
  <c r="B100" i="86"/>
  <c r="B99" i="86"/>
  <c r="B98" i="86"/>
  <c r="B97" i="86"/>
  <c r="B96" i="86"/>
  <c r="B95" i="86"/>
  <c r="B94" i="86"/>
  <c r="B93" i="86"/>
  <c r="B92" i="86"/>
  <c r="B91" i="86"/>
  <c r="B90" i="86"/>
  <c r="B83" i="86"/>
  <c r="B82" i="86"/>
  <c r="B81" i="86"/>
  <c r="B80" i="86"/>
  <c r="B79" i="86"/>
  <c r="B78" i="86"/>
  <c r="P4" i="126"/>
  <c r="O4" i="126"/>
  <c r="N4" i="126"/>
  <c r="AC4" i="126"/>
  <c r="I4" i="126"/>
  <c r="W4" i="126"/>
  <c r="X4" i="126"/>
  <c r="L4" i="126"/>
  <c r="K4" i="126"/>
  <c r="S4" i="126"/>
  <c r="U4" i="126"/>
  <c r="Z4" i="126"/>
  <c r="J4" i="126"/>
  <c r="Y4" i="126"/>
  <c r="N9" i="128"/>
  <c r="N10" i="128"/>
  <c r="N16" i="128"/>
  <c r="N17" i="128"/>
  <c r="L19" i="128"/>
  <c r="L20" i="128"/>
  <c r="C115" i="124"/>
  <c r="B115" i="124"/>
  <c r="C70" i="124"/>
  <c r="B70" i="124"/>
  <c r="C69" i="124"/>
  <c r="B69" i="124"/>
  <c r="C68" i="124"/>
  <c r="B68" i="124"/>
  <c r="C67" i="124"/>
  <c r="B67" i="124"/>
  <c r="C66" i="124"/>
  <c r="B66" i="124"/>
  <c r="C65" i="124"/>
  <c r="B65" i="124"/>
  <c r="C64" i="124"/>
  <c r="B64" i="124"/>
  <c r="C63" i="124"/>
  <c r="B63" i="124"/>
  <c r="C61" i="124"/>
  <c r="B61" i="124"/>
  <c r="C20" i="124"/>
  <c r="B20" i="124"/>
  <c r="C19" i="124"/>
  <c r="B19" i="124"/>
  <c r="C18" i="124"/>
  <c r="B18" i="124"/>
  <c r="C17" i="124"/>
  <c r="B17" i="124"/>
  <c r="C16" i="124"/>
  <c r="B16" i="124"/>
  <c r="C14" i="124"/>
  <c r="C60" i="124"/>
  <c r="B60" i="124"/>
  <c r="C57" i="124"/>
  <c r="B57" i="124"/>
  <c r="C56" i="124"/>
  <c r="B56" i="124"/>
  <c r="C55" i="124"/>
  <c r="B55" i="124"/>
  <c r="C54" i="124"/>
  <c r="B54" i="124"/>
  <c r="C51" i="124"/>
  <c r="B51" i="124"/>
  <c r="C50" i="124"/>
  <c r="B50" i="124"/>
  <c r="C49" i="124"/>
  <c r="B49" i="124"/>
  <c r="C48" i="124"/>
  <c r="B48" i="124"/>
  <c r="C47" i="124"/>
  <c r="B47" i="124"/>
  <c r="C46" i="124"/>
  <c r="B46" i="124"/>
  <c r="C45" i="124"/>
  <c r="B45" i="124"/>
  <c r="C44" i="124"/>
  <c r="B44" i="124"/>
  <c r="C43" i="124"/>
  <c r="B43" i="124"/>
  <c r="C42" i="124"/>
  <c r="B42" i="124"/>
  <c r="C40" i="124"/>
  <c r="B40" i="124"/>
  <c r="C39" i="124"/>
  <c r="B39" i="124"/>
  <c r="C38" i="124"/>
  <c r="B38" i="124"/>
  <c r="C37" i="124"/>
  <c r="B37" i="124"/>
  <c r="C36" i="124"/>
  <c r="B36" i="124"/>
  <c r="C35" i="124"/>
  <c r="B35" i="124"/>
  <c r="C34" i="124"/>
  <c r="B34" i="124"/>
  <c r="C33" i="124"/>
  <c r="B33" i="124"/>
  <c r="C31" i="124"/>
  <c r="B31" i="124"/>
  <c r="C30" i="124"/>
  <c r="B30" i="124"/>
  <c r="C29" i="124"/>
  <c r="B29" i="124"/>
  <c r="C28" i="124"/>
  <c r="B28" i="124"/>
  <c r="C27" i="124"/>
  <c r="B27" i="124"/>
  <c r="C26" i="124"/>
  <c r="B26" i="124"/>
  <c r="C25" i="124"/>
  <c r="B25" i="124"/>
  <c r="C24" i="124"/>
  <c r="B24" i="124"/>
  <c r="C23" i="124"/>
  <c r="B23" i="124"/>
  <c r="C22" i="124"/>
  <c r="B22" i="124"/>
  <c r="C21" i="124"/>
  <c r="B21" i="124"/>
  <c r="C13" i="124"/>
  <c r="C12" i="124"/>
  <c r="C11" i="124"/>
  <c r="C10" i="124"/>
  <c r="C9" i="124"/>
  <c r="D63" i="120"/>
  <c r="E63" i="120"/>
  <c r="C115" i="123"/>
  <c r="B115" i="123"/>
  <c r="C70" i="123"/>
  <c r="B70" i="123"/>
  <c r="C69" i="123"/>
  <c r="B69" i="123"/>
  <c r="C68" i="123"/>
  <c r="B68" i="123"/>
  <c r="C67" i="123"/>
  <c r="B67" i="123"/>
  <c r="C66" i="123"/>
  <c r="B66" i="123"/>
  <c r="C65" i="123"/>
  <c r="B65" i="123"/>
  <c r="C64" i="123"/>
  <c r="B64" i="123"/>
  <c r="C63" i="123"/>
  <c r="B63" i="123"/>
  <c r="C61" i="123"/>
  <c r="B61" i="123"/>
  <c r="C20" i="123"/>
  <c r="B20" i="123"/>
  <c r="C19" i="123"/>
  <c r="B19" i="123"/>
  <c r="C18" i="123"/>
  <c r="B18" i="123"/>
  <c r="C17" i="123"/>
  <c r="B17" i="123"/>
  <c r="C16" i="123"/>
  <c r="B16" i="123"/>
  <c r="C14" i="123"/>
  <c r="C60" i="123"/>
  <c r="B60" i="123"/>
  <c r="C57" i="123"/>
  <c r="B57" i="123"/>
  <c r="C56" i="123"/>
  <c r="B56" i="123"/>
  <c r="C55" i="123"/>
  <c r="B55" i="123"/>
  <c r="C54" i="123"/>
  <c r="B54" i="123"/>
  <c r="C51" i="123"/>
  <c r="B51" i="123"/>
  <c r="C50" i="123"/>
  <c r="B50" i="123"/>
  <c r="C49" i="123"/>
  <c r="B49" i="123"/>
  <c r="C48" i="123"/>
  <c r="B48" i="123"/>
  <c r="C47" i="123"/>
  <c r="B47" i="123"/>
  <c r="C46" i="123"/>
  <c r="B46" i="123"/>
  <c r="C45" i="123"/>
  <c r="B45" i="123"/>
  <c r="C44" i="123"/>
  <c r="B44" i="123"/>
  <c r="C43" i="123"/>
  <c r="B43" i="123"/>
  <c r="C42" i="123"/>
  <c r="B42" i="123"/>
  <c r="C40" i="123"/>
  <c r="B40" i="123"/>
  <c r="C39" i="123"/>
  <c r="B39" i="123"/>
  <c r="C38" i="123"/>
  <c r="B38" i="123"/>
  <c r="C37" i="123"/>
  <c r="B37" i="123"/>
  <c r="C36" i="123"/>
  <c r="B36" i="123"/>
  <c r="C35" i="123"/>
  <c r="B35" i="123"/>
  <c r="C34" i="123"/>
  <c r="B34" i="123"/>
  <c r="C33" i="123"/>
  <c r="B33" i="123"/>
  <c r="C31" i="123"/>
  <c r="B31" i="123"/>
  <c r="C30" i="123"/>
  <c r="B30" i="123"/>
  <c r="C29" i="123"/>
  <c r="B29" i="123"/>
  <c r="C28" i="123"/>
  <c r="B28" i="123"/>
  <c r="C27" i="123"/>
  <c r="B27" i="123"/>
  <c r="C26" i="123"/>
  <c r="B26" i="123"/>
  <c r="C25" i="123"/>
  <c r="B25" i="123"/>
  <c r="C24" i="123"/>
  <c r="B24" i="123"/>
  <c r="C23" i="123"/>
  <c r="B23" i="123"/>
  <c r="C22" i="123"/>
  <c r="B22" i="123"/>
  <c r="C21" i="123"/>
  <c r="B21" i="123"/>
  <c r="C13" i="123"/>
  <c r="C12" i="123"/>
  <c r="C11" i="123"/>
  <c r="C10" i="123"/>
  <c r="C9" i="123"/>
  <c r="C115" i="120"/>
  <c r="B115" i="120"/>
  <c r="C115" i="119"/>
  <c r="B115" i="119"/>
  <c r="C115" i="118"/>
  <c r="B115" i="118"/>
  <c r="C115" i="113"/>
  <c r="B115" i="113"/>
  <c r="C115" i="99"/>
  <c r="B115" i="99"/>
  <c r="C115" i="98"/>
  <c r="B115" i="98"/>
  <c r="C115" i="97"/>
  <c r="B115" i="97"/>
  <c r="C115" i="117"/>
  <c r="B115" i="117"/>
  <c r="C115" i="96"/>
  <c r="B115" i="96"/>
  <c r="C115" i="91"/>
  <c r="B115" i="91"/>
  <c r="C115" i="95"/>
  <c r="B115" i="95"/>
  <c r="C115" i="116"/>
  <c r="B115" i="116"/>
  <c r="C115" i="86"/>
  <c r="B115" i="86"/>
  <c r="C70" i="95"/>
  <c r="B70" i="95"/>
  <c r="C69" i="95"/>
  <c r="B69" i="95"/>
  <c r="C68" i="95"/>
  <c r="B68" i="95"/>
  <c r="C67" i="95"/>
  <c r="B67" i="95"/>
  <c r="C66" i="95"/>
  <c r="B66" i="95"/>
  <c r="C65" i="95"/>
  <c r="B65" i="95"/>
  <c r="C64" i="95"/>
  <c r="B64" i="95"/>
  <c r="C63" i="95"/>
  <c r="B63" i="95"/>
  <c r="B134" i="86"/>
  <c r="B133" i="86"/>
  <c r="B132" i="86"/>
  <c r="C20" i="120"/>
  <c r="B20" i="120"/>
  <c r="C19" i="120"/>
  <c r="B19" i="120"/>
  <c r="C18" i="120"/>
  <c r="B18" i="120"/>
  <c r="C17" i="120"/>
  <c r="B17" i="120"/>
  <c r="C16" i="120"/>
  <c r="B16" i="120"/>
  <c r="C14" i="120"/>
  <c r="C57" i="120"/>
  <c r="B57" i="120"/>
  <c r="C56" i="120"/>
  <c r="B56" i="120"/>
  <c r="C55" i="120"/>
  <c r="B55" i="120"/>
  <c r="C54" i="120"/>
  <c r="B54" i="120"/>
  <c r="C51" i="120"/>
  <c r="B51" i="120"/>
  <c r="C50" i="120"/>
  <c r="B50" i="120"/>
  <c r="C49" i="120"/>
  <c r="B49" i="120"/>
  <c r="C48" i="120"/>
  <c r="B48" i="120"/>
  <c r="C47" i="120"/>
  <c r="B47" i="120"/>
  <c r="C46" i="120"/>
  <c r="B46" i="120"/>
  <c r="C45" i="120"/>
  <c r="B45" i="120"/>
  <c r="C44" i="120"/>
  <c r="B44" i="120"/>
  <c r="C43" i="120"/>
  <c r="B43" i="120"/>
  <c r="C42" i="120"/>
  <c r="B42" i="120"/>
  <c r="C40" i="120"/>
  <c r="B40" i="120"/>
  <c r="C39" i="120"/>
  <c r="B39" i="120"/>
  <c r="C38" i="120"/>
  <c r="B38" i="120"/>
  <c r="C37" i="120"/>
  <c r="B37" i="120"/>
  <c r="C36" i="120"/>
  <c r="B36" i="120"/>
  <c r="C35" i="120"/>
  <c r="B35" i="120"/>
  <c r="C34" i="120"/>
  <c r="B34" i="120"/>
  <c r="C33" i="120"/>
  <c r="B33" i="120"/>
  <c r="C31" i="120"/>
  <c r="B31" i="120"/>
  <c r="C30" i="120"/>
  <c r="B30" i="120"/>
  <c r="C29" i="120"/>
  <c r="B29" i="120"/>
  <c r="C28" i="120"/>
  <c r="B28" i="120"/>
  <c r="C27" i="120"/>
  <c r="B27" i="120"/>
  <c r="C26" i="120"/>
  <c r="B26" i="120"/>
  <c r="C25" i="120"/>
  <c r="B25" i="120"/>
  <c r="C24" i="120"/>
  <c r="B24" i="120"/>
  <c r="C23" i="120"/>
  <c r="B23" i="120"/>
  <c r="C22" i="120"/>
  <c r="B22" i="120"/>
  <c r="C21" i="120"/>
  <c r="B21" i="120"/>
  <c r="C13" i="120"/>
  <c r="C12" i="120"/>
  <c r="C11" i="120"/>
  <c r="C10" i="120"/>
  <c r="C9" i="120"/>
  <c r="C61" i="119"/>
  <c r="B61" i="119"/>
  <c r="C20" i="119"/>
  <c r="B20" i="119"/>
  <c r="C19" i="119"/>
  <c r="B19" i="119"/>
  <c r="C18" i="119"/>
  <c r="B18" i="119"/>
  <c r="C17" i="119"/>
  <c r="B17" i="119"/>
  <c r="C16" i="119"/>
  <c r="B16" i="119"/>
  <c r="C14" i="119"/>
  <c r="C60" i="119"/>
  <c r="B60" i="119"/>
  <c r="C57" i="119"/>
  <c r="B57" i="119"/>
  <c r="C56" i="119"/>
  <c r="B56" i="119"/>
  <c r="C55" i="119"/>
  <c r="B55" i="119"/>
  <c r="C54" i="119"/>
  <c r="B54" i="119"/>
  <c r="C51" i="119"/>
  <c r="B51" i="119"/>
  <c r="C50" i="119"/>
  <c r="B50" i="119"/>
  <c r="C49" i="119"/>
  <c r="B49" i="119"/>
  <c r="C48" i="119"/>
  <c r="B48" i="119"/>
  <c r="C47" i="119"/>
  <c r="B47" i="119"/>
  <c r="C46" i="119"/>
  <c r="B46" i="119"/>
  <c r="C45" i="119"/>
  <c r="B45" i="119"/>
  <c r="C44" i="119"/>
  <c r="B44" i="119"/>
  <c r="C43" i="119"/>
  <c r="B43" i="119"/>
  <c r="C40" i="119"/>
  <c r="B40" i="119"/>
  <c r="C39" i="119"/>
  <c r="B39" i="119"/>
  <c r="C38" i="119"/>
  <c r="B38" i="119"/>
  <c r="C37" i="119"/>
  <c r="B37" i="119"/>
  <c r="C36" i="119"/>
  <c r="B36" i="119"/>
  <c r="C35" i="119"/>
  <c r="B35" i="119"/>
  <c r="C34" i="119"/>
  <c r="B34" i="119"/>
  <c r="C33" i="119"/>
  <c r="B33" i="119"/>
  <c r="C31" i="119"/>
  <c r="B31" i="119"/>
  <c r="C30" i="119"/>
  <c r="B30" i="119"/>
  <c r="C29" i="119"/>
  <c r="B29" i="119"/>
  <c r="C28" i="119"/>
  <c r="B28" i="119"/>
  <c r="C27" i="119"/>
  <c r="B27" i="119"/>
  <c r="C26" i="119"/>
  <c r="B26" i="119"/>
  <c r="C25" i="119"/>
  <c r="B25" i="119"/>
  <c r="C24" i="119"/>
  <c r="B24" i="119"/>
  <c r="C23" i="119"/>
  <c r="B23" i="119"/>
  <c r="C22" i="119"/>
  <c r="B22" i="119"/>
  <c r="C21" i="119"/>
  <c r="B21" i="119"/>
  <c r="C13" i="119"/>
  <c r="C12" i="119"/>
  <c r="C11" i="119"/>
  <c r="C10" i="119"/>
  <c r="C9" i="119"/>
  <c r="C61" i="118"/>
  <c r="B61" i="118"/>
  <c r="C20" i="118"/>
  <c r="B20" i="118"/>
  <c r="C19" i="118"/>
  <c r="B19" i="118"/>
  <c r="C18" i="118"/>
  <c r="B18" i="118"/>
  <c r="C17" i="118"/>
  <c r="B17" i="118"/>
  <c r="C16" i="118"/>
  <c r="B16" i="118"/>
  <c r="C14" i="118"/>
  <c r="C60" i="118"/>
  <c r="B60" i="118"/>
  <c r="C57" i="118"/>
  <c r="B57" i="118"/>
  <c r="C56" i="118"/>
  <c r="B56" i="118"/>
  <c r="C55" i="118"/>
  <c r="B55" i="118"/>
  <c r="C54" i="118"/>
  <c r="B54" i="118"/>
  <c r="C51" i="118"/>
  <c r="B51" i="118"/>
  <c r="C50" i="118"/>
  <c r="B50" i="118"/>
  <c r="C49" i="118"/>
  <c r="B49" i="118"/>
  <c r="C48" i="118"/>
  <c r="B48" i="118"/>
  <c r="C47" i="118"/>
  <c r="B47" i="118"/>
  <c r="C46" i="118"/>
  <c r="B46" i="118"/>
  <c r="C45" i="118"/>
  <c r="B45" i="118"/>
  <c r="C44" i="118"/>
  <c r="B44" i="118"/>
  <c r="C43" i="118"/>
  <c r="B43" i="118"/>
  <c r="C42" i="118"/>
  <c r="B42" i="118"/>
  <c r="C40" i="118"/>
  <c r="B40" i="118"/>
  <c r="C39" i="118"/>
  <c r="B39" i="118"/>
  <c r="C38" i="118"/>
  <c r="B38" i="118"/>
  <c r="C37" i="118"/>
  <c r="B37" i="118"/>
  <c r="C36" i="118"/>
  <c r="B36" i="118"/>
  <c r="C35" i="118"/>
  <c r="B35" i="118"/>
  <c r="C34" i="118"/>
  <c r="B34" i="118"/>
  <c r="C33" i="118"/>
  <c r="B33" i="118"/>
  <c r="C31" i="118"/>
  <c r="B31" i="118"/>
  <c r="C30" i="118"/>
  <c r="B30" i="118"/>
  <c r="C29" i="118"/>
  <c r="B29" i="118"/>
  <c r="C28" i="118"/>
  <c r="B28" i="118"/>
  <c r="C27" i="118"/>
  <c r="B27" i="118"/>
  <c r="C26" i="118"/>
  <c r="B26" i="118"/>
  <c r="C25" i="118"/>
  <c r="B25" i="118"/>
  <c r="C24" i="118"/>
  <c r="B24" i="118"/>
  <c r="C23" i="118"/>
  <c r="B23" i="118"/>
  <c r="C22" i="118"/>
  <c r="B22" i="118"/>
  <c r="C21" i="118"/>
  <c r="B21" i="118"/>
  <c r="C13" i="118"/>
  <c r="C12" i="118"/>
  <c r="C11" i="118"/>
  <c r="C10" i="118"/>
  <c r="C9" i="118"/>
  <c r="C61" i="113"/>
  <c r="B61" i="113"/>
  <c r="C20" i="113"/>
  <c r="B20" i="113"/>
  <c r="C19" i="113"/>
  <c r="B19" i="113"/>
  <c r="C18" i="113"/>
  <c r="B18" i="113"/>
  <c r="C17" i="113"/>
  <c r="B17" i="113"/>
  <c r="C14" i="113"/>
  <c r="C60" i="113"/>
  <c r="B60" i="113"/>
  <c r="C57" i="113"/>
  <c r="B57" i="113"/>
  <c r="C56" i="113"/>
  <c r="B56" i="113"/>
  <c r="C55" i="113"/>
  <c r="B55" i="113"/>
  <c r="C54" i="113"/>
  <c r="B54" i="113"/>
  <c r="C51" i="113"/>
  <c r="B51" i="113"/>
  <c r="C50" i="113"/>
  <c r="B50" i="113"/>
  <c r="C49" i="113"/>
  <c r="B49" i="113"/>
  <c r="C48" i="113"/>
  <c r="B48" i="113"/>
  <c r="C47" i="113"/>
  <c r="B47" i="113"/>
  <c r="C46" i="113"/>
  <c r="B46" i="113"/>
  <c r="C45" i="113"/>
  <c r="B45" i="113"/>
  <c r="C44" i="113"/>
  <c r="B44" i="113"/>
  <c r="C43" i="113"/>
  <c r="B43" i="113"/>
  <c r="C42" i="113"/>
  <c r="B42" i="113"/>
  <c r="C40" i="113"/>
  <c r="B40" i="113"/>
  <c r="C39" i="113"/>
  <c r="B39" i="113"/>
  <c r="C38" i="113"/>
  <c r="B38" i="113"/>
  <c r="C37" i="113"/>
  <c r="B37" i="113"/>
  <c r="C36" i="113"/>
  <c r="B36" i="113"/>
  <c r="C35" i="113"/>
  <c r="B35" i="113"/>
  <c r="C34" i="113"/>
  <c r="B34" i="113"/>
  <c r="C33" i="113"/>
  <c r="B33" i="113"/>
  <c r="C31" i="113"/>
  <c r="B31" i="113"/>
  <c r="C30" i="113"/>
  <c r="B30" i="113"/>
  <c r="C29" i="113"/>
  <c r="B29" i="113"/>
  <c r="C28" i="113"/>
  <c r="B28" i="113"/>
  <c r="C27" i="113"/>
  <c r="B27" i="113"/>
  <c r="C26" i="113"/>
  <c r="B26" i="113"/>
  <c r="C25" i="113"/>
  <c r="B25" i="113"/>
  <c r="C24" i="113"/>
  <c r="B24" i="113"/>
  <c r="C23" i="113"/>
  <c r="B23" i="113"/>
  <c r="C22" i="113"/>
  <c r="B22" i="113"/>
  <c r="C21" i="113"/>
  <c r="B21" i="113"/>
  <c r="C13" i="113"/>
  <c r="C12" i="113"/>
  <c r="C11" i="113"/>
  <c r="C10" i="113"/>
  <c r="C9" i="113"/>
  <c r="C61" i="99"/>
  <c r="B61" i="99"/>
  <c r="C20" i="99"/>
  <c r="B20" i="99"/>
  <c r="C19" i="99"/>
  <c r="B19" i="99"/>
  <c r="C18" i="99"/>
  <c r="B18" i="99"/>
  <c r="C17" i="99"/>
  <c r="B17" i="99"/>
  <c r="C16" i="99"/>
  <c r="B16" i="99"/>
  <c r="C14" i="99"/>
  <c r="C60" i="99"/>
  <c r="B60" i="99"/>
  <c r="C57" i="99"/>
  <c r="B57" i="99"/>
  <c r="C56" i="99"/>
  <c r="B56" i="99"/>
  <c r="C55" i="99"/>
  <c r="B55" i="99"/>
  <c r="C54" i="99"/>
  <c r="B54" i="99"/>
  <c r="C51" i="99"/>
  <c r="B51" i="99"/>
  <c r="C50" i="99"/>
  <c r="B50" i="99"/>
  <c r="C49" i="99"/>
  <c r="B49" i="99"/>
  <c r="C48" i="99"/>
  <c r="B48" i="99"/>
  <c r="C47" i="99"/>
  <c r="B47" i="99"/>
  <c r="C46" i="99"/>
  <c r="B46" i="99"/>
  <c r="C45" i="99"/>
  <c r="B45" i="99"/>
  <c r="C44" i="99"/>
  <c r="B44" i="99"/>
  <c r="C43" i="99"/>
  <c r="B43" i="99"/>
  <c r="C42" i="99"/>
  <c r="B42" i="99"/>
  <c r="C40" i="99"/>
  <c r="B40" i="99"/>
  <c r="C39" i="99"/>
  <c r="B39" i="99"/>
  <c r="C38" i="99"/>
  <c r="B38" i="99"/>
  <c r="C37" i="99"/>
  <c r="B37" i="99"/>
  <c r="C36" i="99"/>
  <c r="B36" i="99"/>
  <c r="C35" i="99"/>
  <c r="B35" i="99"/>
  <c r="C34" i="99"/>
  <c r="B34" i="99"/>
  <c r="C33" i="99"/>
  <c r="B33" i="99"/>
  <c r="C31" i="99"/>
  <c r="B31" i="99"/>
  <c r="C30" i="99"/>
  <c r="B30" i="99"/>
  <c r="C29" i="99"/>
  <c r="B29" i="99"/>
  <c r="C28" i="99"/>
  <c r="B28" i="99"/>
  <c r="C27" i="99"/>
  <c r="B27" i="99"/>
  <c r="C26" i="99"/>
  <c r="B26" i="99"/>
  <c r="C25" i="99"/>
  <c r="B25" i="99"/>
  <c r="C24" i="99"/>
  <c r="B24" i="99"/>
  <c r="C23" i="99"/>
  <c r="B23" i="99"/>
  <c r="C22" i="99"/>
  <c r="B22" i="99"/>
  <c r="C21" i="99"/>
  <c r="B21" i="99"/>
  <c r="C13" i="99"/>
  <c r="C12" i="99"/>
  <c r="C11" i="99"/>
  <c r="C10" i="99"/>
  <c r="C9" i="99"/>
  <c r="C61" i="98"/>
  <c r="B61" i="98"/>
  <c r="C20" i="98"/>
  <c r="B20" i="98"/>
  <c r="C19" i="98"/>
  <c r="B19" i="98"/>
  <c r="C18" i="98"/>
  <c r="B18" i="98"/>
  <c r="C17" i="98"/>
  <c r="B17" i="98"/>
  <c r="C16" i="98"/>
  <c r="B16" i="98"/>
  <c r="C14" i="98"/>
  <c r="C60" i="98"/>
  <c r="B60" i="98"/>
  <c r="C57" i="98"/>
  <c r="B57" i="98"/>
  <c r="C56" i="98"/>
  <c r="B56" i="98"/>
  <c r="C55" i="98"/>
  <c r="B55" i="98"/>
  <c r="C54" i="98"/>
  <c r="B54" i="98"/>
  <c r="C51" i="98"/>
  <c r="B51" i="98"/>
  <c r="C50" i="98"/>
  <c r="B50" i="98"/>
  <c r="C49" i="98"/>
  <c r="B49" i="98"/>
  <c r="C48" i="98"/>
  <c r="B48" i="98"/>
  <c r="C47" i="98"/>
  <c r="B47" i="98"/>
  <c r="C46" i="98"/>
  <c r="B46" i="98"/>
  <c r="C45" i="98"/>
  <c r="B45" i="98"/>
  <c r="C44" i="98"/>
  <c r="B44" i="98"/>
  <c r="C43" i="98"/>
  <c r="B43" i="98"/>
  <c r="C42" i="98"/>
  <c r="B42" i="98"/>
  <c r="C40" i="98"/>
  <c r="B40" i="98"/>
  <c r="C39" i="98"/>
  <c r="B39" i="98"/>
  <c r="C38" i="98"/>
  <c r="B38" i="98"/>
  <c r="C37" i="98"/>
  <c r="B37" i="98"/>
  <c r="C36" i="98"/>
  <c r="B36" i="98"/>
  <c r="C35" i="98"/>
  <c r="B35" i="98"/>
  <c r="C34" i="98"/>
  <c r="B34" i="98"/>
  <c r="C33" i="98"/>
  <c r="B33" i="98"/>
  <c r="C31" i="98"/>
  <c r="B31" i="98"/>
  <c r="C30" i="98"/>
  <c r="B30" i="98"/>
  <c r="C29" i="98"/>
  <c r="B29" i="98"/>
  <c r="C28" i="98"/>
  <c r="B28" i="98"/>
  <c r="C27" i="98"/>
  <c r="B27" i="98"/>
  <c r="C26" i="98"/>
  <c r="B26" i="98"/>
  <c r="C25" i="98"/>
  <c r="B25" i="98"/>
  <c r="C24" i="98"/>
  <c r="B24" i="98"/>
  <c r="C23" i="98"/>
  <c r="B23" i="98"/>
  <c r="C22" i="98"/>
  <c r="B22" i="98"/>
  <c r="C21" i="98"/>
  <c r="B21" i="98"/>
  <c r="C13" i="98"/>
  <c r="C12" i="98"/>
  <c r="C11" i="98"/>
  <c r="C10" i="98"/>
  <c r="C9" i="98"/>
  <c r="C61" i="97"/>
  <c r="B61" i="97"/>
  <c r="C20" i="97"/>
  <c r="B20" i="97"/>
  <c r="C19" i="97"/>
  <c r="B19" i="97"/>
  <c r="C18" i="97"/>
  <c r="B18" i="97"/>
  <c r="C17" i="97"/>
  <c r="B17" i="97"/>
  <c r="C16" i="97"/>
  <c r="B16" i="97"/>
  <c r="C14" i="97"/>
  <c r="C60" i="97"/>
  <c r="B60" i="97"/>
  <c r="C57" i="97"/>
  <c r="B57" i="97"/>
  <c r="C56" i="97"/>
  <c r="B56" i="97"/>
  <c r="C55" i="97"/>
  <c r="B55" i="97"/>
  <c r="C54" i="97"/>
  <c r="B54" i="97"/>
  <c r="C51" i="97"/>
  <c r="B51" i="97"/>
  <c r="C50" i="97"/>
  <c r="B50" i="97"/>
  <c r="C49" i="97"/>
  <c r="B49" i="97"/>
  <c r="C48" i="97"/>
  <c r="B48" i="97"/>
  <c r="C47" i="97"/>
  <c r="B47" i="97"/>
  <c r="C46" i="97"/>
  <c r="B46" i="97"/>
  <c r="C45" i="97"/>
  <c r="B45" i="97"/>
  <c r="C44" i="97"/>
  <c r="B44" i="97"/>
  <c r="C43" i="97"/>
  <c r="B43" i="97"/>
  <c r="C42" i="97"/>
  <c r="B42" i="97"/>
  <c r="C40" i="97"/>
  <c r="B40" i="97"/>
  <c r="C39" i="97"/>
  <c r="B39" i="97"/>
  <c r="C38" i="97"/>
  <c r="B38" i="97"/>
  <c r="C37" i="97"/>
  <c r="B37" i="97"/>
  <c r="C36" i="97"/>
  <c r="B36" i="97"/>
  <c r="C35" i="97"/>
  <c r="B35" i="97"/>
  <c r="C34" i="97"/>
  <c r="B34" i="97"/>
  <c r="C33" i="97"/>
  <c r="B33" i="97"/>
  <c r="C31" i="97"/>
  <c r="B31" i="97"/>
  <c r="C30" i="97"/>
  <c r="B30" i="97"/>
  <c r="C29" i="97"/>
  <c r="B29" i="97"/>
  <c r="C28" i="97"/>
  <c r="B28" i="97"/>
  <c r="C27" i="97"/>
  <c r="B27" i="97"/>
  <c r="C26" i="97"/>
  <c r="B26" i="97"/>
  <c r="C25" i="97"/>
  <c r="B25" i="97"/>
  <c r="C24" i="97"/>
  <c r="B24" i="97"/>
  <c r="C23" i="97"/>
  <c r="B23" i="97"/>
  <c r="C22" i="97"/>
  <c r="B22" i="97"/>
  <c r="C21" i="97"/>
  <c r="B21" i="97"/>
  <c r="C13" i="97"/>
  <c r="C12" i="97"/>
  <c r="C11" i="97"/>
  <c r="C10" i="97"/>
  <c r="C9" i="97"/>
  <c r="C61" i="117"/>
  <c r="B61" i="117"/>
  <c r="C20" i="117"/>
  <c r="B20" i="117"/>
  <c r="C19" i="117"/>
  <c r="B19" i="117"/>
  <c r="C18" i="117"/>
  <c r="B18" i="117"/>
  <c r="C17" i="117"/>
  <c r="B17" i="117"/>
  <c r="C16" i="117"/>
  <c r="B16" i="117"/>
  <c r="C14" i="117"/>
  <c r="C60" i="117"/>
  <c r="B60" i="117"/>
  <c r="C57" i="117"/>
  <c r="B57" i="117"/>
  <c r="C56" i="117"/>
  <c r="B56" i="117"/>
  <c r="C55" i="117"/>
  <c r="B55" i="117"/>
  <c r="C54" i="117"/>
  <c r="B54" i="117"/>
  <c r="C51" i="117"/>
  <c r="B51" i="117"/>
  <c r="C50" i="117"/>
  <c r="B50" i="117"/>
  <c r="C49" i="117"/>
  <c r="B49" i="117"/>
  <c r="C48" i="117"/>
  <c r="B48" i="117"/>
  <c r="C47" i="117"/>
  <c r="B47" i="117"/>
  <c r="C46" i="117"/>
  <c r="B46" i="117"/>
  <c r="C45" i="117"/>
  <c r="B45" i="117"/>
  <c r="C44" i="117"/>
  <c r="B44" i="117"/>
  <c r="C43" i="117"/>
  <c r="B43" i="117"/>
  <c r="C42" i="117"/>
  <c r="B42" i="117"/>
  <c r="C40" i="117"/>
  <c r="B40" i="117"/>
  <c r="C39" i="117"/>
  <c r="B39" i="117"/>
  <c r="C38" i="117"/>
  <c r="B38" i="117"/>
  <c r="C37" i="117"/>
  <c r="B37" i="117"/>
  <c r="C36" i="117"/>
  <c r="B36" i="117"/>
  <c r="C35" i="117"/>
  <c r="B35" i="117"/>
  <c r="C34" i="117"/>
  <c r="B34" i="117"/>
  <c r="C33" i="117"/>
  <c r="B33" i="117"/>
  <c r="C31" i="117"/>
  <c r="B31" i="117"/>
  <c r="C30" i="117"/>
  <c r="B30" i="117"/>
  <c r="C29" i="117"/>
  <c r="B29" i="117"/>
  <c r="C28" i="117"/>
  <c r="B28" i="117"/>
  <c r="C27" i="117"/>
  <c r="B27" i="117"/>
  <c r="C26" i="117"/>
  <c r="B26" i="117"/>
  <c r="C25" i="117"/>
  <c r="B25" i="117"/>
  <c r="C24" i="117"/>
  <c r="B24" i="117"/>
  <c r="C23" i="117"/>
  <c r="B23" i="117"/>
  <c r="C22" i="117"/>
  <c r="B22" i="117"/>
  <c r="C21" i="117"/>
  <c r="B21" i="117"/>
  <c r="C13" i="117"/>
  <c r="C12" i="117"/>
  <c r="C11" i="117"/>
  <c r="C10" i="117"/>
  <c r="C9" i="117"/>
  <c r="C61" i="96"/>
  <c r="B61" i="96"/>
  <c r="C20" i="96"/>
  <c r="B20" i="96"/>
  <c r="C19" i="96"/>
  <c r="B19" i="96"/>
  <c r="C18" i="96"/>
  <c r="B18" i="96"/>
  <c r="C17" i="96"/>
  <c r="B17" i="96"/>
  <c r="C16" i="96"/>
  <c r="B16" i="96"/>
  <c r="C14" i="96"/>
  <c r="C60" i="96"/>
  <c r="B60" i="96"/>
  <c r="C57" i="96"/>
  <c r="B57" i="96"/>
  <c r="C56" i="96"/>
  <c r="B56" i="96"/>
  <c r="C55" i="96"/>
  <c r="B55" i="96"/>
  <c r="C54" i="96"/>
  <c r="B54" i="96"/>
  <c r="C51" i="96"/>
  <c r="B51" i="96"/>
  <c r="C50" i="96"/>
  <c r="B50" i="96"/>
  <c r="C49" i="96"/>
  <c r="B49" i="96"/>
  <c r="C48" i="96"/>
  <c r="B48" i="96"/>
  <c r="C47" i="96"/>
  <c r="B47" i="96"/>
  <c r="C46" i="96"/>
  <c r="B46" i="96"/>
  <c r="C45" i="96"/>
  <c r="B45" i="96"/>
  <c r="C44" i="96"/>
  <c r="B44" i="96"/>
  <c r="C43" i="96"/>
  <c r="B43" i="96"/>
  <c r="C42" i="96"/>
  <c r="B42" i="96"/>
  <c r="C40" i="96"/>
  <c r="B40" i="96"/>
  <c r="C39" i="96"/>
  <c r="B39" i="96"/>
  <c r="C38" i="96"/>
  <c r="B38" i="96"/>
  <c r="C37" i="96"/>
  <c r="B37" i="96"/>
  <c r="C36" i="96"/>
  <c r="B36" i="96"/>
  <c r="C35" i="96"/>
  <c r="B35" i="96"/>
  <c r="C34" i="96"/>
  <c r="B34" i="96"/>
  <c r="C33" i="96"/>
  <c r="B33" i="96"/>
  <c r="C31" i="96"/>
  <c r="B31" i="96"/>
  <c r="C30" i="96"/>
  <c r="B30" i="96"/>
  <c r="C29" i="96"/>
  <c r="B29" i="96"/>
  <c r="C28" i="96"/>
  <c r="B28" i="96"/>
  <c r="C27" i="96"/>
  <c r="B27" i="96"/>
  <c r="C26" i="96"/>
  <c r="B26" i="96"/>
  <c r="C25" i="96"/>
  <c r="B25" i="96"/>
  <c r="C24" i="96"/>
  <c r="B24" i="96"/>
  <c r="C23" i="96"/>
  <c r="B23" i="96"/>
  <c r="C22" i="96"/>
  <c r="B22" i="96"/>
  <c r="C21" i="96"/>
  <c r="B21" i="96"/>
  <c r="C13" i="96"/>
  <c r="C12" i="96"/>
  <c r="C11" i="96"/>
  <c r="C10" i="96"/>
  <c r="C9" i="96"/>
  <c r="C61" i="91"/>
  <c r="B61" i="91"/>
  <c r="C20" i="91"/>
  <c r="B20" i="91"/>
  <c r="C19" i="91"/>
  <c r="B19" i="91"/>
  <c r="C18" i="91"/>
  <c r="B18" i="91"/>
  <c r="C17" i="91"/>
  <c r="B17" i="91"/>
  <c r="C16" i="91"/>
  <c r="B16" i="91"/>
  <c r="C14" i="91"/>
  <c r="C60" i="91"/>
  <c r="B60" i="91"/>
  <c r="C57" i="91"/>
  <c r="B57" i="91"/>
  <c r="C56" i="91"/>
  <c r="B56" i="91"/>
  <c r="C55" i="91"/>
  <c r="B55" i="91"/>
  <c r="C54" i="91"/>
  <c r="B54" i="91"/>
  <c r="C51" i="91"/>
  <c r="B51" i="91"/>
  <c r="C50" i="91"/>
  <c r="B50" i="91"/>
  <c r="C49" i="91"/>
  <c r="B49" i="91"/>
  <c r="C48" i="91"/>
  <c r="B48" i="91"/>
  <c r="C47" i="91"/>
  <c r="B47" i="91"/>
  <c r="C46" i="91"/>
  <c r="B46" i="91"/>
  <c r="C45" i="91"/>
  <c r="B45" i="91"/>
  <c r="C44" i="91"/>
  <c r="B44" i="91"/>
  <c r="C43" i="91"/>
  <c r="B43" i="91"/>
  <c r="C42" i="91"/>
  <c r="B42" i="91"/>
  <c r="C40" i="91"/>
  <c r="B40" i="91"/>
  <c r="C39" i="91"/>
  <c r="B39" i="91"/>
  <c r="C38" i="91"/>
  <c r="B38" i="91"/>
  <c r="C37" i="91"/>
  <c r="B37" i="91"/>
  <c r="C36" i="91"/>
  <c r="B36" i="91"/>
  <c r="C35" i="91"/>
  <c r="B35" i="91"/>
  <c r="C34" i="91"/>
  <c r="B34" i="91"/>
  <c r="C33" i="91"/>
  <c r="B33" i="91"/>
  <c r="C31" i="91"/>
  <c r="B31" i="91"/>
  <c r="C30" i="91"/>
  <c r="B30" i="91"/>
  <c r="C29" i="91"/>
  <c r="B29" i="91"/>
  <c r="C28" i="91"/>
  <c r="B28" i="91"/>
  <c r="C27" i="91"/>
  <c r="B27" i="91"/>
  <c r="C26" i="91"/>
  <c r="B26" i="91"/>
  <c r="C25" i="91"/>
  <c r="B25" i="91"/>
  <c r="C24" i="91"/>
  <c r="B24" i="91"/>
  <c r="C23" i="91"/>
  <c r="B23" i="91"/>
  <c r="C22" i="91"/>
  <c r="B22" i="91"/>
  <c r="C21" i="91"/>
  <c r="B21" i="91"/>
  <c r="C13" i="91"/>
  <c r="C12" i="91"/>
  <c r="C11" i="91"/>
  <c r="C10" i="91"/>
  <c r="C9" i="91"/>
  <c r="C61" i="95"/>
  <c r="B61" i="95"/>
  <c r="C20" i="95"/>
  <c r="B20" i="95"/>
  <c r="C19" i="95"/>
  <c r="B19" i="95"/>
  <c r="C18" i="95"/>
  <c r="B18" i="95"/>
  <c r="C17" i="95"/>
  <c r="B17" i="95"/>
  <c r="C16" i="95"/>
  <c r="B16" i="95"/>
  <c r="C14" i="95"/>
  <c r="C60" i="95"/>
  <c r="B60" i="95"/>
  <c r="C57" i="95"/>
  <c r="B57" i="95"/>
  <c r="C56" i="95"/>
  <c r="B56" i="95"/>
  <c r="C55" i="95"/>
  <c r="B55" i="95"/>
  <c r="C54" i="95"/>
  <c r="B54" i="95"/>
  <c r="C51" i="95"/>
  <c r="B51" i="95"/>
  <c r="C50" i="95"/>
  <c r="B50" i="95"/>
  <c r="C49" i="95"/>
  <c r="B49" i="95"/>
  <c r="C48" i="95"/>
  <c r="B48" i="95"/>
  <c r="C47" i="95"/>
  <c r="B47" i="95"/>
  <c r="C46" i="95"/>
  <c r="B46" i="95"/>
  <c r="C45" i="95"/>
  <c r="B45" i="95"/>
  <c r="C44" i="95"/>
  <c r="B44" i="95"/>
  <c r="C43" i="95"/>
  <c r="B43" i="95"/>
  <c r="C42" i="95"/>
  <c r="B42" i="95"/>
  <c r="C40" i="95"/>
  <c r="B40" i="95"/>
  <c r="C39" i="95"/>
  <c r="B39" i="95"/>
  <c r="C38" i="95"/>
  <c r="B38" i="95"/>
  <c r="C37" i="95"/>
  <c r="B37" i="95"/>
  <c r="C36" i="95"/>
  <c r="B36" i="95"/>
  <c r="C35" i="95"/>
  <c r="B35" i="95"/>
  <c r="C34" i="95"/>
  <c r="B34" i="95"/>
  <c r="C33" i="95"/>
  <c r="B33" i="95"/>
  <c r="C31" i="95"/>
  <c r="B31" i="95"/>
  <c r="C30" i="95"/>
  <c r="B30" i="95"/>
  <c r="C29" i="95"/>
  <c r="B29" i="95"/>
  <c r="C28" i="95"/>
  <c r="B28" i="95"/>
  <c r="C27" i="95"/>
  <c r="B27" i="95"/>
  <c r="C26" i="95"/>
  <c r="B26" i="95"/>
  <c r="C25" i="95"/>
  <c r="B25" i="95"/>
  <c r="C24" i="95"/>
  <c r="B24" i="95"/>
  <c r="C23" i="95"/>
  <c r="B23" i="95"/>
  <c r="C22" i="95"/>
  <c r="B22" i="95"/>
  <c r="C21" i="95"/>
  <c r="B21" i="95"/>
  <c r="C13" i="95"/>
  <c r="C12" i="95"/>
  <c r="C11" i="95"/>
  <c r="C10" i="95"/>
  <c r="C9" i="95"/>
  <c r="C61" i="116"/>
  <c r="B61" i="116"/>
  <c r="C20" i="116"/>
  <c r="B20" i="116"/>
  <c r="C16" i="116"/>
  <c r="B16" i="116"/>
  <c r="C60" i="116"/>
  <c r="B60" i="116"/>
  <c r="C57" i="116"/>
  <c r="B57" i="116"/>
  <c r="C56" i="116"/>
  <c r="B56" i="116"/>
  <c r="C55" i="116"/>
  <c r="B55" i="116"/>
  <c r="C54" i="116"/>
  <c r="B54" i="116"/>
  <c r="C51" i="116"/>
  <c r="B51" i="116"/>
  <c r="C50" i="116"/>
  <c r="B50" i="116"/>
  <c r="C49" i="116"/>
  <c r="B49" i="116"/>
  <c r="C48" i="116"/>
  <c r="B48" i="116"/>
  <c r="C47" i="116"/>
  <c r="B47" i="116"/>
  <c r="C46" i="116"/>
  <c r="B46" i="116"/>
  <c r="C45" i="116"/>
  <c r="B45" i="116"/>
  <c r="C44" i="116"/>
  <c r="B44" i="116"/>
  <c r="C43" i="116"/>
  <c r="B43" i="116"/>
  <c r="C42" i="116"/>
  <c r="B42" i="116"/>
  <c r="C40" i="116"/>
  <c r="B40" i="116"/>
  <c r="C39" i="116"/>
  <c r="B39" i="116"/>
  <c r="C38" i="116"/>
  <c r="B38" i="116"/>
  <c r="C37" i="116"/>
  <c r="B37" i="116"/>
  <c r="C36" i="116"/>
  <c r="B36" i="116"/>
  <c r="C35" i="116"/>
  <c r="B35" i="116"/>
  <c r="C34" i="116"/>
  <c r="B34" i="116"/>
  <c r="C33" i="116"/>
  <c r="B33" i="116"/>
  <c r="C31" i="116"/>
  <c r="B31" i="116"/>
  <c r="C30" i="116"/>
  <c r="B30" i="116"/>
  <c r="C29" i="116"/>
  <c r="B29" i="116"/>
  <c r="C28" i="116"/>
  <c r="B28" i="116"/>
  <c r="C27" i="116"/>
  <c r="B27" i="116"/>
  <c r="C26" i="116"/>
  <c r="B26" i="116"/>
  <c r="C25" i="116"/>
  <c r="B25" i="116"/>
  <c r="C24" i="116"/>
  <c r="B24" i="116"/>
  <c r="C23" i="116"/>
  <c r="B23" i="116"/>
  <c r="C22" i="116"/>
  <c r="B22" i="116"/>
  <c r="C21" i="116"/>
  <c r="B21" i="116"/>
  <c r="C13" i="116"/>
  <c r="C12" i="116"/>
  <c r="C11" i="116"/>
  <c r="C10" i="116"/>
  <c r="C9" i="116"/>
  <c r="C10" i="86"/>
  <c r="C11" i="86"/>
  <c r="C12" i="86"/>
  <c r="C13" i="86"/>
  <c r="B21" i="86"/>
  <c r="C21" i="86"/>
  <c r="B22" i="86"/>
  <c r="C22" i="86"/>
  <c r="B23" i="86"/>
  <c r="C23" i="86"/>
  <c r="B24" i="86"/>
  <c r="C24" i="86"/>
  <c r="B25" i="86"/>
  <c r="C25" i="86"/>
  <c r="B26" i="86"/>
  <c r="C26" i="86"/>
  <c r="B27" i="86"/>
  <c r="C27" i="86"/>
  <c r="B28" i="86"/>
  <c r="C28" i="86"/>
  <c r="B29" i="86"/>
  <c r="C29" i="86"/>
  <c r="B30" i="86"/>
  <c r="C30" i="86"/>
  <c r="B31" i="86"/>
  <c r="C31" i="86"/>
  <c r="B33" i="86"/>
  <c r="C33" i="86"/>
  <c r="B34" i="86"/>
  <c r="C34" i="86"/>
  <c r="B35" i="86"/>
  <c r="C35" i="86"/>
  <c r="B36" i="86"/>
  <c r="C36" i="86"/>
  <c r="B37" i="86"/>
  <c r="C37" i="86"/>
  <c r="B38" i="86"/>
  <c r="C38" i="86"/>
  <c r="B39" i="86"/>
  <c r="C39" i="86"/>
  <c r="B40" i="86"/>
  <c r="C40" i="86"/>
  <c r="B42" i="86"/>
  <c r="C42" i="86"/>
  <c r="B43" i="86"/>
  <c r="C43" i="86"/>
  <c r="B44" i="86"/>
  <c r="C44" i="86"/>
  <c r="B45" i="86"/>
  <c r="C45" i="86"/>
  <c r="B46" i="86"/>
  <c r="C46" i="86"/>
  <c r="B47" i="86"/>
  <c r="C47" i="86"/>
  <c r="B48" i="86"/>
  <c r="C48" i="86"/>
  <c r="B49" i="86"/>
  <c r="C49" i="86"/>
  <c r="B50" i="86"/>
  <c r="C50" i="86"/>
  <c r="B51" i="86"/>
  <c r="C51" i="86"/>
  <c r="B54" i="86"/>
  <c r="C54" i="86"/>
  <c r="B55" i="86"/>
  <c r="C55" i="86"/>
  <c r="B56" i="86"/>
  <c r="C56" i="86"/>
  <c r="B57" i="86"/>
  <c r="C57" i="86"/>
  <c r="B60" i="86"/>
  <c r="C60" i="86"/>
  <c r="C14" i="86"/>
  <c r="B16" i="86"/>
  <c r="C16" i="86"/>
  <c r="B17" i="86"/>
  <c r="C17" i="86"/>
  <c r="B18" i="86"/>
  <c r="C18" i="86"/>
  <c r="B19" i="86"/>
  <c r="C19" i="86"/>
  <c r="B20" i="86"/>
  <c r="C20" i="86"/>
  <c r="B61" i="86"/>
  <c r="C61" i="86"/>
  <c r="C9" i="86"/>
  <c r="B130" i="86"/>
  <c r="B123" i="86"/>
  <c r="B124" i="86"/>
  <c r="B127" i="86"/>
  <c r="B128" i="86"/>
  <c r="B129" i="86"/>
  <c r="C8" i="119"/>
  <c r="C8" i="118"/>
  <c r="C8" i="95"/>
  <c r="C4" i="120"/>
  <c r="C4" i="119"/>
  <c r="C4" i="118"/>
  <c r="C4" i="95"/>
  <c r="C4" i="116"/>
  <c r="C70" i="120"/>
  <c r="B70" i="120"/>
  <c r="C69" i="120"/>
  <c r="B69" i="120"/>
  <c r="C68" i="120"/>
  <c r="B68" i="120"/>
  <c r="C67" i="120"/>
  <c r="B67" i="120"/>
  <c r="C66" i="120"/>
  <c r="B66" i="120"/>
  <c r="C65" i="120"/>
  <c r="B65" i="120"/>
  <c r="C64" i="120"/>
  <c r="B64" i="120"/>
  <c r="C63" i="120"/>
  <c r="B63" i="120"/>
  <c r="C70" i="119"/>
  <c r="B70" i="119"/>
  <c r="C69" i="119"/>
  <c r="B69" i="119"/>
  <c r="C68" i="119"/>
  <c r="B68" i="119"/>
  <c r="C67" i="119"/>
  <c r="B67" i="119"/>
  <c r="C66" i="119"/>
  <c r="B66" i="119"/>
  <c r="C65" i="119"/>
  <c r="B65" i="119"/>
  <c r="C64" i="119"/>
  <c r="B64" i="119"/>
  <c r="C63" i="119"/>
  <c r="B63" i="119"/>
  <c r="C70" i="118"/>
  <c r="B70" i="118"/>
  <c r="C69" i="118"/>
  <c r="B69" i="118"/>
  <c r="C68" i="118"/>
  <c r="B68" i="118"/>
  <c r="C67" i="118"/>
  <c r="B67" i="118"/>
  <c r="C66" i="118"/>
  <c r="B66" i="118"/>
  <c r="C65" i="118"/>
  <c r="B65" i="118"/>
  <c r="C64" i="118"/>
  <c r="B64" i="118"/>
  <c r="C63" i="118"/>
  <c r="B63" i="118"/>
  <c r="C70" i="113"/>
  <c r="B70" i="113"/>
  <c r="C69" i="113"/>
  <c r="B69" i="113"/>
  <c r="C68" i="113"/>
  <c r="B68" i="113"/>
  <c r="C67" i="113"/>
  <c r="B67" i="113"/>
  <c r="C66" i="113"/>
  <c r="B66" i="113"/>
  <c r="C65" i="113"/>
  <c r="B65" i="113"/>
  <c r="C64" i="113"/>
  <c r="B64" i="113"/>
  <c r="C63" i="113"/>
  <c r="B63" i="113"/>
  <c r="C70" i="99"/>
  <c r="B70" i="99"/>
  <c r="C69" i="99"/>
  <c r="B69" i="99"/>
  <c r="C68" i="99"/>
  <c r="B68" i="99"/>
  <c r="C67" i="99"/>
  <c r="B67" i="99"/>
  <c r="C66" i="99"/>
  <c r="B66" i="99"/>
  <c r="C65" i="99"/>
  <c r="B65" i="99"/>
  <c r="C64" i="99"/>
  <c r="B64" i="99"/>
  <c r="C63" i="99"/>
  <c r="B63" i="99"/>
  <c r="C70" i="98"/>
  <c r="B70" i="98"/>
  <c r="C69" i="98"/>
  <c r="B69" i="98"/>
  <c r="C68" i="98"/>
  <c r="B68" i="98"/>
  <c r="C67" i="98"/>
  <c r="B67" i="98"/>
  <c r="C66" i="98"/>
  <c r="B66" i="98"/>
  <c r="C65" i="98"/>
  <c r="B65" i="98"/>
  <c r="C64" i="98"/>
  <c r="B64" i="98"/>
  <c r="C63" i="98"/>
  <c r="B63" i="98"/>
  <c r="C70" i="117"/>
  <c r="B70" i="117"/>
  <c r="C69" i="117"/>
  <c r="B69" i="117"/>
  <c r="C68" i="117"/>
  <c r="B68" i="117"/>
  <c r="C67" i="117"/>
  <c r="B67" i="117"/>
  <c r="C66" i="117"/>
  <c r="B66" i="117"/>
  <c r="C65" i="117"/>
  <c r="B65" i="117"/>
  <c r="C64" i="117"/>
  <c r="B64" i="117"/>
  <c r="C63" i="117"/>
  <c r="B63" i="117"/>
  <c r="C70" i="97"/>
  <c r="B70" i="97"/>
  <c r="C69" i="97"/>
  <c r="B69" i="97"/>
  <c r="C68" i="97"/>
  <c r="B68" i="97"/>
  <c r="C67" i="97"/>
  <c r="B67" i="97"/>
  <c r="C66" i="97"/>
  <c r="B66" i="97"/>
  <c r="C65" i="97"/>
  <c r="B65" i="97"/>
  <c r="C64" i="97"/>
  <c r="B64" i="97"/>
  <c r="C63" i="97"/>
  <c r="B63" i="97"/>
  <c r="C70" i="96"/>
  <c r="B70" i="96"/>
  <c r="C69" i="96"/>
  <c r="B69" i="96"/>
  <c r="C68" i="96"/>
  <c r="B68" i="96"/>
  <c r="C67" i="96"/>
  <c r="B67" i="96"/>
  <c r="C66" i="96"/>
  <c r="B66" i="96"/>
  <c r="C65" i="96"/>
  <c r="B65" i="96"/>
  <c r="C64" i="96"/>
  <c r="B64" i="96"/>
  <c r="C63" i="96"/>
  <c r="B63" i="96"/>
  <c r="C70" i="91"/>
  <c r="B70" i="91"/>
  <c r="C69" i="91"/>
  <c r="B69" i="91"/>
  <c r="C68" i="91"/>
  <c r="B68" i="91"/>
  <c r="C67" i="91"/>
  <c r="B67" i="91"/>
  <c r="C66" i="91"/>
  <c r="B66" i="91"/>
  <c r="C65" i="91"/>
  <c r="B65" i="91"/>
  <c r="C64" i="91"/>
  <c r="B64" i="91"/>
  <c r="C63" i="91"/>
  <c r="B63" i="91"/>
  <c r="C8" i="116"/>
  <c r="C70" i="116"/>
  <c r="B70" i="116"/>
  <c r="C69" i="116"/>
  <c r="B69" i="116"/>
  <c r="C68" i="116"/>
  <c r="B68" i="116"/>
  <c r="C67" i="116"/>
  <c r="B67" i="116"/>
  <c r="C66" i="116"/>
  <c r="B66" i="116"/>
  <c r="C65" i="116"/>
  <c r="B65" i="116"/>
  <c r="C64" i="116"/>
  <c r="B64" i="116"/>
  <c r="C63" i="116"/>
  <c r="B63" i="116"/>
  <c r="C65" i="86"/>
  <c r="C66" i="86"/>
  <c r="C67" i="86"/>
  <c r="C68" i="86"/>
  <c r="C69" i="86"/>
  <c r="C70" i="86"/>
  <c r="B69" i="86"/>
  <c r="B70" i="86"/>
  <c r="B66" i="86"/>
  <c r="B67" i="86"/>
  <c r="B68" i="86"/>
  <c r="B65" i="86"/>
  <c r="B64" i="86"/>
  <c r="B63" i="86"/>
  <c r="C64" i="86"/>
  <c r="C122" i="86"/>
  <c r="C123" i="86"/>
  <c r="C124" i="86"/>
  <c r="C127" i="86"/>
  <c r="C128" i="86"/>
  <c r="C129" i="86"/>
  <c r="C130" i="86"/>
  <c r="C131" i="86"/>
  <c r="C132" i="86"/>
  <c r="C133" i="86"/>
  <c r="C134" i="86"/>
  <c r="C121" i="86"/>
  <c r="C8" i="86"/>
  <c r="C63" i="86"/>
  <c r="L18" i="88"/>
  <c r="L19" i="88"/>
  <c r="L20" i="88"/>
  <c r="L21" i="88"/>
  <c r="I18" i="88"/>
  <c r="I19" i="88"/>
  <c r="I20" i="88"/>
  <c r="I21" i="88"/>
  <c r="L17" i="88"/>
  <c r="M17" i="88" s="1"/>
  <c r="M21" i="88"/>
  <c r="J17" i="88"/>
  <c r="K17" i="88" s="1"/>
  <c r="N17" i="88"/>
  <c r="O17" i="88" s="1"/>
  <c r="J18" i="88"/>
  <c r="K18" i="88" s="1"/>
  <c r="M18" i="88"/>
  <c r="N18" i="88"/>
  <c r="J19" i="88"/>
  <c r="K19" i="88" s="1"/>
  <c r="N19" i="88"/>
  <c r="O19" i="88" s="1"/>
  <c r="J20" i="88"/>
  <c r="K20" i="88" s="1"/>
  <c r="M20" i="88"/>
  <c r="N20" i="88"/>
  <c r="O20" i="88" s="1"/>
  <c r="J21" i="88"/>
  <c r="K21" i="88" s="1"/>
  <c r="N21" i="88"/>
  <c r="O21" i="88" s="1"/>
  <c r="M19" i="88"/>
  <c r="O18" i="88"/>
  <c r="I17" i="88"/>
  <c r="J9" i="88"/>
  <c r="K9" i="88" s="1"/>
  <c r="L10" i="88"/>
  <c r="M10" i="88" s="1"/>
  <c r="J6" i="88"/>
  <c r="K6" i="88" s="1"/>
  <c r="K11" i="88" s="1"/>
  <c r="L26" i="88" s="1"/>
  <c r="C15" i="88" s="1"/>
  <c r="L7" i="88"/>
  <c r="M7" i="88" s="1"/>
  <c r="J7" i="88"/>
  <c r="K7" i="88" s="1"/>
  <c r="J8" i="88"/>
  <c r="K8" i="88" s="1"/>
  <c r="L8" i="88"/>
  <c r="M8" i="88" s="1"/>
  <c r="L6" i="88"/>
  <c r="M6" i="88" s="1"/>
  <c r="M11" i="88" s="1"/>
  <c r="L9" i="88"/>
  <c r="M9" i="88" s="1"/>
  <c r="J10" i="88"/>
  <c r="K10" i="88" s="1"/>
  <c r="H10" i="88"/>
  <c r="I10" i="88" s="1"/>
  <c r="H7" i="88"/>
  <c r="I7" i="88" s="1"/>
  <c r="H8" i="88"/>
  <c r="I8" i="88" s="1"/>
  <c r="H9" i="88"/>
  <c r="I9" i="88" s="1"/>
  <c r="V23" i="94" l="1"/>
  <c r="CP23" i="94"/>
  <c r="AA26" i="94"/>
  <c r="CU26" i="94"/>
  <c r="AF25" i="94"/>
  <c r="CZ25" i="94"/>
  <c r="V5" i="94"/>
  <c r="CP5" i="94"/>
  <c r="AE24" i="94"/>
  <c r="CY24" i="94"/>
  <c r="E107" i="134"/>
  <c r="JB23" i="94"/>
  <c r="JB5" i="94"/>
  <c r="C14" i="145" s="1"/>
  <c r="F69" i="86"/>
  <c r="F65" i="86"/>
  <c r="F8" i="98"/>
  <c r="JH7" i="94"/>
  <c r="C20" i="145" s="1"/>
  <c r="HL7" i="94"/>
  <c r="AB7" i="94"/>
  <c r="CV7" i="94"/>
  <c r="HF5" i="94"/>
  <c r="HF23" i="94"/>
  <c r="CT15" i="94"/>
  <c r="HJ15" i="94"/>
  <c r="JF15" i="94"/>
  <c r="Z15" i="94"/>
  <c r="HF14" i="94"/>
  <c r="JB14" i="94"/>
  <c r="D14" i="145" s="1"/>
  <c r="V14" i="94"/>
  <c r="CP14" i="94"/>
  <c r="DG17" i="94"/>
  <c r="HW17" i="94"/>
  <c r="IU17" i="94"/>
  <c r="GA17" i="94"/>
  <c r="JH17" i="94"/>
  <c r="D20" i="145" s="1"/>
  <c r="E20" i="145" s="1"/>
  <c r="AB17" i="94"/>
  <c r="IJ17" i="94"/>
  <c r="FP17" i="94"/>
  <c r="CV17" i="94"/>
  <c r="HL17" i="94"/>
  <c r="ER17" i="94"/>
  <c r="E107" i="96"/>
  <c r="E111" i="96"/>
  <c r="E134" i="96" s="1"/>
  <c r="H134" i="96" s="1"/>
  <c r="E111" i="91"/>
  <c r="F113" i="123"/>
  <c r="F110" i="95"/>
  <c r="F112" i="96"/>
  <c r="E128" i="140"/>
  <c r="E111" i="140"/>
  <c r="E113" i="140"/>
  <c r="E110" i="140"/>
  <c r="E108" i="140"/>
  <c r="E133" i="140" s="1"/>
  <c r="E107" i="140"/>
  <c r="E112" i="140"/>
  <c r="E106" i="140"/>
  <c r="DK16" i="94"/>
  <c r="AQ16" i="94"/>
  <c r="I5" i="137"/>
  <c r="H5" i="137"/>
  <c r="I5" i="117"/>
  <c r="H5" i="117"/>
  <c r="I5" i="119"/>
  <c r="H5" i="119"/>
  <c r="I5" i="135"/>
  <c r="H5" i="135"/>
  <c r="I5" i="91"/>
  <c r="H5" i="91"/>
  <c r="I5" i="116"/>
  <c r="H5" i="116"/>
  <c r="I5" i="96"/>
  <c r="H5" i="96"/>
  <c r="I5" i="132"/>
  <c r="H5" i="132"/>
  <c r="I5" i="98"/>
  <c r="H5" i="98"/>
  <c r="I5" i="97"/>
  <c r="H5" i="97"/>
  <c r="I5" i="86"/>
  <c r="H5" i="86"/>
  <c r="I5" i="139"/>
  <c r="H5" i="139"/>
  <c r="I5" i="118"/>
  <c r="H5" i="118"/>
  <c r="I5" i="140"/>
  <c r="H5" i="140"/>
  <c r="I5" i="99"/>
  <c r="H5" i="99"/>
  <c r="I5" i="113"/>
  <c r="H5" i="113"/>
  <c r="I5" i="133"/>
  <c r="H5" i="133"/>
  <c r="I5" i="134"/>
  <c r="H5" i="134"/>
  <c r="I5" i="95"/>
  <c r="H5" i="95"/>
  <c r="I5" i="120"/>
  <c r="H5" i="120"/>
  <c r="I5" i="136"/>
  <c r="H5" i="136"/>
  <c r="I5" i="138"/>
  <c r="H5" i="138"/>
  <c r="I5" i="123"/>
  <c r="H5" i="123"/>
  <c r="F19" i="91"/>
  <c r="F51" i="91"/>
  <c r="F43" i="91"/>
  <c r="F34" i="91"/>
  <c r="F25" i="91"/>
  <c r="F30" i="139"/>
  <c r="F29" i="91"/>
  <c r="F21" i="91"/>
  <c r="F55" i="138"/>
  <c r="F45" i="138"/>
  <c r="F36" i="138"/>
  <c r="F27" i="138"/>
  <c r="F19" i="140"/>
  <c r="F51" i="140"/>
  <c r="F43" i="140"/>
  <c r="F34" i="140"/>
  <c r="F25" i="140"/>
  <c r="F11" i="140"/>
  <c r="IB6" i="94"/>
  <c r="F39" i="139"/>
  <c r="F51" i="134"/>
  <c r="F48" i="139"/>
  <c r="F37" i="119"/>
  <c r="F28" i="119"/>
  <c r="F14" i="119"/>
  <c r="F20" i="113"/>
  <c r="F54" i="113"/>
  <c r="F44" i="113"/>
  <c r="F26" i="113"/>
  <c r="F40" i="98"/>
  <c r="F23" i="98"/>
  <c r="F57" i="97"/>
  <c r="F38" i="97"/>
  <c r="F22" i="139"/>
  <c r="F55" i="118"/>
  <c r="F57" i="137"/>
  <c r="F47" i="137"/>
  <c r="F38" i="137"/>
  <c r="F29" i="137"/>
  <c r="F21" i="137"/>
  <c r="F23" i="96"/>
  <c r="F60" i="139"/>
  <c r="F9" i="139"/>
  <c r="F20" i="118"/>
  <c r="F19" i="136"/>
  <c r="F51" i="136"/>
  <c r="F43" i="136"/>
  <c r="F33" i="136"/>
  <c r="F24" i="136"/>
  <c r="F11" i="136"/>
  <c r="F56" i="137"/>
  <c r="F46" i="137"/>
  <c r="F37" i="137"/>
  <c r="F28" i="137"/>
  <c r="F14" i="137"/>
  <c r="F48" i="120"/>
  <c r="F39" i="120"/>
  <c r="F30" i="120"/>
  <c r="F22" i="120"/>
  <c r="F9" i="120"/>
  <c r="F17" i="135"/>
  <c r="F49" i="135"/>
  <c r="F40" i="135"/>
  <c r="F31" i="135"/>
  <c r="F23" i="135"/>
  <c r="F10" i="135"/>
  <c r="IA16" i="94"/>
  <c r="F20" i="136"/>
  <c r="F54" i="136"/>
  <c r="F44" i="136"/>
  <c r="F34" i="136"/>
  <c r="F25" i="136"/>
  <c r="F12" i="136"/>
  <c r="F12" i="133"/>
  <c r="F57" i="120"/>
  <c r="F29" i="120"/>
  <c r="F61" i="140"/>
  <c r="F55" i="140"/>
  <c r="F45" i="140"/>
  <c r="F36" i="140"/>
  <c r="F27" i="140"/>
  <c r="F13" i="140"/>
  <c r="F113" i="124"/>
  <c r="F108" i="124"/>
  <c r="I5" i="124"/>
  <c r="H5" i="124"/>
  <c r="F8" i="138"/>
  <c r="F8" i="140"/>
  <c r="F14" i="145"/>
  <c r="D15" i="145"/>
  <c r="E15" i="145" s="1"/>
  <c r="F4" i="96"/>
  <c r="F5" i="96" s="1"/>
  <c r="F20" i="145"/>
  <c r="AI26" i="94"/>
  <c r="DF7" i="94"/>
  <c r="HV7" i="94"/>
  <c r="HY6" i="94"/>
  <c r="AO6" i="94"/>
  <c r="DI6" i="94"/>
  <c r="IW6" i="94"/>
  <c r="AI16" i="94"/>
  <c r="DB25" i="94"/>
  <c r="AH25" i="94"/>
  <c r="F67" i="134"/>
  <c r="F67" i="138"/>
  <c r="F69" i="132"/>
  <c r="F65" i="91"/>
  <c r="F65" i="138"/>
  <c r="F69" i="138"/>
  <c r="F65" i="97"/>
  <c r="F65" i="139"/>
  <c r="F69" i="139"/>
  <c r="F69" i="140"/>
  <c r="F63" i="132"/>
  <c r="F66" i="124"/>
  <c r="F70" i="124"/>
  <c r="F67" i="132"/>
  <c r="F67" i="96"/>
  <c r="B86" i="117"/>
  <c r="B84" i="97"/>
  <c r="B86" i="98"/>
  <c r="B123" i="113"/>
  <c r="B85" i="97"/>
  <c r="B84" i="98"/>
  <c r="B86" i="113"/>
  <c r="B128" i="120"/>
  <c r="B85" i="98"/>
  <c r="B84" i="113"/>
  <c r="B86" i="118"/>
  <c r="B128" i="118"/>
  <c r="B128" i="119"/>
  <c r="B85" i="113"/>
  <c r="B85" i="118"/>
  <c r="B92" i="96"/>
  <c r="B84" i="119"/>
  <c r="B130" i="117"/>
  <c r="E111" i="117"/>
  <c r="B130" i="99"/>
  <c r="E112" i="117"/>
  <c r="I112" i="117" s="1"/>
  <c r="E105" i="117"/>
  <c r="E132" i="117" s="1"/>
  <c r="B130" i="95"/>
  <c r="B130" i="98"/>
  <c r="E128" i="117"/>
  <c r="B130" i="123"/>
  <c r="B130" i="91"/>
  <c r="B130" i="116"/>
  <c r="B130" i="97"/>
  <c r="E107" i="117"/>
  <c r="B100" i="120"/>
  <c r="B130" i="96"/>
  <c r="F134" i="96"/>
  <c r="B93" i="96"/>
  <c r="B84" i="120"/>
  <c r="B85" i="120"/>
  <c r="B129" i="118"/>
  <c r="B130" i="119"/>
  <c r="B125" i="91"/>
  <c r="B125" i="95"/>
  <c r="B84" i="118"/>
  <c r="B86" i="120"/>
  <c r="B125" i="99"/>
  <c r="B86" i="119"/>
  <c r="B76" i="86"/>
  <c r="B76" i="96"/>
  <c r="B77" i="98"/>
  <c r="B75" i="119"/>
  <c r="B77" i="86"/>
  <c r="B75" i="124"/>
  <c r="B76" i="124"/>
  <c r="B75" i="97"/>
  <c r="B76" i="118"/>
  <c r="B124" i="120"/>
  <c r="B85" i="119"/>
  <c r="B75" i="95"/>
  <c r="B77" i="124"/>
  <c r="B75" i="99"/>
  <c r="B77" i="118"/>
  <c r="B125" i="124"/>
  <c r="B76" i="95"/>
  <c r="B77" i="99"/>
  <c r="B76" i="117"/>
  <c r="B122" i="86"/>
  <c r="B75" i="116"/>
  <c r="B77" i="95"/>
  <c r="B77" i="117"/>
  <c r="B75" i="113"/>
  <c r="B77" i="120"/>
  <c r="B125" i="113"/>
  <c r="B75" i="86"/>
  <c r="B77" i="116"/>
  <c r="B76" i="91"/>
  <c r="B75" i="123"/>
  <c r="B76" i="98"/>
  <c r="B103" i="116"/>
  <c r="B103" i="124"/>
  <c r="B77" i="91"/>
  <c r="B103" i="99"/>
  <c r="B77" i="96"/>
  <c r="B75" i="117"/>
  <c r="B75" i="98"/>
  <c r="B75" i="118"/>
  <c r="B75" i="120"/>
  <c r="B87" i="86"/>
  <c r="B88" i="99"/>
  <c r="B88" i="97"/>
  <c r="B88" i="119"/>
  <c r="F112" i="118"/>
  <c r="E128" i="120"/>
  <c r="E107" i="120"/>
  <c r="E105" i="118"/>
  <c r="E132" i="118" s="1"/>
  <c r="E110" i="118"/>
  <c r="F110" i="118" s="1"/>
  <c r="E113" i="117"/>
  <c r="E109" i="99"/>
  <c r="F109" i="99" s="1"/>
  <c r="E110" i="99"/>
  <c r="F110" i="99" s="1"/>
  <c r="E105" i="132"/>
  <c r="E132" i="132" s="1"/>
  <c r="B104" i="116"/>
  <c r="B104" i="124"/>
  <c r="B104" i="99"/>
  <c r="B102" i="123"/>
  <c r="B102" i="97"/>
  <c r="B102" i="113"/>
  <c r="B102" i="119"/>
  <c r="B76" i="120"/>
  <c r="B131" i="116"/>
  <c r="B131" i="95"/>
  <c r="B131" i="124"/>
  <c r="B131" i="91"/>
  <c r="B131" i="99"/>
  <c r="B131" i="96"/>
  <c r="B131" i="123"/>
  <c r="B131" i="117"/>
  <c r="B131" i="97"/>
  <c r="B131" i="98"/>
  <c r="B131" i="113"/>
  <c r="B131" i="118"/>
  <c r="B88" i="86"/>
  <c r="B87" i="91"/>
  <c r="B89" i="99"/>
  <c r="B87" i="117"/>
  <c r="B89" i="97"/>
  <c r="B87" i="118"/>
  <c r="B89" i="119"/>
  <c r="B126" i="96"/>
  <c r="B126" i="97"/>
  <c r="F109" i="124"/>
  <c r="F113" i="99"/>
  <c r="E107" i="118"/>
  <c r="E110" i="117"/>
  <c r="E107" i="99"/>
  <c r="E112" i="91"/>
  <c r="H112" i="91" s="1"/>
  <c r="E128" i="132"/>
  <c r="E111" i="132"/>
  <c r="F111" i="132" s="1"/>
  <c r="B102" i="86"/>
  <c r="B102" i="95"/>
  <c r="B102" i="91"/>
  <c r="B76" i="99"/>
  <c r="B104" i="123"/>
  <c r="B104" i="97"/>
  <c r="B104" i="113"/>
  <c r="B104" i="119"/>
  <c r="B122" i="116"/>
  <c r="B122" i="95"/>
  <c r="B122" i="124"/>
  <c r="B122" i="91"/>
  <c r="B122" i="99"/>
  <c r="B122" i="96"/>
  <c r="B122" i="123"/>
  <c r="B122" i="117"/>
  <c r="B122" i="97"/>
  <c r="B122" i="98"/>
  <c r="B122" i="113"/>
  <c r="B122" i="118"/>
  <c r="B87" i="116"/>
  <c r="B87" i="124"/>
  <c r="B89" i="91"/>
  <c r="B87" i="123"/>
  <c r="B89" i="117"/>
  <c r="B87" i="113"/>
  <c r="B89" i="118"/>
  <c r="B125" i="123"/>
  <c r="F111" i="120"/>
  <c r="F110" i="116"/>
  <c r="E105" i="120"/>
  <c r="E132" i="120" s="1"/>
  <c r="E105" i="119"/>
  <c r="E132" i="119" s="1"/>
  <c r="E109" i="117"/>
  <c r="F109" i="117" s="1"/>
  <c r="E108" i="117"/>
  <c r="F108" i="117" s="1"/>
  <c r="E113" i="132"/>
  <c r="I113" i="132" s="1"/>
  <c r="E109" i="132"/>
  <c r="H109" i="132" s="1"/>
  <c r="B126" i="118"/>
  <c r="B103" i="86"/>
  <c r="B103" i="95"/>
  <c r="B103" i="91"/>
  <c r="B88" i="116"/>
  <c r="B88" i="124"/>
  <c r="B88" i="123"/>
  <c r="B88" i="113"/>
  <c r="F112" i="119"/>
  <c r="F110" i="86"/>
  <c r="E110" i="132"/>
  <c r="I110" i="132" s="1"/>
  <c r="B131" i="86"/>
  <c r="B104" i="86"/>
  <c r="B104" i="95"/>
  <c r="B104" i="91"/>
  <c r="B102" i="96"/>
  <c r="B76" i="123"/>
  <c r="B102" i="117"/>
  <c r="B76" i="97"/>
  <c r="B102" i="98"/>
  <c r="B76" i="113"/>
  <c r="B102" i="118"/>
  <c r="B76" i="119"/>
  <c r="B102" i="120"/>
  <c r="B126" i="86"/>
  <c r="B89" i="116"/>
  <c r="B87" i="95"/>
  <c r="B89" i="124"/>
  <c r="B87" i="96"/>
  <c r="B89" i="123"/>
  <c r="B87" i="98"/>
  <c r="B89" i="113"/>
  <c r="B87" i="120"/>
  <c r="F109" i="123"/>
  <c r="E109" i="120"/>
  <c r="F109" i="120" s="1"/>
  <c r="E109" i="118"/>
  <c r="F109" i="118" s="1"/>
  <c r="E106" i="118"/>
  <c r="E111" i="99"/>
  <c r="E134" i="99" s="1"/>
  <c r="E106" i="99"/>
  <c r="E107" i="132"/>
  <c r="E108" i="132"/>
  <c r="B126" i="91"/>
  <c r="B75" i="91"/>
  <c r="B75" i="96"/>
  <c r="B103" i="96"/>
  <c r="B77" i="123"/>
  <c r="B103" i="117"/>
  <c r="B77" i="97"/>
  <c r="B103" i="98"/>
  <c r="B77" i="113"/>
  <c r="B103" i="118"/>
  <c r="B77" i="119"/>
  <c r="B103" i="120"/>
  <c r="B88" i="95"/>
  <c r="B88" i="96"/>
  <c r="B88" i="98"/>
  <c r="B88" i="120"/>
  <c r="B126" i="124"/>
  <c r="B126" i="99"/>
  <c r="F111" i="123"/>
  <c r="F111" i="91"/>
  <c r="E113" i="120"/>
  <c r="F113" i="120" s="1"/>
  <c r="E106" i="120"/>
  <c r="E128" i="119"/>
  <c r="E111" i="118"/>
  <c r="E134" i="118" s="1"/>
  <c r="E108" i="99"/>
  <c r="F108" i="99" s="1"/>
  <c r="E112" i="132"/>
  <c r="B102" i="116"/>
  <c r="B102" i="124"/>
  <c r="B102" i="99"/>
  <c r="B104" i="96"/>
  <c r="B104" i="117"/>
  <c r="B104" i="98"/>
  <c r="B104" i="118"/>
  <c r="B104" i="120"/>
  <c r="B130" i="118"/>
  <c r="B126" i="116"/>
  <c r="B89" i="95"/>
  <c r="B87" i="99"/>
  <c r="B89" i="96"/>
  <c r="B87" i="97"/>
  <c r="B89" i="98"/>
  <c r="B87" i="119"/>
  <c r="B89" i="120"/>
  <c r="B126" i="113"/>
  <c r="F134" i="120"/>
  <c r="F110" i="123"/>
  <c r="E110" i="120"/>
  <c r="F110" i="120" s="1"/>
  <c r="E108" i="118"/>
  <c r="E133" i="118" s="1"/>
  <c r="E112" i="99"/>
  <c r="F112" i="99" s="1"/>
  <c r="E105" i="99"/>
  <c r="E132" i="99" s="1"/>
  <c r="B122" i="119"/>
  <c r="B129" i="119"/>
  <c r="B90" i="96"/>
  <c r="B130" i="120"/>
  <c r="B126" i="123"/>
  <c r="B123" i="119"/>
  <c r="B126" i="98"/>
  <c r="B95" i="96"/>
  <c r="B126" i="117"/>
  <c r="B123" i="120"/>
  <c r="B125" i="97"/>
  <c r="E121" i="113"/>
  <c r="E133" i="123"/>
  <c r="H108" i="123"/>
  <c r="I108" i="123"/>
  <c r="I112" i="96"/>
  <c r="H112" i="96"/>
  <c r="I111" i="96"/>
  <c r="H111" i="96"/>
  <c r="H110" i="124"/>
  <c r="I110" i="124"/>
  <c r="H112" i="116"/>
  <c r="I112" i="116"/>
  <c r="E133" i="116"/>
  <c r="H108" i="116"/>
  <c r="I108" i="116"/>
  <c r="E121" i="116"/>
  <c r="B75" i="132"/>
  <c r="B83" i="132"/>
  <c r="B91" i="132"/>
  <c r="B99" i="132"/>
  <c r="B76" i="133"/>
  <c r="B84" i="133"/>
  <c r="B92" i="133"/>
  <c r="B100" i="133"/>
  <c r="B125" i="133"/>
  <c r="B129" i="133"/>
  <c r="B76" i="134"/>
  <c r="B84" i="134"/>
  <c r="B92" i="134"/>
  <c r="B100" i="134"/>
  <c r="B125" i="134"/>
  <c r="B129" i="134"/>
  <c r="E121" i="134"/>
  <c r="B76" i="135"/>
  <c r="B84" i="135"/>
  <c r="B92" i="135"/>
  <c r="B100" i="135"/>
  <c r="B125" i="135"/>
  <c r="B129" i="135"/>
  <c r="B79" i="136"/>
  <c r="B87" i="136"/>
  <c r="B95" i="136"/>
  <c r="B103" i="136"/>
  <c r="I109" i="136"/>
  <c r="H109" i="136"/>
  <c r="B75" i="137"/>
  <c r="B83" i="137"/>
  <c r="B91" i="137"/>
  <c r="B99" i="137"/>
  <c r="I112" i="137"/>
  <c r="H112" i="137"/>
  <c r="B78" i="138"/>
  <c r="B86" i="138"/>
  <c r="B94" i="138"/>
  <c r="B102" i="138"/>
  <c r="B122" i="138"/>
  <c r="B126" i="138"/>
  <c r="B130" i="138"/>
  <c r="B82" i="139"/>
  <c r="B90" i="139"/>
  <c r="B98" i="139"/>
  <c r="B124" i="139"/>
  <c r="B128" i="139"/>
  <c r="B75" i="140"/>
  <c r="B83" i="140"/>
  <c r="B91" i="140"/>
  <c r="B99" i="140"/>
  <c r="I110" i="140"/>
  <c r="H110" i="140"/>
  <c r="E122" i="132"/>
  <c r="E121" i="136"/>
  <c r="E134" i="139"/>
  <c r="H134" i="139" s="1"/>
  <c r="I111" i="139"/>
  <c r="H111" i="139"/>
  <c r="B122" i="120"/>
  <c r="B91" i="96"/>
  <c r="B125" i="120"/>
  <c r="E121" i="96"/>
  <c r="I109" i="116"/>
  <c r="H109" i="116"/>
  <c r="I112" i="86"/>
  <c r="H112" i="86"/>
  <c r="E134" i="86"/>
  <c r="F134" i="86" s="1"/>
  <c r="I111" i="86"/>
  <c r="H111" i="86"/>
  <c r="B76" i="132"/>
  <c r="B84" i="132"/>
  <c r="B92" i="132"/>
  <c r="B100" i="132"/>
  <c r="B125" i="132"/>
  <c r="B129" i="132"/>
  <c r="B77" i="133"/>
  <c r="B85" i="133"/>
  <c r="B93" i="133"/>
  <c r="B101" i="133"/>
  <c r="B77" i="134"/>
  <c r="B85" i="134"/>
  <c r="B93" i="134"/>
  <c r="B101" i="134"/>
  <c r="B77" i="135"/>
  <c r="B85" i="135"/>
  <c r="B93" i="135"/>
  <c r="B101" i="135"/>
  <c r="I112" i="135"/>
  <c r="H112" i="135"/>
  <c r="B80" i="136"/>
  <c r="B88" i="136"/>
  <c r="B96" i="136"/>
  <c r="B104" i="136"/>
  <c r="B123" i="136"/>
  <c r="B127" i="136"/>
  <c r="B131" i="136"/>
  <c r="I113" i="136"/>
  <c r="H113" i="136"/>
  <c r="B76" i="137"/>
  <c r="B84" i="137"/>
  <c r="B92" i="137"/>
  <c r="B100" i="137"/>
  <c r="B125" i="137"/>
  <c r="B129" i="137"/>
  <c r="B79" i="138"/>
  <c r="B87" i="138"/>
  <c r="B95" i="138"/>
  <c r="B103" i="138"/>
  <c r="I111" i="138"/>
  <c r="H111" i="138"/>
  <c r="B75" i="139"/>
  <c r="B83" i="139"/>
  <c r="B91" i="139"/>
  <c r="B99" i="139"/>
  <c r="B76" i="140"/>
  <c r="B84" i="140"/>
  <c r="B92" i="140"/>
  <c r="B100" i="140"/>
  <c r="B125" i="140"/>
  <c r="B129" i="140"/>
  <c r="I108" i="118"/>
  <c r="I113" i="118"/>
  <c r="H113" i="118"/>
  <c r="H110" i="96"/>
  <c r="I110" i="96"/>
  <c r="I113" i="99"/>
  <c r="H113" i="99"/>
  <c r="I109" i="86"/>
  <c r="H109" i="86"/>
  <c r="E133" i="86"/>
  <c r="F133" i="86" s="1"/>
  <c r="I108" i="86"/>
  <c r="H108" i="86"/>
  <c r="B77" i="132"/>
  <c r="B85" i="132"/>
  <c r="B93" i="132"/>
  <c r="B101" i="132"/>
  <c r="I109" i="132"/>
  <c r="B78" i="133"/>
  <c r="B86" i="133"/>
  <c r="B94" i="133"/>
  <c r="B102" i="133"/>
  <c r="B122" i="133"/>
  <c r="B126" i="133"/>
  <c r="B130" i="133"/>
  <c r="B78" i="134"/>
  <c r="B86" i="134"/>
  <c r="B94" i="134"/>
  <c r="B102" i="134"/>
  <c r="B122" i="134"/>
  <c r="B126" i="134"/>
  <c r="B130" i="134"/>
  <c r="B78" i="135"/>
  <c r="B86" i="135"/>
  <c r="B94" i="135"/>
  <c r="B102" i="135"/>
  <c r="B122" i="135"/>
  <c r="B126" i="135"/>
  <c r="B130" i="135"/>
  <c r="B81" i="136"/>
  <c r="B89" i="136"/>
  <c r="B97" i="136"/>
  <c r="H110" i="136"/>
  <c r="I110" i="136"/>
  <c r="I108" i="136"/>
  <c r="H108" i="136"/>
  <c r="B77" i="137"/>
  <c r="B85" i="137"/>
  <c r="B93" i="137"/>
  <c r="B101" i="137"/>
  <c r="I111" i="137"/>
  <c r="H111" i="137"/>
  <c r="B80" i="138"/>
  <c r="B88" i="138"/>
  <c r="B96" i="138"/>
  <c r="B104" i="138"/>
  <c r="B123" i="138"/>
  <c r="B127" i="138"/>
  <c r="B131" i="138"/>
  <c r="B76" i="139"/>
  <c r="B84" i="139"/>
  <c r="B92" i="139"/>
  <c r="B100" i="139"/>
  <c r="B125" i="139"/>
  <c r="B129" i="139"/>
  <c r="B77" i="140"/>
  <c r="B85" i="140"/>
  <c r="B93" i="140"/>
  <c r="B101" i="140"/>
  <c r="I112" i="140"/>
  <c r="H112" i="140"/>
  <c r="B131" i="120"/>
  <c r="B124" i="119"/>
  <c r="E121" i="98"/>
  <c r="I113" i="117"/>
  <c r="H113" i="117"/>
  <c r="H110" i="99"/>
  <c r="E121" i="124"/>
  <c r="I113" i="95"/>
  <c r="H113" i="95"/>
  <c r="B78" i="132"/>
  <c r="B86" i="132"/>
  <c r="B94" i="132"/>
  <c r="B102" i="132"/>
  <c r="B122" i="132"/>
  <c r="B126" i="132"/>
  <c r="B130" i="132"/>
  <c r="B79" i="133"/>
  <c r="B87" i="133"/>
  <c r="B95" i="133"/>
  <c r="B103" i="133"/>
  <c r="B79" i="134"/>
  <c r="B87" i="134"/>
  <c r="B95" i="134"/>
  <c r="B103" i="134"/>
  <c r="B79" i="135"/>
  <c r="B87" i="135"/>
  <c r="B95" i="135"/>
  <c r="B103" i="135"/>
  <c r="I111" i="135"/>
  <c r="H111" i="135"/>
  <c r="B82" i="136"/>
  <c r="B90" i="136"/>
  <c r="B98" i="136"/>
  <c r="B124" i="136"/>
  <c r="B128" i="136"/>
  <c r="B78" i="137"/>
  <c r="B86" i="137"/>
  <c r="B94" i="137"/>
  <c r="B102" i="137"/>
  <c r="B122" i="137"/>
  <c r="B126" i="137"/>
  <c r="B130" i="137"/>
  <c r="F111" i="137"/>
  <c r="B81" i="138"/>
  <c r="B89" i="138"/>
  <c r="B97" i="138"/>
  <c r="I109" i="138"/>
  <c r="H109" i="138"/>
  <c r="B77" i="139"/>
  <c r="B85" i="139"/>
  <c r="B93" i="139"/>
  <c r="B101" i="139"/>
  <c r="B78" i="140"/>
  <c r="B86" i="140"/>
  <c r="B94" i="140"/>
  <c r="B102" i="140"/>
  <c r="B122" i="140"/>
  <c r="B126" i="140"/>
  <c r="B130" i="140"/>
  <c r="E121" i="139"/>
  <c r="B126" i="120"/>
  <c r="E133" i="120"/>
  <c r="H133" i="120" s="1"/>
  <c r="I108" i="120"/>
  <c r="H108" i="120"/>
  <c r="I113" i="98"/>
  <c r="H113" i="98"/>
  <c r="H110" i="117"/>
  <c r="I110" i="117"/>
  <c r="I113" i="123"/>
  <c r="H113" i="123"/>
  <c r="I112" i="124"/>
  <c r="H112" i="124"/>
  <c r="H112" i="95"/>
  <c r="I112" i="95"/>
  <c r="E134" i="95"/>
  <c r="F134" i="95" s="1"/>
  <c r="I111" i="95"/>
  <c r="H111" i="95"/>
  <c r="I110" i="95"/>
  <c r="H110" i="95"/>
  <c r="I113" i="116"/>
  <c r="H113" i="116"/>
  <c r="I113" i="86"/>
  <c r="H113" i="86"/>
  <c r="B79" i="132"/>
  <c r="B87" i="132"/>
  <c r="B95" i="132"/>
  <c r="B103" i="132"/>
  <c r="E133" i="132"/>
  <c r="F133" i="132" s="1"/>
  <c r="H108" i="132"/>
  <c r="I108" i="132"/>
  <c r="B80" i="133"/>
  <c r="B88" i="133"/>
  <c r="B96" i="133"/>
  <c r="B104" i="133"/>
  <c r="B123" i="133"/>
  <c r="B127" i="133"/>
  <c r="B131" i="133"/>
  <c r="B80" i="134"/>
  <c r="B88" i="134"/>
  <c r="B96" i="134"/>
  <c r="B104" i="134"/>
  <c r="B123" i="134"/>
  <c r="B127" i="134"/>
  <c r="B131" i="134"/>
  <c r="B80" i="135"/>
  <c r="B88" i="135"/>
  <c r="B96" i="135"/>
  <c r="B104" i="135"/>
  <c r="B123" i="135"/>
  <c r="B127" i="135"/>
  <c r="B131" i="135"/>
  <c r="B75" i="136"/>
  <c r="B83" i="136"/>
  <c r="B91" i="136"/>
  <c r="B99" i="136"/>
  <c r="I112" i="136"/>
  <c r="H112" i="136"/>
  <c r="B79" i="137"/>
  <c r="B87" i="137"/>
  <c r="B95" i="137"/>
  <c r="B103" i="137"/>
  <c r="I109" i="137"/>
  <c r="H109" i="137"/>
  <c r="B82" i="138"/>
  <c r="B90" i="138"/>
  <c r="B98" i="138"/>
  <c r="B124" i="138"/>
  <c r="B128" i="138"/>
  <c r="E134" i="138"/>
  <c r="I134" i="138" s="1"/>
  <c r="I113" i="138"/>
  <c r="H113" i="138"/>
  <c r="B78" i="139"/>
  <c r="B86" i="139"/>
  <c r="B94" i="139"/>
  <c r="B102" i="139"/>
  <c r="B122" i="139"/>
  <c r="B126" i="139"/>
  <c r="B130" i="139"/>
  <c r="B79" i="140"/>
  <c r="B87" i="140"/>
  <c r="B95" i="140"/>
  <c r="B103" i="140"/>
  <c r="E134" i="140"/>
  <c r="I134" i="140" s="1"/>
  <c r="I111" i="140"/>
  <c r="H111" i="140"/>
  <c r="B129" i="120"/>
  <c r="B94" i="96"/>
  <c r="B125" i="119"/>
  <c r="I111" i="120"/>
  <c r="H111" i="120"/>
  <c r="H112" i="119"/>
  <c r="I112" i="119"/>
  <c r="E133" i="119"/>
  <c r="F133" i="119" s="1"/>
  <c r="H108" i="119"/>
  <c r="I108" i="119"/>
  <c r="E134" i="117"/>
  <c r="H134" i="117" s="1"/>
  <c r="I111" i="117"/>
  <c r="H111" i="117"/>
  <c r="I110" i="123"/>
  <c r="H110" i="123"/>
  <c r="E122" i="99"/>
  <c r="E134" i="91"/>
  <c r="I134" i="91" s="1"/>
  <c r="I111" i="91"/>
  <c r="H111" i="91"/>
  <c r="I109" i="124"/>
  <c r="H109" i="124"/>
  <c r="E134" i="124"/>
  <c r="F134" i="124" s="1"/>
  <c r="I111" i="124"/>
  <c r="H111" i="124"/>
  <c r="I109" i="95"/>
  <c r="H109" i="95"/>
  <c r="E133" i="95"/>
  <c r="H133" i="95" s="1"/>
  <c r="H108" i="95"/>
  <c r="I108" i="95"/>
  <c r="I110" i="116"/>
  <c r="H110" i="116"/>
  <c r="H110" i="86"/>
  <c r="I110" i="86"/>
  <c r="B80" i="132"/>
  <c r="B88" i="132"/>
  <c r="B96" i="132"/>
  <c r="B104" i="132"/>
  <c r="B123" i="132"/>
  <c r="B127" i="132"/>
  <c r="B131" i="132"/>
  <c r="H112" i="132"/>
  <c r="I112" i="132"/>
  <c r="B81" i="133"/>
  <c r="B89" i="133"/>
  <c r="B97" i="133"/>
  <c r="B81" i="134"/>
  <c r="B89" i="134"/>
  <c r="B97" i="134"/>
  <c r="B81" i="135"/>
  <c r="B89" i="135"/>
  <c r="B97" i="135"/>
  <c r="I109" i="135"/>
  <c r="H109" i="135"/>
  <c r="B76" i="136"/>
  <c r="B84" i="136"/>
  <c r="B92" i="136"/>
  <c r="B100" i="136"/>
  <c r="B125" i="136"/>
  <c r="B129" i="136"/>
  <c r="B80" i="137"/>
  <c r="B88" i="137"/>
  <c r="B96" i="137"/>
  <c r="B104" i="137"/>
  <c r="B123" i="137"/>
  <c r="B127" i="137"/>
  <c r="B131" i="137"/>
  <c r="I113" i="137"/>
  <c r="H113" i="137"/>
  <c r="B75" i="138"/>
  <c r="B83" i="138"/>
  <c r="B91" i="138"/>
  <c r="B99" i="138"/>
  <c r="I110" i="138"/>
  <c r="H110" i="138"/>
  <c r="H108" i="138"/>
  <c r="I108" i="138"/>
  <c r="B79" i="139"/>
  <c r="B87" i="139"/>
  <c r="B95" i="139"/>
  <c r="B103" i="139"/>
  <c r="B80" i="140"/>
  <c r="B88" i="140"/>
  <c r="B96" i="140"/>
  <c r="B104" i="140"/>
  <c r="B123" i="140"/>
  <c r="B127" i="140"/>
  <c r="B131" i="140"/>
  <c r="B125" i="96"/>
  <c r="B125" i="117"/>
  <c r="B125" i="98"/>
  <c r="B125" i="118"/>
  <c r="E121" i="119"/>
  <c r="E121" i="118"/>
  <c r="E121" i="97"/>
  <c r="I109" i="117"/>
  <c r="H109" i="117"/>
  <c r="E133" i="117"/>
  <c r="F133" i="117" s="1"/>
  <c r="I108" i="117"/>
  <c r="H108" i="117"/>
  <c r="E122" i="117"/>
  <c r="H112" i="123"/>
  <c r="I112" i="123"/>
  <c r="E121" i="91"/>
  <c r="E133" i="124"/>
  <c r="F133" i="124" s="1"/>
  <c r="I108" i="124"/>
  <c r="H108" i="124"/>
  <c r="B81" i="132"/>
  <c r="B89" i="132"/>
  <c r="B97" i="132"/>
  <c r="B82" i="133"/>
  <c r="B90" i="133"/>
  <c r="B98" i="133"/>
  <c r="B124" i="133"/>
  <c r="B128" i="133"/>
  <c r="B82" i="134"/>
  <c r="B90" i="134"/>
  <c r="B98" i="134"/>
  <c r="B124" i="134"/>
  <c r="B128" i="134"/>
  <c r="E122" i="134"/>
  <c r="B82" i="135"/>
  <c r="B90" i="135"/>
  <c r="B98" i="135"/>
  <c r="B124" i="135"/>
  <c r="B128" i="135"/>
  <c r="I113" i="135"/>
  <c r="H113" i="135"/>
  <c r="B77" i="136"/>
  <c r="B85" i="136"/>
  <c r="B93" i="136"/>
  <c r="B101" i="136"/>
  <c r="E134" i="136"/>
  <c r="H134" i="136" s="1"/>
  <c r="I111" i="136"/>
  <c r="H111" i="136"/>
  <c r="B81" i="137"/>
  <c r="B89" i="137"/>
  <c r="B97" i="137"/>
  <c r="I110" i="137"/>
  <c r="H110" i="137"/>
  <c r="E133" i="137"/>
  <c r="F133" i="137" s="1"/>
  <c r="I108" i="137"/>
  <c r="H108" i="137"/>
  <c r="B76" i="138"/>
  <c r="B84" i="138"/>
  <c r="B92" i="138"/>
  <c r="B100" i="138"/>
  <c r="B125" i="138"/>
  <c r="B129" i="138"/>
  <c r="B80" i="139"/>
  <c r="B88" i="139"/>
  <c r="B96" i="139"/>
  <c r="B104" i="139"/>
  <c r="B123" i="139"/>
  <c r="B127" i="139"/>
  <c r="B131" i="139"/>
  <c r="B81" i="140"/>
  <c r="B89" i="140"/>
  <c r="B97" i="140"/>
  <c r="I109" i="140"/>
  <c r="H109" i="140"/>
  <c r="B131" i="119"/>
  <c r="B126" i="119"/>
  <c r="E121" i="120"/>
  <c r="I112" i="120"/>
  <c r="H112" i="120"/>
  <c r="E122" i="120"/>
  <c r="I113" i="119"/>
  <c r="H113" i="119"/>
  <c r="I112" i="118"/>
  <c r="H112" i="118"/>
  <c r="E122" i="113"/>
  <c r="E121" i="117"/>
  <c r="I109" i="123"/>
  <c r="H109" i="123"/>
  <c r="E134" i="123"/>
  <c r="I134" i="123" s="1"/>
  <c r="I111" i="123"/>
  <c r="H111" i="123"/>
  <c r="I113" i="124"/>
  <c r="H113" i="124"/>
  <c r="E121" i="95"/>
  <c r="E134" i="116"/>
  <c r="H134" i="116" s="1"/>
  <c r="I111" i="116"/>
  <c r="H111" i="116"/>
  <c r="E122" i="116"/>
  <c r="B82" i="132"/>
  <c r="B90" i="132"/>
  <c r="B98" i="132"/>
  <c r="B124" i="132"/>
  <c r="B128" i="132"/>
  <c r="B75" i="133"/>
  <c r="B83" i="133"/>
  <c r="B91" i="133"/>
  <c r="B99" i="133"/>
  <c r="B75" i="134"/>
  <c r="B83" i="134"/>
  <c r="B91" i="134"/>
  <c r="B99" i="134"/>
  <c r="B75" i="135"/>
  <c r="B83" i="135"/>
  <c r="B91" i="135"/>
  <c r="B99" i="135"/>
  <c r="H110" i="135"/>
  <c r="I110" i="135"/>
  <c r="E133" i="135"/>
  <c r="H133" i="135" s="1"/>
  <c r="I108" i="135"/>
  <c r="H108" i="135"/>
  <c r="B86" i="136"/>
  <c r="B94" i="136"/>
  <c r="B102" i="136"/>
  <c r="B122" i="136"/>
  <c r="B126" i="136"/>
  <c r="B130" i="136"/>
  <c r="B82" i="137"/>
  <c r="B90" i="137"/>
  <c r="B98" i="137"/>
  <c r="B124" i="137"/>
  <c r="B128" i="137"/>
  <c r="B77" i="138"/>
  <c r="B93" i="138"/>
  <c r="B101" i="138"/>
  <c r="H112" i="138"/>
  <c r="I112" i="138"/>
  <c r="B81" i="139"/>
  <c r="B97" i="139"/>
  <c r="B82" i="140"/>
  <c r="B90" i="140"/>
  <c r="B128" i="140"/>
  <c r="I113" i="140"/>
  <c r="H113" i="140"/>
  <c r="F56" i="113"/>
  <c r="F46" i="113"/>
  <c r="F37" i="113"/>
  <c r="F28" i="113"/>
  <c r="F14" i="113"/>
  <c r="F27" i="132"/>
  <c r="F16" i="132"/>
  <c r="F61" i="132"/>
  <c r="F55" i="132"/>
  <c r="F45" i="132"/>
  <c r="F36" i="132"/>
  <c r="F57" i="133"/>
  <c r="F47" i="133"/>
  <c r="F38" i="133"/>
  <c r="F29" i="133"/>
  <c r="F21" i="133"/>
  <c r="G62" i="138"/>
  <c r="IY16" i="94" s="1"/>
  <c r="F61" i="123"/>
  <c r="F55" i="123"/>
  <c r="F45" i="123"/>
  <c r="F36" i="123"/>
  <c r="F27" i="123"/>
  <c r="F16" i="123"/>
  <c r="F49" i="134"/>
  <c r="F40" i="134"/>
  <c r="F31" i="134"/>
  <c r="F23" i="134"/>
  <c r="F10" i="134"/>
  <c r="G62" i="140"/>
  <c r="IZ6" i="94" s="1"/>
  <c r="F17" i="91"/>
  <c r="F49" i="91"/>
  <c r="F40" i="91"/>
  <c r="F31" i="91"/>
  <c r="F49" i="119"/>
  <c r="F19" i="96"/>
  <c r="F51" i="96"/>
  <c r="F43" i="96"/>
  <c r="F34" i="96"/>
  <c r="F25" i="96"/>
  <c r="F12" i="96"/>
  <c r="HT27" i="94"/>
  <c r="G62" i="98"/>
  <c r="G62" i="119"/>
  <c r="IM24" i="94" s="1"/>
  <c r="G62" i="120"/>
  <c r="IN25" i="94" s="1"/>
  <c r="G62" i="113"/>
  <c r="G62" i="118"/>
  <c r="F8" i="139"/>
  <c r="F4" i="118"/>
  <c r="F5" i="118" s="1"/>
  <c r="F8" i="137"/>
  <c r="F8" i="113"/>
  <c r="F8" i="135"/>
  <c r="F4" i="119"/>
  <c r="F5" i="119" s="1"/>
  <c r="F8" i="117"/>
  <c r="AG24" i="94"/>
  <c r="HQ24" i="94"/>
  <c r="DA24" i="94"/>
  <c r="AI6" i="94"/>
  <c r="G62" i="137"/>
  <c r="F8" i="133"/>
  <c r="F8" i="132"/>
  <c r="G62" i="139"/>
  <c r="G62" i="123"/>
  <c r="IJ7" i="94" s="1"/>
  <c r="G62" i="97"/>
  <c r="G62" i="117"/>
  <c r="F64" i="120"/>
  <c r="F64" i="140"/>
  <c r="F64" i="139"/>
  <c r="F64" i="97"/>
  <c r="F64" i="117"/>
  <c r="F64" i="123"/>
  <c r="F64" i="136"/>
  <c r="F64" i="91"/>
  <c r="G62" i="96"/>
  <c r="II26" i="94" s="1"/>
  <c r="F8" i="96"/>
  <c r="G62" i="91"/>
  <c r="F64" i="95"/>
  <c r="G14" i="95"/>
  <c r="G62" i="95" s="1"/>
  <c r="IH15" i="94" s="1"/>
  <c r="F64" i="132"/>
  <c r="G14" i="86"/>
  <c r="G62" i="86" s="1"/>
  <c r="IP25" i="94" s="1"/>
  <c r="AE13" i="130"/>
  <c r="Y13" i="130" s="1"/>
  <c r="AE11" i="130"/>
  <c r="Y11" i="130" s="1"/>
  <c r="AB7" i="130"/>
  <c r="Y7" i="130" s="1"/>
  <c r="AB10" i="130"/>
  <c r="Y10" i="130" s="1"/>
  <c r="AO14" i="130"/>
  <c r="AA14" i="130" s="1"/>
  <c r="AO10" i="130"/>
  <c r="AA10" i="130" s="1"/>
  <c r="AN12" i="130"/>
  <c r="AA12" i="130" s="1"/>
  <c r="AN24" i="130"/>
  <c r="AA24" i="130" s="1"/>
  <c r="AM5" i="130"/>
  <c r="AA5" i="130" s="1"/>
  <c r="AM27" i="130"/>
  <c r="AA27" i="130" s="1"/>
  <c r="AL6" i="130"/>
  <c r="AA6" i="130" s="1"/>
  <c r="AL7" i="130"/>
  <c r="AA7" i="130" s="1"/>
  <c r="AI14" i="130"/>
  <c r="Z14" i="130" s="1"/>
  <c r="AI16" i="130"/>
  <c r="Z16" i="130" s="1"/>
  <c r="AH7" i="130"/>
  <c r="AH9" i="130"/>
  <c r="Z9" i="130" s="1"/>
  <c r="AG5" i="130"/>
  <c r="Z5" i="130" s="1"/>
  <c r="AG7" i="130"/>
  <c r="AD9" i="130"/>
  <c r="Y9" i="130" s="1"/>
  <c r="AD24" i="130"/>
  <c r="Y24" i="130" s="1"/>
  <c r="G62" i="136"/>
  <c r="IR27" i="94" s="1"/>
  <c r="G62" i="99"/>
  <c r="IQ6" i="94" s="1"/>
  <c r="AC15" i="130"/>
  <c r="Y15" i="130" s="1"/>
  <c r="AC14" i="130"/>
  <c r="Y14" i="130" s="1"/>
  <c r="HU8" i="94"/>
  <c r="AK8" i="94"/>
  <c r="IS8" i="94"/>
  <c r="DE8" i="94"/>
  <c r="E35" i="94"/>
  <c r="AB5" i="130"/>
  <c r="Y5" i="130" s="1"/>
  <c r="G62" i="124"/>
  <c r="F63" i="138"/>
  <c r="G62" i="135"/>
  <c r="G62" i="116"/>
  <c r="F63" i="134"/>
  <c r="F63" i="133"/>
  <c r="G62" i="133"/>
  <c r="G62" i="134"/>
  <c r="G62" i="132"/>
  <c r="IO24" i="94" s="1"/>
  <c r="F4" i="124"/>
  <c r="F5" i="124" s="1"/>
  <c r="F70" i="120"/>
  <c r="F66" i="120"/>
  <c r="F69" i="120"/>
  <c r="F65" i="120"/>
  <c r="F4" i="120"/>
  <c r="F5" i="120" s="1"/>
  <c r="F49" i="120"/>
  <c r="F40" i="120"/>
  <c r="F31" i="120"/>
  <c r="F23" i="120"/>
  <c r="F68" i="120"/>
  <c r="F67" i="120"/>
  <c r="F108" i="120"/>
  <c r="H134" i="120"/>
  <c r="F56" i="120"/>
  <c r="F8" i="119"/>
  <c r="F69" i="119"/>
  <c r="F65" i="119"/>
  <c r="E110" i="119"/>
  <c r="F113" i="119"/>
  <c r="E109" i="119"/>
  <c r="E107" i="119"/>
  <c r="F108" i="119"/>
  <c r="E111" i="119"/>
  <c r="F68" i="119"/>
  <c r="E106" i="119"/>
  <c r="F67" i="119"/>
  <c r="F66" i="119"/>
  <c r="F70" i="119"/>
  <c r="F63" i="119"/>
  <c r="F64" i="119"/>
  <c r="I133" i="119"/>
  <c r="H133" i="119"/>
  <c r="F60" i="119"/>
  <c r="F48" i="119"/>
  <c r="F39" i="119"/>
  <c r="F30" i="119"/>
  <c r="F22" i="119"/>
  <c r="F9" i="119"/>
  <c r="F113" i="118"/>
  <c r="F108" i="118"/>
  <c r="F111" i="118"/>
  <c r="F68" i="118"/>
  <c r="F64" i="118"/>
  <c r="F16" i="118"/>
  <c r="F65" i="118"/>
  <c r="F8" i="118"/>
  <c r="F56" i="118"/>
  <c r="F46" i="118"/>
  <c r="F37" i="118"/>
  <c r="F28" i="118"/>
  <c r="F67" i="118"/>
  <c r="F69" i="118"/>
  <c r="F63" i="118"/>
  <c r="F49" i="113"/>
  <c r="F40" i="113"/>
  <c r="F31" i="113"/>
  <c r="F23" i="113"/>
  <c r="E112" i="113"/>
  <c r="E105" i="113"/>
  <c r="E132" i="113" s="1"/>
  <c r="E108" i="113"/>
  <c r="E109" i="113"/>
  <c r="E106" i="113"/>
  <c r="E113" i="113"/>
  <c r="E128" i="113"/>
  <c r="E110" i="113"/>
  <c r="E111" i="113"/>
  <c r="F19" i="98"/>
  <c r="F51" i="98"/>
  <c r="F43" i="98"/>
  <c r="F34" i="98"/>
  <c r="F25" i="98"/>
  <c r="F12" i="98"/>
  <c r="E112" i="98"/>
  <c r="E128" i="98"/>
  <c r="F4" i="98"/>
  <c r="F5" i="98" s="1"/>
  <c r="F113" i="98"/>
  <c r="E109" i="98"/>
  <c r="E110" i="98"/>
  <c r="E111" i="98"/>
  <c r="E107" i="98"/>
  <c r="E108" i="98"/>
  <c r="E105" i="98"/>
  <c r="E132" i="98" s="1"/>
  <c r="E106" i="98"/>
  <c r="F64" i="98"/>
  <c r="F68" i="98"/>
  <c r="F112" i="140"/>
  <c r="F111" i="140"/>
  <c r="F109" i="140"/>
  <c r="F113" i="140"/>
  <c r="F110" i="140"/>
  <c r="F17" i="140"/>
  <c r="F23" i="140"/>
  <c r="F10" i="140"/>
  <c r="E109" i="139"/>
  <c r="F109" i="139" s="1"/>
  <c r="E113" i="139"/>
  <c r="F113" i="139" s="1"/>
  <c r="E110" i="139"/>
  <c r="E108" i="139"/>
  <c r="F108" i="139" s="1"/>
  <c r="E107" i="139"/>
  <c r="E112" i="139"/>
  <c r="F112" i="139" s="1"/>
  <c r="E106" i="139"/>
  <c r="E128" i="139"/>
  <c r="E105" i="139"/>
  <c r="E132" i="139" s="1"/>
  <c r="F111" i="139"/>
  <c r="F134" i="139"/>
  <c r="F18" i="139"/>
  <c r="F50" i="139"/>
  <c r="F42" i="139"/>
  <c r="F33" i="139"/>
  <c r="F24" i="139"/>
  <c r="F11" i="139"/>
  <c r="E109" i="97"/>
  <c r="F109" i="97" s="1"/>
  <c r="E111" i="97"/>
  <c r="E113" i="97"/>
  <c r="F68" i="97"/>
  <c r="F17" i="97"/>
  <c r="F49" i="97"/>
  <c r="F40" i="97"/>
  <c r="F31" i="97"/>
  <c r="F23" i="97"/>
  <c r="F10" i="97"/>
  <c r="E112" i="97"/>
  <c r="F22" i="97"/>
  <c r="F9" i="97"/>
  <c r="E128" i="97"/>
  <c r="E106" i="97"/>
  <c r="E108" i="97"/>
  <c r="E110" i="97"/>
  <c r="F20" i="97"/>
  <c r="F54" i="97"/>
  <c r="F35" i="97"/>
  <c r="F13" i="97"/>
  <c r="E105" i="97"/>
  <c r="E132" i="97" s="1"/>
  <c r="F111" i="117"/>
  <c r="F134" i="117"/>
  <c r="F113" i="117"/>
  <c r="F110" i="117"/>
  <c r="F57" i="117"/>
  <c r="F47" i="117"/>
  <c r="F38" i="117"/>
  <c r="F29" i="117"/>
  <c r="F21" i="117"/>
  <c r="F55" i="117"/>
  <c r="F27" i="117"/>
  <c r="F16" i="117"/>
  <c r="F134" i="123"/>
  <c r="F108" i="123"/>
  <c r="I133" i="123"/>
  <c r="H133" i="123"/>
  <c r="F133" i="123"/>
  <c r="F4" i="123"/>
  <c r="F5" i="123" s="1"/>
  <c r="F113" i="137"/>
  <c r="F60" i="137"/>
  <c r="F48" i="137"/>
  <c r="F39" i="137"/>
  <c r="F30" i="137"/>
  <c r="F22" i="137"/>
  <c r="F9" i="137"/>
  <c r="F68" i="137"/>
  <c r="F109" i="137"/>
  <c r="F134" i="137"/>
  <c r="F108" i="137"/>
  <c r="F4" i="137"/>
  <c r="F5" i="137" s="1"/>
  <c r="F112" i="137"/>
  <c r="F110" i="137"/>
  <c r="H134" i="137"/>
  <c r="E132" i="137"/>
  <c r="F13" i="137"/>
  <c r="F4" i="138"/>
  <c r="F5" i="138" s="1"/>
  <c r="F134" i="138"/>
  <c r="F109" i="138"/>
  <c r="F111" i="138"/>
  <c r="F56" i="138"/>
  <c r="F46" i="138"/>
  <c r="F37" i="138"/>
  <c r="F28" i="138"/>
  <c r="F14" i="138"/>
  <c r="F113" i="138"/>
  <c r="F110" i="138"/>
  <c r="F108" i="138"/>
  <c r="F64" i="138"/>
  <c r="F68" i="138"/>
  <c r="F112" i="138"/>
  <c r="F133" i="138"/>
  <c r="H134" i="138"/>
  <c r="I133" i="138"/>
  <c r="F13" i="96"/>
  <c r="F26" i="96"/>
  <c r="F110" i="96"/>
  <c r="F14" i="96"/>
  <c r="I134" i="96"/>
  <c r="E128" i="96"/>
  <c r="E106" i="96"/>
  <c r="E109" i="96"/>
  <c r="E113" i="96"/>
  <c r="E108" i="96"/>
  <c r="F4" i="136"/>
  <c r="F5" i="136" s="1"/>
  <c r="F108" i="136"/>
  <c r="F113" i="136"/>
  <c r="F111" i="136"/>
  <c r="F109" i="136"/>
  <c r="F110" i="136"/>
  <c r="F112" i="136"/>
  <c r="F10" i="136"/>
  <c r="E133" i="136"/>
  <c r="F111" i="99"/>
  <c r="F68" i="99"/>
  <c r="F67" i="99"/>
  <c r="F63" i="99"/>
  <c r="F47" i="99"/>
  <c r="F29" i="99"/>
  <c r="F25" i="99"/>
  <c r="F64" i="99"/>
  <c r="F70" i="99"/>
  <c r="F66" i="99"/>
  <c r="F65" i="99"/>
  <c r="F69" i="99"/>
  <c r="F134" i="91"/>
  <c r="F4" i="91"/>
  <c r="F5" i="91" s="1"/>
  <c r="E128" i="91"/>
  <c r="E106" i="91"/>
  <c r="H134" i="91"/>
  <c r="E109" i="91"/>
  <c r="E113" i="91"/>
  <c r="E108" i="91"/>
  <c r="E110" i="91"/>
  <c r="E105" i="91"/>
  <c r="E132" i="91" s="1"/>
  <c r="F57" i="124"/>
  <c r="F47" i="124"/>
  <c r="F38" i="124"/>
  <c r="F29" i="124"/>
  <c r="F21" i="124"/>
  <c r="F70" i="95"/>
  <c r="F65" i="95"/>
  <c r="F109" i="95"/>
  <c r="F67" i="95"/>
  <c r="F63" i="95"/>
  <c r="F108" i="95"/>
  <c r="F4" i="95"/>
  <c r="F5" i="95" s="1"/>
  <c r="F8" i="95"/>
  <c r="F66" i="95"/>
  <c r="F69" i="95"/>
  <c r="F68" i="95"/>
  <c r="H134" i="95"/>
  <c r="F110" i="135"/>
  <c r="F108" i="135"/>
  <c r="F112" i="135"/>
  <c r="F111" i="135"/>
  <c r="F109" i="135"/>
  <c r="F18" i="135"/>
  <c r="F50" i="135"/>
  <c r="F42" i="135"/>
  <c r="F33" i="135"/>
  <c r="F24" i="135"/>
  <c r="F11" i="135"/>
  <c r="E134" i="135"/>
  <c r="F113" i="135"/>
  <c r="F67" i="116"/>
  <c r="F66" i="116"/>
  <c r="F113" i="116"/>
  <c r="F109" i="116"/>
  <c r="F111" i="116"/>
  <c r="F8" i="116"/>
  <c r="F68" i="116"/>
  <c r="F42" i="116"/>
  <c r="F64" i="116"/>
  <c r="F65" i="116"/>
  <c r="F61" i="116"/>
  <c r="F70" i="116"/>
  <c r="F133" i="116"/>
  <c r="I133" i="116"/>
  <c r="H133" i="116"/>
  <c r="F69" i="116"/>
  <c r="F65" i="134"/>
  <c r="F69" i="134"/>
  <c r="F64" i="134"/>
  <c r="F68" i="134"/>
  <c r="E109" i="134"/>
  <c r="E112" i="134"/>
  <c r="E108" i="134"/>
  <c r="E113" i="134"/>
  <c r="E128" i="134"/>
  <c r="E106" i="134"/>
  <c r="E110" i="134"/>
  <c r="E111" i="134"/>
  <c r="E111" i="133"/>
  <c r="F111" i="133" s="1"/>
  <c r="F56" i="133"/>
  <c r="F46" i="133"/>
  <c r="F37" i="133"/>
  <c r="F28" i="133"/>
  <c r="F14" i="133"/>
  <c r="E109" i="133"/>
  <c r="E110" i="133"/>
  <c r="I110" i="133" s="1"/>
  <c r="E108" i="133"/>
  <c r="E107" i="133"/>
  <c r="E128" i="133"/>
  <c r="E112" i="133"/>
  <c r="E106" i="133"/>
  <c r="I113" i="133"/>
  <c r="F113" i="133"/>
  <c r="F24" i="132"/>
  <c r="F11" i="132"/>
  <c r="F18" i="132"/>
  <c r="F50" i="132"/>
  <c r="F42" i="132"/>
  <c r="F33" i="132"/>
  <c r="F110" i="132"/>
  <c r="F108" i="132"/>
  <c r="F112" i="132"/>
  <c r="F8" i="86"/>
  <c r="F63" i="86"/>
  <c r="F19" i="86"/>
  <c r="F34" i="86"/>
  <c r="F64" i="86"/>
  <c r="F68" i="86"/>
  <c r="F67" i="86"/>
  <c r="F70" i="86"/>
  <c r="F66" i="86"/>
  <c r="H133" i="86"/>
  <c r="I133" i="86"/>
  <c r="F45" i="116"/>
  <c r="F27" i="113"/>
  <c r="F14" i="124"/>
  <c r="F11" i="96"/>
  <c r="F13" i="118"/>
  <c r="G28" i="94"/>
  <c r="G19" i="94"/>
  <c r="F4" i="135"/>
  <c r="F5" i="135" s="1"/>
  <c r="F4" i="116"/>
  <c r="F5" i="116" s="1"/>
  <c r="F4" i="133"/>
  <c r="F5" i="133" s="1"/>
  <c r="F4" i="134"/>
  <c r="F5" i="134" s="1"/>
  <c r="F4" i="132"/>
  <c r="F5" i="132" s="1"/>
  <c r="F4" i="86"/>
  <c r="F5" i="86" s="1"/>
  <c r="F63" i="116"/>
  <c r="F38" i="116"/>
  <c r="F61" i="138"/>
  <c r="F16" i="138"/>
  <c r="F21" i="116"/>
  <c r="F21" i="134"/>
  <c r="F29" i="116"/>
  <c r="F24" i="129"/>
  <c r="F25" i="129" s="1"/>
  <c r="F26" i="129"/>
  <c r="F8" i="120" s="1"/>
  <c r="F4" i="117"/>
  <c r="F5" i="117" s="1"/>
  <c r="F4" i="140"/>
  <c r="F5" i="140" s="1"/>
  <c r="F4" i="139"/>
  <c r="F5" i="139" s="1"/>
  <c r="F4" i="97"/>
  <c r="F5" i="97" s="1"/>
  <c r="F18" i="120"/>
  <c r="F61" i="113"/>
  <c r="F56" i="124"/>
  <c r="F46" i="124"/>
  <c r="F37" i="124"/>
  <c r="F28" i="124"/>
  <c r="F17" i="120"/>
  <c r="F57" i="119"/>
  <c r="F61" i="118"/>
  <c r="F55" i="113"/>
  <c r="F60" i="97"/>
  <c r="F48" i="97"/>
  <c r="F39" i="97"/>
  <c r="F30" i="97"/>
  <c r="F20" i="123"/>
  <c r="F54" i="123"/>
  <c r="F44" i="123"/>
  <c r="F35" i="123"/>
  <c r="F26" i="123"/>
  <c r="F13" i="123"/>
  <c r="F48" i="117"/>
  <c r="F33" i="97"/>
  <c r="F50" i="97"/>
  <c r="F35" i="98"/>
  <c r="F37" i="135"/>
  <c r="F47" i="119"/>
  <c r="F45" i="113"/>
  <c r="F18" i="98"/>
  <c r="F45" i="95"/>
  <c r="F10" i="95"/>
  <c r="F54" i="86"/>
  <c r="F44" i="86"/>
  <c r="F35" i="86"/>
  <c r="F16" i="98"/>
  <c r="F24" i="119"/>
  <c r="F25" i="138"/>
  <c r="F38" i="119"/>
  <c r="F36" i="113"/>
  <c r="F18" i="96"/>
  <c r="F50" i="96"/>
  <c r="F42" i="96"/>
  <c r="F33" i="96"/>
  <c r="F24" i="96"/>
  <c r="F48" i="99"/>
  <c r="F51" i="119"/>
  <c r="F29" i="119"/>
  <c r="F21" i="119"/>
  <c r="F45" i="118"/>
  <c r="F50" i="98"/>
  <c r="F42" i="98"/>
  <c r="F56" i="117"/>
  <c r="F60" i="91"/>
  <c r="F48" i="91"/>
  <c r="F39" i="91"/>
  <c r="F30" i="91"/>
  <c r="F12" i="86"/>
  <c r="F36" i="118"/>
  <c r="F33" i="98"/>
  <c r="F24" i="98"/>
  <c r="F46" i="117"/>
  <c r="F37" i="117"/>
  <c r="F28" i="117"/>
  <c r="F14" i="117"/>
  <c r="F22" i="91"/>
  <c r="F35" i="116"/>
  <c r="F13" i="116"/>
  <c r="F60" i="98"/>
  <c r="F34" i="118"/>
  <c r="F43" i="118"/>
  <c r="F45" i="119"/>
  <c r="F13" i="120"/>
  <c r="F27" i="118"/>
  <c r="F11" i="98"/>
  <c r="F9" i="91"/>
  <c r="F37" i="86"/>
  <c r="F24" i="86"/>
  <c r="F11" i="86"/>
  <c r="F13" i="124"/>
  <c r="F13" i="117"/>
  <c r="F11" i="97"/>
  <c r="F11" i="117"/>
  <c r="F9" i="133"/>
  <c r="F9" i="140"/>
  <c r="F9" i="118"/>
  <c r="F9" i="98"/>
  <c r="F27" i="119"/>
  <c r="F25" i="113"/>
  <c r="F56" i="97"/>
  <c r="F50" i="123"/>
  <c r="F24" i="123"/>
  <c r="F49" i="99"/>
  <c r="F10" i="99"/>
  <c r="F37" i="95"/>
  <c r="F42" i="95"/>
  <c r="F18" i="123"/>
  <c r="F33" i="123"/>
  <c r="F36" i="99"/>
  <c r="F11" i="95"/>
  <c r="F46" i="97"/>
  <c r="F17" i="99"/>
  <c r="F51" i="118"/>
  <c r="F19" i="113"/>
  <c r="F60" i="136"/>
  <c r="F44" i="117"/>
  <c r="F16" i="137"/>
  <c r="F61" i="119"/>
  <c r="F55" i="119"/>
  <c r="F17" i="113"/>
  <c r="F21" i="113"/>
  <c r="F54" i="98"/>
  <c r="F28" i="98"/>
  <c r="F18" i="97"/>
  <c r="F26" i="97"/>
  <c r="F56" i="123"/>
  <c r="F46" i="123"/>
  <c r="F11" i="124"/>
  <c r="F9" i="95"/>
  <c r="F20" i="116"/>
  <c r="F54" i="116"/>
  <c r="F9" i="86"/>
  <c r="F10" i="124"/>
  <c r="F12" i="91"/>
  <c r="F16" i="96"/>
  <c r="F29" i="123"/>
  <c r="F48" i="118"/>
  <c r="F61" i="134"/>
  <c r="F56" i="134"/>
  <c r="F30" i="135"/>
  <c r="F22" i="135"/>
  <c r="F9" i="135"/>
  <c r="F20" i="137"/>
  <c r="F54" i="137"/>
  <c r="F44" i="137"/>
  <c r="F35" i="137"/>
  <c r="F26" i="137"/>
  <c r="F39" i="98"/>
  <c r="F30" i="98"/>
  <c r="F51" i="113"/>
  <c r="F57" i="136"/>
  <c r="F43" i="120"/>
  <c r="F34" i="120"/>
  <c r="F10" i="119"/>
  <c r="F44" i="98"/>
  <c r="F42" i="97"/>
  <c r="F9" i="96"/>
  <c r="F14" i="91"/>
  <c r="F21" i="86"/>
  <c r="F42" i="117"/>
  <c r="F10" i="132"/>
  <c r="F55" i="134"/>
  <c r="F56" i="135"/>
  <c r="F46" i="135"/>
  <c r="F29" i="135"/>
  <c r="F19" i="137"/>
  <c r="F51" i="137"/>
  <c r="F43" i="137"/>
  <c r="F34" i="137"/>
  <c r="F25" i="137"/>
  <c r="F16" i="119"/>
  <c r="F48" i="98"/>
  <c r="F44" i="99"/>
  <c r="F11" i="118"/>
  <c r="F22" i="133"/>
  <c r="F9" i="136"/>
  <c r="F22" i="98"/>
  <c r="F14" i="97"/>
  <c r="F27" i="137"/>
  <c r="F30" i="140"/>
  <c r="F50" i="120"/>
  <c r="F42" i="120"/>
  <c r="F11" i="120"/>
  <c r="F36" i="119"/>
  <c r="F34" i="113"/>
  <c r="F24" i="97"/>
  <c r="F20" i="96"/>
  <c r="F54" i="96"/>
  <c r="F44" i="96"/>
  <c r="F35" i="96"/>
  <c r="F28" i="99"/>
  <c r="F11" i="99"/>
  <c r="F20" i="91"/>
  <c r="F54" i="91"/>
  <c r="F44" i="91"/>
  <c r="F35" i="91"/>
  <c r="F26" i="91"/>
  <c r="F43" i="95"/>
  <c r="F20" i="133"/>
  <c r="F54" i="133"/>
  <c r="F44" i="133"/>
  <c r="F35" i="133"/>
  <c r="F26" i="133"/>
  <c r="F12" i="138"/>
  <c r="F28" i="120"/>
  <c r="F19" i="119"/>
  <c r="F25" i="119"/>
  <c r="F17" i="118"/>
  <c r="F14" i="118"/>
  <c r="F14" i="98"/>
  <c r="F37" i="97"/>
  <c r="F39" i="117"/>
  <c r="F24" i="117"/>
  <c r="F37" i="123"/>
  <c r="F28" i="123"/>
  <c r="F23" i="91"/>
  <c r="F11" i="91"/>
  <c r="F54" i="134"/>
  <c r="F46" i="134"/>
  <c r="F37" i="134"/>
  <c r="F20" i="138"/>
  <c r="F54" i="138"/>
  <c r="F44" i="138"/>
  <c r="F35" i="138"/>
  <c r="F26" i="138"/>
  <c r="F29" i="139"/>
  <c r="F12" i="119"/>
  <c r="F33" i="118"/>
  <c r="F38" i="113"/>
  <c r="F12" i="113"/>
  <c r="F61" i="98"/>
  <c r="F44" i="97"/>
  <c r="F30" i="117"/>
  <c r="F23" i="117"/>
  <c r="F14" i="123"/>
  <c r="F22" i="96"/>
  <c r="F10" i="91"/>
  <c r="F45" i="86"/>
  <c r="F36" i="86"/>
  <c r="F16" i="86"/>
  <c r="F18" i="134"/>
  <c r="F45" i="134"/>
  <c r="F28" i="134"/>
  <c r="F14" i="134"/>
  <c r="F60" i="135"/>
  <c r="F48" i="135"/>
  <c r="F39" i="135"/>
  <c r="F13" i="138"/>
  <c r="F35" i="120"/>
  <c r="F17" i="119"/>
  <c r="F50" i="119"/>
  <c r="F23" i="119"/>
  <c r="F25" i="118"/>
  <c r="F29" i="113"/>
  <c r="F26" i="98"/>
  <c r="F13" i="98"/>
  <c r="F28" i="97"/>
  <c r="F54" i="117"/>
  <c r="F22" i="117"/>
  <c r="F56" i="96"/>
  <c r="F46" i="96"/>
  <c r="F37" i="96"/>
  <c r="F28" i="96"/>
  <c r="F60" i="124"/>
  <c r="F48" i="124"/>
  <c r="F39" i="124"/>
  <c r="F30" i="124"/>
  <c r="F22" i="124"/>
  <c r="F12" i="124"/>
  <c r="F20" i="95"/>
  <c r="F22" i="95"/>
  <c r="F10" i="116"/>
  <c r="F57" i="135"/>
  <c r="F47" i="135"/>
  <c r="F38" i="135"/>
  <c r="F18" i="136"/>
  <c r="F50" i="136"/>
  <c r="F56" i="136"/>
  <c r="F47" i="120"/>
  <c r="F38" i="120"/>
  <c r="F21" i="120"/>
  <c r="F39" i="99"/>
  <c r="F49" i="133"/>
  <c r="F31" i="133"/>
  <c r="F56" i="140"/>
  <c r="F46" i="140"/>
  <c r="F38" i="140"/>
  <c r="F46" i="120"/>
  <c r="F37" i="120"/>
  <c r="F31" i="117"/>
  <c r="F57" i="123"/>
  <c r="F28" i="136"/>
  <c r="F21" i="136"/>
  <c r="F23" i="138"/>
  <c r="F29" i="140"/>
  <c r="F22" i="140"/>
  <c r="F60" i="99"/>
  <c r="F30" i="99"/>
  <c r="F40" i="133"/>
  <c r="F55" i="120"/>
  <c r="F45" i="120"/>
  <c r="F36" i="120"/>
  <c r="F27" i="120"/>
  <c r="F60" i="113"/>
  <c r="F30" i="113"/>
  <c r="F27" i="98"/>
  <c r="F19" i="97"/>
  <c r="F18" i="117"/>
  <c r="F61" i="96"/>
  <c r="F55" i="96"/>
  <c r="F45" i="96"/>
  <c r="F36" i="96"/>
  <c r="F27" i="96"/>
  <c r="F24" i="95"/>
  <c r="F57" i="116"/>
  <c r="F47" i="116"/>
  <c r="F43" i="86"/>
  <c r="F11" i="133"/>
  <c r="F11" i="138"/>
  <c r="F57" i="139"/>
  <c r="F47" i="139"/>
  <c r="F38" i="139"/>
  <c r="F37" i="140"/>
  <c r="F21" i="140"/>
  <c r="F20" i="120"/>
  <c r="F54" i="120"/>
  <c r="F44" i="120"/>
  <c r="F26" i="120"/>
  <c r="F18" i="119"/>
  <c r="F45" i="98"/>
  <c r="F25" i="97"/>
  <c r="F17" i="117"/>
  <c r="F18" i="124"/>
  <c r="F50" i="124"/>
  <c r="F42" i="124"/>
  <c r="F33" i="124"/>
  <c r="F24" i="124"/>
  <c r="F24" i="134"/>
  <c r="F12" i="134"/>
  <c r="F10" i="138"/>
  <c r="F56" i="139"/>
  <c r="F46" i="139"/>
  <c r="F37" i="139"/>
  <c r="F21" i="139"/>
  <c r="F17" i="133"/>
  <c r="F23" i="133"/>
  <c r="F19" i="120"/>
  <c r="F51" i="120"/>
  <c r="F25" i="120"/>
  <c r="F11" i="119"/>
  <c r="F48" i="113"/>
  <c r="F50" i="117"/>
  <c r="F38" i="123"/>
  <c r="F17" i="124"/>
  <c r="F49" i="124"/>
  <c r="F40" i="124"/>
  <c r="F31" i="124"/>
  <c r="F23" i="124"/>
  <c r="F18" i="86"/>
  <c r="F42" i="86"/>
  <c r="F20" i="134"/>
  <c r="F11" i="134"/>
  <c r="F13" i="135"/>
  <c r="F17" i="136"/>
  <c r="F49" i="136"/>
  <c r="F61" i="137"/>
  <c r="F55" i="137"/>
  <c r="F45" i="137"/>
  <c r="F36" i="137"/>
  <c r="F61" i="139"/>
  <c r="F55" i="139"/>
  <c r="F45" i="139"/>
  <c r="F36" i="139"/>
  <c r="F28" i="139"/>
  <c r="F14" i="139"/>
  <c r="F16" i="99"/>
  <c r="F57" i="132"/>
  <c r="F47" i="132"/>
  <c r="F38" i="132"/>
  <c r="F29" i="132"/>
  <c r="F21" i="132"/>
  <c r="F19" i="134"/>
  <c r="F27" i="139"/>
  <c r="F16" i="139"/>
  <c r="F34" i="97"/>
  <c r="F11" i="123"/>
  <c r="F57" i="99"/>
  <c r="F9" i="99"/>
  <c r="F40" i="95"/>
  <c r="F36" i="95"/>
  <c r="F23" i="95"/>
  <c r="F37" i="116"/>
  <c r="F11" i="116"/>
  <c r="F13" i="113"/>
  <c r="F35" i="113"/>
  <c r="F16" i="124"/>
  <c r="F10" i="96"/>
  <c r="F25" i="123"/>
  <c r="F36" i="117"/>
  <c r="F45" i="117"/>
  <c r="F61" i="117"/>
  <c r="F21" i="97"/>
  <c r="F47" i="97"/>
  <c r="F10" i="98"/>
  <c r="F31" i="98"/>
  <c r="F49" i="98"/>
  <c r="F17" i="98"/>
  <c r="F12" i="118"/>
  <c r="F26" i="118"/>
  <c r="F35" i="118"/>
  <c r="F44" i="118"/>
  <c r="F54" i="118"/>
  <c r="F9" i="132"/>
  <c r="F10" i="133"/>
  <c r="F44" i="134"/>
  <c r="F36" i="134"/>
  <c r="F61" i="135"/>
  <c r="F55" i="135"/>
  <c r="F45" i="135"/>
  <c r="F48" i="136"/>
  <c r="F40" i="136"/>
  <c r="F26" i="139"/>
  <c r="F14" i="140"/>
  <c r="F20" i="117"/>
  <c r="F22" i="123"/>
  <c r="F21" i="99"/>
  <c r="F50" i="134"/>
  <c r="F43" i="134"/>
  <c r="F35" i="134"/>
  <c r="F27" i="134"/>
  <c r="F20" i="135"/>
  <c r="F36" i="135"/>
  <c r="F21" i="135"/>
  <c r="F47" i="136"/>
  <c r="F39" i="136"/>
  <c r="F31" i="136"/>
  <c r="F12" i="137"/>
  <c r="F19" i="138"/>
  <c r="F51" i="138"/>
  <c r="F43" i="138"/>
  <c r="F34" i="138"/>
  <c r="F49" i="140"/>
  <c r="F35" i="117"/>
  <c r="F42" i="123"/>
  <c r="F21" i="123"/>
  <c r="F9" i="123"/>
  <c r="F60" i="96"/>
  <c r="F48" i="96"/>
  <c r="F39" i="96"/>
  <c r="F30" i="96"/>
  <c r="F42" i="99"/>
  <c r="F56" i="91"/>
  <c r="F46" i="91"/>
  <c r="F37" i="91"/>
  <c r="F20" i="124"/>
  <c r="F54" i="124"/>
  <c r="F44" i="124"/>
  <c r="F35" i="124"/>
  <c r="F26" i="124"/>
  <c r="F44" i="95"/>
  <c r="F35" i="95"/>
  <c r="F27" i="116"/>
  <c r="F23" i="116"/>
  <c r="F16" i="116"/>
  <c r="F17" i="132"/>
  <c r="F49" i="132"/>
  <c r="F40" i="132"/>
  <c r="F23" i="132"/>
  <c r="F19" i="133"/>
  <c r="F51" i="133"/>
  <c r="F43" i="133"/>
  <c r="F34" i="133"/>
  <c r="F25" i="133"/>
  <c r="F42" i="134"/>
  <c r="F34" i="134"/>
  <c r="F26" i="134"/>
  <c r="F16" i="134"/>
  <c r="F28" i="135"/>
  <c r="F14" i="135"/>
  <c r="F46" i="136"/>
  <c r="F38" i="136"/>
  <c r="F30" i="136"/>
  <c r="F23" i="136"/>
  <c r="F11" i="137"/>
  <c r="F18" i="138"/>
  <c r="F50" i="138"/>
  <c r="F42" i="138"/>
  <c r="F33" i="138"/>
  <c r="F60" i="140"/>
  <c r="F48" i="140"/>
  <c r="F40" i="140"/>
  <c r="F26" i="117"/>
  <c r="F10" i="117"/>
  <c r="F47" i="123"/>
  <c r="F55" i="99"/>
  <c r="F28" i="91"/>
  <c r="F9" i="116"/>
  <c r="F60" i="132"/>
  <c r="F48" i="132"/>
  <c r="F39" i="132"/>
  <c r="F30" i="132"/>
  <c r="F22" i="132"/>
  <c r="F18" i="133"/>
  <c r="F50" i="133"/>
  <c r="F42" i="133"/>
  <c r="F33" i="133"/>
  <c r="F24" i="133"/>
  <c r="F25" i="134"/>
  <c r="F13" i="134"/>
  <c r="F27" i="135"/>
  <c r="F16" i="135"/>
  <c r="F37" i="136"/>
  <c r="F29" i="136"/>
  <c r="F22" i="136"/>
  <c r="F17" i="138"/>
  <c r="F49" i="138"/>
  <c r="F40" i="138"/>
  <c r="F31" i="138"/>
  <c r="F24" i="138"/>
  <c r="F57" i="140"/>
  <c r="F47" i="140"/>
  <c r="F39" i="140"/>
  <c r="F31" i="140"/>
  <c r="F31" i="99"/>
  <c r="F17" i="95"/>
  <c r="F55" i="95"/>
  <c r="F49" i="95"/>
  <c r="F33" i="95"/>
  <c r="F28" i="95"/>
  <c r="F51" i="86"/>
  <c r="F30" i="86"/>
  <c r="F22" i="86"/>
  <c r="F14" i="132"/>
  <c r="F9" i="138"/>
  <c r="F12" i="123"/>
  <c r="F33" i="116"/>
  <c r="F29" i="97"/>
  <c r="F13" i="99"/>
  <c r="F54" i="95"/>
  <c r="F31" i="95"/>
  <c r="F48" i="116"/>
  <c r="F44" i="116"/>
  <c r="F61" i="86"/>
  <c r="F50" i="86"/>
  <c r="F46" i="86"/>
  <c r="F38" i="86"/>
  <c r="F29" i="86"/>
  <c r="F14" i="120"/>
  <c r="F18" i="99"/>
  <c r="F11" i="113"/>
  <c r="F24" i="113"/>
  <c r="F33" i="113"/>
  <c r="F42" i="113"/>
  <c r="F50" i="113"/>
  <c r="F18" i="113"/>
  <c r="F16" i="91"/>
  <c r="F27" i="91"/>
  <c r="F10" i="123"/>
  <c r="F12" i="117"/>
  <c r="F36" i="97"/>
  <c r="F45" i="97"/>
  <c r="F55" i="97"/>
  <c r="F61" i="97"/>
  <c r="F21" i="98"/>
  <c r="F29" i="98"/>
  <c r="F38" i="98"/>
  <c r="F57" i="98"/>
  <c r="F10" i="118"/>
  <c r="F13" i="119"/>
  <c r="F26" i="119"/>
  <c r="F35" i="119"/>
  <c r="F44" i="119"/>
  <c r="F54" i="119"/>
  <c r="F20" i="119"/>
  <c r="F17" i="96"/>
  <c r="F49" i="96"/>
  <c r="F40" i="96"/>
  <c r="F31" i="96"/>
  <c r="F61" i="99"/>
  <c r="F56" i="99"/>
  <c r="F50" i="99"/>
  <c r="F38" i="99"/>
  <c r="F34" i="99"/>
  <c r="F19" i="95"/>
  <c r="F51" i="95"/>
  <c r="F26" i="95"/>
  <c r="F39" i="116"/>
  <c r="F17" i="86"/>
  <c r="F33" i="86"/>
  <c r="F28" i="86"/>
  <c r="F14" i="86"/>
  <c r="F37" i="99"/>
  <c r="F33" i="99"/>
  <c r="F57" i="91"/>
  <c r="F47" i="91"/>
  <c r="F38" i="91"/>
  <c r="F61" i="95"/>
  <c r="F18" i="95"/>
  <c r="F50" i="95"/>
  <c r="F46" i="95"/>
  <c r="F13" i="95"/>
  <c r="F50" i="116"/>
  <c r="F34" i="116"/>
  <c r="F27" i="86"/>
  <c r="F23" i="86"/>
  <c r="F10" i="86"/>
  <c r="F54" i="99"/>
  <c r="F40" i="99"/>
  <c r="F61" i="124"/>
  <c r="F55" i="124"/>
  <c r="F45" i="124"/>
  <c r="F36" i="124"/>
  <c r="F27" i="124"/>
  <c r="F55" i="116"/>
  <c r="F47" i="98"/>
  <c r="F35" i="99"/>
  <c r="F27" i="99"/>
  <c r="F23" i="99"/>
  <c r="F61" i="91"/>
  <c r="F55" i="91"/>
  <c r="F45" i="91"/>
  <c r="F36" i="91"/>
  <c r="F56" i="95"/>
  <c r="F47" i="95"/>
  <c r="F39" i="95"/>
  <c r="F27" i="95"/>
  <c r="F21" i="95"/>
  <c r="F12" i="95"/>
  <c r="F56" i="116"/>
  <c r="F36" i="116"/>
  <c r="F28" i="116"/>
  <c r="F12" i="116"/>
  <c r="F26" i="86"/>
  <c r="F10" i="120"/>
  <c r="F19" i="117"/>
  <c r="F51" i="117"/>
  <c r="F43" i="117"/>
  <c r="F34" i="117"/>
  <c r="F25" i="117"/>
  <c r="F19" i="99"/>
  <c r="F46" i="99"/>
  <c r="F43" i="116"/>
  <c r="F31" i="116"/>
  <c r="F60" i="86"/>
  <c r="F49" i="86"/>
  <c r="F25" i="86"/>
  <c r="F54" i="135"/>
  <c r="F26" i="135"/>
  <c r="IR6" i="94"/>
  <c r="F14" i="136"/>
  <c r="F13" i="139"/>
  <c r="HT6" i="94"/>
  <c r="F26" i="99"/>
  <c r="F22" i="99"/>
  <c r="F38" i="95"/>
  <c r="F30" i="95"/>
  <c r="F14" i="95"/>
  <c r="F18" i="137"/>
  <c r="F50" i="137"/>
  <c r="F42" i="137"/>
  <c r="F33" i="137"/>
  <c r="F60" i="138"/>
  <c r="F48" i="138"/>
  <c r="F39" i="138"/>
  <c r="F30" i="138"/>
  <c r="F17" i="123"/>
  <c r="F49" i="123"/>
  <c r="F40" i="123"/>
  <c r="F31" i="123"/>
  <c r="F23" i="123"/>
  <c r="F21" i="96"/>
  <c r="F51" i="99"/>
  <c r="F45" i="99"/>
  <c r="F12" i="99"/>
  <c r="F19" i="124"/>
  <c r="F51" i="124"/>
  <c r="F43" i="124"/>
  <c r="F34" i="124"/>
  <c r="F25" i="124"/>
  <c r="F16" i="95"/>
  <c r="F60" i="116"/>
  <c r="F46" i="116"/>
  <c r="F30" i="116"/>
  <c r="F57" i="86"/>
  <c r="F48" i="86"/>
  <c r="F40" i="86"/>
  <c r="F13" i="86"/>
  <c r="F44" i="135"/>
  <c r="F24" i="137"/>
  <c r="F22" i="138"/>
  <c r="F20" i="139"/>
  <c r="F54" i="139"/>
  <c r="F44" i="139"/>
  <c r="F35" i="139"/>
  <c r="F28" i="140"/>
  <c r="HS26" i="94"/>
  <c r="F60" i="95"/>
  <c r="F49" i="116"/>
  <c r="F26" i="116"/>
  <c r="F56" i="132"/>
  <c r="F46" i="132"/>
  <c r="F37" i="132"/>
  <c r="F28" i="132"/>
  <c r="F60" i="133"/>
  <c r="F48" i="133"/>
  <c r="F39" i="133"/>
  <c r="F30" i="133"/>
  <c r="F16" i="120"/>
  <c r="F57" i="96"/>
  <c r="F47" i="96"/>
  <c r="F38" i="96"/>
  <c r="F29" i="96"/>
  <c r="F34" i="95"/>
  <c r="F29" i="95"/>
  <c r="F25" i="95"/>
  <c r="F25" i="116"/>
  <c r="F56" i="86"/>
  <c r="F47" i="86"/>
  <c r="F39" i="86"/>
  <c r="F31" i="86"/>
  <c r="F35" i="135"/>
  <c r="F20" i="99"/>
  <c r="F43" i="99"/>
  <c r="F24" i="99"/>
  <c r="F14" i="99"/>
  <c r="F57" i="95"/>
  <c r="F48" i="95"/>
  <c r="F51" i="116"/>
  <c r="F40" i="116"/>
  <c r="F20" i="86"/>
  <c r="F55" i="86"/>
  <c r="F33" i="134"/>
  <c r="F22" i="116"/>
  <c r="HS16" i="94"/>
  <c r="F24" i="116"/>
  <c r="E10" i="94"/>
  <c r="L11" i="88"/>
  <c r="J11" i="88"/>
  <c r="L25" i="88"/>
  <c r="C14" i="88" s="1"/>
  <c r="I133" i="137" l="1"/>
  <c r="G20" i="145"/>
  <c r="ID23" i="94"/>
  <c r="ID5" i="94"/>
  <c r="ID14" i="94"/>
  <c r="F111" i="96"/>
  <c r="H134" i="99"/>
  <c r="I134" i="99"/>
  <c r="F134" i="99"/>
  <c r="H111" i="99"/>
  <c r="I111" i="99"/>
  <c r="I133" i="140"/>
  <c r="F133" i="140"/>
  <c r="H133" i="140"/>
  <c r="I133" i="132"/>
  <c r="F108" i="140"/>
  <c r="I134" i="116"/>
  <c r="I108" i="140"/>
  <c r="H108" i="140"/>
  <c r="H133" i="132"/>
  <c r="H112" i="117"/>
  <c r="F112" i="117"/>
  <c r="I134" i="95"/>
  <c r="H109" i="99"/>
  <c r="I109" i="99"/>
  <c r="G14" i="145"/>
  <c r="E14" i="145"/>
  <c r="H134" i="124"/>
  <c r="I134" i="124"/>
  <c r="I133" i="118"/>
  <c r="H133" i="118"/>
  <c r="F133" i="118"/>
  <c r="H109" i="118"/>
  <c r="H108" i="118"/>
  <c r="I109" i="118"/>
  <c r="H113" i="120"/>
  <c r="I113" i="120"/>
  <c r="I110" i="120"/>
  <c r="I108" i="99"/>
  <c r="H110" i="120"/>
  <c r="E133" i="99"/>
  <c r="H111" i="132"/>
  <c r="H134" i="86"/>
  <c r="F113" i="132"/>
  <c r="I133" i="95"/>
  <c r="F133" i="120"/>
  <c r="I110" i="118"/>
  <c r="I133" i="120"/>
  <c r="H110" i="118"/>
  <c r="H113" i="132"/>
  <c r="H109" i="120"/>
  <c r="I109" i="120"/>
  <c r="H133" i="124"/>
  <c r="H134" i="123"/>
  <c r="I111" i="132"/>
  <c r="H111" i="118"/>
  <c r="E134" i="132"/>
  <c r="H133" i="117"/>
  <c r="I112" i="99"/>
  <c r="H108" i="99"/>
  <c r="F134" i="118"/>
  <c r="I134" i="118"/>
  <c r="H134" i="118"/>
  <c r="I134" i="86"/>
  <c r="F109" i="132"/>
  <c r="F133" i="135"/>
  <c r="I134" i="139"/>
  <c r="F134" i="140"/>
  <c r="I110" i="99"/>
  <c r="I133" i="135"/>
  <c r="I133" i="117"/>
  <c r="I112" i="91"/>
  <c r="F112" i="91"/>
  <c r="F133" i="95"/>
  <c r="I134" i="117"/>
  <c r="H110" i="132"/>
  <c r="I111" i="118"/>
  <c r="H134" i="140"/>
  <c r="H112" i="99"/>
  <c r="I133" i="124"/>
  <c r="I134" i="136"/>
  <c r="E133" i="134"/>
  <c r="F133" i="134" s="1"/>
  <c r="I108" i="134"/>
  <c r="H108" i="134"/>
  <c r="E133" i="97"/>
  <c r="F133" i="97" s="1"/>
  <c r="H108" i="97"/>
  <c r="I108" i="97"/>
  <c r="I112" i="139"/>
  <c r="H112" i="139"/>
  <c r="E133" i="98"/>
  <c r="H133" i="98" s="1"/>
  <c r="I108" i="98"/>
  <c r="H108" i="98"/>
  <c r="F112" i="98"/>
  <c r="I112" i="98"/>
  <c r="H112" i="98"/>
  <c r="I110" i="113"/>
  <c r="H110" i="113"/>
  <c r="E133" i="96"/>
  <c r="H133" i="96" s="1"/>
  <c r="I108" i="96"/>
  <c r="H108" i="96"/>
  <c r="E134" i="119"/>
  <c r="H134" i="119" s="1"/>
  <c r="I111" i="119"/>
  <c r="H111" i="119"/>
  <c r="E133" i="133"/>
  <c r="I133" i="133" s="1"/>
  <c r="I108" i="133"/>
  <c r="H108" i="133"/>
  <c r="E134" i="133"/>
  <c r="I111" i="133"/>
  <c r="H111" i="133"/>
  <c r="F109" i="134"/>
  <c r="I109" i="134"/>
  <c r="H109" i="134"/>
  <c r="I113" i="96"/>
  <c r="H113" i="96"/>
  <c r="E133" i="139"/>
  <c r="H133" i="139" s="1"/>
  <c r="I108" i="139"/>
  <c r="H108" i="139"/>
  <c r="E134" i="98"/>
  <c r="F134" i="98" s="1"/>
  <c r="I111" i="98"/>
  <c r="H111" i="98"/>
  <c r="I113" i="113"/>
  <c r="H113" i="113"/>
  <c r="F110" i="139"/>
  <c r="H110" i="139"/>
  <c r="I110" i="139"/>
  <c r="F110" i="98"/>
  <c r="H110" i="98"/>
  <c r="I110" i="98"/>
  <c r="F109" i="96"/>
  <c r="I109" i="96"/>
  <c r="H109" i="96"/>
  <c r="F109" i="133"/>
  <c r="I109" i="133"/>
  <c r="H109" i="133"/>
  <c r="H110" i="134"/>
  <c r="I110" i="134"/>
  <c r="F134" i="116"/>
  <c r="I110" i="91"/>
  <c r="H110" i="91"/>
  <c r="F134" i="136"/>
  <c r="H133" i="137"/>
  <c r="I113" i="139"/>
  <c r="H113" i="139"/>
  <c r="F109" i="98"/>
  <c r="I109" i="98"/>
  <c r="H109" i="98"/>
  <c r="F109" i="113"/>
  <c r="I109" i="113"/>
  <c r="H109" i="113"/>
  <c r="F109" i="119"/>
  <c r="I109" i="119"/>
  <c r="H109" i="119"/>
  <c r="F112" i="134"/>
  <c r="I112" i="134"/>
  <c r="H112" i="134"/>
  <c r="E133" i="91"/>
  <c r="I133" i="91" s="1"/>
  <c r="H108" i="91"/>
  <c r="I108" i="91"/>
  <c r="F112" i="97"/>
  <c r="H112" i="97"/>
  <c r="I112" i="97"/>
  <c r="I113" i="97"/>
  <c r="H113" i="97"/>
  <c r="I109" i="139"/>
  <c r="H109" i="139"/>
  <c r="E133" i="113"/>
  <c r="F133" i="113" s="1"/>
  <c r="H108" i="113"/>
  <c r="I108" i="113"/>
  <c r="F111" i="119"/>
  <c r="I113" i="91"/>
  <c r="H113" i="91"/>
  <c r="E134" i="97"/>
  <c r="I134" i="97" s="1"/>
  <c r="I111" i="97"/>
  <c r="H111" i="97"/>
  <c r="E134" i="134"/>
  <c r="I111" i="134"/>
  <c r="H111" i="134"/>
  <c r="H110" i="133"/>
  <c r="F112" i="133"/>
  <c r="I112" i="133"/>
  <c r="H112" i="133"/>
  <c r="F113" i="134"/>
  <c r="I113" i="134"/>
  <c r="H113" i="134"/>
  <c r="F109" i="91"/>
  <c r="I109" i="91"/>
  <c r="H109" i="91"/>
  <c r="F110" i="97"/>
  <c r="I110" i="97"/>
  <c r="H110" i="97"/>
  <c r="I109" i="97"/>
  <c r="H109" i="97"/>
  <c r="E134" i="113"/>
  <c r="H134" i="113" s="1"/>
  <c r="I111" i="113"/>
  <c r="H111" i="113"/>
  <c r="F112" i="113"/>
  <c r="H112" i="113"/>
  <c r="I112" i="113"/>
  <c r="I110" i="119"/>
  <c r="H110" i="119"/>
  <c r="HR25" i="94"/>
  <c r="P31" i="94" s="1"/>
  <c r="O54" i="128"/>
  <c r="Q54" i="128" s="1"/>
  <c r="L54" i="128" s="1"/>
  <c r="P30" i="94"/>
  <c r="F7" i="145" s="1"/>
  <c r="O51" i="128"/>
  <c r="Q51" i="128" s="1"/>
  <c r="T51" i="128" s="1"/>
  <c r="O53" i="128"/>
  <c r="Q53" i="128" s="1"/>
  <c r="O49" i="128"/>
  <c r="P17" i="94"/>
  <c r="O57" i="128"/>
  <c r="Q57" i="128" s="1"/>
  <c r="O55" i="128"/>
  <c r="Q55" i="128" s="1"/>
  <c r="O50" i="128"/>
  <c r="Q50" i="128" s="1"/>
  <c r="O58" i="128"/>
  <c r="Q58" i="128" s="1"/>
  <c r="O32" i="128"/>
  <c r="Q32" i="128" s="1"/>
  <c r="L32" i="128" s="1"/>
  <c r="O59" i="128"/>
  <c r="O14" i="128"/>
  <c r="Q14" i="128" s="1"/>
  <c r="O13" i="128"/>
  <c r="Q13" i="128" s="1"/>
  <c r="O12" i="128"/>
  <c r="Q12" i="128" s="1"/>
  <c r="V53" i="128" s="1"/>
  <c r="O18" i="128"/>
  <c r="Q18" i="128" s="1"/>
  <c r="O16" i="128"/>
  <c r="Q16" i="128" s="1"/>
  <c r="O11" i="128"/>
  <c r="Q11" i="128" s="1"/>
  <c r="V52" i="128" s="1"/>
  <c r="O15" i="128"/>
  <c r="O10" i="128"/>
  <c r="Q10" i="128" s="1"/>
  <c r="V51" i="128" s="1"/>
  <c r="O9" i="128"/>
  <c r="Q9" i="128" s="1"/>
  <c r="V50" i="128" s="1"/>
  <c r="O7" i="128"/>
  <c r="O17" i="128"/>
  <c r="Q17" i="128" s="1"/>
  <c r="O8" i="128"/>
  <c r="O48" i="128"/>
  <c r="O52" i="128"/>
  <c r="Q52" i="128" s="1"/>
  <c r="O56" i="128"/>
  <c r="Q56" i="128" s="1"/>
  <c r="O38" i="128"/>
  <c r="Q38" i="128" s="1"/>
  <c r="L38" i="128" s="1"/>
  <c r="O29" i="128"/>
  <c r="O39" i="128"/>
  <c r="O31" i="128"/>
  <c r="Q31" i="128" s="1"/>
  <c r="L31" i="128" s="1"/>
  <c r="O33" i="128"/>
  <c r="Q33" i="128" s="1"/>
  <c r="O35" i="128"/>
  <c r="Q35" i="128" s="1"/>
  <c r="O36" i="128"/>
  <c r="Q36" i="128" s="1"/>
  <c r="O28" i="128"/>
  <c r="O37" i="128"/>
  <c r="Q37" i="128" s="1"/>
  <c r="O30" i="128"/>
  <c r="Q30" i="128" s="1"/>
  <c r="O34" i="128"/>
  <c r="Q34" i="128" s="1"/>
  <c r="V28" i="128"/>
  <c r="M28" i="128" s="1"/>
  <c r="V29" i="128"/>
  <c r="M29" i="128" s="1"/>
  <c r="F108" i="133"/>
  <c r="Z7" i="130"/>
  <c r="L49" i="128"/>
  <c r="I134" i="119"/>
  <c r="F110" i="119"/>
  <c r="I134" i="113"/>
  <c r="F108" i="113"/>
  <c r="F113" i="113"/>
  <c r="F111" i="113"/>
  <c r="F110" i="113"/>
  <c r="H133" i="113"/>
  <c r="F133" i="98"/>
  <c r="F108" i="98"/>
  <c r="F111" i="98"/>
  <c r="I134" i="98"/>
  <c r="H134" i="98"/>
  <c r="F111" i="97"/>
  <c r="F113" i="97"/>
  <c r="I133" i="97"/>
  <c r="F108" i="97"/>
  <c r="F108" i="96"/>
  <c r="F113" i="96"/>
  <c r="H133" i="136"/>
  <c r="I133" i="136"/>
  <c r="F133" i="136"/>
  <c r="F110" i="91"/>
  <c r="F108" i="91"/>
  <c r="F113" i="91"/>
  <c r="H134" i="135"/>
  <c r="I134" i="135"/>
  <c r="F134" i="135"/>
  <c r="F108" i="134"/>
  <c r="F110" i="134"/>
  <c r="F111" i="134"/>
  <c r="I134" i="134"/>
  <c r="H134" i="134"/>
  <c r="F134" i="134"/>
  <c r="I133" i="134"/>
  <c r="F110" i="133"/>
  <c r="J14" i="86"/>
  <c r="P4" i="94"/>
  <c r="L29" i="128"/>
  <c r="L28" i="128"/>
  <c r="P18" i="94"/>
  <c r="P5" i="94"/>
  <c r="IQ26" i="94"/>
  <c r="R7" i="128"/>
  <c r="L48" i="128"/>
  <c r="F133" i="133" l="1"/>
  <c r="H133" i="97"/>
  <c r="F134" i="119"/>
  <c r="I133" i="113"/>
  <c r="F134" i="113"/>
  <c r="H133" i="133"/>
  <c r="Q31" i="94"/>
  <c r="F8" i="145"/>
  <c r="Q5" i="94"/>
  <c r="C8" i="145"/>
  <c r="Q18" i="94"/>
  <c r="D8" i="145"/>
  <c r="Q4" i="94"/>
  <c r="C7" i="145"/>
  <c r="G7" i="145" s="1"/>
  <c r="Q17" i="94"/>
  <c r="D7" i="145"/>
  <c r="F133" i="99"/>
  <c r="H133" i="99"/>
  <c r="I133" i="99"/>
  <c r="F133" i="96"/>
  <c r="H133" i="134"/>
  <c r="I133" i="96"/>
  <c r="I133" i="98"/>
  <c r="I134" i="132"/>
  <c r="F134" i="132"/>
  <c r="H134" i="132"/>
  <c r="F134" i="97"/>
  <c r="H133" i="91"/>
  <c r="V54" i="128"/>
  <c r="M54" i="128" s="1"/>
  <c r="U51" i="128"/>
  <c r="I124" i="118" s="1"/>
  <c r="F133" i="139"/>
  <c r="I133" i="139"/>
  <c r="F133" i="91"/>
  <c r="H134" i="97"/>
  <c r="L57" i="128"/>
  <c r="T57" i="128" s="1"/>
  <c r="I101" i="138" s="1"/>
  <c r="L53" i="128"/>
  <c r="M53" i="128"/>
  <c r="T56" i="128"/>
  <c r="I98" i="119" s="1"/>
  <c r="L51" i="128"/>
  <c r="M51" i="128"/>
  <c r="U52" i="128"/>
  <c r="I125" i="132" s="1"/>
  <c r="M52" i="128"/>
  <c r="L58" i="128"/>
  <c r="I134" i="133"/>
  <c r="H134" i="133"/>
  <c r="F134" i="133"/>
  <c r="T50" i="128"/>
  <c r="I80" i="99" s="1"/>
  <c r="M50" i="128"/>
  <c r="Q30" i="94"/>
  <c r="T53" i="128"/>
  <c r="I89" i="133" s="1"/>
  <c r="U53" i="128"/>
  <c r="I126" i="137" s="1"/>
  <c r="V57" i="128"/>
  <c r="L50" i="128"/>
  <c r="U50" i="128"/>
  <c r="I123" i="132" s="1"/>
  <c r="U56" i="128"/>
  <c r="I129" i="124" s="1"/>
  <c r="Q46" i="128"/>
  <c r="T32" i="128"/>
  <c r="H86" i="119" s="1"/>
  <c r="U32" i="128"/>
  <c r="H125" i="119" s="1"/>
  <c r="V32" i="128"/>
  <c r="M32" i="128" s="1"/>
  <c r="U31" i="128"/>
  <c r="H124" i="138" s="1"/>
  <c r="V55" i="128"/>
  <c r="R18" i="128"/>
  <c r="D102" i="86" s="1"/>
  <c r="F102" i="86" s="1"/>
  <c r="V58" i="128"/>
  <c r="M58" i="128" s="1"/>
  <c r="T52" i="128"/>
  <c r="I86" i="98" s="1"/>
  <c r="L52" i="128"/>
  <c r="M16" i="128"/>
  <c r="V56" i="128"/>
  <c r="M56" i="128" s="1"/>
  <c r="L56" i="128"/>
  <c r="I83" i="120"/>
  <c r="I83" i="119"/>
  <c r="I83" i="118"/>
  <c r="I83" i="113"/>
  <c r="I83" i="136"/>
  <c r="I83" i="99"/>
  <c r="I83" i="139"/>
  <c r="I83" i="97"/>
  <c r="I83" i="117"/>
  <c r="I83" i="123"/>
  <c r="I83" i="137"/>
  <c r="I83" i="138"/>
  <c r="I83" i="96"/>
  <c r="I83" i="140"/>
  <c r="I83" i="98"/>
  <c r="I83" i="91"/>
  <c r="I83" i="124"/>
  <c r="I83" i="95"/>
  <c r="I83" i="135"/>
  <c r="I83" i="116"/>
  <c r="I83" i="134"/>
  <c r="I83" i="132"/>
  <c r="I83" i="86"/>
  <c r="I83" i="133"/>
  <c r="L33" i="128"/>
  <c r="T33" i="128"/>
  <c r="H89" i="133" s="1"/>
  <c r="V31" i="128"/>
  <c r="M31" i="128" s="1"/>
  <c r="T31" i="128"/>
  <c r="H83" i="133" s="1"/>
  <c r="V36" i="128"/>
  <c r="M36" i="128" s="1"/>
  <c r="U33" i="128"/>
  <c r="H126" i="119" s="1"/>
  <c r="T30" i="128"/>
  <c r="L34" i="128"/>
  <c r="L37" i="128"/>
  <c r="T37" i="128" s="1"/>
  <c r="L36" i="128"/>
  <c r="U30" i="128"/>
  <c r="H123" i="138" s="1"/>
  <c r="L30" i="128"/>
  <c r="V33" i="128"/>
  <c r="M33" i="128" s="1"/>
  <c r="V30" i="128"/>
  <c r="M30" i="128" s="1"/>
  <c r="T36" i="128"/>
  <c r="Q26" i="128"/>
  <c r="L26" i="128" s="1"/>
  <c r="U36" i="128"/>
  <c r="H129" i="113" s="1"/>
  <c r="R14" i="128"/>
  <c r="V35" i="128"/>
  <c r="M35" i="128" s="1"/>
  <c r="U35" i="128" s="1"/>
  <c r="M17" i="128"/>
  <c r="U17" i="128" s="1"/>
  <c r="D130" i="116" s="1"/>
  <c r="F130" i="116" s="1"/>
  <c r="V37" i="128"/>
  <c r="M37" i="128" s="1"/>
  <c r="U37" i="128" s="1"/>
  <c r="R13" i="128"/>
  <c r="D90" i="113" s="1"/>
  <c r="F90" i="113" s="1"/>
  <c r="V34" i="128"/>
  <c r="M34" i="128" s="1"/>
  <c r="V38" i="128"/>
  <c r="M38" i="128" s="1"/>
  <c r="L17" i="128"/>
  <c r="T17" i="128" s="1"/>
  <c r="D101" i="113" s="1"/>
  <c r="F101" i="113" s="1"/>
  <c r="R17" i="128"/>
  <c r="D99" i="96" s="1"/>
  <c r="F99" i="96" s="1"/>
  <c r="S17" i="128"/>
  <c r="D100" i="91" s="1"/>
  <c r="F100" i="91" s="1"/>
  <c r="W17" i="128"/>
  <c r="T11" i="128"/>
  <c r="D86" i="95" s="1"/>
  <c r="F86" i="95" s="1"/>
  <c r="M11" i="128"/>
  <c r="T12" i="128"/>
  <c r="D89" i="91" s="1"/>
  <c r="F89" i="91" s="1"/>
  <c r="M12" i="128"/>
  <c r="U10" i="128"/>
  <c r="D124" i="98" s="1"/>
  <c r="F124" i="98" s="1"/>
  <c r="M10" i="128"/>
  <c r="T9" i="128"/>
  <c r="D80" i="120" s="1"/>
  <c r="F80" i="120" s="1"/>
  <c r="M9" i="128"/>
  <c r="M18" i="128"/>
  <c r="W18" i="128"/>
  <c r="S8" i="128"/>
  <c r="D76" i="117" s="1"/>
  <c r="F76" i="117" s="1"/>
  <c r="M8" i="128"/>
  <c r="W8" i="128"/>
  <c r="W7" i="128"/>
  <c r="M7" i="128"/>
  <c r="L13" i="128"/>
  <c r="W13" i="128"/>
  <c r="M13" i="128"/>
  <c r="M14" i="128"/>
  <c r="U14" i="128" s="1"/>
  <c r="W14" i="128"/>
  <c r="L11" i="128"/>
  <c r="U11" i="128"/>
  <c r="D125" i="124" s="1"/>
  <c r="F125" i="124" s="1"/>
  <c r="R11" i="128"/>
  <c r="D84" i="118" s="1"/>
  <c r="F84" i="118" s="1"/>
  <c r="S11" i="128"/>
  <c r="D85" i="96" s="1"/>
  <c r="F85" i="96" s="1"/>
  <c r="P6" i="94"/>
  <c r="S18" i="128"/>
  <c r="D103" i="86" s="1"/>
  <c r="F103" i="86" s="1"/>
  <c r="R10" i="128"/>
  <c r="D81" i="116" s="1"/>
  <c r="F81" i="116" s="1"/>
  <c r="L8" i="128"/>
  <c r="S10" i="128"/>
  <c r="D82" i="116" s="1"/>
  <c r="F82" i="116" s="1"/>
  <c r="R8" i="128"/>
  <c r="D75" i="124" s="1"/>
  <c r="F75" i="124" s="1"/>
  <c r="L18" i="128"/>
  <c r="Q39" i="128"/>
  <c r="L35" i="128"/>
  <c r="T35" i="128" s="1"/>
  <c r="L7" i="128"/>
  <c r="S7" i="128"/>
  <c r="D73" i="123" s="1"/>
  <c r="F73" i="123" s="1"/>
  <c r="D72" i="123"/>
  <c r="F72" i="123" s="1"/>
  <c r="R12" i="128"/>
  <c r="D87" i="98" s="1"/>
  <c r="F87" i="98" s="1"/>
  <c r="IQ16" i="94"/>
  <c r="L9" i="128"/>
  <c r="U12" i="128"/>
  <c r="D126" i="95" s="1"/>
  <c r="F126" i="95" s="1"/>
  <c r="U9" i="128"/>
  <c r="D123" i="86" s="1"/>
  <c r="F123" i="86" s="1"/>
  <c r="S12" i="128"/>
  <c r="D88" i="91" s="1"/>
  <c r="F88" i="91" s="1"/>
  <c r="S9" i="128"/>
  <c r="D79" i="118" s="1"/>
  <c r="F79" i="118" s="1"/>
  <c r="S13" i="128"/>
  <c r="D91" i="118" s="1"/>
  <c r="F91" i="118" s="1"/>
  <c r="L10" i="128"/>
  <c r="L12" i="128"/>
  <c r="T10" i="128"/>
  <c r="D83" i="117" s="1"/>
  <c r="F83" i="117" s="1"/>
  <c r="L16" i="128"/>
  <c r="T16" i="128"/>
  <c r="D98" i="132" s="1"/>
  <c r="F98" i="132" s="1"/>
  <c r="U16" i="128"/>
  <c r="D129" i="116" s="1"/>
  <c r="F129" i="116" s="1"/>
  <c r="R9" i="128"/>
  <c r="D78" i="86" s="1"/>
  <c r="F78" i="86" s="1"/>
  <c r="S16" i="128"/>
  <c r="D97" i="123" s="1"/>
  <c r="F97" i="123" s="1"/>
  <c r="R16" i="128"/>
  <c r="D96" i="118" s="1"/>
  <c r="F96" i="118" s="1"/>
  <c r="Q5" i="128"/>
  <c r="S14" i="128"/>
  <c r="Q15" i="128"/>
  <c r="L14" i="128"/>
  <c r="T14" i="128" s="1"/>
  <c r="Q59" i="128"/>
  <c r="L55" i="128"/>
  <c r="T55" i="128" s="1"/>
  <c r="I125" i="91" l="1"/>
  <c r="I125" i="98"/>
  <c r="E8" i="145"/>
  <c r="G8" i="145"/>
  <c r="E7" i="145"/>
  <c r="Q6" i="94"/>
  <c r="C9" i="145"/>
  <c r="D76" i="136"/>
  <c r="F76" i="136" s="1"/>
  <c r="D76" i="137"/>
  <c r="F76" i="137" s="1"/>
  <c r="D76" i="132"/>
  <c r="F76" i="132" s="1"/>
  <c r="D76" i="113"/>
  <c r="F76" i="113" s="1"/>
  <c r="D76" i="120"/>
  <c r="F76" i="120" s="1"/>
  <c r="D76" i="96"/>
  <c r="F76" i="96" s="1"/>
  <c r="I124" i="98"/>
  <c r="I126" i="135"/>
  <c r="I124" i="113"/>
  <c r="I124" i="137"/>
  <c r="I124" i="99"/>
  <c r="I126" i="116"/>
  <c r="I124" i="136"/>
  <c r="I126" i="124"/>
  <c r="I126" i="120"/>
  <c r="I124" i="135"/>
  <c r="I124" i="97"/>
  <c r="I123" i="123"/>
  <c r="I101" i="99"/>
  <c r="I101" i="86"/>
  <c r="I125" i="123"/>
  <c r="I101" i="123"/>
  <c r="I125" i="133"/>
  <c r="I101" i="116"/>
  <c r="I101" i="136"/>
  <c r="I101" i="140"/>
  <c r="I101" i="134"/>
  <c r="I101" i="118"/>
  <c r="I101" i="124"/>
  <c r="I101" i="95"/>
  <c r="I101" i="119"/>
  <c r="I101" i="91"/>
  <c r="I101" i="137"/>
  <c r="I101" i="120"/>
  <c r="I89" i="96"/>
  <c r="I101" i="117"/>
  <c r="I101" i="135"/>
  <c r="I89" i="136"/>
  <c r="I101" i="97"/>
  <c r="I101" i="98"/>
  <c r="I101" i="133"/>
  <c r="I101" i="139"/>
  <c r="I101" i="96"/>
  <c r="I124" i="116"/>
  <c r="I98" i="116"/>
  <c r="I124" i="91"/>
  <c r="I126" i="123"/>
  <c r="I98" i="134"/>
  <c r="I124" i="134"/>
  <c r="I124" i="132"/>
  <c r="I124" i="120"/>
  <c r="I124" i="117"/>
  <c r="I126" i="97"/>
  <c r="I126" i="98"/>
  <c r="I89" i="86"/>
  <c r="I124" i="95"/>
  <c r="I126" i="139"/>
  <c r="I126" i="134"/>
  <c r="I126" i="91"/>
  <c r="I89" i="132"/>
  <c r="I124" i="123"/>
  <c r="I124" i="119"/>
  <c r="I124" i="124"/>
  <c r="I126" i="118"/>
  <c r="I101" i="113"/>
  <c r="I101" i="132"/>
  <c r="I89" i="98"/>
  <c r="I98" i="96"/>
  <c r="I124" i="96"/>
  <c r="I124" i="139"/>
  <c r="I124" i="138"/>
  <c r="I80" i="135"/>
  <c r="I124" i="133"/>
  <c r="I124" i="140"/>
  <c r="I80" i="118"/>
  <c r="I124" i="86"/>
  <c r="I98" i="86"/>
  <c r="I89" i="139"/>
  <c r="I80" i="95"/>
  <c r="I80" i="119"/>
  <c r="I80" i="96"/>
  <c r="I80" i="138"/>
  <c r="I80" i="137"/>
  <c r="I98" i="99"/>
  <c r="I89" i="140"/>
  <c r="I80" i="123"/>
  <c r="I98" i="120"/>
  <c r="I80" i="134"/>
  <c r="I80" i="136"/>
  <c r="I80" i="116"/>
  <c r="I80" i="113"/>
  <c r="I98" i="98"/>
  <c r="I89" i="99"/>
  <c r="I89" i="134"/>
  <c r="I89" i="118"/>
  <c r="I89" i="135"/>
  <c r="I125" i="113"/>
  <c r="I125" i="124"/>
  <c r="I125" i="116"/>
  <c r="I125" i="139"/>
  <c r="I125" i="138"/>
  <c r="I125" i="96"/>
  <c r="I125" i="118"/>
  <c r="I125" i="136"/>
  <c r="I98" i="135"/>
  <c r="I125" i="120"/>
  <c r="I98" i="91"/>
  <c r="I125" i="119"/>
  <c r="I125" i="140"/>
  <c r="I125" i="137"/>
  <c r="I123" i="113"/>
  <c r="I80" i="124"/>
  <c r="I80" i="117"/>
  <c r="I80" i="120"/>
  <c r="I125" i="135"/>
  <c r="I125" i="134"/>
  <c r="I80" i="133"/>
  <c r="I80" i="91"/>
  <c r="I80" i="97"/>
  <c r="I125" i="95"/>
  <c r="I125" i="99"/>
  <c r="I125" i="86"/>
  <c r="I80" i="86"/>
  <c r="I80" i="98"/>
  <c r="I80" i="139"/>
  <c r="I123" i="124"/>
  <c r="I125" i="117"/>
  <c r="I125" i="97"/>
  <c r="I80" i="132"/>
  <c r="I80" i="140"/>
  <c r="I98" i="140"/>
  <c r="I98" i="139"/>
  <c r="I89" i="137"/>
  <c r="I126" i="119"/>
  <c r="I126" i="86"/>
  <c r="I98" i="95"/>
  <c r="I98" i="124"/>
  <c r="I98" i="138"/>
  <c r="I89" i="116"/>
  <c r="I89" i="138"/>
  <c r="I89" i="113"/>
  <c r="L46" i="128"/>
  <c r="T54" i="128" s="1"/>
  <c r="I92" i="134" s="1"/>
  <c r="I126" i="117"/>
  <c r="I126" i="99"/>
  <c r="I126" i="136"/>
  <c r="I98" i="133"/>
  <c r="I98" i="137"/>
  <c r="I98" i="123"/>
  <c r="I98" i="136"/>
  <c r="I89" i="95"/>
  <c r="I89" i="123"/>
  <c r="I89" i="119"/>
  <c r="M57" i="128"/>
  <c r="U57" i="128" s="1"/>
  <c r="I126" i="132"/>
  <c r="I126" i="138"/>
  <c r="I126" i="113"/>
  <c r="I98" i="117"/>
  <c r="I98" i="113"/>
  <c r="I98" i="118"/>
  <c r="I89" i="124"/>
  <c r="I89" i="117"/>
  <c r="I89" i="120"/>
  <c r="I126" i="95"/>
  <c r="I126" i="133"/>
  <c r="I126" i="96"/>
  <c r="I126" i="140"/>
  <c r="I98" i="97"/>
  <c r="I98" i="132"/>
  <c r="I89" i="91"/>
  <c r="I89" i="97"/>
  <c r="M55" i="128"/>
  <c r="U55" i="128" s="1"/>
  <c r="I123" i="86"/>
  <c r="I123" i="98"/>
  <c r="H124" i="97"/>
  <c r="H124" i="95"/>
  <c r="H124" i="140"/>
  <c r="I123" i="136"/>
  <c r="I123" i="96"/>
  <c r="I123" i="118"/>
  <c r="I123" i="116"/>
  <c r="I123" i="91"/>
  <c r="I123" i="140"/>
  <c r="I123" i="135"/>
  <c r="I123" i="134"/>
  <c r="I123" i="138"/>
  <c r="I123" i="99"/>
  <c r="I123" i="137"/>
  <c r="I123" i="119"/>
  <c r="I123" i="139"/>
  <c r="I123" i="120"/>
  <c r="I123" i="133"/>
  <c r="I123" i="97"/>
  <c r="I123" i="117"/>
  <c r="I129" i="116"/>
  <c r="I129" i="117"/>
  <c r="I129" i="120"/>
  <c r="I129" i="99"/>
  <c r="I129" i="91"/>
  <c r="I129" i="119"/>
  <c r="I129" i="136"/>
  <c r="I129" i="95"/>
  <c r="I129" i="134"/>
  <c r="I129" i="97"/>
  <c r="I129" i="135"/>
  <c r="I129" i="132"/>
  <c r="I129" i="133"/>
  <c r="I129" i="98"/>
  <c r="I129" i="139"/>
  <c r="I129" i="140"/>
  <c r="H86" i="133"/>
  <c r="I129" i="96"/>
  <c r="I129" i="118"/>
  <c r="I129" i="138"/>
  <c r="I129" i="123"/>
  <c r="I129" i="137"/>
  <c r="I129" i="113"/>
  <c r="H86" i="96"/>
  <c r="H86" i="137"/>
  <c r="I129" i="86"/>
  <c r="H86" i="117"/>
  <c r="H86" i="140"/>
  <c r="H86" i="99"/>
  <c r="H86" i="113"/>
  <c r="H129" i="134"/>
  <c r="D124" i="138"/>
  <c r="F124" i="138" s="1"/>
  <c r="H129" i="96"/>
  <c r="H125" i="135"/>
  <c r="H86" i="132"/>
  <c r="H86" i="139"/>
  <c r="H86" i="95"/>
  <c r="H125" i="98"/>
  <c r="H86" i="134"/>
  <c r="H86" i="136"/>
  <c r="H86" i="138"/>
  <c r="H86" i="124"/>
  <c r="H86" i="118"/>
  <c r="I123" i="95"/>
  <c r="D124" i="136"/>
  <c r="F124" i="136" s="1"/>
  <c r="H86" i="98"/>
  <c r="H86" i="120"/>
  <c r="H86" i="135"/>
  <c r="H86" i="86"/>
  <c r="H125" i="86"/>
  <c r="H125" i="118"/>
  <c r="H125" i="136"/>
  <c r="H125" i="133"/>
  <c r="H125" i="113"/>
  <c r="H125" i="120"/>
  <c r="H125" i="95"/>
  <c r="H124" i="99"/>
  <c r="H124" i="137"/>
  <c r="H124" i="116"/>
  <c r="H124" i="113"/>
  <c r="H124" i="135"/>
  <c r="H124" i="139"/>
  <c r="H124" i="123"/>
  <c r="H124" i="134"/>
  <c r="H124" i="86"/>
  <c r="H124" i="124"/>
  <c r="H124" i="120"/>
  <c r="H124" i="132"/>
  <c r="H124" i="118"/>
  <c r="H124" i="133"/>
  <c r="H124" i="91"/>
  <c r="H124" i="98"/>
  <c r="H124" i="119"/>
  <c r="H124" i="136"/>
  <c r="H124" i="96"/>
  <c r="H86" i="123"/>
  <c r="H125" i="137"/>
  <c r="H125" i="134"/>
  <c r="H125" i="123"/>
  <c r="H125" i="96"/>
  <c r="H125" i="91"/>
  <c r="H125" i="139"/>
  <c r="H125" i="140"/>
  <c r="H125" i="117"/>
  <c r="H124" i="117"/>
  <c r="H126" i="91"/>
  <c r="H126" i="136"/>
  <c r="H126" i="96"/>
  <c r="H126" i="97"/>
  <c r="H125" i="116"/>
  <c r="H125" i="97"/>
  <c r="H125" i="138"/>
  <c r="H123" i="140"/>
  <c r="H123" i="119"/>
  <c r="H125" i="99"/>
  <c r="H125" i="124"/>
  <c r="H125" i="132"/>
  <c r="I86" i="140"/>
  <c r="H86" i="116"/>
  <c r="H86" i="97"/>
  <c r="H86" i="91"/>
  <c r="H129" i="124"/>
  <c r="H129" i="120"/>
  <c r="I86" i="95"/>
  <c r="D124" i="117"/>
  <c r="F124" i="117" s="1"/>
  <c r="D101" i="139"/>
  <c r="F101" i="139" s="1"/>
  <c r="H126" i="140"/>
  <c r="D101" i="123"/>
  <c r="F101" i="123" s="1"/>
  <c r="D101" i="138"/>
  <c r="F101" i="138" s="1"/>
  <c r="H126" i="95"/>
  <c r="D99" i="97"/>
  <c r="F99" i="97" s="1"/>
  <c r="D99" i="119"/>
  <c r="F99" i="119" s="1"/>
  <c r="D130" i="95"/>
  <c r="F130" i="95" s="1"/>
  <c r="D124" i="118"/>
  <c r="F124" i="118" s="1"/>
  <c r="D100" i="139"/>
  <c r="F100" i="139" s="1"/>
  <c r="D99" i="136"/>
  <c r="F99" i="136" s="1"/>
  <c r="D99" i="118"/>
  <c r="F99" i="118" s="1"/>
  <c r="D101" i="119"/>
  <c r="F101" i="119" s="1"/>
  <c r="S37" i="128"/>
  <c r="H100" i="97" s="1"/>
  <c r="D99" i="99"/>
  <c r="F99" i="99" s="1"/>
  <c r="D99" i="138"/>
  <c r="F99" i="138" s="1"/>
  <c r="D124" i="123"/>
  <c r="F124" i="123" s="1"/>
  <c r="D99" i="91"/>
  <c r="F99" i="91" s="1"/>
  <c r="D124" i="86"/>
  <c r="F124" i="86" s="1"/>
  <c r="D130" i="136"/>
  <c r="F130" i="136" s="1"/>
  <c r="D100" i="117"/>
  <c r="F100" i="117" s="1"/>
  <c r="D99" i="133"/>
  <c r="F99" i="133" s="1"/>
  <c r="D99" i="113"/>
  <c r="F99" i="113" s="1"/>
  <c r="D101" i="120"/>
  <c r="F101" i="120" s="1"/>
  <c r="D130" i="138"/>
  <c r="F130" i="138" s="1"/>
  <c r="D101" i="97"/>
  <c r="F101" i="97" s="1"/>
  <c r="D101" i="98"/>
  <c r="F101" i="98" s="1"/>
  <c r="D130" i="86"/>
  <c r="F130" i="86" s="1"/>
  <c r="D99" i="139"/>
  <c r="F99" i="139" s="1"/>
  <c r="D100" i="116"/>
  <c r="F100" i="116" s="1"/>
  <c r="D130" i="135"/>
  <c r="F130" i="135" s="1"/>
  <c r="D99" i="120"/>
  <c r="F99" i="120" s="1"/>
  <c r="D101" i="134"/>
  <c r="F101" i="134" s="1"/>
  <c r="D124" i="134"/>
  <c r="F124" i="134" s="1"/>
  <c r="D130" i="120"/>
  <c r="F130" i="120" s="1"/>
  <c r="D99" i="116"/>
  <c r="F99" i="116" s="1"/>
  <c r="D101" i="140"/>
  <c r="F101" i="140" s="1"/>
  <c r="D101" i="91"/>
  <c r="F101" i="91" s="1"/>
  <c r="D130" i="98"/>
  <c r="F130" i="98" s="1"/>
  <c r="D100" i="134"/>
  <c r="F100" i="134" s="1"/>
  <c r="D99" i="137"/>
  <c r="F99" i="137" s="1"/>
  <c r="D99" i="117"/>
  <c r="F99" i="117" s="1"/>
  <c r="D99" i="124"/>
  <c r="F99" i="124" s="1"/>
  <c r="D130" i="140"/>
  <c r="F130" i="140" s="1"/>
  <c r="D130" i="119"/>
  <c r="F130" i="119" s="1"/>
  <c r="D100" i="135"/>
  <c r="F100" i="135" s="1"/>
  <c r="D99" i="135"/>
  <c r="F99" i="135" s="1"/>
  <c r="D99" i="86"/>
  <c r="F99" i="86" s="1"/>
  <c r="D99" i="98"/>
  <c r="F99" i="98" s="1"/>
  <c r="D101" i="133"/>
  <c r="F101" i="133" s="1"/>
  <c r="D101" i="95"/>
  <c r="F101" i="95" s="1"/>
  <c r="D130" i="139"/>
  <c r="F130" i="139" s="1"/>
  <c r="D130" i="118"/>
  <c r="F130" i="118" s="1"/>
  <c r="D100" i="120"/>
  <c r="F100" i="120" s="1"/>
  <c r="R37" i="128"/>
  <c r="H99" i="139" s="1"/>
  <c r="D99" i="134"/>
  <c r="F99" i="134" s="1"/>
  <c r="D99" i="123"/>
  <c r="F99" i="123" s="1"/>
  <c r="D99" i="95"/>
  <c r="F99" i="95" s="1"/>
  <c r="D101" i="118"/>
  <c r="F101" i="118" s="1"/>
  <c r="D101" i="86"/>
  <c r="F101" i="86" s="1"/>
  <c r="D130" i="132"/>
  <c r="F130" i="132" s="1"/>
  <c r="D130" i="97"/>
  <c r="F130" i="97" s="1"/>
  <c r="D100" i="113"/>
  <c r="F100" i="113" s="1"/>
  <c r="D99" i="140"/>
  <c r="F99" i="140" s="1"/>
  <c r="D99" i="132"/>
  <c r="F99" i="132" s="1"/>
  <c r="D101" i="136"/>
  <c r="F101" i="136" s="1"/>
  <c r="D101" i="96"/>
  <c r="F101" i="96" s="1"/>
  <c r="D101" i="116"/>
  <c r="F101" i="116" s="1"/>
  <c r="I86" i="132"/>
  <c r="I86" i="120"/>
  <c r="H129" i="138"/>
  <c r="I86" i="137"/>
  <c r="I86" i="96"/>
  <c r="I86" i="123"/>
  <c r="I86" i="86"/>
  <c r="D130" i="133"/>
  <c r="F130" i="133" s="1"/>
  <c r="D130" i="91"/>
  <c r="F130" i="91" s="1"/>
  <c r="D130" i="99"/>
  <c r="F130" i="99" s="1"/>
  <c r="D100" i="136"/>
  <c r="F100" i="136" s="1"/>
  <c r="D100" i="96"/>
  <c r="F100" i="96" s="1"/>
  <c r="H129" i="99"/>
  <c r="I86" i="117"/>
  <c r="I86" i="134"/>
  <c r="D130" i="137"/>
  <c r="F130" i="137" s="1"/>
  <c r="D130" i="113"/>
  <c r="F130" i="113" s="1"/>
  <c r="D130" i="124"/>
  <c r="F130" i="124" s="1"/>
  <c r="D100" i="119"/>
  <c r="F100" i="119" s="1"/>
  <c r="H129" i="86"/>
  <c r="I86" i="99"/>
  <c r="I86" i="138"/>
  <c r="D130" i="134"/>
  <c r="F130" i="134" s="1"/>
  <c r="D130" i="123"/>
  <c r="F130" i="123" s="1"/>
  <c r="D130" i="96"/>
  <c r="F130" i="96" s="1"/>
  <c r="D100" i="132"/>
  <c r="F100" i="132" s="1"/>
  <c r="H129" i="118"/>
  <c r="I86" i="136"/>
  <c r="D130" i="117"/>
  <c r="F130" i="117" s="1"/>
  <c r="D100" i="124"/>
  <c r="F100" i="124" s="1"/>
  <c r="H129" i="117"/>
  <c r="I86" i="113"/>
  <c r="I86" i="124"/>
  <c r="I86" i="118"/>
  <c r="I86" i="91"/>
  <c r="I86" i="119"/>
  <c r="H130" i="136"/>
  <c r="H130" i="140"/>
  <c r="H130" i="96"/>
  <c r="H130" i="98"/>
  <c r="H130" i="99"/>
  <c r="H130" i="95"/>
  <c r="H130" i="118"/>
  <c r="H130" i="138"/>
  <c r="H130" i="120"/>
  <c r="H130" i="86"/>
  <c r="H130" i="123"/>
  <c r="H130" i="124"/>
  <c r="H130" i="135"/>
  <c r="H130" i="137"/>
  <c r="H130" i="133"/>
  <c r="H130" i="116"/>
  <c r="H130" i="97"/>
  <c r="H130" i="91"/>
  <c r="H130" i="113"/>
  <c r="H130" i="134"/>
  <c r="H130" i="117"/>
  <c r="H130" i="132"/>
  <c r="H130" i="119"/>
  <c r="H130" i="139"/>
  <c r="V59" i="128"/>
  <c r="M59" i="128" s="1"/>
  <c r="I86" i="133"/>
  <c r="I86" i="97"/>
  <c r="I86" i="135"/>
  <c r="V26" i="128"/>
  <c r="M26" i="128" s="1"/>
  <c r="V46" i="128"/>
  <c r="I86" i="116"/>
  <c r="I86" i="139"/>
  <c r="H129" i="95"/>
  <c r="H129" i="91"/>
  <c r="H129" i="133"/>
  <c r="H129" i="136"/>
  <c r="H129" i="119"/>
  <c r="H129" i="140"/>
  <c r="H129" i="135"/>
  <c r="H129" i="97"/>
  <c r="H129" i="123"/>
  <c r="H126" i="113"/>
  <c r="H126" i="116"/>
  <c r="H126" i="135"/>
  <c r="H126" i="139"/>
  <c r="H126" i="132"/>
  <c r="H126" i="134"/>
  <c r="H126" i="98"/>
  <c r="H126" i="137"/>
  <c r="H126" i="99"/>
  <c r="D124" i="140"/>
  <c r="F124" i="140" s="1"/>
  <c r="D124" i="99"/>
  <c r="F124" i="99" s="1"/>
  <c r="D124" i="139"/>
  <c r="F124" i="139" s="1"/>
  <c r="D124" i="124"/>
  <c r="F124" i="124" s="1"/>
  <c r="H126" i="120"/>
  <c r="H126" i="123"/>
  <c r="H126" i="86"/>
  <c r="H126" i="118"/>
  <c r="H126" i="124"/>
  <c r="H126" i="133"/>
  <c r="H126" i="117"/>
  <c r="H126" i="138"/>
  <c r="H123" i="116"/>
  <c r="H123" i="137"/>
  <c r="H123" i="99"/>
  <c r="H123" i="136"/>
  <c r="H123" i="96"/>
  <c r="H123" i="120"/>
  <c r="H123" i="124"/>
  <c r="H123" i="134"/>
  <c r="I95" i="120"/>
  <c r="I95" i="119"/>
  <c r="I95" i="118"/>
  <c r="I95" i="113"/>
  <c r="I95" i="136"/>
  <c r="I95" i="99"/>
  <c r="I95" i="139"/>
  <c r="I95" i="97"/>
  <c r="I95" i="117"/>
  <c r="I95" i="123"/>
  <c r="I95" i="137"/>
  <c r="I95" i="138"/>
  <c r="I95" i="96"/>
  <c r="I95" i="140"/>
  <c r="I95" i="98"/>
  <c r="I95" i="91"/>
  <c r="I95" i="124"/>
  <c r="I95" i="95"/>
  <c r="I95" i="135"/>
  <c r="I95" i="116"/>
  <c r="I95" i="134"/>
  <c r="I95" i="132"/>
  <c r="I95" i="86"/>
  <c r="H123" i="95"/>
  <c r="H98" i="119"/>
  <c r="H98" i="113"/>
  <c r="H98" i="97"/>
  <c r="H98" i="123"/>
  <c r="H98" i="138"/>
  <c r="H98" i="95"/>
  <c r="H98" i="99"/>
  <c r="H98" i="140"/>
  <c r="H98" i="91"/>
  <c r="H98" i="116"/>
  <c r="H98" i="132"/>
  <c r="H98" i="120"/>
  <c r="H98" i="118"/>
  <c r="H98" i="139"/>
  <c r="H98" i="117"/>
  <c r="H98" i="137"/>
  <c r="H98" i="96"/>
  <c r="H98" i="86"/>
  <c r="H98" i="136"/>
  <c r="H98" i="98"/>
  <c r="H98" i="124"/>
  <c r="H98" i="135"/>
  <c r="H98" i="134"/>
  <c r="H80" i="118"/>
  <c r="H80" i="117"/>
  <c r="H80" i="137"/>
  <c r="H80" i="96"/>
  <c r="H80" i="124"/>
  <c r="H80" i="120"/>
  <c r="H80" i="136"/>
  <c r="H80" i="139"/>
  <c r="H80" i="98"/>
  <c r="H80" i="135"/>
  <c r="H80" i="134"/>
  <c r="H80" i="86"/>
  <c r="H80" i="132"/>
  <c r="H80" i="113"/>
  <c r="H80" i="97"/>
  <c r="H80" i="123"/>
  <c r="H80" i="138"/>
  <c r="H80" i="140"/>
  <c r="H80" i="91"/>
  <c r="H80" i="95"/>
  <c r="H80" i="119"/>
  <c r="H80" i="99"/>
  <c r="H80" i="116"/>
  <c r="H95" i="96"/>
  <c r="H95" i="98"/>
  <c r="H95" i="124"/>
  <c r="H95" i="135"/>
  <c r="H95" i="134"/>
  <c r="H95" i="120"/>
  <c r="H95" i="118"/>
  <c r="H95" i="136"/>
  <c r="H95" i="139"/>
  <c r="H95" i="117"/>
  <c r="H95" i="137"/>
  <c r="H95" i="86"/>
  <c r="H95" i="97"/>
  <c r="H95" i="138"/>
  <c r="H95" i="140"/>
  <c r="H95" i="91"/>
  <c r="H95" i="95"/>
  <c r="H95" i="116"/>
  <c r="H95" i="132"/>
  <c r="H95" i="119"/>
  <c r="H95" i="113"/>
  <c r="H95" i="99"/>
  <c r="H95" i="123"/>
  <c r="H80" i="133"/>
  <c r="H98" i="133"/>
  <c r="H83" i="137"/>
  <c r="H83" i="96"/>
  <c r="H83" i="98"/>
  <c r="H83" i="135"/>
  <c r="H83" i="86"/>
  <c r="H83" i="120"/>
  <c r="H83" i="118"/>
  <c r="H83" i="136"/>
  <c r="H83" i="139"/>
  <c r="H83" i="117"/>
  <c r="H83" i="124"/>
  <c r="H83" i="134"/>
  <c r="H83" i="123"/>
  <c r="H83" i="138"/>
  <c r="H83" i="140"/>
  <c r="H83" i="91"/>
  <c r="H83" i="95"/>
  <c r="H83" i="116"/>
  <c r="H83" i="132"/>
  <c r="H83" i="119"/>
  <c r="H83" i="113"/>
  <c r="H83" i="99"/>
  <c r="H83" i="97"/>
  <c r="H101" i="113"/>
  <c r="H101" i="140"/>
  <c r="H101" i="91"/>
  <c r="H101" i="95"/>
  <c r="H101" i="116"/>
  <c r="H101" i="119"/>
  <c r="H101" i="99"/>
  <c r="H101" i="97"/>
  <c r="H101" i="123"/>
  <c r="H101" i="138"/>
  <c r="H101" i="132"/>
  <c r="H101" i="118"/>
  <c r="H101" i="117"/>
  <c r="H101" i="137"/>
  <c r="H101" i="96"/>
  <c r="H101" i="98"/>
  <c r="H101" i="124"/>
  <c r="H101" i="135"/>
  <c r="H101" i="134"/>
  <c r="H101" i="86"/>
  <c r="H101" i="120"/>
  <c r="H101" i="136"/>
  <c r="H101" i="139"/>
  <c r="H89" i="97"/>
  <c r="H89" i="140"/>
  <c r="H89" i="116"/>
  <c r="H89" i="132"/>
  <c r="H89" i="119"/>
  <c r="H89" i="113"/>
  <c r="H89" i="99"/>
  <c r="H89" i="123"/>
  <c r="H89" i="138"/>
  <c r="H89" i="91"/>
  <c r="H89" i="95"/>
  <c r="H89" i="118"/>
  <c r="H89" i="137"/>
  <c r="H89" i="96"/>
  <c r="H89" i="98"/>
  <c r="H89" i="124"/>
  <c r="H89" i="135"/>
  <c r="H89" i="134"/>
  <c r="H89" i="86"/>
  <c r="H89" i="120"/>
  <c r="H89" i="136"/>
  <c r="H89" i="139"/>
  <c r="H89" i="117"/>
  <c r="H123" i="97"/>
  <c r="H123" i="135"/>
  <c r="H123" i="132"/>
  <c r="H123" i="123"/>
  <c r="H123" i="86"/>
  <c r="H129" i="132"/>
  <c r="H129" i="116"/>
  <c r="H129" i="137"/>
  <c r="H123" i="91"/>
  <c r="H123" i="139"/>
  <c r="H123" i="117"/>
  <c r="H123" i="98"/>
  <c r="H101" i="133"/>
  <c r="H129" i="98"/>
  <c r="H129" i="139"/>
  <c r="H123" i="133"/>
  <c r="H123" i="113"/>
  <c r="H123" i="118"/>
  <c r="T34" i="128"/>
  <c r="H92" i="133" s="1"/>
  <c r="T28" i="128"/>
  <c r="D124" i="132"/>
  <c r="F124" i="132" s="1"/>
  <c r="D124" i="91"/>
  <c r="F124" i="91" s="1"/>
  <c r="R15" i="128"/>
  <c r="D105" i="136" s="1"/>
  <c r="F105" i="136" s="1"/>
  <c r="V39" i="128"/>
  <c r="M39" i="128" s="1"/>
  <c r="D101" i="124"/>
  <c r="F101" i="124" s="1"/>
  <c r="D124" i="97"/>
  <c r="F124" i="97" s="1"/>
  <c r="D86" i="99"/>
  <c r="F86" i="99" s="1"/>
  <c r="D100" i="123"/>
  <c r="F100" i="123" s="1"/>
  <c r="D100" i="99"/>
  <c r="F100" i="99" s="1"/>
  <c r="D86" i="139"/>
  <c r="F86" i="139" s="1"/>
  <c r="D86" i="133"/>
  <c r="F86" i="133" s="1"/>
  <c r="D96" i="116"/>
  <c r="F96" i="116" s="1"/>
  <c r="D89" i="98"/>
  <c r="F89" i="98" s="1"/>
  <c r="D86" i="96"/>
  <c r="F86" i="96" s="1"/>
  <c r="D86" i="120"/>
  <c r="F86" i="120" s="1"/>
  <c r="D100" i="137"/>
  <c r="F100" i="137" s="1"/>
  <c r="D100" i="98"/>
  <c r="F100" i="98" s="1"/>
  <c r="D100" i="86"/>
  <c r="F100" i="86" s="1"/>
  <c r="D86" i="113"/>
  <c r="F86" i="113" s="1"/>
  <c r="D100" i="138"/>
  <c r="F100" i="138" s="1"/>
  <c r="D100" i="95"/>
  <c r="F100" i="95" s="1"/>
  <c r="D100" i="118"/>
  <c r="F100" i="118" s="1"/>
  <c r="D86" i="118"/>
  <c r="F86" i="118" s="1"/>
  <c r="D89" i="119"/>
  <c r="F89" i="119" s="1"/>
  <c r="D100" i="140"/>
  <c r="F100" i="140" s="1"/>
  <c r="D100" i="133"/>
  <c r="F100" i="133" s="1"/>
  <c r="D100" i="97"/>
  <c r="F100" i="97" s="1"/>
  <c r="D86" i="91"/>
  <c r="F86" i="91" s="1"/>
  <c r="D89" i="138"/>
  <c r="F89" i="138" s="1"/>
  <c r="D89" i="134"/>
  <c r="F89" i="134" s="1"/>
  <c r="D85" i="120"/>
  <c r="F85" i="120" s="1"/>
  <c r="D86" i="140"/>
  <c r="F86" i="140" s="1"/>
  <c r="D86" i="123"/>
  <c r="F86" i="123" s="1"/>
  <c r="D85" i="116"/>
  <c r="F85" i="116" s="1"/>
  <c r="D86" i="98"/>
  <c r="F86" i="98" s="1"/>
  <c r="D86" i="132"/>
  <c r="F86" i="132" s="1"/>
  <c r="D81" i="138"/>
  <c r="F81" i="138" s="1"/>
  <c r="D86" i="138"/>
  <c r="F86" i="138" s="1"/>
  <c r="D86" i="116"/>
  <c r="F86" i="116" s="1"/>
  <c r="D124" i="135"/>
  <c r="F124" i="135" s="1"/>
  <c r="D124" i="96"/>
  <c r="F124" i="96" s="1"/>
  <c r="D89" i="95"/>
  <c r="F89" i="95" s="1"/>
  <c r="D76" i="99"/>
  <c r="F76" i="99" s="1"/>
  <c r="D86" i="134"/>
  <c r="F86" i="134" s="1"/>
  <c r="D86" i="119"/>
  <c r="F86" i="119" s="1"/>
  <c r="D101" i="137"/>
  <c r="F101" i="137" s="1"/>
  <c r="D101" i="117"/>
  <c r="F101" i="117" s="1"/>
  <c r="D101" i="99"/>
  <c r="F101" i="99" s="1"/>
  <c r="D80" i="113"/>
  <c r="F80" i="113" s="1"/>
  <c r="D124" i="120"/>
  <c r="F124" i="120" s="1"/>
  <c r="D124" i="116"/>
  <c r="F124" i="116" s="1"/>
  <c r="D76" i="135"/>
  <c r="F76" i="135" s="1"/>
  <c r="D76" i="86"/>
  <c r="F76" i="86" s="1"/>
  <c r="D86" i="136"/>
  <c r="F86" i="136" s="1"/>
  <c r="D86" i="97"/>
  <c r="F86" i="97" s="1"/>
  <c r="D101" i="135"/>
  <c r="F101" i="135" s="1"/>
  <c r="D101" i="132"/>
  <c r="F101" i="132" s="1"/>
  <c r="D80" i="139"/>
  <c r="F80" i="139" s="1"/>
  <c r="D124" i="133"/>
  <c r="F124" i="133" s="1"/>
  <c r="D124" i="113"/>
  <c r="F124" i="113" s="1"/>
  <c r="D124" i="95"/>
  <c r="F124" i="95" s="1"/>
  <c r="D89" i="116"/>
  <c r="F89" i="116" s="1"/>
  <c r="D76" i="98"/>
  <c r="F76" i="98" s="1"/>
  <c r="D80" i="119"/>
  <c r="F80" i="119" s="1"/>
  <c r="D124" i="137"/>
  <c r="F124" i="137" s="1"/>
  <c r="D124" i="119"/>
  <c r="F124" i="119" s="1"/>
  <c r="D76" i="134"/>
  <c r="F76" i="134" s="1"/>
  <c r="D76" i="123"/>
  <c r="F76" i="123" s="1"/>
  <c r="D89" i="139"/>
  <c r="F89" i="139" s="1"/>
  <c r="D89" i="117"/>
  <c r="F89" i="117" s="1"/>
  <c r="D89" i="123"/>
  <c r="F89" i="123" s="1"/>
  <c r="D89" i="137"/>
  <c r="F89" i="137" s="1"/>
  <c r="D89" i="97"/>
  <c r="F89" i="97" s="1"/>
  <c r="D89" i="99"/>
  <c r="F89" i="99" s="1"/>
  <c r="D89" i="135"/>
  <c r="F89" i="135" s="1"/>
  <c r="D89" i="132"/>
  <c r="F89" i="132" s="1"/>
  <c r="D89" i="113"/>
  <c r="F89" i="113" s="1"/>
  <c r="D89" i="133"/>
  <c r="F89" i="133" s="1"/>
  <c r="D89" i="96"/>
  <c r="F89" i="96" s="1"/>
  <c r="D89" i="86"/>
  <c r="F89" i="86" s="1"/>
  <c r="D89" i="136"/>
  <c r="F89" i="136" s="1"/>
  <c r="D89" i="118"/>
  <c r="F89" i="118" s="1"/>
  <c r="D89" i="120"/>
  <c r="F89" i="120" s="1"/>
  <c r="D89" i="140"/>
  <c r="F89" i="140" s="1"/>
  <c r="D89" i="124"/>
  <c r="F89" i="124" s="1"/>
  <c r="D80" i="138"/>
  <c r="F80" i="138" s="1"/>
  <c r="D80" i="123"/>
  <c r="F80" i="123" s="1"/>
  <c r="D80" i="118"/>
  <c r="F80" i="118" s="1"/>
  <c r="D80" i="133"/>
  <c r="F80" i="133" s="1"/>
  <c r="D80" i="116"/>
  <c r="F80" i="116" s="1"/>
  <c r="D80" i="86"/>
  <c r="F80" i="86" s="1"/>
  <c r="D80" i="117"/>
  <c r="F80" i="117" s="1"/>
  <c r="D80" i="96"/>
  <c r="F80" i="96" s="1"/>
  <c r="D80" i="99"/>
  <c r="F80" i="99" s="1"/>
  <c r="D80" i="134"/>
  <c r="F80" i="134" s="1"/>
  <c r="D80" i="95"/>
  <c r="F80" i="95" s="1"/>
  <c r="D80" i="124"/>
  <c r="F80" i="124" s="1"/>
  <c r="D80" i="136"/>
  <c r="F80" i="136" s="1"/>
  <c r="D80" i="132"/>
  <c r="F80" i="132" s="1"/>
  <c r="D80" i="97"/>
  <c r="F80" i="97" s="1"/>
  <c r="D80" i="137"/>
  <c r="F80" i="137" s="1"/>
  <c r="D80" i="98"/>
  <c r="F80" i="98" s="1"/>
  <c r="D80" i="91"/>
  <c r="F80" i="91" s="1"/>
  <c r="D80" i="140"/>
  <c r="F80" i="140" s="1"/>
  <c r="D80" i="135"/>
  <c r="F80" i="135" s="1"/>
  <c r="D85" i="86"/>
  <c r="F85" i="86" s="1"/>
  <c r="D85" i="138"/>
  <c r="F85" i="138" s="1"/>
  <c r="D85" i="91"/>
  <c r="F85" i="91" s="1"/>
  <c r="D85" i="98"/>
  <c r="F85" i="98" s="1"/>
  <c r="D85" i="134"/>
  <c r="F85" i="134" s="1"/>
  <c r="D85" i="135"/>
  <c r="F85" i="135" s="1"/>
  <c r="D85" i="95"/>
  <c r="F85" i="95" s="1"/>
  <c r="D85" i="99"/>
  <c r="F85" i="99" s="1"/>
  <c r="D85" i="97"/>
  <c r="F85" i="97" s="1"/>
  <c r="D85" i="140"/>
  <c r="F85" i="140" s="1"/>
  <c r="D85" i="119"/>
  <c r="F85" i="119" s="1"/>
  <c r="D85" i="117"/>
  <c r="F85" i="117" s="1"/>
  <c r="S32" i="128"/>
  <c r="D85" i="132"/>
  <c r="F85" i="132" s="1"/>
  <c r="D85" i="137"/>
  <c r="F85" i="137" s="1"/>
  <c r="D85" i="118"/>
  <c r="F85" i="118" s="1"/>
  <c r="D81" i="95"/>
  <c r="F81" i="95" s="1"/>
  <c r="D86" i="137"/>
  <c r="F86" i="137" s="1"/>
  <c r="D86" i="124"/>
  <c r="F86" i="124" s="1"/>
  <c r="D86" i="86"/>
  <c r="F86" i="86" s="1"/>
  <c r="D81" i="123"/>
  <c r="F81" i="123" s="1"/>
  <c r="D86" i="135"/>
  <c r="F86" i="135" s="1"/>
  <c r="D86" i="117"/>
  <c r="F86" i="117" s="1"/>
  <c r="D123" i="97"/>
  <c r="F123" i="97" s="1"/>
  <c r="D123" i="95"/>
  <c r="F123" i="95" s="1"/>
  <c r="D76" i="138"/>
  <c r="F76" i="138" s="1"/>
  <c r="D76" i="95"/>
  <c r="F76" i="95" s="1"/>
  <c r="D76" i="118"/>
  <c r="F76" i="118" s="1"/>
  <c r="D81" i="96"/>
  <c r="F81" i="96" s="1"/>
  <c r="S29" i="128"/>
  <c r="D76" i="133"/>
  <c r="F76" i="133" s="1"/>
  <c r="D76" i="97"/>
  <c r="F76" i="97" s="1"/>
  <c r="D76" i="91"/>
  <c r="F76" i="91" s="1"/>
  <c r="D76" i="140"/>
  <c r="F76" i="140" s="1"/>
  <c r="D76" i="119"/>
  <c r="F76" i="119" s="1"/>
  <c r="D76" i="116"/>
  <c r="F76" i="116" s="1"/>
  <c r="D76" i="139"/>
  <c r="F76" i="139" s="1"/>
  <c r="D76" i="124"/>
  <c r="F76" i="124" s="1"/>
  <c r="D96" i="133"/>
  <c r="F96" i="133" s="1"/>
  <c r="D96" i="132"/>
  <c r="F96" i="132" s="1"/>
  <c r="D96" i="119"/>
  <c r="F96" i="119" s="1"/>
  <c r="D96" i="123"/>
  <c r="F96" i="123" s="1"/>
  <c r="R29" i="128"/>
  <c r="D75" i="97"/>
  <c r="F75" i="97" s="1"/>
  <c r="D75" i="140"/>
  <c r="F75" i="140" s="1"/>
  <c r="D75" i="139"/>
  <c r="F75" i="139" s="1"/>
  <c r="D75" i="123"/>
  <c r="F75" i="123" s="1"/>
  <c r="D75" i="99"/>
  <c r="F75" i="99" s="1"/>
  <c r="D75" i="136"/>
  <c r="F75" i="136" s="1"/>
  <c r="D75" i="118"/>
  <c r="F75" i="118" s="1"/>
  <c r="D75" i="134"/>
  <c r="F75" i="134" s="1"/>
  <c r="D75" i="91"/>
  <c r="F75" i="91" s="1"/>
  <c r="D75" i="132"/>
  <c r="F75" i="132" s="1"/>
  <c r="D75" i="98"/>
  <c r="F75" i="98" s="1"/>
  <c r="D75" i="120"/>
  <c r="F75" i="120" s="1"/>
  <c r="D75" i="95"/>
  <c r="F75" i="95" s="1"/>
  <c r="D75" i="116"/>
  <c r="F75" i="116" s="1"/>
  <c r="M5" i="128"/>
  <c r="U13" i="128" s="1"/>
  <c r="D127" i="98" s="1"/>
  <c r="F127" i="98" s="1"/>
  <c r="W5" i="128"/>
  <c r="W15" i="128"/>
  <c r="M15" i="128"/>
  <c r="D85" i="136"/>
  <c r="F85" i="136" s="1"/>
  <c r="D85" i="113"/>
  <c r="F85" i="113" s="1"/>
  <c r="D85" i="123"/>
  <c r="F85" i="123" s="1"/>
  <c r="D85" i="139"/>
  <c r="F85" i="139" s="1"/>
  <c r="D85" i="133"/>
  <c r="F85" i="133" s="1"/>
  <c r="D85" i="124"/>
  <c r="F85" i="124" s="1"/>
  <c r="D126" i="139"/>
  <c r="F126" i="139" s="1"/>
  <c r="D126" i="86"/>
  <c r="F126" i="86" s="1"/>
  <c r="D123" i="134"/>
  <c r="F123" i="134" s="1"/>
  <c r="D123" i="139"/>
  <c r="F123" i="139" s="1"/>
  <c r="D123" i="136"/>
  <c r="F123" i="136" s="1"/>
  <c r="D125" i="98"/>
  <c r="F125" i="98" s="1"/>
  <c r="D123" i="119"/>
  <c r="F123" i="119" s="1"/>
  <c r="P19" i="94"/>
  <c r="D9" i="145" s="1"/>
  <c r="P32" i="94"/>
  <c r="F9" i="145" s="1"/>
  <c r="D126" i="99"/>
  <c r="F126" i="99" s="1"/>
  <c r="D123" i="118"/>
  <c r="F123" i="118" s="1"/>
  <c r="D123" i="140"/>
  <c r="F123" i="140" s="1"/>
  <c r="D123" i="116"/>
  <c r="F123" i="116" s="1"/>
  <c r="D96" i="138"/>
  <c r="F96" i="138" s="1"/>
  <c r="D123" i="138"/>
  <c r="F123" i="138" s="1"/>
  <c r="D81" i="137"/>
  <c r="F81" i="137" s="1"/>
  <c r="D81" i="134"/>
  <c r="F81" i="134" s="1"/>
  <c r="D91" i="119"/>
  <c r="F91" i="119" s="1"/>
  <c r="D126" i="124"/>
  <c r="F126" i="124" s="1"/>
  <c r="D123" i="99"/>
  <c r="F123" i="99" s="1"/>
  <c r="D81" i="136"/>
  <c r="F81" i="136" s="1"/>
  <c r="D81" i="120"/>
  <c r="F81" i="120" s="1"/>
  <c r="D123" i="132"/>
  <c r="F123" i="132" s="1"/>
  <c r="D123" i="98"/>
  <c r="F123" i="98" s="1"/>
  <c r="D81" i="98"/>
  <c r="F81" i="98" s="1"/>
  <c r="D73" i="135"/>
  <c r="F73" i="135" s="1"/>
  <c r="D90" i="136"/>
  <c r="F90" i="136" s="1"/>
  <c r="D123" i="113"/>
  <c r="F123" i="113" s="1"/>
  <c r="D81" i="132"/>
  <c r="F81" i="132" s="1"/>
  <c r="D73" i="99"/>
  <c r="F73" i="99" s="1"/>
  <c r="D90" i="139"/>
  <c r="F90" i="139" s="1"/>
  <c r="D81" i="113"/>
  <c r="F81" i="113" s="1"/>
  <c r="D73" i="119"/>
  <c r="F73" i="119" s="1"/>
  <c r="D90" i="98"/>
  <c r="F90" i="98" s="1"/>
  <c r="D81" i="124"/>
  <c r="F81" i="124" s="1"/>
  <c r="D73" i="113"/>
  <c r="F73" i="113" s="1"/>
  <c r="D73" i="117"/>
  <c r="F73" i="117" s="1"/>
  <c r="D90" i="95"/>
  <c r="F90" i="95" s="1"/>
  <c r="D90" i="97"/>
  <c r="F90" i="97" s="1"/>
  <c r="D82" i="136"/>
  <c r="F82" i="136" s="1"/>
  <c r="D123" i="135"/>
  <c r="F123" i="135" s="1"/>
  <c r="D123" i="123"/>
  <c r="F123" i="123" s="1"/>
  <c r="D75" i="138"/>
  <c r="F75" i="138" s="1"/>
  <c r="D75" i="96"/>
  <c r="F75" i="96" s="1"/>
  <c r="D81" i="140"/>
  <c r="F81" i="140" s="1"/>
  <c r="D81" i="118"/>
  <c r="F81" i="118" s="1"/>
  <c r="D81" i="86"/>
  <c r="F81" i="86" s="1"/>
  <c r="D90" i="116"/>
  <c r="F90" i="116" s="1"/>
  <c r="D82" i="95"/>
  <c r="F82" i="95" s="1"/>
  <c r="D123" i="120"/>
  <c r="F123" i="120" s="1"/>
  <c r="D123" i="91"/>
  <c r="F123" i="91" s="1"/>
  <c r="D75" i="133"/>
  <c r="F75" i="133" s="1"/>
  <c r="D75" i="119"/>
  <c r="F75" i="119" s="1"/>
  <c r="D81" i="139"/>
  <c r="F81" i="139" s="1"/>
  <c r="D81" i="91"/>
  <c r="F81" i="91" s="1"/>
  <c r="D73" i="137"/>
  <c r="F73" i="137" s="1"/>
  <c r="D82" i="132"/>
  <c r="F82" i="132" s="1"/>
  <c r="D125" i="139"/>
  <c r="F125" i="139" s="1"/>
  <c r="D125" i="86"/>
  <c r="F125" i="86" s="1"/>
  <c r="D84" i="135"/>
  <c r="F84" i="135" s="1"/>
  <c r="D73" i="139"/>
  <c r="F73" i="139" s="1"/>
  <c r="D73" i="124"/>
  <c r="F73" i="124" s="1"/>
  <c r="D126" i="96"/>
  <c r="F126" i="96" s="1"/>
  <c r="D73" i="134"/>
  <c r="F73" i="134" s="1"/>
  <c r="D73" i="98"/>
  <c r="F73" i="98" s="1"/>
  <c r="D126" i="140"/>
  <c r="F126" i="140" s="1"/>
  <c r="D81" i="133"/>
  <c r="F81" i="133" s="1"/>
  <c r="D81" i="117"/>
  <c r="F81" i="117" s="1"/>
  <c r="D73" i="133"/>
  <c r="F73" i="133" s="1"/>
  <c r="D73" i="96"/>
  <c r="F73" i="96" s="1"/>
  <c r="D126" i="137"/>
  <c r="F126" i="137" s="1"/>
  <c r="D73" i="120"/>
  <c r="F73" i="120" s="1"/>
  <c r="D126" i="134"/>
  <c r="F126" i="134" s="1"/>
  <c r="D84" i="133"/>
  <c r="F84" i="133" s="1"/>
  <c r="D84" i="91"/>
  <c r="F84" i="91" s="1"/>
  <c r="D84" i="140"/>
  <c r="F84" i="140" s="1"/>
  <c r="D84" i="139"/>
  <c r="F84" i="139" s="1"/>
  <c r="D90" i="120"/>
  <c r="F90" i="120" s="1"/>
  <c r="D126" i="136"/>
  <c r="F126" i="136" s="1"/>
  <c r="D123" i="133"/>
  <c r="F123" i="133" s="1"/>
  <c r="D123" i="117"/>
  <c r="F123" i="117" s="1"/>
  <c r="D123" i="124"/>
  <c r="F123" i="124" s="1"/>
  <c r="D84" i="116"/>
  <c r="F84" i="116" s="1"/>
  <c r="D75" i="137"/>
  <c r="F75" i="137" s="1"/>
  <c r="D75" i="117"/>
  <c r="F75" i="117" s="1"/>
  <c r="D75" i="113"/>
  <c r="F75" i="113" s="1"/>
  <c r="R31" i="128"/>
  <c r="D81" i="99"/>
  <c r="F81" i="99" s="1"/>
  <c r="D81" i="97"/>
  <c r="F81" i="97" s="1"/>
  <c r="D73" i="140"/>
  <c r="F73" i="140" s="1"/>
  <c r="D73" i="118"/>
  <c r="F73" i="118" s="1"/>
  <c r="D90" i="123"/>
  <c r="F90" i="123" s="1"/>
  <c r="D129" i="86"/>
  <c r="F129" i="86" s="1"/>
  <c r="D126" i="135"/>
  <c r="F126" i="135" s="1"/>
  <c r="D123" i="137"/>
  <c r="F123" i="137" s="1"/>
  <c r="D123" i="96"/>
  <c r="F123" i="96" s="1"/>
  <c r="D84" i="86"/>
  <c r="F84" i="86" s="1"/>
  <c r="D75" i="135"/>
  <c r="F75" i="135" s="1"/>
  <c r="D75" i="86"/>
  <c r="F75" i="86" s="1"/>
  <c r="D81" i="135"/>
  <c r="F81" i="135" s="1"/>
  <c r="D81" i="119"/>
  <c r="F81" i="119" s="1"/>
  <c r="S28" i="128"/>
  <c r="D73" i="91"/>
  <c r="F73" i="91" s="1"/>
  <c r="D90" i="86"/>
  <c r="F90" i="86" s="1"/>
  <c r="D78" i="98"/>
  <c r="F78" i="98" s="1"/>
  <c r="D126" i="119"/>
  <c r="F126" i="119" s="1"/>
  <c r="D90" i="96"/>
  <c r="F90" i="96" s="1"/>
  <c r="D78" i="95"/>
  <c r="F78" i="95" s="1"/>
  <c r="D126" i="97"/>
  <c r="F126" i="97" s="1"/>
  <c r="R32" i="128"/>
  <c r="D84" i="132"/>
  <c r="F84" i="132" s="1"/>
  <c r="D84" i="117"/>
  <c r="F84" i="117" s="1"/>
  <c r="D84" i="134"/>
  <c r="F84" i="134" s="1"/>
  <c r="D84" i="124"/>
  <c r="F84" i="124" s="1"/>
  <c r="D84" i="123"/>
  <c r="F84" i="123" s="1"/>
  <c r="R33" i="128"/>
  <c r="D97" i="133"/>
  <c r="F97" i="133" s="1"/>
  <c r="D102" i="96"/>
  <c r="F102" i="96" s="1"/>
  <c r="D84" i="120"/>
  <c r="F84" i="120" s="1"/>
  <c r="D84" i="113"/>
  <c r="F84" i="113" s="1"/>
  <c r="D84" i="96"/>
  <c r="F84" i="96" s="1"/>
  <c r="D87" i="134"/>
  <c r="F87" i="134" s="1"/>
  <c r="D97" i="96"/>
  <c r="F97" i="96" s="1"/>
  <c r="D79" i="135"/>
  <c r="F79" i="135" s="1"/>
  <c r="D84" i="136"/>
  <c r="F84" i="136" s="1"/>
  <c r="D84" i="98"/>
  <c r="F84" i="98" s="1"/>
  <c r="D84" i="119"/>
  <c r="F84" i="119" s="1"/>
  <c r="D87" i="119"/>
  <c r="F87" i="119" s="1"/>
  <c r="D79" i="119"/>
  <c r="F79" i="119" s="1"/>
  <c r="D84" i="138"/>
  <c r="F84" i="138" s="1"/>
  <c r="D84" i="95"/>
  <c r="F84" i="95" s="1"/>
  <c r="D84" i="99"/>
  <c r="F84" i="99" s="1"/>
  <c r="D87" i="95"/>
  <c r="F87" i="95" s="1"/>
  <c r="D78" i="99"/>
  <c r="F78" i="99" s="1"/>
  <c r="D79" i="91"/>
  <c r="F79" i="91" s="1"/>
  <c r="D84" i="137"/>
  <c r="F84" i="137" s="1"/>
  <c r="D84" i="97"/>
  <c r="F84" i="97" s="1"/>
  <c r="D79" i="136"/>
  <c r="F79" i="136" s="1"/>
  <c r="D79" i="132"/>
  <c r="F79" i="132" s="1"/>
  <c r="D79" i="113"/>
  <c r="F79" i="113" s="1"/>
  <c r="D87" i="140"/>
  <c r="F87" i="140" s="1"/>
  <c r="D87" i="132"/>
  <c r="F87" i="132" s="1"/>
  <c r="D87" i="99"/>
  <c r="F87" i="99" s="1"/>
  <c r="D102" i="99"/>
  <c r="F102" i="99" s="1"/>
  <c r="D79" i="137"/>
  <c r="F79" i="137" s="1"/>
  <c r="D79" i="117"/>
  <c r="F79" i="117" s="1"/>
  <c r="D79" i="124"/>
  <c r="F79" i="124" s="1"/>
  <c r="D87" i="139"/>
  <c r="F87" i="139" s="1"/>
  <c r="D87" i="120"/>
  <c r="F87" i="120" s="1"/>
  <c r="D87" i="118"/>
  <c r="F87" i="118" s="1"/>
  <c r="D102" i="98"/>
  <c r="F102" i="98" s="1"/>
  <c r="D79" i="138"/>
  <c r="F79" i="138" s="1"/>
  <c r="D79" i="123"/>
  <c r="F79" i="123" s="1"/>
  <c r="D79" i="98"/>
  <c r="F79" i="98" s="1"/>
  <c r="D87" i="136"/>
  <c r="F87" i="136" s="1"/>
  <c r="D87" i="116"/>
  <c r="F87" i="116" s="1"/>
  <c r="D87" i="91"/>
  <c r="F87" i="91" s="1"/>
  <c r="R38" i="128"/>
  <c r="D102" i="95"/>
  <c r="F102" i="95" s="1"/>
  <c r="D78" i="136"/>
  <c r="F78" i="136" s="1"/>
  <c r="D78" i="97"/>
  <c r="F78" i="97" s="1"/>
  <c r="S30" i="128"/>
  <c r="S50" i="128" s="1"/>
  <c r="D79" i="133"/>
  <c r="F79" i="133" s="1"/>
  <c r="D79" i="96"/>
  <c r="F79" i="96" s="1"/>
  <c r="D79" i="95"/>
  <c r="F79" i="95" s="1"/>
  <c r="D87" i="138"/>
  <c r="F87" i="138" s="1"/>
  <c r="D87" i="97"/>
  <c r="F87" i="97" s="1"/>
  <c r="D87" i="86"/>
  <c r="F87" i="86" s="1"/>
  <c r="D102" i="135"/>
  <c r="F102" i="135" s="1"/>
  <c r="D102" i="97"/>
  <c r="F102" i="97" s="1"/>
  <c r="D78" i="138"/>
  <c r="F78" i="138" s="1"/>
  <c r="D72" i="98"/>
  <c r="F72" i="98" s="1"/>
  <c r="D79" i="139"/>
  <c r="F79" i="139" s="1"/>
  <c r="D79" i="116"/>
  <c r="F79" i="116" s="1"/>
  <c r="D79" i="86"/>
  <c r="F79" i="86" s="1"/>
  <c r="D87" i="137"/>
  <c r="F87" i="137" s="1"/>
  <c r="D87" i="117"/>
  <c r="F87" i="117" s="1"/>
  <c r="D87" i="113"/>
  <c r="F87" i="113" s="1"/>
  <c r="D102" i="134"/>
  <c r="F102" i="134" s="1"/>
  <c r="D102" i="116"/>
  <c r="F102" i="116" s="1"/>
  <c r="D78" i="137"/>
  <c r="F78" i="137" s="1"/>
  <c r="D72" i="97"/>
  <c r="F72" i="97" s="1"/>
  <c r="D79" i="140"/>
  <c r="F79" i="140" s="1"/>
  <c r="D79" i="97"/>
  <c r="F79" i="97" s="1"/>
  <c r="D79" i="99"/>
  <c r="F79" i="99" s="1"/>
  <c r="D87" i="133"/>
  <c r="F87" i="133" s="1"/>
  <c r="D87" i="123"/>
  <c r="F87" i="123" s="1"/>
  <c r="D87" i="124"/>
  <c r="F87" i="124" s="1"/>
  <c r="D102" i="120"/>
  <c r="F102" i="120" s="1"/>
  <c r="D102" i="117"/>
  <c r="F102" i="117" s="1"/>
  <c r="D78" i="96"/>
  <c r="F78" i="96" s="1"/>
  <c r="D72" i="99"/>
  <c r="F72" i="99" s="1"/>
  <c r="D79" i="134"/>
  <c r="F79" i="134" s="1"/>
  <c r="D79" i="120"/>
  <c r="F79" i="120" s="1"/>
  <c r="D87" i="135"/>
  <c r="F87" i="135" s="1"/>
  <c r="D87" i="96"/>
  <c r="F87" i="96" s="1"/>
  <c r="D102" i="119"/>
  <c r="F102" i="119" s="1"/>
  <c r="D78" i="119"/>
  <c r="F78" i="119" s="1"/>
  <c r="D72" i="118"/>
  <c r="F72" i="118" s="1"/>
  <c r="D126" i="113"/>
  <c r="F126" i="113" s="1"/>
  <c r="D78" i="135"/>
  <c r="F78" i="135" s="1"/>
  <c r="D78" i="117"/>
  <c r="F78" i="117" s="1"/>
  <c r="D126" i="138"/>
  <c r="F126" i="138" s="1"/>
  <c r="D126" i="123"/>
  <c r="F126" i="123" s="1"/>
  <c r="S36" i="128"/>
  <c r="D78" i="120"/>
  <c r="F78" i="120" s="1"/>
  <c r="D72" i="137"/>
  <c r="F72" i="137" s="1"/>
  <c r="D126" i="133"/>
  <c r="F126" i="133" s="1"/>
  <c r="D126" i="117"/>
  <c r="F126" i="117" s="1"/>
  <c r="S31" i="128"/>
  <c r="D82" i="133"/>
  <c r="F82" i="133" s="1"/>
  <c r="D82" i="118"/>
  <c r="F82" i="118" s="1"/>
  <c r="D82" i="117"/>
  <c r="F82" i="117" s="1"/>
  <c r="D125" i="132"/>
  <c r="F125" i="132" s="1"/>
  <c r="D125" i="96"/>
  <c r="F125" i="96" s="1"/>
  <c r="D125" i="99"/>
  <c r="F125" i="99" s="1"/>
  <c r="D82" i="134"/>
  <c r="F82" i="134" s="1"/>
  <c r="D82" i="123"/>
  <c r="F82" i="123" s="1"/>
  <c r="D82" i="91"/>
  <c r="F82" i="91" s="1"/>
  <c r="D125" i="138"/>
  <c r="F125" i="138" s="1"/>
  <c r="D125" i="134"/>
  <c r="F125" i="134" s="1"/>
  <c r="D125" i="91"/>
  <c r="F125" i="91" s="1"/>
  <c r="D82" i="139"/>
  <c r="F82" i="139" s="1"/>
  <c r="D82" i="86"/>
  <c r="F82" i="86" s="1"/>
  <c r="D82" i="113"/>
  <c r="F82" i="113" s="1"/>
  <c r="D125" i="133"/>
  <c r="F125" i="133" s="1"/>
  <c r="D125" i="136"/>
  <c r="F125" i="136" s="1"/>
  <c r="D125" i="116"/>
  <c r="F125" i="116" s="1"/>
  <c r="D82" i="140"/>
  <c r="F82" i="140" s="1"/>
  <c r="D82" i="120"/>
  <c r="F82" i="120" s="1"/>
  <c r="D82" i="124"/>
  <c r="F82" i="124" s="1"/>
  <c r="D125" i="137"/>
  <c r="F125" i="137" s="1"/>
  <c r="D125" i="135"/>
  <c r="F125" i="135" s="1"/>
  <c r="D125" i="95"/>
  <c r="F125" i="95" s="1"/>
  <c r="D91" i="134"/>
  <c r="F91" i="134" s="1"/>
  <c r="D82" i="135"/>
  <c r="F82" i="135" s="1"/>
  <c r="D82" i="119"/>
  <c r="F82" i="119" s="1"/>
  <c r="D82" i="98"/>
  <c r="F82" i="98" s="1"/>
  <c r="D125" i="140"/>
  <c r="F125" i="140" s="1"/>
  <c r="D125" i="118"/>
  <c r="F125" i="118" s="1"/>
  <c r="D125" i="123"/>
  <c r="F125" i="123" s="1"/>
  <c r="D97" i="113"/>
  <c r="F97" i="113" s="1"/>
  <c r="D72" i="136"/>
  <c r="F72" i="136" s="1"/>
  <c r="D88" i="113"/>
  <c r="F88" i="113" s="1"/>
  <c r="D126" i="91"/>
  <c r="F126" i="91" s="1"/>
  <c r="D126" i="116"/>
  <c r="F126" i="116" s="1"/>
  <c r="D91" i="91"/>
  <c r="F91" i="91" s="1"/>
  <c r="D82" i="137"/>
  <c r="F82" i="137" s="1"/>
  <c r="D82" i="96"/>
  <c r="F82" i="96" s="1"/>
  <c r="D82" i="97"/>
  <c r="F82" i="97" s="1"/>
  <c r="D125" i="120"/>
  <c r="F125" i="120" s="1"/>
  <c r="D125" i="113"/>
  <c r="F125" i="113" s="1"/>
  <c r="D125" i="117"/>
  <c r="F125" i="117" s="1"/>
  <c r="D72" i="124"/>
  <c r="F72" i="124" s="1"/>
  <c r="D126" i="120"/>
  <c r="F126" i="120" s="1"/>
  <c r="D126" i="118"/>
  <c r="F126" i="118" s="1"/>
  <c r="D82" i="138"/>
  <c r="F82" i="138" s="1"/>
  <c r="D82" i="99"/>
  <c r="F82" i="99" s="1"/>
  <c r="D125" i="97"/>
  <c r="F125" i="97" s="1"/>
  <c r="D125" i="119"/>
  <c r="F125" i="119" s="1"/>
  <c r="D78" i="91"/>
  <c r="F78" i="91" s="1"/>
  <c r="D72" i="113"/>
  <c r="F72" i="113" s="1"/>
  <c r="D126" i="132"/>
  <c r="F126" i="132" s="1"/>
  <c r="D126" i="98"/>
  <c r="F126" i="98" s="1"/>
  <c r="D90" i="138"/>
  <c r="F90" i="138" s="1"/>
  <c r="D90" i="119"/>
  <c r="F90" i="119" s="1"/>
  <c r="D90" i="117"/>
  <c r="F90" i="117" s="1"/>
  <c r="D83" i="120"/>
  <c r="F83" i="120" s="1"/>
  <c r="D90" i="137"/>
  <c r="F90" i="137" s="1"/>
  <c r="D90" i="99"/>
  <c r="F90" i="99" s="1"/>
  <c r="D83" i="118"/>
  <c r="F83" i="118" s="1"/>
  <c r="D90" i="135"/>
  <c r="F90" i="135" s="1"/>
  <c r="D90" i="118"/>
  <c r="F90" i="118" s="1"/>
  <c r="D98" i="118"/>
  <c r="F98" i="118" s="1"/>
  <c r="D90" i="134"/>
  <c r="F90" i="134" s="1"/>
  <c r="D90" i="124"/>
  <c r="F90" i="124" s="1"/>
  <c r="D98" i="117"/>
  <c r="F98" i="117" s="1"/>
  <c r="D129" i="139"/>
  <c r="F129" i="139" s="1"/>
  <c r="D129" i="134"/>
  <c r="F129" i="134" s="1"/>
  <c r="D129" i="98"/>
  <c r="F129" i="98" s="1"/>
  <c r="D129" i="136"/>
  <c r="F129" i="136" s="1"/>
  <c r="D129" i="96"/>
  <c r="F129" i="96" s="1"/>
  <c r="D129" i="137"/>
  <c r="F129" i="137" s="1"/>
  <c r="D129" i="119"/>
  <c r="F129" i="119" s="1"/>
  <c r="D129" i="140"/>
  <c r="F129" i="140" s="1"/>
  <c r="D129" i="123"/>
  <c r="F129" i="123" s="1"/>
  <c r="D129" i="120"/>
  <c r="F129" i="120" s="1"/>
  <c r="D129" i="95"/>
  <c r="F129" i="95" s="1"/>
  <c r="D103" i="136"/>
  <c r="F103" i="136" s="1"/>
  <c r="D129" i="132"/>
  <c r="F129" i="132" s="1"/>
  <c r="D129" i="118"/>
  <c r="F129" i="118" s="1"/>
  <c r="D129" i="117"/>
  <c r="F129" i="117" s="1"/>
  <c r="D98" i="134"/>
  <c r="F98" i="134" s="1"/>
  <c r="D103" i="117"/>
  <c r="F103" i="117" s="1"/>
  <c r="D129" i="133"/>
  <c r="F129" i="133" s="1"/>
  <c r="D129" i="99"/>
  <c r="F129" i="99" s="1"/>
  <c r="D98" i="98"/>
  <c r="F98" i="98" s="1"/>
  <c r="D103" i="140"/>
  <c r="F103" i="140" s="1"/>
  <c r="D103" i="99"/>
  <c r="F103" i="99" s="1"/>
  <c r="D103" i="134"/>
  <c r="F103" i="134" s="1"/>
  <c r="D103" i="118"/>
  <c r="F103" i="118" s="1"/>
  <c r="D103" i="135"/>
  <c r="F103" i="135" s="1"/>
  <c r="D103" i="124"/>
  <c r="F103" i="124" s="1"/>
  <c r="D129" i="91"/>
  <c r="F129" i="91" s="1"/>
  <c r="D129" i="124"/>
  <c r="F129" i="124" s="1"/>
  <c r="D98" i="139"/>
  <c r="F98" i="139" s="1"/>
  <c r="D103" i="116"/>
  <c r="F103" i="116" s="1"/>
  <c r="D129" i="138"/>
  <c r="F129" i="138" s="1"/>
  <c r="D129" i="135"/>
  <c r="F129" i="135" s="1"/>
  <c r="D129" i="113"/>
  <c r="F129" i="113" s="1"/>
  <c r="D98" i="124"/>
  <c r="F98" i="124" s="1"/>
  <c r="D103" i="132"/>
  <c r="F103" i="132" s="1"/>
  <c r="D103" i="97"/>
  <c r="F103" i="97" s="1"/>
  <c r="D129" i="97"/>
  <c r="F129" i="97" s="1"/>
  <c r="D98" i="123"/>
  <c r="F98" i="123" s="1"/>
  <c r="D102" i="138"/>
  <c r="F102" i="138" s="1"/>
  <c r="D102" i="118"/>
  <c r="F102" i="118" s="1"/>
  <c r="D103" i="137"/>
  <c r="F103" i="137" s="1"/>
  <c r="D103" i="91"/>
  <c r="F103" i="91" s="1"/>
  <c r="D102" i="137"/>
  <c r="F102" i="137" s="1"/>
  <c r="D102" i="91"/>
  <c r="F102" i="91" s="1"/>
  <c r="D103" i="119"/>
  <c r="F103" i="119" s="1"/>
  <c r="D103" i="113"/>
  <c r="F103" i="113" s="1"/>
  <c r="D102" i="140"/>
  <c r="F102" i="140" s="1"/>
  <c r="D102" i="133"/>
  <c r="F102" i="133" s="1"/>
  <c r="D102" i="113"/>
  <c r="F102" i="113" s="1"/>
  <c r="D103" i="138"/>
  <c r="F103" i="138" s="1"/>
  <c r="D103" i="123"/>
  <c r="F103" i="123" s="1"/>
  <c r="D103" i="98"/>
  <c r="F103" i="98" s="1"/>
  <c r="D98" i="97"/>
  <c r="F98" i="97" s="1"/>
  <c r="D102" i="139"/>
  <c r="F102" i="139" s="1"/>
  <c r="D102" i="132"/>
  <c r="F102" i="132" s="1"/>
  <c r="D102" i="124"/>
  <c r="F102" i="124" s="1"/>
  <c r="S38" i="128"/>
  <c r="D103" i="133"/>
  <c r="F103" i="133" s="1"/>
  <c r="D103" i="96"/>
  <c r="F103" i="96" s="1"/>
  <c r="D103" i="95"/>
  <c r="F103" i="95" s="1"/>
  <c r="D102" i="136"/>
  <c r="F102" i="136" s="1"/>
  <c r="D102" i="123"/>
  <c r="F102" i="123" s="1"/>
  <c r="D103" i="139"/>
  <c r="F103" i="139" s="1"/>
  <c r="D103" i="120"/>
  <c r="F103" i="120" s="1"/>
  <c r="D96" i="140"/>
  <c r="F96" i="140" s="1"/>
  <c r="D96" i="96"/>
  <c r="F96" i="96" s="1"/>
  <c r="R34" i="128"/>
  <c r="D90" i="133"/>
  <c r="F90" i="133" s="1"/>
  <c r="D90" i="91"/>
  <c r="F90" i="91" s="1"/>
  <c r="R28" i="128"/>
  <c r="D72" i="96"/>
  <c r="F72" i="96" s="1"/>
  <c r="D98" i="136"/>
  <c r="F98" i="136" s="1"/>
  <c r="D98" i="116"/>
  <c r="F98" i="116" s="1"/>
  <c r="D96" i="139"/>
  <c r="F96" i="139" s="1"/>
  <c r="D96" i="86"/>
  <c r="F96" i="86" s="1"/>
  <c r="D90" i="140"/>
  <c r="F90" i="140" s="1"/>
  <c r="D90" i="132"/>
  <c r="F90" i="132" s="1"/>
  <c r="D72" i="134"/>
  <c r="F72" i="134" s="1"/>
  <c r="D72" i="119"/>
  <c r="F72" i="119" s="1"/>
  <c r="D98" i="137"/>
  <c r="F98" i="137" s="1"/>
  <c r="D98" i="91"/>
  <c r="F98" i="91" s="1"/>
  <c r="D83" i="133"/>
  <c r="F83" i="133" s="1"/>
  <c r="D83" i="119"/>
  <c r="F83" i="119" s="1"/>
  <c r="D73" i="95"/>
  <c r="F73" i="95" s="1"/>
  <c r="R36" i="128"/>
  <c r="D96" i="124"/>
  <c r="F96" i="124" s="1"/>
  <c r="D96" i="91"/>
  <c r="F96" i="91" s="1"/>
  <c r="D83" i="140"/>
  <c r="F83" i="140" s="1"/>
  <c r="D83" i="96"/>
  <c r="F83" i="96" s="1"/>
  <c r="D98" i="135"/>
  <c r="F98" i="135" s="1"/>
  <c r="D98" i="113"/>
  <c r="F98" i="113" s="1"/>
  <c r="D98" i="86"/>
  <c r="F98" i="86" s="1"/>
  <c r="D73" i="138"/>
  <c r="F73" i="138" s="1"/>
  <c r="D73" i="132"/>
  <c r="F73" i="132" s="1"/>
  <c r="D73" i="97"/>
  <c r="F73" i="97" s="1"/>
  <c r="D96" i="134"/>
  <c r="F96" i="134" s="1"/>
  <c r="D96" i="98"/>
  <c r="F96" i="98" s="1"/>
  <c r="D83" i="134"/>
  <c r="F83" i="134" s="1"/>
  <c r="D83" i="116"/>
  <c r="F83" i="116" s="1"/>
  <c r="D98" i="138"/>
  <c r="F98" i="138" s="1"/>
  <c r="D98" i="96"/>
  <c r="F98" i="96" s="1"/>
  <c r="D98" i="95"/>
  <c r="F98" i="95" s="1"/>
  <c r="D73" i="116"/>
  <c r="F73" i="116" s="1"/>
  <c r="D96" i="120"/>
  <c r="F96" i="120" s="1"/>
  <c r="D96" i="97"/>
  <c r="F96" i="97" s="1"/>
  <c r="D83" i="137"/>
  <c r="F83" i="137" s="1"/>
  <c r="D83" i="86"/>
  <c r="F83" i="86" s="1"/>
  <c r="D98" i="133"/>
  <c r="F98" i="133" s="1"/>
  <c r="D98" i="119"/>
  <c r="F98" i="119" s="1"/>
  <c r="D98" i="99"/>
  <c r="F98" i="99" s="1"/>
  <c r="D83" i="98"/>
  <c r="F83" i="98" s="1"/>
  <c r="D73" i="136"/>
  <c r="F73" i="136" s="1"/>
  <c r="D73" i="86"/>
  <c r="F73" i="86" s="1"/>
  <c r="D96" i="135"/>
  <c r="F96" i="135" s="1"/>
  <c r="D96" i="117"/>
  <c r="F96" i="117" s="1"/>
  <c r="D83" i="95"/>
  <c r="F83" i="95" s="1"/>
  <c r="D98" i="140"/>
  <c r="F98" i="140" s="1"/>
  <c r="D98" i="120"/>
  <c r="F98" i="120" s="1"/>
  <c r="L39" i="128"/>
  <c r="Q27" i="128"/>
  <c r="H128" i="140"/>
  <c r="H128" i="136"/>
  <c r="H128" i="86"/>
  <c r="H128" i="91"/>
  <c r="H128" i="117"/>
  <c r="H128" i="118"/>
  <c r="H128" i="139"/>
  <c r="H128" i="116"/>
  <c r="H128" i="99"/>
  <c r="H128" i="97"/>
  <c r="H128" i="119"/>
  <c r="H128" i="133"/>
  <c r="H128" i="95"/>
  <c r="H128" i="96"/>
  <c r="H128" i="98"/>
  <c r="H128" i="132"/>
  <c r="H128" i="138"/>
  <c r="H128" i="124"/>
  <c r="H128" i="123"/>
  <c r="H128" i="113"/>
  <c r="H128" i="137"/>
  <c r="H128" i="120"/>
  <c r="H128" i="135"/>
  <c r="H128" i="134"/>
  <c r="H95" i="133"/>
  <c r="D96" i="136"/>
  <c r="F96" i="136" s="1"/>
  <c r="D96" i="113"/>
  <c r="F96" i="113" s="1"/>
  <c r="D96" i="99"/>
  <c r="F96" i="99" s="1"/>
  <c r="D78" i="134"/>
  <c r="F78" i="134" s="1"/>
  <c r="D78" i="118"/>
  <c r="F78" i="118" s="1"/>
  <c r="D78" i="116"/>
  <c r="F78" i="116" s="1"/>
  <c r="D72" i="138"/>
  <c r="F72" i="138" s="1"/>
  <c r="D72" i="95"/>
  <c r="F72" i="95" s="1"/>
  <c r="D72" i="86"/>
  <c r="F72" i="86" s="1"/>
  <c r="D83" i="136"/>
  <c r="F83" i="136" s="1"/>
  <c r="D83" i="113"/>
  <c r="F83" i="113" s="1"/>
  <c r="D83" i="91"/>
  <c r="F83" i="91" s="1"/>
  <c r="D96" i="137"/>
  <c r="F96" i="137" s="1"/>
  <c r="D96" i="95"/>
  <c r="F96" i="95" s="1"/>
  <c r="D78" i="140"/>
  <c r="F78" i="140" s="1"/>
  <c r="D78" i="133"/>
  <c r="F78" i="133" s="1"/>
  <c r="D78" i="113"/>
  <c r="F78" i="113" s="1"/>
  <c r="D72" i="120"/>
  <c r="D72" i="135"/>
  <c r="F72" i="135" s="1"/>
  <c r="D72" i="116"/>
  <c r="F72" i="116" s="1"/>
  <c r="D72" i="91"/>
  <c r="F72" i="91" s="1"/>
  <c r="D83" i="135"/>
  <c r="F83" i="135" s="1"/>
  <c r="D83" i="99"/>
  <c r="F83" i="99" s="1"/>
  <c r="D83" i="123"/>
  <c r="F83" i="123" s="1"/>
  <c r="D78" i="139"/>
  <c r="F78" i="139" s="1"/>
  <c r="D78" i="132"/>
  <c r="F78" i="132" s="1"/>
  <c r="D78" i="124"/>
  <c r="F78" i="124" s="1"/>
  <c r="D72" i="140"/>
  <c r="F72" i="140" s="1"/>
  <c r="D72" i="133"/>
  <c r="F72" i="133" s="1"/>
  <c r="D72" i="117"/>
  <c r="F72" i="117" s="1"/>
  <c r="D83" i="138"/>
  <c r="F83" i="138" s="1"/>
  <c r="D83" i="97"/>
  <c r="F83" i="97" s="1"/>
  <c r="D83" i="124"/>
  <c r="F83" i="124" s="1"/>
  <c r="R30" i="128"/>
  <c r="D78" i="123"/>
  <c r="F78" i="123" s="1"/>
  <c r="D72" i="139"/>
  <c r="F72" i="139" s="1"/>
  <c r="D72" i="132"/>
  <c r="F72" i="132" s="1"/>
  <c r="D83" i="139"/>
  <c r="F83" i="139" s="1"/>
  <c r="D83" i="132"/>
  <c r="F83" i="132" s="1"/>
  <c r="D97" i="139"/>
  <c r="F97" i="139" s="1"/>
  <c r="D97" i="120"/>
  <c r="F97" i="120" s="1"/>
  <c r="D97" i="124"/>
  <c r="F97" i="124" s="1"/>
  <c r="D88" i="124"/>
  <c r="F88" i="124" s="1"/>
  <c r="D97" i="140"/>
  <c r="F97" i="140" s="1"/>
  <c r="D97" i="119"/>
  <c r="F97" i="119" s="1"/>
  <c r="D97" i="98"/>
  <c r="F97" i="98" s="1"/>
  <c r="D88" i="116"/>
  <c r="F88" i="116" s="1"/>
  <c r="D97" i="137"/>
  <c r="F97" i="137" s="1"/>
  <c r="D97" i="132"/>
  <c r="F97" i="132" s="1"/>
  <c r="D97" i="95"/>
  <c r="F97" i="95" s="1"/>
  <c r="D88" i="96"/>
  <c r="F88" i="96" s="1"/>
  <c r="D97" i="138"/>
  <c r="F97" i="138" s="1"/>
  <c r="D97" i="99"/>
  <c r="F97" i="99" s="1"/>
  <c r="D97" i="97"/>
  <c r="F97" i="97" s="1"/>
  <c r="D88" i="140"/>
  <c r="F88" i="140" s="1"/>
  <c r="D97" i="134"/>
  <c r="F97" i="134" s="1"/>
  <c r="D97" i="118"/>
  <c r="F97" i="118" s="1"/>
  <c r="D97" i="116"/>
  <c r="F97" i="116" s="1"/>
  <c r="D88" i="139"/>
  <c r="F88" i="139" s="1"/>
  <c r="D97" i="135"/>
  <c r="F97" i="135" s="1"/>
  <c r="D97" i="91"/>
  <c r="F97" i="91" s="1"/>
  <c r="D97" i="117"/>
  <c r="F97" i="117" s="1"/>
  <c r="D88" i="136"/>
  <c r="F88" i="136" s="1"/>
  <c r="D97" i="136"/>
  <c r="F97" i="136" s="1"/>
  <c r="D97" i="86"/>
  <c r="F97" i="86" s="1"/>
  <c r="D88" i="119"/>
  <c r="F88" i="119" s="1"/>
  <c r="D88" i="86"/>
  <c r="F88" i="86" s="1"/>
  <c r="D88" i="134"/>
  <c r="F88" i="134" s="1"/>
  <c r="D88" i="132"/>
  <c r="F88" i="132" s="1"/>
  <c r="D88" i="117"/>
  <c r="F88" i="117" s="1"/>
  <c r="D88" i="135"/>
  <c r="F88" i="135" s="1"/>
  <c r="D88" i="120"/>
  <c r="F88" i="120" s="1"/>
  <c r="D88" i="123"/>
  <c r="F88" i="123" s="1"/>
  <c r="D88" i="137"/>
  <c r="F88" i="137" s="1"/>
  <c r="D88" i="98"/>
  <c r="F88" i="98" s="1"/>
  <c r="D88" i="99"/>
  <c r="F88" i="99" s="1"/>
  <c r="D88" i="138"/>
  <c r="F88" i="138" s="1"/>
  <c r="D88" i="95"/>
  <c r="F88" i="95" s="1"/>
  <c r="D88" i="118"/>
  <c r="F88" i="118" s="1"/>
  <c r="S33" i="128"/>
  <c r="D88" i="133"/>
  <c r="F88" i="133" s="1"/>
  <c r="D88" i="97"/>
  <c r="F88" i="97" s="1"/>
  <c r="D91" i="135"/>
  <c r="F91" i="135" s="1"/>
  <c r="D91" i="132"/>
  <c r="F91" i="132" s="1"/>
  <c r="D91" i="113"/>
  <c r="F91" i="113" s="1"/>
  <c r="D91" i="136"/>
  <c r="F91" i="136" s="1"/>
  <c r="D91" i="116"/>
  <c r="F91" i="116" s="1"/>
  <c r="D91" i="124"/>
  <c r="F91" i="124" s="1"/>
  <c r="L5" i="128"/>
  <c r="D91" i="137"/>
  <c r="F91" i="137" s="1"/>
  <c r="D91" i="117"/>
  <c r="F91" i="117" s="1"/>
  <c r="D91" i="98"/>
  <c r="F91" i="98" s="1"/>
  <c r="D91" i="138"/>
  <c r="F91" i="138" s="1"/>
  <c r="D91" i="123"/>
  <c r="F91" i="123" s="1"/>
  <c r="D91" i="95"/>
  <c r="F91" i="95" s="1"/>
  <c r="S34" i="128"/>
  <c r="D91" i="133"/>
  <c r="F91" i="133" s="1"/>
  <c r="D91" i="96"/>
  <c r="F91" i="96" s="1"/>
  <c r="D91" i="86"/>
  <c r="F91" i="86" s="1"/>
  <c r="D91" i="139"/>
  <c r="F91" i="139" s="1"/>
  <c r="D91" i="97"/>
  <c r="F91" i="97" s="1"/>
  <c r="D91" i="99"/>
  <c r="F91" i="99" s="1"/>
  <c r="D91" i="140"/>
  <c r="F91" i="140" s="1"/>
  <c r="D91" i="120"/>
  <c r="F91" i="120" s="1"/>
  <c r="D95" i="123"/>
  <c r="F95" i="123" s="1"/>
  <c r="D95" i="86"/>
  <c r="F95" i="86" s="1"/>
  <c r="D95" i="91"/>
  <c r="F95" i="91" s="1"/>
  <c r="D95" i="116"/>
  <c r="F95" i="116" s="1"/>
  <c r="D95" i="96"/>
  <c r="F95" i="96" s="1"/>
  <c r="D95" i="95"/>
  <c r="F95" i="95" s="1"/>
  <c r="D95" i="117"/>
  <c r="F95" i="117" s="1"/>
  <c r="D95" i="119"/>
  <c r="F95" i="119" s="1"/>
  <c r="D95" i="113"/>
  <c r="F95" i="113" s="1"/>
  <c r="D95" i="118"/>
  <c r="F95" i="118" s="1"/>
  <c r="D95" i="120"/>
  <c r="F95" i="120" s="1"/>
  <c r="D95" i="98"/>
  <c r="F95" i="98" s="1"/>
  <c r="D95" i="124"/>
  <c r="F95" i="124" s="1"/>
  <c r="D95" i="97"/>
  <c r="F95" i="97" s="1"/>
  <c r="D95" i="132"/>
  <c r="F95" i="132" s="1"/>
  <c r="D95" i="135"/>
  <c r="F95" i="135" s="1"/>
  <c r="D95" i="137"/>
  <c r="F95" i="137" s="1"/>
  <c r="D95" i="136"/>
  <c r="F95" i="136" s="1"/>
  <c r="D95" i="134"/>
  <c r="F95" i="134" s="1"/>
  <c r="D95" i="99"/>
  <c r="F95" i="99" s="1"/>
  <c r="D95" i="138"/>
  <c r="F95" i="138" s="1"/>
  <c r="D95" i="140"/>
  <c r="F95" i="140" s="1"/>
  <c r="D95" i="133"/>
  <c r="F95" i="133" s="1"/>
  <c r="D95" i="139"/>
  <c r="F95" i="139" s="1"/>
  <c r="S15" i="128"/>
  <c r="L15" i="128"/>
  <c r="Q6" i="128"/>
  <c r="D128" i="98"/>
  <c r="F128" i="98" s="1"/>
  <c r="D128" i="95"/>
  <c r="F128" i="95" s="1"/>
  <c r="D128" i="91"/>
  <c r="F128" i="91" s="1"/>
  <c r="D128" i="116"/>
  <c r="F128" i="116" s="1"/>
  <c r="D128" i="96"/>
  <c r="F128" i="96" s="1"/>
  <c r="D128" i="86"/>
  <c r="F128" i="86" s="1"/>
  <c r="D128" i="124"/>
  <c r="F128" i="124" s="1"/>
  <c r="D128" i="113"/>
  <c r="F128" i="113" s="1"/>
  <c r="D128" i="119"/>
  <c r="F128" i="119" s="1"/>
  <c r="D128" i="99"/>
  <c r="F128" i="99" s="1"/>
  <c r="D128" i="97"/>
  <c r="F128" i="97" s="1"/>
  <c r="D128" i="118"/>
  <c r="F128" i="118" s="1"/>
  <c r="D128" i="117"/>
  <c r="F128" i="117" s="1"/>
  <c r="D128" i="123"/>
  <c r="F128" i="123" s="1"/>
  <c r="D128" i="120"/>
  <c r="F128" i="120" s="1"/>
  <c r="D128" i="135"/>
  <c r="F128" i="135" s="1"/>
  <c r="D128" i="137"/>
  <c r="F128" i="137" s="1"/>
  <c r="D128" i="133"/>
  <c r="F128" i="133" s="1"/>
  <c r="D128" i="136"/>
  <c r="F128" i="136" s="1"/>
  <c r="D128" i="138"/>
  <c r="F128" i="138" s="1"/>
  <c r="D128" i="132"/>
  <c r="F128" i="132" s="1"/>
  <c r="D128" i="139"/>
  <c r="F128" i="139" s="1"/>
  <c r="D128" i="134"/>
  <c r="F128" i="134" s="1"/>
  <c r="D128" i="140"/>
  <c r="F128" i="140" s="1"/>
  <c r="D93" i="96"/>
  <c r="F93" i="96" s="1"/>
  <c r="D93" i="123"/>
  <c r="F93" i="123" s="1"/>
  <c r="D93" i="117"/>
  <c r="F93" i="117" s="1"/>
  <c r="D93" i="116"/>
  <c r="F93" i="116" s="1"/>
  <c r="D93" i="97"/>
  <c r="F93" i="97" s="1"/>
  <c r="D93" i="86"/>
  <c r="F93" i="86" s="1"/>
  <c r="D93" i="95"/>
  <c r="F93" i="95" s="1"/>
  <c r="D93" i="98"/>
  <c r="F93" i="98" s="1"/>
  <c r="D93" i="124"/>
  <c r="F93" i="124" s="1"/>
  <c r="D93" i="113"/>
  <c r="F93" i="113" s="1"/>
  <c r="D93" i="91"/>
  <c r="F93" i="91" s="1"/>
  <c r="D93" i="118"/>
  <c r="F93" i="118" s="1"/>
  <c r="D93" i="99"/>
  <c r="F93" i="99" s="1"/>
  <c r="D93" i="119"/>
  <c r="F93" i="119" s="1"/>
  <c r="D93" i="132"/>
  <c r="F93" i="132" s="1"/>
  <c r="D93" i="133"/>
  <c r="F93" i="133" s="1"/>
  <c r="D93" i="120"/>
  <c r="F93" i="120" s="1"/>
  <c r="D93" i="138"/>
  <c r="F93" i="138" s="1"/>
  <c r="D93" i="136"/>
  <c r="F93" i="136" s="1"/>
  <c r="D93" i="134"/>
  <c r="F93" i="134" s="1"/>
  <c r="D93" i="135"/>
  <c r="F93" i="135" s="1"/>
  <c r="D93" i="139"/>
  <c r="F93" i="139" s="1"/>
  <c r="D93" i="137"/>
  <c r="F93" i="137" s="1"/>
  <c r="D93" i="140"/>
  <c r="F93" i="140" s="1"/>
  <c r="R35" i="128"/>
  <c r="D94" i="117"/>
  <c r="F94" i="117" s="1"/>
  <c r="D94" i="116"/>
  <c r="F94" i="116" s="1"/>
  <c r="D94" i="97"/>
  <c r="F94" i="97" s="1"/>
  <c r="D94" i="95"/>
  <c r="F94" i="95" s="1"/>
  <c r="D94" i="98"/>
  <c r="F94" i="98" s="1"/>
  <c r="D94" i="86"/>
  <c r="F94" i="86" s="1"/>
  <c r="D94" i="124"/>
  <c r="F94" i="124" s="1"/>
  <c r="D94" i="113"/>
  <c r="F94" i="113" s="1"/>
  <c r="D94" i="91"/>
  <c r="F94" i="91" s="1"/>
  <c r="D94" i="118"/>
  <c r="F94" i="118" s="1"/>
  <c r="D94" i="99"/>
  <c r="F94" i="99" s="1"/>
  <c r="D94" i="96"/>
  <c r="F94" i="96" s="1"/>
  <c r="D94" i="132"/>
  <c r="F94" i="132" s="1"/>
  <c r="D94" i="119"/>
  <c r="F94" i="119" s="1"/>
  <c r="D94" i="120"/>
  <c r="F94" i="120" s="1"/>
  <c r="D94" i="123"/>
  <c r="F94" i="123" s="1"/>
  <c r="D94" i="133"/>
  <c r="F94" i="133" s="1"/>
  <c r="D94" i="138"/>
  <c r="F94" i="138" s="1"/>
  <c r="D94" i="137"/>
  <c r="F94" i="137" s="1"/>
  <c r="D94" i="136"/>
  <c r="F94" i="136" s="1"/>
  <c r="D94" i="135"/>
  <c r="F94" i="135" s="1"/>
  <c r="S35" i="128"/>
  <c r="D94" i="140"/>
  <c r="F94" i="140" s="1"/>
  <c r="D94" i="139"/>
  <c r="F94" i="139" s="1"/>
  <c r="D94" i="134"/>
  <c r="F94" i="134" s="1"/>
  <c r="I95" i="133"/>
  <c r="L59" i="128"/>
  <c r="Q47" i="128"/>
  <c r="G9" i="145" l="1"/>
  <c r="E9" i="145"/>
  <c r="R48" i="128"/>
  <c r="H72" i="134"/>
  <c r="H72" i="139"/>
  <c r="H72" i="140"/>
  <c r="H72" i="99"/>
  <c r="H72" i="117"/>
  <c r="H72" i="116"/>
  <c r="H72" i="137"/>
  <c r="H72" i="118"/>
  <c r="H72" i="120"/>
  <c r="H72" i="113"/>
  <c r="H72" i="138"/>
  <c r="H72" i="133"/>
  <c r="H72" i="91"/>
  <c r="H72" i="135"/>
  <c r="H72" i="86"/>
  <c r="H72" i="136"/>
  <c r="H72" i="132"/>
  <c r="H72" i="97"/>
  <c r="H72" i="95"/>
  <c r="H72" i="96"/>
  <c r="H72" i="119"/>
  <c r="H72" i="123"/>
  <c r="H72" i="98"/>
  <c r="H72" i="124"/>
  <c r="R49" i="128"/>
  <c r="H75" i="98"/>
  <c r="H75" i="91"/>
  <c r="H75" i="123"/>
  <c r="H75" i="137"/>
  <c r="H75" i="97"/>
  <c r="H75" i="95"/>
  <c r="H75" i="134"/>
  <c r="H75" i="132"/>
  <c r="H75" i="133"/>
  <c r="H75" i="99"/>
  <c r="H75" i="116"/>
  <c r="H75" i="120"/>
  <c r="H75" i="136"/>
  <c r="H75" i="117"/>
  <c r="H75" i="139"/>
  <c r="H75" i="86"/>
  <c r="H75" i="96"/>
  <c r="H75" i="119"/>
  <c r="H75" i="124"/>
  <c r="H75" i="118"/>
  <c r="H75" i="113"/>
  <c r="H75" i="140"/>
  <c r="H75" i="135"/>
  <c r="H75" i="138"/>
  <c r="S48" i="128"/>
  <c r="H73" i="135"/>
  <c r="H73" i="97"/>
  <c r="H73" i="117"/>
  <c r="H73" i="86"/>
  <c r="H73" i="96"/>
  <c r="H73" i="98"/>
  <c r="H73" i="138"/>
  <c r="H73" i="119"/>
  <c r="H73" i="99"/>
  <c r="H73" i="123"/>
  <c r="H73" i="116"/>
  <c r="H73" i="132"/>
  <c r="H73" i="133"/>
  <c r="H73" i="136"/>
  <c r="H73" i="120"/>
  <c r="H73" i="124"/>
  <c r="H73" i="118"/>
  <c r="H73" i="91"/>
  <c r="H73" i="113"/>
  <c r="H73" i="137"/>
  <c r="H73" i="95"/>
  <c r="H73" i="139"/>
  <c r="H73" i="140"/>
  <c r="H73" i="134"/>
  <c r="S49" i="128"/>
  <c r="H76" i="140"/>
  <c r="H76" i="135"/>
  <c r="H76" i="116"/>
  <c r="H76" i="136"/>
  <c r="H76" i="138"/>
  <c r="H76" i="99"/>
  <c r="H76" i="133"/>
  <c r="H76" i="137"/>
  <c r="H76" i="139"/>
  <c r="H76" i="91"/>
  <c r="H76" i="123"/>
  <c r="H76" i="134"/>
  <c r="H76" i="124"/>
  <c r="H76" i="95"/>
  <c r="H76" i="118"/>
  <c r="H76" i="96"/>
  <c r="H76" i="98"/>
  <c r="H76" i="132"/>
  <c r="H76" i="119"/>
  <c r="H76" i="97"/>
  <c r="H76" i="120"/>
  <c r="H76" i="113"/>
  <c r="H76" i="117"/>
  <c r="H76" i="86"/>
  <c r="I92" i="140"/>
  <c r="I92" i="96"/>
  <c r="I92" i="138"/>
  <c r="I92" i="99"/>
  <c r="I92" i="136"/>
  <c r="I92" i="113"/>
  <c r="I92" i="133"/>
  <c r="I92" i="86"/>
  <c r="T48" i="128"/>
  <c r="I74" i="119" s="1"/>
  <c r="I92" i="116"/>
  <c r="I92" i="135"/>
  <c r="I92" i="137"/>
  <c r="I92" i="118"/>
  <c r="I92" i="95"/>
  <c r="I92" i="123"/>
  <c r="I92" i="119"/>
  <c r="I92" i="124"/>
  <c r="I92" i="117"/>
  <c r="I92" i="120"/>
  <c r="I92" i="91"/>
  <c r="I92" i="97"/>
  <c r="I92" i="132"/>
  <c r="I92" i="98"/>
  <c r="I92" i="139"/>
  <c r="I128" i="137"/>
  <c r="I128" i="91"/>
  <c r="I128" i="140"/>
  <c r="I128" i="138"/>
  <c r="I128" i="117"/>
  <c r="I128" i="95"/>
  <c r="I128" i="133"/>
  <c r="I128" i="97"/>
  <c r="I128" i="113"/>
  <c r="I128" i="116"/>
  <c r="I128" i="136"/>
  <c r="I128" i="120"/>
  <c r="I128" i="132"/>
  <c r="I128" i="134"/>
  <c r="I128" i="86"/>
  <c r="I128" i="98"/>
  <c r="I128" i="123"/>
  <c r="I128" i="119"/>
  <c r="I128" i="124"/>
  <c r="I128" i="118"/>
  <c r="I128" i="99"/>
  <c r="I128" i="139"/>
  <c r="I128" i="96"/>
  <c r="I128" i="135"/>
  <c r="I130" i="139"/>
  <c r="I130" i="132"/>
  <c r="I130" i="91"/>
  <c r="I130" i="113"/>
  <c r="I130" i="99"/>
  <c r="I130" i="138"/>
  <c r="I130" i="124"/>
  <c r="I130" i="98"/>
  <c r="I130" i="133"/>
  <c r="I130" i="134"/>
  <c r="I130" i="96"/>
  <c r="I130" i="140"/>
  <c r="I130" i="95"/>
  <c r="I130" i="120"/>
  <c r="I130" i="137"/>
  <c r="I130" i="116"/>
  <c r="I130" i="123"/>
  <c r="I130" i="117"/>
  <c r="I130" i="118"/>
  <c r="I130" i="119"/>
  <c r="I130" i="86"/>
  <c r="I130" i="136"/>
  <c r="I130" i="135"/>
  <c r="I130" i="97"/>
  <c r="M46" i="128"/>
  <c r="U48" i="128" s="1"/>
  <c r="H100" i="99"/>
  <c r="D105" i="95"/>
  <c r="F105" i="95" s="1"/>
  <c r="J116" i="95" s="1"/>
  <c r="EP15" i="94" s="1"/>
  <c r="D105" i="116"/>
  <c r="F105" i="116" s="1"/>
  <c r="J116" i="116" s="1"/>
  <c r="H100" i="113"/>
  <c r="H100" i="119"/>
  <c r="H100" i="124"/>
  <c r="H100" i="132"/>
  <c r="H100" i="116"/>
  <c r="H100" i="95"/>
  <c r="H100" i="123"/>
  <c r="H100" i="137"/>
  <c r="H100" i="139"/>
  <c r="H99" i="113"/>
  <c r="H100" i="136"/>
  <c r="H99" i="136"/>
  <c r="H100" i="118"/>
  <c r="H99" i="118"/>
  <c r="H100" i="86"/>
  <c r="H100" i="133"/>
  <c r="H100" i="120"/>
  <c r="S57" i="128"/>
  <c r="I100" i="91" s="1"/>
  <c r="H100" i="134"/>
  <c r="H100" i="98"/>
  <c r="H100" i="140"/>
  <c r="H99" i="132"/>
  <c r="H100" i="135"/>
  <c r="H100" i="96"/>
  <c r="H100" i="138"/>
  <c r="H99" i="116"/>
  <c r="D105" i="135"/>
  <c r="F105" i="135" s="1"/>
  <c r="J116" i="135" s="1"/>
  <c r="H99" i="99"/>
  <c r="H100" i="91"/>
  <c r="H100" i="117"/>
  <c r="H99" i="95"/>
  <c r="H99" i="119"/>
  <c r="H99" i="120"/>
  <c r="H99" i="86"/>
  <c r="H99" i="133"/>
  <c r="H99" i="98"/>
  <c r="R57" i="128"/>
  <c r="I99" i="97" s="1"/>
  <c r="H99" i="134"/>
  <c r="H99" i="140"/>
  <c r="H99" i="96"/>
  <c r="H99" i="135"/>
  <c r="H99" i="138"/>
  <c r="H99" i="137"/>
  <c r="H99" i="124"/>
  <c r="H99" i="123"/>
  <c r="H99" i="117"/>
  <c r="H99" i="91"/>
  <c r="H99" i="97"/>
  <c r="D105" i="117"/>
  <c r="F105" i="117" s="1"/>
  <c r="J116" i="117" s="1"/>
  <c r="FD8" i="94" s="1"/>
  <c r="D105" i="118"/>
  <c r="F105" i="118" s="1"/>
  <c r="J116" i="118" s="1"/>
  <c r="D105" i="99"/>
  <c r="F105" i="99" s="1"/>
  <c r="J116" i="99" s="1"/>
  <c r="D105" i="124"/>
  <c r="F105" i="124" s="1"/>
  <c r="J116" i="124" s="1"/>
  <c r="D105" i="134"/>
  <c r="F105" i="134" s="1"/>
  <c r="J116" i="134" s="1"/>
  <c r="D105" i="137"/>
  <c r="F105" i="137" s="1"/>
  <c r="J116" i="137" s="1"/>
  <c r="D105" i="133"/>
  <c r="F105" i="133" s="1"/>
  <c r="J116" i="133" s="1"/>
  <c r="D105" i="138"/>
  <c r="F105" i="138" s="1"/>
  <c r="J116" i="138" s="1"/>
  <c r="D105" i="113"/>
  <c r="F105" i="113" s="1"/>
  <c r="J116" i="113" s="1"/>
  <c r="D105" i="98"/>
  <c r="F105" i="98" s="1"/>
  <c r="J116" i="98" s="1"/>
  <c r="V47" i="128"/>
  <c r="M47" i="128" s="1"/>
  <c r="U28" i="128"/>
  <c r="U34" i="128"/>
  <c r="H127" i="134" s="1"/>
  <c r="R54" i="128"/>
  <c r="H90" i="119"/>
  <c r="H90" i="113"/>
  <c r="H90" i="99"/>
  <c r="H90" i="97"/>
  <c r="H90" i="123"/>
  <c r="H90" i="138"/>
  <c r="H90" i="140"/>
  <c r="H90" i="120"/>
  <c r="H90" i="118"/>
  <c r="H90" i="136"/>
  <c r="H90" i="139"/>
  <c r="H90" i="117"/>
  <c r="H90" i="137"/>
  <c r="H90" i="96"/>
  <c r="H90" i="98"/>
  <c r="H90" i="124"/>
  <c r="H90" i="135"/>
  <c r="H90" i="134"/>
  <c r="H90" i="86"/>
  <c r="H90" i="91"/>
  <c r="H90" i="95"/>
  <c r="H90" i="116"/>
  <c r="H90" i="132"/>
  <c r="H90" i="133"/>
  <c r="S54" i="128"/>
  <c r="H91" i="120"/>
  <c r="H91" i="118"/>
  <c r="H91" i="136"/>
  <c r="H91" i="139"/>
  <c r="H91" i="117"/>
  <c r="H91" i="137"/>
  <c r="H91" i="96"/>
  <c r="H91" i="98"/>
  <c r="H91" i="119"/>
  <c r="H91" i="113"/>
  <c r="H91" i="99"/>
  <c r="H91" i="97"/>
  <c r="H91" i="123"/>
  <c r="H91" i="138"/>
  <c r="H91" i="140"/>
  <c r="H91" i="124"/>
  <c r="H91" i="135"/>
  <c r="H91" i="134"/>
  <c r="H91" i="86"/>
  <c r="H91" i="91"/>
  <c r="H91" i="95"/>
  <c r="H91" i="116"/>
  <c r="H91" i="132"/>
  <c r="H91" i="133"/>
  <c r="S53" i="128"/>
  <c r="H88" i="119"/>
  <c r="H88" i="113"/>
  <c r="H88" i="99"/>
  <c r="H88" i="97"/>
  <c r="H88" i="123"/>
  <c r="H88" i="138"/>
  <c r="H88" i="140"/>
  <c r="H88" i="120"/>
  <c r="H88" i="118"/>
  <c r="H88" i="136"/>
  <c r="H88" i="139"/>
  <c r="H88" i="117"/>
  <c r="H88" i="137"/>
  <c r="H88" i="96"/>
  <c r="H88" i="98"/>
  <c r="H88" i="133"/>
  <c r="H88" i="91"/>
  <c r="H88" i="95"/>
  <c r="H88" i="116"/>
  <c r="H88" i="132"/>
  <c r="H88" i="124"/>
  <c r="H88" i="135"/>
  <c r="H88" i="134"/>
  <c r="H88" i="86"/>
  <c r="S51" i="128"/>
  <c r="H82" i="119"/>
  <c r="H82" i="113"/>
  <c r="H82" i="99"/>
  <c r="H82" i="97"/>
  <c r="H82" i="123"/>
  <c r="H82" i="138"/>
  <c r="H82" i="140"/>
  <c r="H82" i="120"/>
  <c r="H82" i="118"/>
  <c r="H82" i="136"/>
  <c r="H82" i="139"/>
  <c r="H82" i="117"/>
  <c r="H82" i="137"/>
  <c r="H82" i="96"/>
  <c r="H82" i="98"/>
  <c r="H82" i="91"/>
  <c r="H82" i="95"/>
  <c r="H82" i="116"/>
  <c r="H82" i="132"/>
  <c r="H82" i="133"/>
  <c r="H82" i="124"/>
  <c r="H82" i="135"/>
  <c r="H82" i="134"/>
  <c r="H82" i="86"/>
  <c r="I79" i="120"/>
  <c r="I79" i="118"/>
  <c r="I79" i="136"/>
  <c r="I79" i="139"/>
  <c r="I79" i="117"/>
  <c r="I79" i="137"/>
  <c r="I79" i="96"/>
  <c r="I79" i="98"/>
  <c r="I79" i="119"/>
  <c r="I79" i="113"/>
  <c r="I79" i="99"/>
  <c r="I79" i="97"/>
  <c r="I79" i="123"/>
  <c r="I79" i="124"/>
  <c r="I79" i="135"/>
  <c r="I79" i="134"/>
  <c r="I79" i="86"/>
  <c r="I79" i="138"/>
  <c r="I79" i="133"/>
  <c r="I79" i="140"/>
  <c r="I79" i="91"/>
  <c r="I79" i="95"/>
  <c r="I79" i="116"/>
  <c r="I79" i="132"/>
  <c r="S58" i="128"/>
  <c r="H103" i="120"/>
  <c r="H103" i="118"/>
  <c r="H103" i="136"/>
  <c r="H103" i="139"/>
  <c r="H103" i="117"/>
  <c r="H103" i="137"/>
  <c r="H103" i="96"/>
  <c r="H103" i="98"/>
  <c r="H103" i="119"/>
  <c r="H103" i="113"/>
  <c r="H103" i="99"/>
  <c r="H103" i="97"/>
  <c r="H103" i="123"/>
  <c r="H103" i="138"/>
  <c r="H103" i="140"/>
  <c r="H103" i="91"/>
  <c r="H103" i="124"/>
  <c r="H103" i="135"/>
  <c r="H103" i="134"/>
  <c r="H103" i="86"/>
  <c r="H103" i="95"/>
  <c r="H103" i="116"/>
  <c r="H103" i="132"/>
  <c r="H103" i="133"/>
  <c r="R51" i="128"/>
  <c r="H81" i="120"/>
  <c r="H81" i="118"/>
  <c r="H81" i="136"/>
  <c r="H81" i="139"/>
  <c r="H81" i="117"/>
  <c r="H81" i="137"/>
  <c r="H81" i="96"/>
  <c r="H81" i="98"/>
  <c r="H81" i="119"/>
  <c r="H81" i="113"/>
  <c r="H81" i="99"/>
  <c r="H81" i="97"/>
  <c r="H81" i="123"/>
  <c r="H81" i="138"/>
  <c r="H81" i="140"/>
  <c r="H81" i="91"/>
  <c r="H81" i="95"/>
  <c r="H81" i="116"/>
  <c r="H81" i="132"/>
  <c r="H81" i="133"/>
  <c r="H81" i="124"/>
  <c r="H81" i="135"/>
  <c r="H81" i="134"/>
  <c r="H81" i="86"/>
  <c r="R55" i="128"/>
  <c r="H93" i="120"/>
  <c r="H93" i="118"/>
  <c r="H93" i="136"/>
  <c r="H93" i="139"/>
  <c r="H93" i="117"/>
  <c r="H93" i="137"/>
  <c r="H93" i="96"/>
  <c r="H93" i="98"/>
  <c r="H93" i="119"/>
  <c r="H93" i="113"/>
  <c r="H93" i="99"/>
  <c r="H93" i="97"/>
  <c r="H93" i="123"/>
  <c r="H93" i="138"/>
  <c r="H93" i="140"/>
  <c r="H93" i="91"/>
  <c r="H93" i="95"/>
  <c r="H93" i="116"/>
  <c r="H93" i="132"/>
  <c r="H93" i="133"/>
  <c r="H93" i="124"/>
  <c r="H93" i="135"/>
  <c r="H93" i="134"/>
  <c r="H93" i="86"/>
  <c r="R58" i="128"/>
  <c r="H102" i="119"/>
  <c r="H102" i="113"/>
  <c r="H102" i="99"/>
  <c r="H102" i="97"/>
  <c r="H102" i="123"/>
  <c r="H102" i="138"/>
  <c r="H102" i="140"/>
  <c r="H102" i="91"/>
  <c r="H102" i="120"/>
  <c r="H102" i="118"/>
  <c r="H102" i="136"/>
  <c r="H102" i="139"/>
  <c r="H102" i="117"/>
  <c r="H102" i="137"/>
  <c r="H102" i="98"/>
  <c r="H102" i="95"/>
  <c r="H102" i="116"/>
  <c r="H102" i="132"/>
  <c r="H102" i="124"/>
  <c r="H102" i="135"/>
  <c r="H102" i="134"/>
  <c r="H102" i="86"/>
  <c r="H102" i="96"/>
  <c r="H102" i="133"/>
  <c r="R52" i="128"/>
  <c r="H84" i="119"/>
  <c r="H84" i="113"/>
  <c r="H84" i="99"/>
  <c r="H84" i="97"/>
  <c r="H84" i="123"/>
  <c r="H84" i="138"/>
  <c r="H84" i="140"/>
  <c r="H84" i="120"/>
  <c r="H84" i="118"/>
  <c r="H84" i="136"/>
  <c r="H84" i="139"/>
  <c r="H84" i="117"/>
  <c r="H84" i="137"/>
  <c r="H84" i="96"/>
  <c r="H84" i="98"/>
  <c r="H84" i="124"/>
  <c r="H84" i="135"/>
  <c r="H84" i="134"/>
  <c r="H84" i="86"/>
  <c r="H84" i="133"/>
  <c r="H84" i="91"/>
  <c r="H84" i="95"/>
  <c r="H84" i="116"/>
  <c r="H84" i="132"/>
  <c r="R56" i="128"/>
  <c r="H96" i="119"/>
  <c r="H96" i="113"/>
  <c r="H96" i="99"/>
  <c r="H96" i="97"/>
  <c r="H96" i="123"/>
  <c r="H96" i="138"/>
  <c r="H96" i="140"/>
  <c r="H96" i="120"/>
  <c r="H96" i="118"/>
  <c r="H96" i="136"/>
  <c r="H96" i="139"/>
  <c r="H96" i="117"/>
  <c r="H96" i="137"/>
  <c r="H96" i="96"/>
  <c r="H96" i="98"/>
  <c r="H96" i="124"/>
  <c r="H96" i="135"/>
  <c r="H96" i="134"/>
  <c r="H96" i="86"/>
  <c r="H96" i="133"/>
  <c r="H96" i="91"/>
  <c r="H96" i="95"/>
  <c r="H96" i="116"/>
  <c r="H96" i="132"/>
  <c r="S56" i="128"/>
  <c r="H97" i="120"/>
  <c r="H97" i="118"/>
  <c r="H97" i="136"/>
  <c r="H97" i="139"/>
  <c r="H97" i="117"/>
  <c r="H97" i="137"/>
  <c r="H97" i="96"/>
  <c r="H97" i="98"/>
  <c r="H97" i="119"/>
  <c r="H97" i="113"/>
  <c r="H97" i="99"/>
  <c r="H97" i="97"/>
  <c r="H97" i="123"/>
  <c r="H97" i="138"/>
  <c r="H97" i="140"/>
  <c r="H97" i="91"/>
  <c r="H97" i="124"/>
  <c r="H97" i="135"/>
  <c r="H97" i="134"/>
  <c r="H97" i="86"/>
  <c r="H97" i="133"/>
  <c r="H97" i="95"/>
  <c r="H97" i="116"/>
  <c r="H97" i="132"/>
  <c r="S55" i="128"/>
  <c r="H94" i="119"/>
  <c r="H94" i="113"/>
  <c r="H94" i="99"/>
  <c r="H94" i="97"/>
  <c r="H94" i="123"/>
  <c r="H94" i="138"/>
  <c r="H94" i="140"/>
  <c r="H94" i="120"/>
  <c r="H94" i="118"/>
  <c r="H94" i="136"/>
  <c r="H94" i="139"/>
  <c r="H94" i="117"/>
  <c r="H94" i="137"/>
  <c r="H94" i="96"/>
  <c r="H94" i="98"/>
  <c r="H94" i="91"/>
  <c r="H94" i="95"/>
  <c r="H94" i="116"/>
  <c r="H94" i="132"/>
  <c r="H94" i="133"/>
  <c r="H94" i="124"/>
  <c r="H94" i="135"/>
  <c r="H94" i="134"/>
  <c r="H94" i="86"/>
  <c r="R50" i="128"/>
  <c r="H78" i="119"/>
  <c r="H78" i="113"/>
  <c r="H78" i="99"/>
  <c r="H78" i="97"/>
  <c r="H78" i="123"/>
  <c r="H78" i="138"/>
  <c r="H78" i="140"/>
  <c r="H79" i="120"/>
  <c r="H79" i="118"/>
  <c r="H79" i="136"/>
  <c r="H79" i="139"/>
  <c r="H79" i="117"/>
  <c r="H79" i="137"/>
  <c r="H79" i="96"/>
  <c r="H79" i="98"/>
  <c r="H78" i="120"/>
  <c r="H78" i="118"/>
  <c r="H78" i="136"/>
  <c r="H78" i="139"/>
  <c r="H78" i="117"/>
  <c r="H78" i="137"/>
  <c r="H78" i="96"/>
  <c r="H78" i="98"/>
  <c r="H79" i="119"/>
  <c r="H79" i="113"/>
  <c r="H79" i="99"/>
  <c r="H79" i="97"/>
  <c r="H79" i="123"/>
  <c r="H79" i="138"/>
  <c r="H79" i="140"/>
  <c r="H79" i="124"/>
  <c r="H79" i="135"/>
  <c r="H79" i="134"/>
  <c r="H79" i="86"/>
  <c r="H78" i="124"/>
  <c r="H78" i="135"/>
  <c r="H78" i="134"/>
  <c r="H78" i="86"/>
  <c r="H79" i="91"/>
  <c r="H79" i="95"/>
  <c r="H79" i="116"/>
  <c r="H79" i="132"/>
  <c r="H79" i="133"/>
  <c r="H78" i="91"/>
  <c r="H78" i="95"/>
  <c r="H78" i="116"/>
  <c r="H78" i="132"/>
  <c r="H78" i="133"/>
  <c r="R53" i="128"/>
  <c r="H87" i="120"/>
  <c r="H87" i="118"/>
  <c r="H87" i="136"/>
  <c r="H87" i="139"/>
  <c r="H87" i="117"/>
  <c r="H87" i="137"/>
  <c r="H87" i="96"/>
  <c r="H87" i="98"/>
  <c r="H87" i="119"/>
  <c r="H87" i="113"/>
  <c r="H87" i="99"/>
  <c r="H87" i="97"/>
  <c r="H87" i="123"/>
  <c r="H87" i="138"/>
  <c r="H87" i="140"/>
  <c r="H87" i="133"/>
  <c r="H87" i="91"/>
  <c r="H87" i="95"/>
  <c r="H87" i="116"/>
  <c r="H87" i="132"/>
  <c r="H87" i="124"/>
  <c r="H87" i="135"/>
  <c r="H87" i="134"/>
  <c r="H87" i="86"/>
  <c r="S52" i="128"/>
  <c r="H85" i="120"/>
  <c r="H85" i="118"/>
  <c r="H85" i="136"/>
  <c r="H85" i="139"/>
  <c r="H85" i="117"/>
  <c r="H85" i="137"/>
  <c r="H85" i="96"/>
  <c r="H85" i="98"/>
  <c r="H85" i="119"/>
  <c r="H85" i="113"/>
  <c r="H85" i="99"/>
  <c r="H85" i="97"/>
  <c r="H85" i="123"/>
  <c r="H85" i="138"/>
  <c r="H85" i="140"/>
  <c r="H85" i="124"/>
  <c r="H85" i="135"/>
  <c r="H85" i="134"/>
  <c r="H85" i="86"/>
  <c r="H85" i="133"/>
  <c r="H85" i="91"/>
  <c r="H85" i="95"/>
  <c r="H85" i="116"/>
  <c r="H85" i="132"/>
  <c r="I74" i="120"/>
  <c r="I74" i="118"/>
  <c r="I74" i="113"/>
  <c r="I74" i="136"/>
  <c r="H74" i="119"/>
  <c r="H74" i="113"/>
  <c r="H74" i="123"/>
  <c r="H74" i="138"/>
  <c r="H74" i="99"/>
  <c r="H74" i="97"/>
  <c r="H74" i="140"/>
  <c r="H74" i="91"/>
  <c r="H74" i="95"/>
  <c r="H74" i="116"/>
  <c r="H74" i="132"/>
  <c r="H74" i="86"/>
  <c r="H74" i="120"/>
  <c r="H74" i="136"/>
  <c r="H74" i="139"/>
  <c r="H74" i="117"/>
  <c r="H74" i="137"/>
  <c r="H74" i="96"/>
  <c r="H74" i="118"/>
  <c r="H74" i="98"/>
  <c r="H74" i="124"/>
  <c r="H74" i="135"/>
  <c r="H74" i="134"/>
  <c r="H92" i="118"/>
  <c r="H92" i="136"/>
  <c r="H92" i="117"/>
  <c r="H92" i="137"/>
  <c r="H92" i="96"/>
  <c r="H92" i="135"/>
  <c r="H92" i="120"/>
  <c r="H92" i="139"/>
  <c r="H92" i="98"/>
  <c r="H92" i="124"/>
  <c r="H92" i="132"/>
  <c r="H92" i="119"/>
  <c r="H92" i="99"/>
  <c r="H92" i="97"/>
  <c r="H92" i="123"/>
  <c r="H92" i="138"/>
  <c r="H92" i="140"/>
  <c r="H92" i="113"/>
  <c r="H92" i="91"/>
  <c r="H92" i="95"/>
  <c r="H92" i="116"/>
  <c r="H92" i="134"/>
  <c r="H92" i="86"/>
  <c r="D105" i="96"/>
  <c r="F105" i="96" s="1"/>
  <c r="J116" i="96" s="1"/>
  <c r="EQ26" i="94" s="1"/>
  <c r="D105" i="140"/>
  <c r="F105" i="140" s="1"/>
  <c r="J116" i="140" s="1"/>
  <c r="FH6" i="94" s="1"/>
  <c r="D105" i="139"/>
  <c r="F105" i="139" s="1"/>
  <c r="J116" i="139" s="1"/>
  <c r="D105" i="97"/>
  <c r="F105" i="97" s="1"/>
  <c r="J116" i="97" s="1"/>
  <c r="R39" i="128"/>
  <c r="D105" i="119"/>
  <c r="F105" i="119" s="1"/>
  <c r="J116" i="119" s="1"/>
  <c r="EU24" i="94" s="1"/>
  <c r="D105" i="86"/>
  <c r="F105" i="86" s="1"/>
  <c r="J116" i="86" s="1"/>
  <c r="EX25" i="94" s="1"/>
  <c r="D105" i="120"/>
  <c r="F105" i="120" s="1"/>
  <c r="J116" i="120" s="1"/>
  <c r="EV25" i="94" s="1"/>
  <c r="D105" i="91"/>
  <c r="F105" i="91" s="1"/>
  <c r="J116" i="91" s="1"/>
  <c r="D105" i="132"/>
  <c r="F105" i="132" s="1"/>
  <c r="J116" i="132" s="1"/>
  <c r="EW24" i="94" s="1"/>
  <c r="D105" i="123"/>
  <c r="F105" i="123" s="1"/>
  <c r="J116" i="123" s="1"/>
  <c r="ER7" i="94" s="1"/>
  <c r="L27" i="128"/>
  <c r="V27" i="128"/>
  <c r="M27" i="128" s="1"/>
  <c r="H74" i="133"/>
  <c r="T13" i="128"/>
  <c r="D92" i="124" s="1"/>
  <c r="F92" i="124" s="1"/>
  <c r="T7" i="128"/>
  <c r="U7" i="128"/>
  <c r="D127" i="95"/>
  <c r="F127" i="95" s="1"/>
  <c r="M6" i="128"/>
  <c r="U39" i="128" s="1"/>
  <c r="W6" i="128"/>
  <c r="Q19" i="94"/>
  <c r="Q32" i="94"/>
  <c r="D127" i="113"/>
  <c r="F127" i="113" s="1"/>
  <c r="D127" i="133"/>
  <c r="F127" i="133" s="1"/>
  <c r="D127" i="117"/>
  <c r="F127" i="117" s="1"/>
  <c r="D127" i="91"/>
  <c r="F127" i="91" s="1"/>
  <c r="D127" i="86"/>
  <c r="F127" i="86" s="1"/>
  <c r="D127" i="137"/>
  <c r="F127" i="137" s="1"/>
  <c r="D127" i="118"/>
  <c r="F127" i="118" s="1"/>
  <c r="D127" i="97"/>
  <c r="F127" i="97" s="1"/>
  <c r="D127" i="136"/>
  <c r="F127" i="136" s="1"/>
  <c r="D127" i="96"/>
  <c r="F127" i="96" s="1"/>
  <c r="D127" i="140"/>
  <c r="F127" i="140" s="1"/>
  <c r="D127" i="135"/>
  <c r="F127" i="135" s="1"/>
  <c r="D127" i="99"/>
  <c r="F127" i="99" s="1"/>
  <c r="D127" i="139"/>
  <c r="F127" i="139" s="1"/>
  <c r="D127" i="119"/>
  <c r="F127" i="119" s="1"/>
  <c r="D127" i="124"/>
  <c r="F127" i="124" s="1"/>
  <c r="D127" i="134"/>
  <c r="F127" i="134" s="1"/>
  <c r="D127" i="132"/>
  <c r="F127" i="132" s="1"/>
  <c r="D127" i="123"/>
  <c r="F127" i="123" s="1"/>
  <c r="D127" i="116"/>
  <c r="F127" i="116" s="1"/>
  <c r="D127" i="138"/>
  <c r="F127" i="138" s="1"/>
  <c r="D127" i="120"/>
  <c r="F127" i="120" s="1"/>
  <c r="J116" i="136"/>
  <c r="EZ27" i="94" s="1"/>
  <c r="L6" i="128"/>
  <c r="D106" i="86"/>
  <c r="F106" i="86" s="1"/>
  <c r="D106" i="117"/>
  <c r="F106" i="117" s="1"/>
  <c r="D106" i="116"/>
  <c r="F106" i="116" s="1"/>
  <c r="D106" i="97"/>
  <c r="F106" i="97" s="1"/>
  <c r="D106" i="95"/>
  <c r="F106" i="95" s="1"/>
  <c r="D106" i="98"/>
  <c r="F106" i="98" s="1"/>
  <c r="D106" i="124"/>
  <c r="F106" i="124" s="1"/>
  <c r="D106" i="113"/>
  <c r="F106" i="113" s="1"/>
  <c r="D106" i="91"/>
  <c r="F106" i="91" s="1"/>
  <c r="D106" i="118"/>
  <c r="F106" i="118" s="1"/>
  <c r="D106" i="99"/>
  <c r="F106" i="99" s="1"/>
  <c r="J117" i="99" s="1"/>
  <c r="FW6" i="94" s="1"/>
  <c r="D106" i="96"/>
  <c r="F106" i="96" s="1"/>
  <c r="D106" i="123"/>
  <c r="F106" i="123" s="1"/>
  <c r="J117" i="123" s="1"/>
  <c r="FP7" i="94" s="1"/>
  <c r="D106" i="132"/>
  <c r="F106" i="132" s="1"/>
  <c r="D106" i="119"/>
  <c r="F106" i="119" s="1"/>
  <c r="D106" i="120"/>
  <c r="F106" i="120" s="1"/>
  <c r="D106" i="133"/>
  <c r="F106" i="133" s="1"/>
  <c r="J117" i="133" s="1"/>
  <c r="D106" i="138"/>
  <c r="F106" i="138" s="1"/>
  <c r="D106" i="137"/>
  <c r="F106" i="137" s="1"/>
  <c r="D106" i="136"/>
  <c r="F106" i="136" s="1"/>
  <c r="D106" i="135"/>
  <c r="F106" i="135" s="1"/>
  <c r="D106" i="134"/>
  <c r="F106" i="134" s="1"/>
  <c r="D106" i="140"/>
  <c r="F106" i="140" s="1"/>
  <c r="J117" i="140" s="1"/>
  <c r="GF6" i="94" s="1"/>
  <c r="D106" i="139"/>
  <c r="F106" i="139" s="1"/>
  <c r="S39" i="128"/>
  <c r="L47" i="128"/>
  <c r="EL14" i="94" l="1"/>
  <c r="EL23" i="94"/>
  <c r="EL5" i="94"/>
  <c r="FJ23" i="94"/>
  <c r="FJ5" i="94"/>
  <c r="FJ14" i="94"/>
  <c r="I74" i="86"/>
  <c r="I74" i="132"/>
  <c r="I74" i="134"/>
  <c r="I74" i="135"/>
  <c r="I74" i="98"/>
  <c r="I74" i="140"/>
  <c r="I74" i="137"/>
  <c r="I74" i="96"/>
  <c r="I74" i="133"/>
  <c r="I74" i="138"/>
  <c r="I74" i="139"/>
  <c r="I75" i="135"/>
  <c r="I75" i="97"/>
  <c r="I75" i="137"/>
  <c r="I75" i="95"/>
  <c r="I75" i="134"/>
  <c r="I75" i="132"/>
  <c r="I75" i="133"/>
  <c r="I75" i="98"/>
  <c r="I75" i="99"/>
  <c r="I75" i="116"/>
  <c r="I75" i="123"/>
  <c r="I75" i="119"/>
  <c r="I75" i="136"/>
  <c r="I75" i="117"/>
  <c r="I75" i="139"/>
  <c r="I75" i="113"/>
  <c r="I75" i="86"/>
  <c r="I75" i="140"/>
  <c r="I75" i="96"/>
  <c r="I75" i="138"/>
  <c r="I75" i="120"/>
  <c r="I75" i="124"/>
  <c r="I75" i="118"/>
  <c r="I75" i="91"/>
  <c r="I72" i="123"/>
  <c r="I72" i="117"/>
  <c r="I72" i="137"/>
  <c r="I72" i="140"/>
  <c r="I72" i="118"/>
  <c r="I72" i="99"/>
  <c r="I72" i="120"/>
  <c r="I72" i="113"/>
  <c r="I72" i="133"/>
  <c r="I72" i="116"/>
  <c r="I72" i="91"/>
  <c r="I72" i="135"/>
  <c r="I72" i="139"/>
  <c r="I72" i="86"/>
  <c r="I72" i="136"/>
  <c r="I72" i="138"/>
  <c r="I72" i="97"/>
  <c r="I72" i="95"/>
  <c r="I72" i="119"/>
  <c r="I72" i="96"/>
  <c r="I72" i="98"/>
  <c r="I72" i="124"/>
  <c r="I72" i="132"/>
  <c r="I72" i="134"/>
  <c r="I74" i="116"/>
  <c r="I74" i="117"/>
  <c r="I74" i="91"/>
  <c r="I74" i="99"/>
  <c r="I74" i="124"/>
  <c r="I74" i="97"/>
  <c r="FC7" i="94"/>
  <c r="FC5" i="94"/>
  <c r="I76" i="123"/>
  <c r="I76" i="134"/>
  <c r="I76" i="124"/>
  <c r="I76" i="132"/>
  <c r="I76" i="119"/>
  <c r="I76" i="113"/>
  <c r="I76" i="138"/>
  <c r="I76" i="95"/>
  <c r="I76" i="118"/>
  <c r="I76" i="96"/>
  <c r="I76" i="98"/>
  <c r="I76" i="117"/>
  <c r="I76" i="86"/>
  <c r="I76" i="91"/>
  <c r="I76" i="120"/>
  <c r="I76" i="140"/>
  <c r="I76" i="135"/>
  <c r="I76" i="136"/>
  <c r="I76" i="99"/>
  <c r="I76" i="133"/>
  <c r="I76" i="137"/>
  <c r="I76" i="139"/>
  <c r="I76" i="97"/>
  <c r="I76" i="116"/>
  <c r="I73" i="98"/>
  <c r="I73" i="138"/>
  <c r="I73" i="119"/>
  <c r="I73" i="99"/>
  <c r="I73" i="123"/>
  <c r="I73" i="116"/>
  <c r="I73" i="132"/>
  <c r="I73" i="133"/>
  <c r="I73" i="113"/>
  <c r="I73" i="97"/>
  <c r="I73" i="136"/>
  <c r="I73" i="120"/>
  <c r="I73" i="124"/>
  <c r="I73" i="118"/>
  <c r="I73" i="91"/>
  <c r="I73" i="137"/>
  <c r="I73" i="95"/>
  <c r="I73" i="139"/>
  <c r="I73" i="140"/>
  <c r="I73" i="134"/>
  <c r="I73" i="117"/>
  <c r="I73" i="86"/>
  <c r="I73" i="96"/>
  <c r="I73" i="135"/>
  <c r="FB6" i="94"/>
  <c r="FB7" i="94"/>
  <c r="FE14" i="94"/>
  <c r="FE6" i="94"/>
  <c r="I74" i="95"/>
  <c r="I74" i="123"/>
  <c r="I121" i="118"/>
  <c r="I121" i="123"/>
  <c r="I121" i="133"/>
  <c r="I121" i="96"/>
  <c r="I121" i="140"/>
  <c r="I121" i="116"/>
  <c r="I121" i="137"/>
  <c r="I121" i="120"/>
  <c r="I121" i="117"/>
  <c r="I121" i="98"/>
  <c r="I121" i="138"/>
  <c r="I121" i="97"/>
  <c r="I121" i="91"/>
  <c r="I121" i="119"/>
  <c r="I121" i="132"/>
  <c r="I121" i="135"/>
  <c r="I121" i="139"/>
  <c r="I121" i="99"/>
  <c r="I121" i="136"/>
  <c r="I121" i="134"/>
  <c r="I121" i="113"/>
  <c r="I121" i="86"/>
  <c r="I121" i="95"/>
  <c r="I121" i="124"/>
  <c r="I100" i="86"/>
  <c r="U49" i="128"/>
  <c r="I122" i="133" s="1"/>
  <c r="U54" i="128"/>
  <c r="I127" i="133" s="1"/>
  <c r="GF17" i="94"/>
  <c r="GF8" i="94"/>
  <c r="FH17" i="94"/>
  <c r="FH8" i="94"/>
  <c r="FG16" i="94"/>
  <c r="FG7" i="94"/>
  <c r="FF15" i="94"/>
  <c r="FF6" i="94"/>
  <c r="FA8" i="94"/>
  <c r="FA5" i="94"/>
  <c r="I100" i="96"/>
  <c r="I100" i="136"/>
  <c r="I100" i="95"/>
  <c r="I100" i="123"/>
  <c r="I100" i="119"/>
  <c r="I100" i="124"/>
  <c r="I100" i="97"/>
  <c r="I99" i="136"/>
  <c r="I99" i="99"/>
  <c r="I99" i="113"/>
  <c r="I100" i="116"/>
  <c r="I100" i="98"/>
  <c r="I100" i="138"/>
  <c r="I100" i="139"/>
  <c r="I100" i="132"/>
  <c r="I100" i="113"/>
  <c r="I100" i="117"/>
  <c r="I100" i="140"/>
  <c r="I100" i="135"/>
  <c r="I100" i="120"/>
  <c r="I100" i="99"/>
  <c r="I100" i="137"/>
  <c r="I100" i="133"/>
  <c r="I100" i="134"/>
  <c r="I100" i="118"/>
  <c r="I99" i="91"/>
  <c r="I99" i="132"/>
  <c r="I99" i="139"/>
  <c r="I99" i="116"/>
  <c r="I99" i="118"/>
  <c r="I99" i="119"/>
  <c r="I99" i="86"/>
  <c r="I99" i="95"/>
  <c r="I99" i="120"/>
  <c r="I99" i="134"/>
  <c r="I99" i="98"/>
  <c r="I99" i="140"/>
  <c r="I99" i="135"/>
  <c r="I99" i="96"/>
  <c r="I99" i="138"/>
  <c r="I99" i="124"/>
  <c r="I99" i="137"/>
  <c r="I99" i="123"/>
  <c r="I99" i="133"/>
  <c r="I99" i="117"/>
  <c r="D92" i="119"/>
  <c r="F92" i="119" s="1"/>
  <c r="D92" i="139"/>
  <c r="F92" i="139" s="1"/>
  <c r="D92" i="133"/>
  <c r="F92" i="133" s="1"/>
  <c r="H127" i="133"/>
  <c r="H127" i="124"/>
  <c r="L117" i="132"/>
  <c r="H127" i="91"/>
  <c r="H127" i="119"/>
  <c r="H127" i="116"/>
  <c r="H127" i="138"/>
  <c r="H127" i="99"/>
  <c r="H127" i="123"/>
  <c r="H127" i="97"/>
  <c r="H127" i="113"/>
  <c r="H127" i="95"/>
  <c r="H127" i="137"/>
  <c r="H127" i="96"/>
  <c r="H127" i="140"/>
  <c r="H127" i="117"/>
  <c r="H127" i="98"/>
  <c r="H127" i="136"/>
  <c r="H127" i="118"/>
  <c r="H127" i="132"/>
  <c r="H127" i="120"/>
  <c r="H127" i="139"/>
  <c r="H127" i="135"/>
  <c r="H127" i="86"/>
  <c r="H121" i="91"/>
  <c r="H121" i="136"/>
  <c r="H121" i="98"/>
  <c r="H121" i="124"/>
  <c r="H121" i="97"/>
  <c r="H121" i="132"/>
  <c r="H121" i="135"/>
  <c r="H121" i="123"/>
  <c r="H121" i="86"/>
  <c r="H121" i="99"/>
  <c r="H121" i="139"/>
  <c r="H121" i="138"/>
  <c r="H121" i="120"/>
  <c r="H121" i="140"/>
  <c r="H121" i="133"/>
  <c r="H121" i="118"/>
  <c r="H121" i="113"/>
  <c r="H121" i="119"/>
  <c r="H121" i="116"/>
  <c r="H121" i="134"/>
  <c r="H121" i="95"/>
  <c r="H121" i="96"/>
  <c r="H121" i="137"/>
  <c r="H121" i="117"/>
  <c r="D92" i="98"/>
  <c r="F92" i="98" s="1"/>
  <c r="I87" i="119"/>
  <c r="I87" i="113"/>
  <c r="I87" i="99"/>
  <c r="I87" i="97"/>
  <c r="I87" i="123"/>
  <c r="I87" i="138"/>
  <c r="I87" i="140"/>
  <c r="I87" i="120"/>
  <c r="I87" i="118"/>
  <c r="I87" i="136"/>
  <c r="I87" i="139"/>
  <c r="I87" i="117"/>
  <c r="I87" i="137"/>
  <c r="I87" i="96"/>
  <c r="I87" i="98"/>
  <c r="I87" i="91"/>
  <c r="I87" i="95"/>
  <c r="I87" i="116"/>
  <c r="I87" i="132"/>
  <c r="I87" i="133"/>
  <c r="I87" i="124"/>
  <c r="I87" i="135"/>
  <c r="I87" i="134"/>
  <c r="I87" i="86"/>
  <c r="I78" i="120"/>
  <c r="I78" i="118"/>
  <c r="I78" i="136"/>
  <c r="I78" i="139"/>
  <c r="I78" i="117"/>
  <c r="I78" i="137"/>
  <c r="I78" i="96"/>
  <c r="I78" i="98"/>
  <c r="I78" i="119"/>
  <c r="I78" i="113"/>
  <c r="I78" i="99"/>
  <c r="I78" i="97"/>
  <c r="I78" i="123"/>
  <c r="I78" i="138"/>
  <c r="I78" i="140"/>
  <c r="I78" i="124"/>
  <c r="I78" i="135"/>
  <c r="I78" i="134"/>
  <c r="I78" i="86"/>
  <c r="I78" i="133"/>
  <c r="I78" i="91"/>
  <c r="I78" i="95"/>
  <c r="I78" i="116"/>
  <c r="I78" i="132"/>
  <c r="I94" i="119"/>
  <c r="I94" i="113"/>
  <c r="I94" i="99"/>
  <c r="I94" i="97"/>
  <c r="I94" i="123"/>
  <c r="I94" i="138"/>
  <c r="I94" i="140"/>
  <c r="I94" i="120"/>
  <c r="I94" i="118"/>
  <c r="I94" i="136"/>
  <c r="I94" i="139"/>
  <c r="I94" i="117"/>
  <c r="I94" i="137"/>
  <c r="I94" i="91"/>
  <c r="I94" i="95"/>
  <c r="I94" i="116"/>
  <c r="I94" i="132"/>
  <c r="I94" i="133"/>
  <c r="I94" i="98"/>
  <c r="I94" i="124"/>
  <c r="I94" i="135"/>
  <c r="I94" i="134"/>
  <c r="I94" i="86"/>
  <c r="I94" i="96"/>
  <c r="I81" i="119"/>
  <c r="I81" i="113"/>
  <c r="I81" i="99"/>
  <c r="I81" i="97"/>
  <c r="I81" i="123"/>
  <c r="I81" i="138"/>
  <c r="I81" i="140"/>
  <c r="I81" i="120"/>
  <c r="I81" i="118"/>
  <c r="I81" i="136"/>
  <c r="I81" i="139"/>
  <c r="I81" i="117"/>
  <c r="I81" i="137"/>
  <c r="I81" i="96"/>
  <c r="I81" i="98"/>
  <c r="I81" i="133"/>
  <c r="I81" i="91"/>
  <c r="I81" i="95"/>
  <c r="I81" i="116"/>
  <c r="I81" i="132"/>
  <c r="I81" i="124"/>
  <c r="I81" i="135"/>
  <c r="I81" i="134"/>
  <c r="I81" i="86"/>
  <c r="I97" i="120"/>
  <c r="I97" i="118"/>
  <c r="I97" i="136"/>
  <c r="I97" i="139"/>
  <c r="I97" i="117"/>
  <c r="I97" i="137"/>
  <c r="I97" i="96"/>
  <c r="I97" i="98"/>
  <c r="I97" i="119"/>
  <c r="I97" i="113"/>
  <c r="I97" i="99"/>
  <c r="I97" i="97"/>
  <c r="I97" i="123"/>
  <c r="I97" i="138"/>
  <c r="I97" i="140"/>
  <c r="I97" i="124"/>
  <c r="I97" i="135"/>
  <c r="I97" i="134"/>
  <c r="I97" i="86"/>
  <c r="I97" i="95"/>
  <c r="I97" i="116"/>
  <c r="I97" i="132"/>
  <c r="I97" i="91"/>
  <c r="I97" i="133"/>
  <c r="I103" i="120"/>
  <c r="I103" i="118"/>
  <c r="I103" i="136"/>
  <c r="I103" i="139"/>
  <c r="I103" i="117"/>
  <c r="I103" i="137"/>
  <c r="I103" i="96"/>
  <c r="I103" i="98"/>
  <c r="I103" i="119"/>
  <c r="I103" i="113"/>
  <c r="I103" i="99"/>
  <c r="I103" i="97"/>
  <c r="I103" i="123"/>
  <c r="I103" i="138"/>
  <c r="I103" i="140"/>
  <c r="I103" i="91"/>
  <c r="I103" i="124"/>
  <c r="I103" i="135"/>
  <c r="I103" i="134"/>
  <c r="I103" i="86"/>
  <c r="I103" i="133"/>
  <c r="I103" i="95"/>
  <c r="I103" i="116"/>
  <c r="I103" i="132"/>
  <c r="I96" i="120"/>
  <c r="I96" i="118"/>
  <c r="I96" i="136"/>
  <c r="I96" i="139"/>
  <c r="I96" i="117"/>
  <c r="I96" i="137"/>
  <c r="I96" i="96"/>
  <c r="I96" i="98"/>
  <c r="I96" i="119"/>
  <c r="I96" i="113"/>
  <c r="I96" i="99"/>
  <c r="I96" i="97"/>
  <c r="I96" i="123"/>
  <c r="I96" i="138"/>
  <c r="I96" i="140"/>
  <c r="I96" i="124"/>
  <c r="I96" i="135"/>
  <c r="I96" i="134"/>
  <c r="I96" i="86"/>
  <c r="I96" i="91"/>
  <c r="I96" i="95"/>
  <c r="I96" i="116"/>
  <c r="I96" i="132"/>
  <c r="I96" i="133"/>
  <c r="I82" i="119"/>
  <c r="I82" i="113"/>
  <c r="I82" i="99"/>
  <c r="I82" i="97"/>
  <c r="I82" i="123"/>
  <c r="I82" i="138"/>
  <c r="I82" i="140"/>
  <c r="I82" i="120"/>
  <c r="I82" i="118"/>
  <c r="I82" i="136"/>
  <c r="I82" i="139"/>
  <c r="I82" i="117"/>
  <c r="I82" i="137"/>
  <c r="I82" i="91"/>
  <c r="I82" i="95"/>
  <c r="I82" i="116"/>
  <c r="I82" i="132"/>
  <c r="I82" i="133"/>
  <c r="I82" i="96"/>
  <c r="I82" i="98"/>
  <c r="I82" i="124"/>
  <c r="I82" i="135"/>
  <c r="I82" i="134"/>
  <c r="I82" i="86"/>
  <c r="I84" i="120"/>
  <c r="I84" i="118"/>
  <c r="I84" i="136"/>
  <c r="I84" i="139"/>
  <c r="I84" i="117"/>
  <c r="I84" i="137"/>
  <c r="I84" i="96"/>
  <c r="I84" i="98"/>
  <c r="I84" i="119"/>
  <c r="I84" i="113"/>
  <c r="I84" i="99"/>
  <c r="I84" i="97"/>
  <c r="I84" i="123"/>
  <c r="I84" i="138"/>
  <c r="I84" i="140"/>
  <c r="I84" i="124"/>
  <c r="I84" i="135"/>
  <c r="I84" i="134"/>
  <c r="I84" i="86"/>
  <c r="I84" i="91"/>
  <c r="I84" i="95"/>
  <c r="I84" i="116"/>
  <c r="I84" i="132"/>
  <c r="I84" i="133"/>
  <c r="I88" i="119"/>
  <c r="I88" i="113"/>
  <c r="I88" i="99"/>
  <c r="I88" i="97"/>
  <c r="I88" i="123"/>
  <c r="I88" i="138"/>
  <c r="I88" i="140"/>
  <c r="I88" i="120"/>
  <c r="I88" i="118"/>
  <c r="I88" i="136"/>
  <c r="I88" i="139"/>
  <c r="I88" i="117"/>
  <c r="I88" i="137"/>
  <c r="I88" i="96"/>
  <c r="I88" i="91"/>
  <c r="I88" i="95"/>
  <c r="I88" i="116"/>
  <c r="I88" i="132"/>
  <c r="I88" i="98"/>
  <c r="I88" i="124"/>
  <c r="I88" i="135"/>
  <c r="I88" i="134"/>
  <c r="I88" i="86"/>
  <c r="I88" i="133"/>
  <c r="EY6" i="94"/>
  <c r="I102" i="119"/>
  <c r="I102" i="113"/>
  <c r="I102" i="99"/>
  <c r="I102" i="97"/>
  <c r="I102" i="123"/>
  <c r="I102" i="138"/>
  <c r="I102" i="140"/>
  <c r="I102" i="91"/>
  <c r="I102" i="120"/>
  <c r="I102" i="118"/>
  <c r="I102" i="136"/>
  <c r="I102" i="139"/>
  <c r="I102" i="117"/>
  <c r="I102" i="137"/>
  <c r="I102" i="96"/>
  <c r="I102" i="98"/>
  <c r="I102" i="124"/>
  <c r="I102" i="135"/>
  <c r="I102" i="134"/>
  <c r="I102" i="86"/>
  <c r="I102" i="133"/>
  <c r="I102" i="95"/>
  <c r="I102" i="116"/>
  <c r="I102" i="132"/>
  <c r="I91" i="120"/>
  <c r="I91" i="118"/>
  <c r="I91" i="136"/>
  <c r="I91" i="139"/>
  <c r="I91" i="117"/>
  <c r="I91" i="137"/>
  <c r="I91" i="96"/>
  <c r="I91" i="98"/>
  <c r="I91" i="119"/>
  <c r="I91" i="113"/>
  <c r="I91" i="99"/>
  <c r="I91" i="97"/>
  <c r="I91" i="123"/>
  <c r="I91" i="124"/>
  <c r="I91" i="135"/>
  <c r="I91" i="134"/>
  <c r="I91" i="86"/>
  <c r="I91" i="140"/>
  <c r="I91" i="133"/>
  <c r="I91" i="91"/>
  <c r="I91" i="95"/>
  <c r="I91" i="116"/>
  <c r="I91" i="132"/>
  <c r="I91" i="138"/>
  <c r="S59" i="128"/>
  <c r="H106" i="119"/>
  <c r="H106" i="113"/>
  <c r="H106" i="99"/>
  <c r="H106" i="97"/>
  <c r="H106" i="123"/>
  <c r="H106" i="138"/>
  <c r="H106" i="140"/>
  <c r="H106" i="91"/>
  <c r="H106" i="120"/>
  <c r="H106" i="118"/>
  <c r="H106" i="136"/>
  <c r="H106" i="139"/>
  <c r="H106" i="117"/>
  <c r="H106" i="137"/>
  <c r="H106" i="96"/>
  <c r="H106" i="98"/>
  <c r="H106" i="95"/>
  <c r="H106" i="116"/>
  <c r="H106" i="132"/>
  <c r="H106" i="133"/>
  <c r="H106" i="124"/>
  <c r="H106" i="135"/>
  <c r="H106" i="134"/>
  <c r="H106" i="86"/>
  <c r="R59" i="128"/>
  <c r="H105" i="120"/>
  <c r="H105" i="118"/>
  <c r="H105" i="136"/>
  <c r="H105" i="139"/>
  <c r="H105" i="117"/>
  <c r="H105" i="137"/>
  <c r="H105" i="96"/>
  <c r="H105" i="98"/>
  <c r="H105" i="119"/>
  <c r="H105" i="113"/>
  <c r="H105" i="99"/>
  <c r="H105" i="97"/>
  <c r="H105" i="123"/>
  <c r="H105" i="138"/>
  <c r="H105" i="124"/>
  <c r="H105" i="135"/>
  <c r="H105" i="134"/>
  <c r="H105" i="86"/>
  <c r="H105" i="91"/>
  <c r="H105" i="95"/>
  <c r="H105" i="116"/>
  <c r="H105" i="132"/>
  <c r="H105" i="133"/>
  <c r="H105" i="140"/>
  <c r="I85" i="120"/>
  <c r="I85" i="118"/>
  <c r="I85" i="136"/>
  <c r="I85" i="139"/>
  <c r="I85" i="117"/>
  <c r="I85" i="137"/>
  <c r="I85" i="96"/>
  <c r="I85" i="98"/>
  <c r="I85" i="119"/>
  <c r="I85" i="113"/>
  <c r="I85" i="99"/>
  <c r="I85" i="97"/>
  <c r="I85" i="123"/>
  <c r="I85" i="138"/>
  <c r="I85" i="124"/>
  <c r="I85" i="135"/>
  <c r="I85" i="134"/>
  <c r="I85" i="86"/>
  <c r="I85" i="140"/>
  <c r="I85" i="91"/>
  <c r="I85" i="95"/>
  <c r="I85" i="116"/>
  <c r="I85" i="132"/>
  <c r="I85" i="133"/>
  <c r="I93" i="119"/>
  <c r="I93" i="113"/>
  <c r="I93" i="99"/>
  <c r="I93" i="97"/>
  <c r="I93" i="123"/>
  <c r="I93" i="138"/>
  <c r="I93" i="140"/>
  <c r="I93" i="120"/>
  <c r="I93" i="118"/>
  <c r="I93" i="136"/>
  <c r="I93" i="139"/>
  <c r="I93" i="117"/>
  <c r="I93" i="137"/>
  <c r="I93" i="96"/>
  <c r="I93" i="98"/>
  <c r="I93" i="133"/>
  <c r="I93" i="91"/>
  <c r="I93" i="95"/>
  <c r="I93" i="116"/>
  <c r="I93" i="132"/>
  <c r="I93" i="124"/>
  <c r="I93" i="135"/>
  <c r="I93" i="134"/>
  <c r="I93" i="86"/>
  <c r="I90" i="120"/>
  <c r="I90" i="118"/>
  <c r="I90" i="136"/>
  <c r="I90" i="139"/>
  <c r="I90" i="117"/>
  <c r="I90" i="137"/>
  <c r="I90" i="96"/>
  <c r="I90" i="98"/>
  <c r="I90" i="119"/>
  <c r="I90" i="113"/>
  <c r="I90" i="99"/>
  <c r="I90" i="97"/>
  <c r="I90" i="123"/>
  <c r="I90" i="138"/>
  <c r="I90" i="140"/>
  <c r="I90" i="124"/>
  <c r="I90" i="135"/>
  <c r="I90" i="134"/>
  <c r="I90" i="86"/>
  <c r="I90" i="133"/>
  <c r="I90" i="91"/>
  <c r="I90" i="95"/>
  <c r="I90" i="116"/>
  <c r="I90" i="132"/>
  <c r="D92" i="91"/>
  <c r="F92" i="91" s="1"/>
  <c r="D92" i="99"/>
  <c r="F92" i="99" s="1"/>
  <c r="D92" i="140"/>
  <c r="F92" i="140" s="1"/>
  <c r="D92" i="97"/>
  <c r="F92" i="97" s="1"/>
  <c r="D92" i="95"/>
  <c r="F92" i="95" s="1"/>
  <c r="D92" i="136"/>
  <c r="F92" i="136" s="1"/>
  <c r="D92" i="132"/>
  <c r="F92" i="132" s="1"/>
  <c r="D92" i="86"/>
  <c r="F92" i="86" s="1"/>
  <c r="D92" i="118"/>
  <c r="F92" i="118" s="1"/>
  <c r="D92" i="120"/>
  <c r="F92" i="120" s="1"/>
  <c r="D92" i="96"/>
  <c r="F92" i="96" s="1"/>
  <c r="D92" i="138"/>
  <c r="F92" i="138" s="1"/>
  <c r="D92" i="117"/>
  <c r="F92" i="117" s="1"/>
  <c r="D92" i="137"/>
  <c r="F92" i="137" s="1"/>
  <c r="D92" i="123"/>
  <c r="F92" i="123" s="1"/>
  <c r="D92" i="113"/>
  <c r="F92" i="113" s="1"/>
  <c r="D92" i="116"/>
  <c r="F92" i="116" s="1"/>
  <c r="D92" i="135"/>
  <c r="F92" i="135" s="1"/>
  <c r="D92" i="134"/>
  <c r="F92" i="134" s="1"/>
  <c r="T29" i="128"/>
  <c r="H77" i="133" s="1"/>
  <c r="T38" i="128"/>
  <c r="U8" i="128"/>
  <c r="D122" i="120" s="1"/>
  <c r="F122" i="120" s="1"/>
  <c r="U29" i="128"/>
  <c r="H122" i="137" s="1"/>
  <c r="U38" i="128"/>
  <c r="T39" i="128"/>
  <c r="T58" i="128"/>
  <c r="T49" i="128"/>
  <c r="T18" i="128"/>
  <c r="D104" i="113" s="1"/>
  <c r="F104" i="113" s="1"/>
  <c r="T8" i="128"/>
  <c r="D121" i="116"/>
  <c r="F121" i="116" s="1"/>
  <c r="D121" i="137"/>
  <c r="F121" i="137" s="1"/>
  <c r="D121" i="113"/>
  <c r="F121" i="113" s="1"/>
  <c r="D121" i="135"/>
  <c r="F121" i="135" s="1"/>
  <c r="D121" i="140"/>
  <c r="F121" i="140" s="1"/>
  <c r="D121" i="134"/>
  <c r="F121" i="134" s="1"/>
  <c r="D121" i="97"/>
  <c r="F121" i="97" s="1"/>
  <c r="D121" i="99"/>
  <c r="F121" i="99" s="1"/>
  <c r="D121" i="119"/>
  <c r="F121" i="119" s="1"/>
  <c r="D121" i="138"/>
  <c r="F121" i="138" s="1"/>
  <c r="D121" i="86"/>
  <c r="F121" i="86" s="1"/>
  <c r="D121" i="124"/>
  <c r="F121" i="124" s="1"/>
  <c r="D121" i="118"/>
  <c r="F121" i="118" s="1"/>
  <c r="D121" i="139"/>
  <c r="F121" i="139" s="1"/>
  <c r="D121" i="120"/>
  <c r="F121" i="120" s="1"/>
  <c r="D121" i="95"/>
  <c r="F121" i="95" s="1"/>
  <c r="D121" i="117"/>
  <c r="F121" i="117" s="1"/>
  <c r="D121" i="136"/>
  <c r="F121" i="136" s="1"/>
  <c r="D121" i="123"/>
  <c r="F121" i="123" s="1"/>
  <c r="D121" i="91"/>
  <c r="F121" i="91" s="1"/>
  <c r="D121" i="96"/>
  <c r="F121" i="96" s="1"/>
  <c r="D121" i="133"/>
  <c r="F121" i="133" s="1"/>
  <c r="D121" i="98"/>
  <c r="F121" i="98" s="1"/>
  <c r="D121" i="132"/>
  <c r="F121" i="132" s="1"/>
  <c r="D74" i="124"/>
  <c r="F74" i="124" s="1"/>
  <c r="D74" i="120"/>
  <c r="F74" i="120" s="1"/>
  <c r="D74" i="136"/>
  <c r="F74" i="136" s="1"/>
  <c r="D74" i="96"/>
  <c r="F74" i="96" s="1"/>
  <c r="D74" i="117"/>
  <c r="F74" i="117" s="1"/>
  <c r="D74" i="140"/>
  <c r="F74" i="140" s="1"/>
  <c r="D74" i="134"/>
  <c r="F74" i="134" s="1"/>
  <c r="D74" i="116"/>
  <c r="F74" i="116" s="1"/>
  <c r="D74" i="113"/>
  <c r="F74" i="113" s="1"/>
  <c r="D74" i="132"/>
  <c r="F74" i="132" s="1"/>
  <c r="D74" i="118"/>
  <c r="F74" i="118" s="1"/>
  <c r="D74" i="91"/>
  <c r="F74" i="91" s="1"/>
  <c r="D74" i="97"/>
  <c r="F74" i="97" s="1"/>
  <c r="D74" i="98"/>
  <c r="F74" i="98" s="1"/>
  <c r="D74" i="135"/>
  <c r="F74" i="135" s="1"/>
  <c r="D74" i="99"/>
  <c r="F74" i="99" s="1"/>
  <c r="D74" i="138"/>
  <c r="F74" i="138" s="1"/>
  <c r="D74" i="119"/>
  <c r="F74" i="119" s="1"/>
  <c r="D74" i="86"/>
  <c r="F74" i="86" s="1"/>
  <c r="D74" i="137"/>
  <c r="F74" i="137" s="1"/>
  <c r="D74" i="95"/>
  <c r="F74" i="95" s="1"/>
  <c r="D74" i="139"/>
  <c r="F74" i="139" s="1"/>
  <c r="D74" i="123"/>
  <c r="F74" i="123" s="1"/>
  <c r="D74" i="133"/>
  <c r="F74" i="133" s="1"/>
  <c r="EZ6" i="94"/>
  <c r="EZ26" i="94"/>
  <c r="EZ16" i="94"/>
  <c r="J117" i="116"/>
  <c r="J117" i="136"/>
  <c r="FX27" i="94" s="1"/>
  <c r="J117" i="117"/>
  <c r="GB8" i="94" s="1"/>
  <c r="FW26" i="94"/>
  <c r="FW16" i="94"/>
  <c r="L116" i="133"/>
  <c r="J117" i="97"/>
  <c r="J117" i="132"/>
  <c r="FU24" i="94" s="1"/>
  <c r="J117" i="98"/>
  <c r="J117" i="135"/>
  <c r="J117" i="118"/>
  <c r="J117" i="96"/>
  <c r="FO26" i="94" s="1"/>
  <c r="J117" i="137"/>
  <c r="L117" i="133"/>
  <c r="J117" i="91"/>
  <c r="L117" i="86"/>
  <c r="J117" i="138"/>
  <c r="T15" i="128"/>
  <c r="J117" i="134"/>
  <c r="J117" i="139"/>
  <c r="J117" i="120"/>
  <c r="FT25" i="94" s="1"/>
  <c r="L117" i="134"/>
  <c r="EY26" i="94"/>
  <c r="EY16" i="94"/>
  <c r="U18" i="128"/>
  <c r="U15" i="128"/>
  <c r="J117" i="86"/>
  <c r="FV25" i="94" s="1"/>
  <c r="J117" i="124"/>
  <c r="J117" i="95"/>
  <c r="FN15" i="94" s="1"/>
  <c r="J117" i="119"/>
  <c r="FS24" i="94" s="1"/>
  <c r="J117" i="113"/>
  <c r="U59" i="128"/>
  <c r="U58" i="128"/>
  <c r="T59" i="128"/>
  <c r="I122" i="140" l="1"/>
  <c r="I122" i="132"/>
  <c r="I122" i="135"/>
  <c r="GA7" i="94"/>
  <c r="GA5" i="94"/>
  <c r="I122" i="86"/>
  <c r="I122" i="138"/>
  <c r="I122" i="139"/>
  <c r="I122" i="95"/>
  <c r="I122" i="134"/>
  <c r="I122" i="117"/>
  <c r="I122" i="136"/>
  <c r="I122" i="118"/>
  <c r="I122" i="123"/>
  <c r="I122" i="124"/>
  <c r="I122" i="98"/>
  <c r="I122" i="96"/>
  <c r="I122" i="119"/>
  <c r="I122" i="120"/>
  <c r="I122" i="99"/>
  <c r="I122" i="113"/>
  <c r="I122" i="116"/>
  <c r="I122" i="91"/>
  <c r="I122" i="137"/>
  <c r="I122" i="97"/>
  <c r="FZ6" i="94"/>
  <c r="FZ7" i="94"/>
  <c r="GC14" i="94"/>
  <c r="GC6" i="94"/>
  <c r="I127" i="97"/>
  <c r="I127" i="96"/>
  <c r="I127" i="119"/>
  <c r="I127" i="134"/>
  <c r="I127" i="117"/>
  <c r="I127" i="139"/>
  <c r="I127" i="118"/>
  <c r="I127" i="137"/>
  <c r="I127" i="98"/>
  <c r="I127" i="132"/>
  <c r="I127" i="140"/>
  <c r="I127" i="113"/>
  <c r="I127" i="124"/>
  <c r="I127" i="120"/>
  <c r="I127" i="86"/>
  <c r="I127" i="136"/>
  <c r="I127" i="135"/>
  <c r="I127" i="95"/>
  <c r="I127" i="116"/>
  <c r="I127" i="123"/>
  <c r="I127" i="91"/>
  <c r="I127" i="99"/>
  <c r="I127" i="138"/>
  <c r="GE16" i="94"/>
  <c r="GE7" i="94"/>
  <c r="GD15" i="94"/>
  <c r="GD6" i="94"/>
  <c r="FY8" i="94"/>
  <c r="FY5" i="94"/>
  <c r="D104" i="138"/>
  <c r="F104" i="138" s="1"/>
  <c r="D104" i="86"/>
  <c r="F104" i="86" s="1"/>
  <c r="D104" i="133"/>
  <c r="F104" i="133" s="1"/>
  <c r="D104" i="99"/>
  <c r="F104" i="99" s="1"/>
  <c r="D122" i="97"/>
  <c r="F122" i="97" s="1"/>
  <c r="D122" i="132"/>
  <c r="F122" i="132" s="1"/>
  <c r="D122" i="136"/>
  <c r="F122" i="136" s="1"/>
  <c r="D122" i="99"/>
  <c r="F122" i="99" s="1"/>
  <c r="D122" i="117"/>
  <c r="F122" i="117" s="1"/>
  <c r="D122" i="139"/>
  <c r="F122" i="139" s="1"/>
  <c r="D104" i="132"/>
  <c r="F104" i="132" s="1"/>
  <c r="D104" i="120"/>
  <c r="F104" i="120" s="1"/>
  <c r="D122" i="91"/>
  <c r="F122" i="91" s="1"/>
  <c r="D104" i="116"/>
  <c r="F104" i="116" s="1"/>
  <c r="D122" i="133"/>
  <c r="F122" i="133" s="1"/>
  <c r="D104" i="96"/>
  <c r="F104" i="96" s="1"/>
  <c r="D104" i="117"/>
  <c r="F104" i="117" s="1"/>
  <c r="H122" i="98"/>
  <c r="H122" i="97"/>
  <c r="H122" i="119"/>
  <c r="H122" i="123"/>
  <c r="H122" i="134"/>
  <c r="H122" i="133"/>
  <c r="I105" i="120"/>
  <c r="I105" i="118"/>
  <c r="I105" i="136"/>
  <c r="I105" i="139"/>
  <c r="I105" i="117"/>
  <c r="I105" i="137"/>
  <c r="I105" i="96"/>
  <c r="I105" i="98"/>
  <c r="I105" i="119"/>
  <c r="I105" i="113"/>
  <c r="I105" i="99"/>
  <c r="I105" i="97"/>
  <c r="I105" i="123"/>
  <c r="I105" i="138"/>
  <c r="I105" i="140"/>
  <c r="I105" i="91"/>
  <c r="I105" i="133"/>
  <c r="I105" i="95"/>
  <c r="I105" i="116"/>
  <c r="I105" i="132"/>
  <c r="I105" i="124"/>
  <c r="I105" i="135"/>
  <c r="I105" i="134"/>
  <c r="I105" i="86"/>
  <c r="H122" i="120"/>
  <c r="H122" i="86"/>
  <c r="I106" i="119"/>
  <c r="I106" i="113"/>
  <c r="I106" i="99"/>
  <c r="I106" i="97"/>
  <c r="I106" i="123"/>
  <c r="I106" i="138"/>
  <c r="I106" i="140"/>
  <c r="I106" i="91"/>
  <c r="I106" i="120"/>
  <c r="I106" i="118"/>
  <c r="I106" i="136"/>
  <c r="I106" i="139"/>
  <c r="I106" i="117"/>
  <c r="I106" i="137"/>
  <c r="I106" i="96"/>
  <c r="I106" i="98"/>
  <c r="I106" i="95"/>
  <c r="I106" i="116"/>
  <c r="I106" i="132"/>
  <c r="I106" i="133"/>
  <c r="I106" i="124"/>
  <c r="I106" i="135"/>
  <c r="I106" i="134"/>
  <c r="I106" i="86"/>
  <c r="D104" i="98"/>
  <c r="F104" i="98" s="1"/>
  <c r="D104" i="136"/>
  <c r="F104" i="136" s="1"/>
  <c r="D104" i="118"/>
  <c r="F104" i="118" s="1"/>
  <c r="D104" i="97"/>
  <c r="F104" i="97" s="1"/>
  <c r="D122" i="95"/>
  <c r="F122" i="95" s="1"/>
  <c r="D122" i="86"/>
  <c r="F122" i="86" s="1"/>
  <c r="H122" i="139"/>
  <c r="H122" i="99"/>
  <c r="H122" i="132"/>
  <c r="H77" i="119"/>
  <c r="H77" i="113"/>
  <c r="H77" i="99"/>
  <c r="H77" i="97"/>
  <c r="H77" i="123"/>
  <c r="H77" i="138"/>
  <c r="H77" i="140"/>
  <c r="H77" i="120"/>
  <c r="H77" i="118"/>
  <c r="H77" i="136"/>
  <c r="H77" i="139"/>
  <c r="H77" i="117"/>
  <c r="H77" i="137"/>
  <c r="H77" i="91"/>
  <c r="H77" i="95"/>
  <c r="H77" i="116"/>
  <c r="H77" i="132"/>
  <c r="H77" i="96"/>
  <c r="H77" i="98"/>
  <c r="H77" i="124"/>
  <c r="H77" i="135"/>
  <c r="H77" i="134"/>
  <c r="H77" i="86"/>
  <c r="D104" i="137"/>
  <c r="F104" i="137" s="1"/>
  <c r="D104" i="123"/>
  <c r="F104" i="123" s="1"/>
  <c r="D104" i="91"/>
  <c r="F104" i="91" s="1"/>
  <c r="D122" i="116"/>
  <c r="F122" i="116" s="1"/>
  <c r="D122" i="135"/>
  <c r="F122" i="135" s="1"/>
  <c r="D122" i="113"/>
  <c r="F122" i="113" s="1"/>
  <c r="H122" i="124"/>
  <c r="H122" i="96"/>
  <c r="D104" i="124"/>
  <c r="F104" i="124" s="1"/>
  <c r="D104" i="140"/>
  <c r="F104" i="140" s="1"/>
  <c r="D104" i="135"/>
  <c r="F104" i="135" s="1"/>
  <c r="D104" i="95"/>
  <c r="F104" i="95" s="1"/>
  <c r="D122" i="138"/>
  <c r="F122" i="138" s="1"/>
  <c r="D122" i="96"/>
  <c r="F122" i="96" s="1"/>
  <c r="D122" i="98"/>
  <c r="F122" i="98" s="1"/>
  <c r="H122" i="136"/>
  <c r="H122" i="138"/>
  <c r="D104" i="134"/>
  <c r="F104" i="134" s="1"/>
  <c r="D104" i="139"/>
  <c r="F104" i="139" s="1"/>
  <c r="D104" i="119"/>
  <c r="F104" i="119" s="1"/>
  <c r="D122" i="118"/>
  <c r="F122" i="118" s="1"/>
  <c r="D122" i="137"/>
  <c r="F122" i="137" s="1"/>
  <c r="H122" i="117"/>
  <c r="H122" i="118"/>
  <c r="I107" i="116"/>
  <c r="I107" i="86"/>
  <c r="I107" i="120"/>
  <c r="I107" i="119"/>
  <c r="I107" i="118"/>
  <c r="I107" i="113"/>
  <c r="I107" i="136"/>
  <c r="I107" i="99"/>
  <c r="I107" i="139"/>
  <c r="I107" i="97"/>
  <c r="I107" i="117"/>
  <c r="I107" i="123"/>
  <c r="I107" i="137"/>
  <c r="I107" i="138"/>
  <c r="I107" i="96"/>
  <c r="I107" i="140"/>
  <c r="I107" i="98"/>
  <c r="I107" i="91"/>
  <c r="I107" i="124"/>
  <c r="I107" i="95"/>
  <c r="I107" i="135"/>
  <c r="I107" i="134"/>
  <c r="I107" i="132"/>
  <c r="I77" i="133"/>
  <c r="I77" i="120"/>
  <c r="I77" i="119"/>
  <c r="I77" i="118"/>
  <c r="I77" i="113"/>
  <c r="I77" i="136"/>
  <c r="I77" i="99"/>
  <c r="I77" i="139"/>
  <c r="I77" i="97"/>
  <c r="I77" i="117"/>
  <c r="I77" i="123"/>
  <c r="I77" i="137"/>
  <c r="I77" i="138"/>
  <c r="I77" i="96"/>
  <c r="I77" i="140"/>
  <c r="I77" i="98"/>
  <c r="I77" i="91"/>
  <c r="I77" i="124"/>
  <c r="I77" i="95"/>
  <c r="I77" i="135"/>
  <c r="I77" i="116"/>
  <c r="I77" i="134"/>
  <c r="I77" i="132"/>
  <c r="I77" i="86"/>
  <c r="I104" i="120"/>
  <c r="I104" i="119"/>
  <c r="I104" i="118"/>
  <c r="I104" i="113"/>
  <c r="I104" i="136"/>
  <c r="I104" i="99"/>
  <c r="I104" i="139"/>
  <c r="I104" i="97"/>
  <c r="I104" i="117"/>
  <c r="I104" i="123"/>
  <c r="I104" i="137"/>
  <c r="I104" i="138"/>
  <c r="I104" i="96"/>
  <c r="I104" i="140"/>
  <c r="I104" i="98"/>
  <c r="I104" i="91"/>
  <c r="I104" i="124"/>
  <c r="I104" i="95"/>
  <c r="I104" i="135"/>
  <c r="I104" i="116"/>
  <c r="I104" i="134"/>
  <c r="I104" i="132"/>
  <c r="I104" i="86"/>
  <c r="H104" i="118"/>
  <c r="H104" i="136"/>
  <c r="H104" i="117"/>
  <c r="H104" i="137"/>
  <c r="H104" i="96"/>
  <c r="H104" i="135"/>
  <c r="H104" i="86"/>
  <c r="H104" i="120"/>
  <c r="H104" i="139"/>
  <c r="H104" i="98"/>
  <c r="H104" i="124"/>
  <c r="H104" i="134"/>
  <c r="H104" i="119"/>
  <c r="H104" i="113"/>
  <c r="H104" i="97"/>
  <c r="H104" i="123"/>
  <c r="H104" i="138"/>
  <c r="H104" i="140"/>
  <c r="H104" i="116"/>
  <c r="H104" i="99"/>
  <c r="H104" i="91"/>
  <c r="H104" i="95"/>
  <c r="H104" i="132"/>
  <c r="H107" i="96"/>
  <c r="H107" i="98"/>
  <c r="H107" i="124"/>
  <c r="H107" i="86"/>
  <c r="H107" i="120"/>
  <c r="H107" i="118"/>
  <c r="H107" i="136"/>
  <c r="H107" i="139"/>
  <c r="H107" i="117"/>
  <c r="H107" i="137"/>
  <c r="H107" i="135"/>
  <c r="H107" i="134"/>
  <c r="H107" i="119"/>
  <c r="H107" i="123"/>
  <c r="H107" i="138"/>
  <c r="H107" i="140"/>
  <c r="H107" i="91"/>
  <c r="H107" i="95"/>
  <c r="H107" i="116"/>
  <c r="H107" i="132"/>
  <c r="H107" i="113"/>
  <c r="H107" i="99"/>
  <c r="H107" i="97"/>
  <c r="I104" i="133"/>
  <c r="D122" i="134"/>
  <c r="F122" i="134" s="1"/>
  <c r="D122" i="119"/>
  <c r="F122" i="119" s="1"/>
  <c r="D122" i="124"/>
  <c r="F122" i="124" s="1"/>
  <c r="D122" i="140"/>
  <c r="F122" i="140" s="1"/>
  <c r="D122" i="123"/>
  <c r="F122" i="123" s="1"/>
  <c r="H122" i="95"/>
  <c r="H122" i="116"/>
  <c r="H122" i="140"/>
  <c r="H122" i="135"/>
  <c r="H122" i="113"/>
  <c r="H122" i="91"/>
  <c r="D77" i="116"/>
  <c r="F77" i="116" s="1"/>
  <c r="D77" i="134"/>
  <c r="F77" i="134" s="1"/>
  <c r="D77" i="91"/>
  <c r="F77" i="91" s="1"/>
  <c r="D77" i="96"/>
  <c r="F77" i="96" s="1"/>
  <c r="D77" i="124"/>
  <c r="F77" i="124" s="1"/>
  <c r="D77" i="86"/>
  <c r="F77" i="86" s="1"/>
  <c r="D77" i="136"/>
  <c r="F77" i="136" s="1"/>
  <c r="D77" i="140"/>
  <c r="F77" i="140" s="1"/>
  <c r="D77" i="118"/>
  <c r="F77" i="118" s="1"/>
  <c r="D77" i="139"/>
  <c r="F77" i="139" s="1"/>
  <c r="D77" i="135"/>
  <c r="F77" i="135" s="1"/>
  <c r="D77" i="95"/>
  <c r="F77" i="95" s="1"/>
  <c r="D77" i="138"/>
  <c r="F77" i="138" s="1"/>
  <c r="D77" i="97"/>
  <c r="F77" i="97" s="1"/>
  <c r="D77" i="132"/>
  <c r="F77" i="132" s="1"/>
  <c r="D77" i="120"/>
  <c r="F77" i="120" s="1"/>
  <c r="D77" i="113"/>
  <c r="F77" i="113" s="1"/>
  <c r="D77" i="123"/>
  <c r="F77" i="123" s="1"/>
  <c r="D77" i="99"/>
  <c r="F77" i="99" s="1"/>
  <c r="D77" i="119"/>
  <c r="F77" i="119" s="1"/>
  <c r="D77" i="117"/>
  <c r="F77" i="117" s="1"/>
  <c r="D77" i="98"/>
  <c r="F77" i="98" s="1"/>
  <c r="D77" i="137"/>
  <c r="F77" i="137" s="1"/>
  <c r="D77" i="133"/>
  <c r="F77" i="133" s="1"/>
  <c r="P7" i="94"/>
  <c r="L116" i="86"/>
  <c r="FX6" i="94"/>
  <c r="FX26" i="94"/>
  <c r="FX16" i="94"/>
  <c r="L116" i="134"/>
  <c r="H131" i="95"/>
  <c r="H131" i="96"/>
  <c r="H131" i="98"/>
  <c r="H131" i="132"/>
  <c r="H131" i="138"/>
  <c r="H131" i="86"/>
  <c r="H131" i="124"/>
  <c r="H131" i="123"/>
  <c r="H131" i="113"/>
  <c r="H131" i="137"/>
  <c r="H131" i="140"/>
  <c r="H131" i="136"/>
  <c r="H131" i="91"/>
  <c r="H131" i="117"/>
  <c r="H131" i="118"/>
  <c r="H131" i="139"/>
  <c r="H131" i="116"/>
  <c r="H131" i="99"/>
  <c r="H131" i="97"/>
  <c r="H131" i="119"/>
  <c r="H131" i="133"/>
  <c r="H131" i="120"/>
  <c r="H131" i="135"/>
  <c r="H131" i="134"/>
  <c r="H107" i="133"/>
  <c r="H104" i="133"/>
  <c r="H132" i="95"/>
  <c r="H132" i="96"/>
  <c r="H132" i="98"/>
  <c r="H132" i="132"/>
  <c r="H132" i="138"/>
  <c r="H132" i="124"/>
  <c r="H132" i="123"/>
  <c r="H132" i="113"/>
  <c r="H132" i="137"/>
  <c r="H132" i="140"/>
  <c r="H132" i="136"/>
  <c r="H132" i="86"/>
  <c r="H132" i="91"/>
  <c r="H132" i="117"/>
  <c r="H132" i="118"/>
  <c r="H132" i="139"/>
  <c r="H132" i="116"/>
  <c r="H132" i="99"/>
  <c r="H132" i="97"/>
  <c r="H132" i="119"/>
  <c r="H132" i="133"/>
  <c r="H132" i="120"/>
  <c r="H132" i="135"/>
  <c r="H132" i="134"/>
  <c r="P33" i="94"/>
  <c r="F10" i="145" s="1"/>
  <c r="D132" i="98"/>
  <c r="F132" i="98" s="1"/>
  <c r="D132" i="95"/>
  <c r="F132" i="95" s="1"/>
  <c r="D132" i="91"/>
  <c r="F132" i="91" s="1"/>
  <c r="D132" i="116"/>
  <c r="F132" i="116" s="1"/>
  <c r="D132" i="96"/>
  <c r="F132" i="96" s="1"/>
  <c r="D132" i="86"/>
  <c r="F132" i="86" s="1"/>
  <c r="D132" i="124"/>
  <c r="F132" i="124" s="1"/>
  <c r="D132" i="99"/>
  <c r="F132" i="99" s="1"/>
  <c r="D132" i="113"/>
  <c r="F132" i="113" s="1"/>
  <c r="D132" i="119"/>
  <c r="F132" i="119" s="1"/>
  <c r="D132" i="97"/>
  <c r="F132" i="97" s="1"/>
  <c r="D132" i="118"/>
  <c r="F132" i="118" s="1"/>
  <c r="D132" i="117"/>
  <c r="F132" i="117" s="1"/>
  <c r="D132" i="123"/>
  <c r="F132" i="123" s="1"/>
  <c r="D132" i="120"/>
  <c r="F132" i="120" s="1"/>
  <c r="D132" i="135"/>
  <c r="F132" i="135" s="1"/>
  <c r="D132" i="134"/>
  <c r="F132" i="134" s="1"/>
  <c r="D132" i="137"/>
  <c r="F132" i="137" s="1"/>
  <c r="D132" i="133"/>
  <c r="F132" i="133" s="1"/>
  <c r="D132" i="138"/>
  <c r="F132" i="138" s="1"/>
  <c r="D132" i="132"/>
  <c r="F132" i="132" s="1"/>
  <c r="D132" i="136"/>
  <c r="F132" i="136" s="1"/>
  <c r="D132" i="139"/>
  <c r="F132" i="139" s="1"/>
  <c r="D132" i="140"/>
  <c r="F132" i="140" s="1"/>
  <c r="D131" i="95"/>
  <c r="F131" i="95" s="1"/>
  <c r="D131" i="86"/>
  <c r="F131" i="86" s="1"/>
  <c r="D131" i="116"/>
  <c r="F131" i="116" s="1"/>
  <c r="D131" i="124"/>
  <c r="F131" i="124" s="1"/>
  <c r="D131" i="98"/>
  <c r="F131" i="98" s="1"/>
  <c r="D131" i="97"/>
  <c r="F131" i="97" s="1"/>
  <c r="D131" i="118"/>
  <c r="F131" i="118" s="1"/>
  <c r="D131" i="117"/>
  <c r="F131" i="117" s="1"/>
  <c r="D131" i="123"/>
  <c r="F131" i="123" s="1"/>
  <c r="D131" i="91"/>
  <c r="F131" i="91" s="1"/>
  <c r="D131" i="99"/>
  <c r="F131" i="99" s="1"/>
  <c r="D131" i="113"/>
  <c r="F131" i="113" s="1"/>
  <c r="D131" i="120"/>
  <c r="F131" i="120" s="1"/>
  <c r="D131" i="96"/>
  <c r="F131" i="96" s="1"/>
  <c r="D131" i="135"/>
  <c r="F131" i="135" s="1"/>
  <c r="D131" i="119"/>
  <c r="F131" i="119" s="1"/>
  <c r="D131" i="136"/>
  <c r="F131" i="136" s="1"/>
  <c r="D131" i="134"/>
  <c r="F131" i="134" s="1"/>
  <c r="D131" i="137"/>
  <c r="F131" i="137" s="1"/>
  <c r="D131" i="133"/>
  <c r="F131" i="133" s="1"/>
  <c r="D131" i="138"/>
  <c r="F131" i="138" s="1"/>
  <c r="D131" i="132"/>
  <c r="F131" i="132" s="1"/>
  <c r="D131" i="139"/>
  <c r="F131" i="139" s="1"/>
  <c r="D131" i="140"/>
  <c r="F131" i="140" s="1"/>
  <c r="L116" i="132"/>
  <c r="P20" i="94"/>
  <c r="D10" i="145" s="1"/>
  <c r="D107" i="123"/>
  <c r="F107" i="123" s="1"/>
  <c r="D107" i="86"/>
  <c r="F107" i="86" s="1"/>
  <c r="D107" i="91"/>
  <c r="F107" i="91" s="1"/>
  <c r="GW8" i="94" s="1"/>
  <c r="D107" i="116"/>
  <c r="F107" i="116" s="1"/>
  <c r="D107" i="96"/>
  <c r="F107" i="96" s="1"/>
  <c r="D107" i="119"/>
  <c r="F107" i="119" s="1"/>
  <c r="D107" i="124"/>
  <c r="F107" i="124" s="1"/>
  <c r="D107" i="95"/>
  <c r="F107" i="95" s="1"/>
  <c r="D107" i="113"/>
  <c r="F107" i="113" s="1"/>
  <c r="D107" i="99"/>
  <c r="F107" i="99" s="1"/>
  <c r="D107" i="118"/>
  <c r="F107" i="118" s="1"/>
  <c r="D107" i="98"/>
  <c r="F107" i="98" s="1"/>
  <c r="D107" i="120"/>
  <c r="F107" i="120" s="1"/>
  <c r="D107" i="97"/>
  <c r="F107" i="97" s="1"/>
  <c r="D107" i="132"/>
  <c r="F107" i="132" s="1"/>
  <c r="D107" i="135"/>
  <c r="F107" i="135" s="1"/>
  <c r="D107" i="137"/>
  <c r="F107" i="137" s="1"/>
  <c r="D107" i="136"/>
  <c r="F107" i="136" s="1"/>
  <c r="D107" i="134"/>
  <c r="F107" i="134" s="1"/>
  <c r="D107" i="117"/>
  <c r="F107" i="117" s="1"/>
  <c r="D107" i="138"/>
  <c r="F107" i="138" s="1"/>
  <c r="D107" i="140"/>
  <c r="F107" i="140" s="1"/>
  <c r="D107" i="133"/>
  <c r="F107" i="133" s="1"/>
  <c r="D107" i="139"/>
  <c r="F107" i="139" s="1"/>
  <c r="I107" i="133"/>
  <c r="I131" i="95"/>
  <c r="I131" i="135"/>
  <c r="I131" i="117"/>
  <c r="I131" i="96"/>
  <c r="I131" i="99"/>
  <c r="I131" i="120"/>
  <c r="I131" i="140"/>
  <c r="I131" i="134"/>
  <c r="I131" i="138"/>
  <c r="I131" i="91"/>
  <c r="I131" i="113"/>
  <c r="I131" i="86"/>
  <c r="I131" i="98"/>
  <c r="I131" i="136"/>
  <c r="I131" i="119"/>
  <c r="I131" i="123"/>
  <c r="I131" i="97"/>
  <c r="I131" i="124"/>
  <c r="I131" i="139"/>
  <c r="I131" i="137"/>
  <c r="I131" i="132"/>
  <c r="I131" i="116"/>
  <c r="I131" i="133"/>
  <c r="I131" i="118"/>
  <c r="I132" i="97"/>
  <c r="I132" i="124"/>
  <c r="I132" i="140"/>
  <c r="I132" i="118"/>
  <c r="I132" i="116"/>
  <c r="I132" i="134"/>
  <c r="I132" i="120"/>
  <c r="I132" i="123"/>
  <c r="I132" i="119"/>
  <c r="I132" i="113"/>
  <c r="I132" i="135"/>
  <c r="I132" i="137"/>
  <c r="I132" i="95"/>
  <c r="I132" i="132"/>
  <c r="I132" i="117"/>
  <c r="I132" i="96"/>
  <c r="I132" i="99"/>
  <c r="I132" i="136"/>
  <c r="I132" i="138"/>
  <c r="I132" i="91"/>
  <c r="I132" i="139"/>
  <c r="I132" i="86"/>
  <c r="I132" i="98"/>
  <c r="I132" i="133"/>
  <c r="Q7" i="94" l="1"/>
  <c r="C10" i="145"/>
  <c r="E10" i="145" s="1"/>
  <c r="J118" i="123"/>
  <c r="GN7" i="94" s="1"/>
  <c r="J118" i="113"/>
  <c r="J118" i="118"/>
  <c r="L118" i="132"/>
  <c r="L118" i="86"/>
  <c r="J118" i="99"/>
  <c r="J119" i="99" s="1"/>
  <c r="J118" i="91"/>
  <c r="J118" i="137"/>
  <c r="J118" i="136"/>
  <c r="J119" i="136" s="1"/>
  <c r="J118" i="119"/>
  <c r="J118" i="95"/>
  <c r="J118" i="96"/>
  <c r="L118" i="98"/>
  <c r="J118" i="135"/>
  <c r="J118" i="139"/>
  <c r="GX7" i="94" s="1"/>
  <c r="J118" i="134"/>
  <c r="J118" i="116"/>
  <c r="L118" i="97"/>
  <c r="GY17" i="94" s="1"/>
  <c r="J118" i="120"/>
  <c r="J118" i="140"/>
  <c r="HD6" i="94" s="1"/>
  <c r="L118" i="95"/>
  <c r="GL15" i="94" s="1"/>
  <c r="F116" i="99"/>
  <c r="J118" i="98"/>
  <c r="J118" i="97"/>
  <c r="GY5" i="94" s="1"/>
  <c r="J118" i="86"/>
  <c r="J119" i="86" s="1"/>
  <c r="J118" i="132"/>
  <c r="J119" i="132" s="1"/>
  <c r="J118" i="117"/>
  <c r="J118" i="138"/>
  <c r="J118" i="124"/>
  <c r="H135" i="118"/>
  <c r="H135" i="91"/>
  <c r="L118" i="113"/>
  <c r="HE17" i="94" s="1"/>
  <c r="L118" i="119"/>
  <c r="L118" i="123"/>
  <c r="L118" i="120"/>
  <c r="I114" i="91"/>
  <c r="M118" i="91"/>
  <c r="I116" i="91"/>
  <c r="I114" i="97"/>
  <c r="M118" i="97"/>
  <c r="I116" i="97"/>
  <c r="M118" i="133"/>
  <c r="GH23" i="94" s="1"/>
  <c r="I116" i="133"/>
  <c r="I114" i="86"/>
  <c r="M118" i="86"/>
  <c r="GT25" i="94" s="1"/>
  <c r="I116" i="86"/>
  <c r="I114" i="98"/>
  <c r="M118" i="98"/>
  <c r="I116" i="98"/>
  <c r="I116" i="139"/>
  <c r="I114" i="139"/>
  <c r="M118" i="139"/>
  <c r="M118" i="132"/>
  <c r="GS24" i="94" s="1"/>
  <c r="I116" i="132"/>
  <c r="I114" i="132"/>
  <c r="I114" i="140"/>
  <c r="M118" i="140"/>
  <c r="I116" i="140"/>
  <c r="M118" i="99"/>
  <c r="GU26" i="94" s="1"/>
  <c r="I116" i="99"/>
  <c r="I114" i="99"/>
  <c r="I114" i="134"/>
  <c r="M118" i="134"/>
  <c r="I116" i="134"/>
  <c r="M118" i="96"/>
  <c r="GM26" i="94" s="1"/>
  <c r="I116" i="96"/>
  <c r="I114" i="96"/>
  <c r="I114" i="136"/>
  <c r="M118" i="136"/>
  <c r="GV27" i="94" s="1"/>
  <c r="I116" i="136"/>
  <c r="I114" i="116"/>
  <c r="M118" i="116"/>
  <c r="I116" i="116"/>
  <c r="I114" i="138"/>
  <c r="M118" i="138"/>
  <c r="I116" i="138"/>
  <c r="I116" i="113"/>
  <c r="I114" i="113"/>
  <c r="M118" i="113"/>
  <c r="I114" i="135"/>
  <c r="M118" i="135"/>
  <c r="I116" i="135"/>
  <c r="I114" i="137"/>
  <c r="M118" i="137"/>
  <c r="I116" i="137"/>
  <c r="I114" i="118"/>
  <c r="M118" i="118"/>
  <c r="I116" i="118"/>
  <c r="I114" i="95"/>
  <c r="M118" i="95"/>
  <c r="I116" i="95"/>
  <c r="I114" i="123"/>
  <c r="M118" i="123"/>
  <c r="I116" i="123"/>
  <c r="M118" i="119"/>
  <c r="GQ24" i="94" s="1"/>
  <c r="I116" i="119"/>
  <c r="I114" i="119"/>
  <c r="I114" i="133"/>
  <c r="I116" i="124"/>
  <c r="I114" i="124"/>
  <c r="M118" i="124"/>
  <c r="M118" i="117"/>
  <c r="I114" i="117"/>
  <c r="I116" i="117"/>
  <c r="I114" i="120"/>
  <c r="M118" i="120"/>
  <c r="GR25" i="94" s="1"/>
  <c r="I116" i="120"/>
  <c r="L118" i="135"/>
  <c r="L118" i="91"/>
  <c r="L118" i="96"/>
  <c r="H135" i="98"/>
  <c r="L118" i="99"/>
  <c r="L118" i="134"/>
  <c r="L118" i="137"/>
  <c r="L118" i="116"/>
  <c r="HA14" i="94" s="1"/>
  <c r="L118" i="124"/>
  <c r="HB15" i="94" s="1"/>
  <c r="L118" i="117"/>
  <c r="L118" i="140"/>
  <c r="HD17" i="94" s="1"/>
  <c r="L118" i="136"/>
  <c r="L118" i="133"/>
  <c r="GH14" i="94" s="1"/>
  <c r="L118" i="138"/>
  <c r="HC16" i="94" s="1"/>
  <c r="L118" i="139"/>
  <c r="GX17" i="94" s="1"/>
  <c r="L118" i="118"/>
  <c r="H114" i="123"/>
  <c r="H116" i="123"/>
  <c r="H114" i="120"/>
  <c r="H116" i="120"/>
  <c r="H114" i="132"/>
  <c r="H116" i="132"/>
  <c r="H114" i="97"/>
  <c r="H116" i="97"/>
  <c r="H114" i="86"/>
  <c r="H116" i="86"/>
  <c r="H114" i="95"/>
  <c r="H116" i="95"/>
  <c r="H114" i="113"/>
  <c r="H116" i="113"/>
  <c r="H114" i="135"/>
  <c r="H116" i="135"/>
  <c r="H114" i="91"/>
  <c r="H116" i="91"/>
  <c r="H114" i="96"/>
  <c r="H116" i="96"/>
  <c r="H116" i="99"/>
  <c r="H114" i="99"/>
  <c r="H114" i="134"/>
  <c r="H116" i="134"/>
  <c r="H116" i="137"/>
  <c r="H114" i="137"/>
  <c r="H114" i="124"/>
  <c r="H116" i="124"/>
  <c r="H114" i="117"/>
  <c r="H116" i="117"/>
  <c r="H116" i="119"/>
  <c r="H114" i="119"/>
  <c r="H114" i="116"/>
  <c r="H116" i="116"/>
  <c r="H114" i="140"/>
  <c r="H116" i="140"/>
  <c r="H114" i="98"/>
  <c r="H116" i="98"/>
  <c r="H114" i="136"/>
  <c r="H116" i="136"/>
  <c r="H135" i="134"/>
  <c r="H116" i="133"/>
  <c r="H116" i="138"/>
  <c r="H114" i="138"/>
  <c r="H114" i="139"/>
  <c r="H116" i="139"/>
  <c r="H116" i="118"/>
  <c r="H114" i="118"/>
  <c r="H135" i="116"/>
  <c r="EG14" i="94" s="1"/>
  <c r="H135" i="95"/>
  <c r="DR15" i="94" s="1"/>
  <c r="F116" i="95"/>
  <c r="H135" i="135"/>
  <c r="F116" i="117"/>
  <c r="F116" i="86"/>
  <c r="F116" i="136"/>
  <c r="F116" i="132"/>
  <c r="F116" i="120"/>
  <c r="F116" i="133"/>
  <c r="H135" i="120"/>
  <c r="F135" i="140"/>
  <c r="H135" i="96"/>
  <c r="P21" i="94"/>
  <c r="H114" i="133"/>
  <c r="F135" i="133"/>
  <c r="DN5" i="94" s="1"/>
  <c r="H135" i="123"/>
  <c r="H135" i="124"/>
  <c r="EH15" i="94" s="1"/>
  <c r="F135" i="124"/>
  <c r="EH6" i="94" s="1"/>
  <c r="I135" i="133"/>
  <c r="DN23" i="94" s="1"/>
  <c r="I135" i="119"/>
  <c r="DW24" i="94" s="1"/>
  <c r="I135" i="140"/>
  <c r="F116" i="98"/>
  <c r="I135" i="136"/>
  <c r="I135" i="120"/>
  <c r="DX25" i="94" s="1"/>
  <c r="F135" i="86"/>
  <c r="H135" i="138"/>
  <c r="EI16" i="94" s="1"/>
  <c r="F135" i="136"/>
  <c r="EB6" i="94" s="1"/>
  <c r="H135" i="86"/>
  <c r="F135" i="123"/>
  <c r="DT7" i="94" s="1"/>
  <c r="Q33" i="94"/>
  <c r="I135" i="118"/>
  <c r="F135" i="113"/>
  <c r="H135" i="139"/>
  <c r="ED17" i="94" s="1"/>
  <c r="I135" i="97"/>
  <c r="I135" i="123"/>
  <c r="I135" i="134"/>
  <c r="F135" i="137"/>
  <c r="F135" i="134"/>
  <c r="H135" i="117"/>
  <c r="H135" i="133"/>
  <c r="DN14" i="94" s="1"/>
  <c r="I135" i="98"/>
  <c r="H135" i="119"/>
  <c r="H135" i="136"/>
  <c r="EB16" i="94" s="1"/>
  <c r="H135" i="132"/>
  <c r="I135" i="132"/>
  <c r="DY24" i="94" s="1"/>
  <c r="I135" i="99"/>
  <c r="EA26" i="94" s="1"/>
  <c r="I135" i="96"/>
  <c r="DS26" i="94" s="1"/>
  <c r="H135" i="97"/>
  <c r="EE17" i="94" s="1"/>
  <c r="H135" i="140"/>
  <c r="EJ17" i="94" s="1"/>
  <c r="I135" i="117"/>
  <c r="H135" i="99"/>
  <c r="EA16" i="94" s="1"/>
  <c r="H135" i="137"/>
  <c r="H135" i="113"/>
  <c r="EK17" i="94" s="1"/>
  <c r="F135" i="98"/>
  <c r="F135" i="116"/>
  <c r="EG6" i="94" s="1"/>
  <c r="F135" i="91"/>
  <c r="EC5" i="94" s="1"/>
  <c r="F135" i="99"/>
  <c r="EA6" i="94" s="1"/>
  <c r="F116" i="116"/>
  <c r="F116" i="134"/>
  <c r="GU6" i="94"/>
  <c r="F116" i="119"/>
  <c r="F116" i="137"/>
  <c r="F135" i="117"/>
  <c r="EF8" i="94" s="1"/>
  <c r="F116" i="123"/>
  <c r="F135" i="118"/>
  <c r="F135" i="97"/>
  <c r="P8" i="94"/>
  <c r="F135" i="138"/>
  <c r="F135" i="120"/>
  <c r="F116" i="97"/>
  <c r="J118" i="133"/>
  <c r="GH5" i="94" s="1"/>
  <c r="Q20" i="94"/>
  <c r="F116" i="135"/>
  <c r="P34" i="94"/>
  <c r="F11" i="145" s="1"/>
  <c r="F116" i="118"/>
  <c r="F116" i="96"/>
  <c r="F135" i="95"/>
  <c r="F116" i="124"/>
  <c r="F116" i="138"/>
  <c r="F116" i="113"/>
  <c r="F116" i="139"/>
  <c r="F116" i="140"/>
  <c r="F116" i="91"/>
  <c r="F135" i="139"/>
  <c r="F135" i="135"/>
  <c r="F135" i="119"/>
  <c r="F135" i="132"/>
  <c r="F135" i="96"/>
  <c r="I135" i="116"/>
  <c r="I135" i="86"/>
  <c r="DZ25" i="94" s="1"/>
  <c r="I135" i="137"/>
  <c r="I135" i="139"/>
  <c r="I135" i="113"/>
  <c r="I135" i="124"/>
  <c r="I135" i="91"/>
  <c r="I135" i="135"/>
  <c r="I135" i="138"/>
  <c r="R17" i="130" s="1"/>
  <c r="I135" i="95"/>
  <c r="DT16" i="94" l="1"/>
  <c r="DT17" i="94"/>
  <c r="GN16" i="94"/>
  <c r="GN17" i="94"/>
  <c r="Q21" i="94"/>
  <c r="D11" i="145"/>
  <c r="Q8" i="94"/>
  <c r="C11" i="145"/>
  <c r="G11" i="145" s="1"/>
  <c r="G10" i="145"/>
  <c r="F117" i="133"/>
  <c r="F118" i="133" s="1"/>
  <c r="F137" i="133" s="1"/>
  <c r="F138" i="133" s="1"/>
  <c r="F117" i="120"/>
  <c r="F118" i="120" s="1"/>
  <c r="F137" i="120" s="1"/>
  <c r="F138" i="120" s="1"/>
  <c r="F117" i="95"/>
  <c r="F118" i="95" s="1"/>
  <c r="F137" i="95" s="1"/>
  <c r="F138" i="95" s="1"/>
  <c r="F117" i="99"/>
  <c r="F118" i="99" s="1"/>
  <c r="F137" i="99" s="1"/>
  <c r="F138" i="99" s="1"/>
  <c r="F117" i="132"/>
  <c r="F118" i="132" s="1"/>
  <c r="F137" i="132" s="1"/>
  <c r="F138" i="132" s="1"/>
  <c r="F117" i="96"/>
  <c r="F118" i="96" s="1"/>
  <c r="F137" i="96" s="1"/>
  <c r="F138" i="96" s="1"/>
  <c r="F117" i="117"/>
  <c r="F118" i="117" s="1"/>
  <c r="F137" i="117" s="1"/>
  <c r="F138" i="117" s="1"/>
  <c r="F117" i="136"/>
  <c r="F118" i="136" s="1"/>
  <c r="F137" i="136" s="1"/>
  <c r="F138" i="136" s="1"/>
  <c r="BH6" i="94" s="1"/>
  <c r="F117" i="86"/>
  <c r="F118" i="86" s="1"/>
  <c r="F137" i="86" s="1"/>
  <c r="F138" i="86" s="1"/>
  <c r="Q13" i="130"/>
  <c r="EJ8" i="94"/>
  <c r="EJ6" i="94"/>
  <c r="J119" i="120"/>
  <c r="Q22" i="130"/>
  <c r="EE7" i="94"/>
  <c r="EE5" i="94"/>
  <c r="ED6" i="94"/>
  <c r="ED7" i="94"/>
  <c r="J119" i="116"/>
  <c r="HA6" i="94"/>
  <c r="J119" i="113"/>
  <c r="J119" i="140"/>
  <c r="HD8" i="94"/>
  <c r="J119" i="138"/>
  <c r="HC7" i="94"/>
  <c r="M17" i="130" a="1"/>
  <c r="M17" i="130" s="1"/>
  <c r="EI7" i="94"/>
  <c r="J119" i="124"/>
  <c r="HB6" i="94"/>
  <c r="J119" i="117"/>
  <c r="GZ8" i="94"/>
  <c r="J119" i="97"/>
  <c r="GY7" i="94"/>
  <c r="J119" i="139"/>
  <c r="GX6" i="94"/>
  <c r="J119" i="91"/>
  <c r="GW5" i="94"/>
  <c r="EB26" i="94"/>
  <c r="EB27" i="94"/>
  <c r="M27" i="130" a="1"/>
  <c r="M27" i="130" s="1"/>
  <c r="J119" i="119"/>
  <c r="J119" i="118"/>
  <c r="Q8" i="130"/>
  <c r="J119" i="137"/>
  <c r="J119" i="96"/>
  <c r="M16" i="130" a="1"/>
  <c r="M16" i="130" s="1"/>
  <c r="J119" i="98"/>
  <c r="M24" i="130" a="1"/>
  <c r="M24" i="130" s="1"/>
  <c r="J119" i="135"/>
  <c r="J119" i="134"/>
  <c r="R18" i="130"/>
  <c r="J119" i="123"/>
  <c r="J119" i="95"/>
  <c r="L119" i="123"/>
  <c r="M25" i="130" a="1"/>
  <c r="M25" i="130" s="1"/>
  <c r="R27" i="130"/>
  <c r="M8" i="130" a="1"/>
  <c r="M8" i="130" s="1"/>
  <c r="R20" i="130"/>
  <c r="Q9" i="130"/>
  <c r="M135" i="123"/>
  <c r="L135" i="96"/>
  <c r="I117" i="133"/>
  <c r="I117" i="120"/>
  <c r="I137" i="120" s="1"/>
  <c r="I117" i="119"/>
  <c r="J119" i="133"/>
  <c r="L135" i="123"/>
  <c r="M135" i="96"/>
  <c r="L119" i="96"/>
  <c r="Q25" i="130"/>
  <c r="R23" i="130"/>
  <c r="R16" i="130"/>
  <c r="R24" i="130"/>
  <c r="I117" i="137"/>
  <c r="I137" i="137" s="1"/>
  <c r="I117" i="96"/>
  <c r="I137" i="96" s="1"/>
  <c r="I117" i="139"/>
  <c r="I137" i="139" s="1"/>
  <c r="I117" i="95"/>
  <c r="I117" i="135"/>
  <c r="I117" i="140"/>
  <c r="I137" i="140" s="1"/>
  <c r="I117" i="117"/>
  <c r="I117" i="116"/>
  <c r="I117" i="132"/>
  <c r="I137" i="132" s="1"/>
  <c r="I117" i="98"/>
  <c r="I137" i="98" s="1"/>
  <c r="I117" i="97"/>
  <c r="I117" i="138"/>
  <c r="I137" i="138" s="1"/>
  <c r="I117" i="118"/>
  <c r="I117" i="113"/>
  <c r="I137" i="113" s="1"/>
  <c r="I117" i="134"/>
  <c r="I117" i="99"/>
  <c r="I137" i="99" s="1"/>
  <c r="I117" i="124"/>
  <c r="I117" i="123"/>
  <c r="I137" i="123" s="1"/>
  <c r="I117" i="136"/>
  <c r="I117" i="86"/>
  <c r="I137" i="86" s="1"/>
  <c r="I117" i="91"/>
  <c r="H117" i="118"/>
  <c r="H117" i="119"/>
  <c r="H117" i="136"/>
  <c r="H117" i="134"/>
  <c r="H137" i="134" s="1"/>
  <c r="H117" i="135"/>
  <c r="H137" i="135" s="1"/>
  <c r="H117" i="97"/>
  <c r="H117" i="99"/>
  <c r="H117" i="139"/>
  <c r="H117" i="98"/>
  <c r="H117" i="117"/>
  <c r="H117" i="113"/>
  <c r="H117" i="132"/>
  <c r="H137" i="132" s="1"/>
  <c r="H117" i="96"/>
  <c r="H137" i="96" s="1"/>
  <c r="H117" i="95"/>
  <c r="H137" i="95" s="1"/>
  <c r="H117" i="120"/>
  <c r="H137" i="120" s="1"/>
  <c r="H117" i="133"/>
  <c r="H117" i="138"/>
  <c r="H117" i="124"/>
  <c r="H117" i="137"/>
  <c r="H117" i="140"/>
  <c r="H137" i="140" s="1"/>
  <c r="H117" i="116"/>
  <c r="H137" i="116" s="1"/>
  <c r="H117" i="91"/>
  <c r="H137" i="91" s="1"/>
  <c r="H117" i="86"/>
  <c r="H137" i="86" s="1"/>
  <c r="H117" i="123"/>
  <c r="H137" i="123" s="1"/>
  <c r="P8" i="130"/>
  <c r="O8" i="130"/>
  <c r="R21" i="130"/>
  <c r="R26" i="130"/>
  <c r="R11" i="130"/>
  <c r="O24" i="130"/>
  <c r="M10" i="130" a="1"/>
  <c r="M10" i="130" s="1"/>
  <c r="R19" i="130"/>
  <c r="M19" i="130" a="1"/>
  <c r="M19" i="130" s="1"/>
  <c r="R10" i="130"/>
  <c r="Q21" i="130"/>
  <c r="Q27" i="130"/>
  <c r="R7" i="130"/>
  <c r="P9" i="130"/>
  <c r="Q16" i="130"/>
  <c r="M13" i="130" a="1"/>
  <c r="M13" i="130" s="1"/>
  <c r="EC8" i="94"/>
  <c r="M9" i="130" a="1"/>
  <c r="M9" i="130" s="1"/>
  <c r="Q23" i="130"/>
  <c r="O25" i="130"/>
  <c r="Q20" i="130"/>
  <c r="Q19" i="130"/>
  <c r="Q26" i="130"/>
  <c r="N25" i="130"/>
  <c r="N19" i="130"/>
  <c r="O9" i="130"/>
  <c r="M6" i="130" a="1"/>
  <c r="M6" i="130" s="1"/>
  <c r="N6" i="130"/>
  <c r="Q10" i="130"/>
  <c r="R22" i="130"/>
  <c r="Q18" i="130"/>
  <c r="R8" i="130"/>
  <c r="N7" i="130"/>
  <c r="M7" i="130" a="1"/>
  <c r="M7" i="130" s="1"/>
  <c r="N8" i="130"/>
  <c r="N18" i="130"/>
  <c r="M18" i="130" a="1"/>
  <c r="M18" i="130" s="1"/>
  <c r="O14" i="130"/>
  <c r="P14" i="130"/>
  <c r="Q17" i="130"/>
  <c r="R6" i="130"/>
  <c r="P17" i="130"/>
  <c r="O17" i="130"/>
  <c r="Q15" i="130"/>
  <c r="Q6" i="130"/>
  <c r="N22" i="130"/>
  <c r="M22" i="130" a="1"/>
  <c r="M22" i="130" s="1"/>
  <c r="N13" i="130"/>
  <c r="P10" i="130"/>
  <c r="O10" i="130"/>
  <c r="P23" i="130"/>
  <c r="O23" i="130"/>
  <c r="R15" i="130"/>
  <c r="M14" i="130" a="1"/>
  <c r="M14" i="130" s="1"/>
  <c r="N14" i="130"/>
  <c r="P6" i="130"/>
  <c r="O6" i="130"/>
  <c r="M23" i="130" a="1"/>
  <c r="M23" i="130" s="1"/>
  <c r="N23" i="130"/>
  <c r="P22" i="130"/>
  <c r="O22" i="130"/>
  <c r="O18" i="130"/>
  <c r="P18" i="130"/>
  <c r="R14" i="130"/>
  <c r="Q7" i="130"/>
  <c r="N17" i="130"/>
  <c r="N10" i="130"/>
  <c r="GV6" i="94"/>
  <c r="N15" i="130"/>
  <c r="M15" i="130" a="1"/>
  <c r="M15" i="130" s="1"/>
  <c r="P15" i="130"/>
  <c r="O15" i="130"/>
  <c r="O7" i="130"/>
  <c r="P7" i="130"/>
  <c r="Q14" i="130"/>
  <c r="Q24" i="130"/>
  <c r="P24" i="130"/>
  <c r="P19" i="130"/>
  <c r="P20" i="130"/>
  <c r="N20" i="130"/>
  <c r="O20" i="130"/>
  <c r="O19" i="130"/>
  <c r="O11" i="130"/>
  <c r="N9" i="130"/>
  <c r="F117" i="98"/>
  <c r="F117" i="119"/>
  <c r="F118" i="119" s="1"/>
  <c r="P11" i="130"/>
  <c r="N24" i="130"/>
  <c r="O21" i="130"/>
  <c r="P21" i="130"/>
  <c r="P13" i="130"/>
  <c r="O13" i="130"/>
  <c r="P26" i="130"/>
  <c r="O26" i="130"/>
  <c r="O5" i="130"/>
  <c r="P5" i="130"/>
  <c r="P25" i="130"/>
  <c r="R25" i="130"/>
  <c r="P12" i="130"/>
  <c r="O12" i="130"/>
  <c r="O27" i="130"/>
  <c r="P27" i="130"/>
  <c r="O16" i="130"/>
  <c r="P16" i="130"/>
  <c r="F117" i="134"/>
  <c r="F117" i="116"/>
  <c r="F117" i="137"/>
  <c r="F118" i="137" s="1"/>
  <c r="M20" i="130" a="1"/>
  <c r="M20" i="130" s="1"/>
  <c r="F117" i="140"/>
  <c r="F118" i="140" s="1"/>
  <c r="F117" i="123"/>
  <c r="F118" i="123" s="1"/>
  <c r="F117" i="138"/>
  <c r="F117" i="91"/>
  <c r="F118" i="91" s="1"/>
  <c r="N5" i="130"/>
  <c r="M5" i="130" a="1"/>
  <c r="M5" i="130" s="1"/>
  <c r="H6" i="88" s="1"/>
  <c r="N16" i="130"/>
  <c r="Q34" i="94"/>
  <c r="N21" i="130"/>
  <c r="M21" i="130" a="1"/>
  <c r="M21" i="130" s="1"/>
  <c r="N27" i="130"/>
  <c r="F117" i="135"/>
  <c r="M11" i="130" a="1"/>
  <c r="M11" i="130" s="1"/>
  <c r="N11" i="130"/>
  <c r="F117" i="139"/>
  <c r="F117" i="97"/>
  <c r="F118" i="97" s="1"/>
  <c r="N12" i="130"/>
  <c r="M12" i="130" a="1"/>
  <c r="M12" i="130" s="1"/>
  <c r="F117" i="124"/>
  <c r="F117" i="113"/>
  <c r="N26" i="130"/>
  <c r="M26" i="130" a="1"/>
  <c r="M26" i="130" s="1"/>
  <c r="F117" i="118"/>
  <c r="F118" i="118" s="1"/>
  <c r="Q11" i="130"/>
  <c r="Q12" i="130"/>
  <c r="R13" i="130"/>
  <c r="Q5" i="130"/>
  <c r="R5" i="130"/>
  <c r="R9" i="130"/>
  <c r="R12" i="130"/>
  <c r="BR5" i="94" l="1"/>
  <c r="AT5" i="94"/>
  <c r="E11" i="145"/>
  <c r="H11" i="88"/>
  <c r="I6" i="88"/>
  <c r="I11" i="88" s="1"/>
  <c r="I138" i="120"/>
  <c r="I137" i="116"/>
  <c r="I138" i="116" s="1"/>
  <c r="H137" i="137"/>
  <c r="H138" i="137" s="1"/>
  <c r="I138" i="113"/>
  <c r="I138" i="140"/>
  <c r="I137" i="134"/>
  <c r="I138" i="134" s="1"/>
  <c r="F118" i="98"/>
  <c r="F137" i="98" s="1"/>
  <c r="F138" i="98" s="1"/>
  <c r="F137" i="123"/>
  <c r="F138" i="123" s="1"/>
  <c r="H138" i="123"/>
  <c r="H137" i="113"/>
  <c r="H138" i="113" s="1"/>
  <c r="I137" i="135"/>
  <c r="I138" i="135" s="1"/>
  <c r="I137" i="117"/>
  <c r="I138" i="117" s="1"/>
  <c r="I137" i="91"/>
  <c r="I138" i="91" s="1"/>
  <c r="H137" i="138"/>
  <c r="H138" i="138" s="1"/>
  <c r="H137" i="117"/>
  <c r="H138" i="117" s="1"/>
  <c r="F118" i="135"/>
  <c r="F137" i="135" s="1"/>
  <c r="F138" i="135" s="1"/>
  <c r="H137" i="119"/>
  <c r="H138" i="119" s="1"/>
  <c r="F118" i="124"/>
  <c r="F137" i="124" s="1"/>
  <c r="F138" i="124" s="1"/>
  <c r="H137" i="124"/>
  <c r="H138" i="124" s="1"/>
  <c r="F137" i="91"/>
  <c r="F138" i="91" s="1"/>
  <c r="F137" i="118"/>
  <c r="F138" i="118" s="1"/>
  <c r="F137" i="97"/>
  <c r="F138" i="97" s="1"/>
  <c r="H138" i="86"/>
  <c r="H138" i="120"/>
  <c r="I138" i="86"/>
  <c r="I138" i="138"/>
  <c r="F137" i="140"/>
  <c r="F138" i="140" s="1"/>
  <c r="CN6" i="94" s="1"/>
  <c r="H138" i="91"/>
  <c r="H138" i="95"/>
  <c r="I138" i="139"/>
  <c r="H137" i="98"/>
  <c r="H138" i="98" s="1"/>
  <c r="I137" i="118"/>
  <c r="I138" i="118" s="1"/>
  <c r="H137" i="118"/>
  <c r="H138" i="118" s="1"/>
  <c r="I137" i="133"/>
  <c r="I138" i="133" s="1"/>
  <c r="F118" i="139"/>
  <c r="F137" i="139" s="1"/>
  <c r="F138" i="139" s="1"/>
  <c r="F118" i="138"/>
  <c r="F137" i="138" s="1"/>
  <c r="F138" i="138" s="1"/>
  <c r="F118" i="116"/>
  <c r="F137" i="116" s="1"/>
  <c r="F138" i="116" s="1"/>
  <c r="F137" i="137"/>
  <c r="F138" i="137" s="1"/>
  <c r="H138" i="116"/>
  <c r="H138" i="96"/>
  <c r="H138" i="135"/>
  <c r="I138" i="123"/>
  <c r="I138" i="98"/>
  <c r="I138" i="96"/>
  <c r="H137" i="139"/>
  <c r="H138" i="139" s="1"/>
  <c r="H137" i="97"/>
  <c r="H138" i="97" s="1"/>
  <c r="I137" i="95"/>
  <c r="I138" i="95" s="1"/>
  <c r="H137" i="99"/>
  <c r="H138" i="99" s="1"/>
  <c r="I137" i="136"/>
  <c r="I138" i="136" s="1"/>
  <c r="H137" i="133"/>
  <c r="H138" i="133" s="1"/>
  <c r="I137" i="119"/>
  <c r="I138" i="119" s="1"/>
  <c r="F137" i="119"/>
  <c r="F138" i="119" s="1"/>
  <c r="H138" i="140"/>
  <c r="H138" i="132"/>
  <c r="H138" i="134"/>
  <c r="I138" i="132"/>
  <c r="I138" i="137"/>
  <c r="I137" i="97"/>
  <c r="I138" i="97" s="1"/>
  <c r="H137" i="136"/>
  <c r="H138" i="136" s="1"/>
  <c r="I137" i="124"/>
  <c r="I138" i="124" s="1"/>
  <c r="F118" i="113"/>
  <c r="F137" i="113" s="1"/>
  <c r="F138" i="113" s="1"/>
  <c r="F118" i="134"/>
  <c r="F137" i="134" s="1"/>
  <c r="F138" i="134" s="1"/>
  <c r="BQ17" i="94"/>
  <c r="CO17" i="94"/>
  <c r="BG26" i="94"/>
  <c r="I138" i="99"/>
  <c r="T25" i="130"/>
  <c r="U25" i="130" s="1"/>
  <c r="BK5" i="94"/>
  <c r="CI5" i="94"/>
  <c r="T27" i="130"/>
  <c r="U27" i="130" s="1"/>
  <c r="CH7" i="94"/>
  <c r="BJ7" i="94"/>
  <c r="CK5" i="94"/>
  <c r="BM6" i="94"/>
  <c r="CK6" i="94"/>
  <c r="T16" i="130"/>
  <c r="U16" i="130" s="1"/>
  <c r="T24" i="130"/>
  <c r="U24" i="130" s="1"/>
  <c r="P35" i="94"/>
  <c r="Q35" i="94" s="1"/>
  <c r="P59" i="94"/>
  <c r="F12" i="145" s="1"/>
  <c r="T17" i="130"/>
  <c r="U17" i="130" s="1"/>
  <c r="CN8" i="94"/>
  <c r="BP8" i="94"/>
  <c r="BO7" i="94"/>
  <c r="CM7" i="94"/>
  <c r="BN6" i="94"/>
  <c r="CL6" i="94"/>
  <c r="BL8" i="94"/>
  <c r="CJ8" i="94"/>
  <c r="BK7" i="94"/>
  <c r="CI7" i="94"/>
  <c r="CH6" i="94"/>
  <c r="BJ6" i="94"/>
  <c r="BI5" i="94"/>
  <c r="CG5" i="94"/>
  <c r="CF27" i="94"/>
  <c r="BH27" i="94"/>
  <c r="I27" i="94" s="1"/>
  <c r="CD25" i="94"/>
  <c r="BF25" i="94"/>
  <c r="BE24" i="94"/>
  <c r="CC24" i="94"/>
  <c r="T8" i="130"/>
  <c r="U8" i="130" s="1"/>
  <c r="T10" i="130"/>
  <c r="U10" i="130" s="1"/>
  <c r="T19" i="130"/>
  <c r="U19" i="130" s="1"/>
  <c r="P23" i="94"/>
  <c r="D13" i="145" s="1"/>
  <c r="T13" i="130"/>
  <c r="U13" i="130" s="1"/>
  <c r="T9" i="130"/>
  <c r="U9" i="130" s="1"/>
  <c r="CG8" i="94"/>
  <c r="BI8" i="94"/>
  <c r="CF6" i="94"/>
  <c r="P60" i="94"/>
  <c r="F13" i="145" s="1"/>
  <c r="P29" i="130"/>
  <c r="Q29" i="130"/>
  <c r="O29" i="130"/>
  <c r="M29" i="130"/>
  <c r="R29" i="130"/>
  <c r="N29" i="130"/>
  <c r="T7" i="130"/>
  <c r="U7" i="130" s="1"/>
  <c r="P36" i="94"/>
  <c r="Q36" i="94" s="1"/>
  <c r="P10" i="94"/>
  <c r="C13" i="145" s="1"/>
  <c r="CE6" i="94"/>
  <c r="BG6" i="94"/>
  <c r="T5" i="130"/>
  <c r="U5" i="130" s="1"/>
  <c r="CE16" i="94"/>
  <c r="T15" i="130"/>
  <c r="U15" i="130" s="1"/>
  <c r="T18" i="130"/>
  <c r="U18" i="130" s="1"/>
  <c r="T6" i="130"/>
  <c r="U6" i="130" s="1"/>
  <c r="BH16" i="94"/>
  <c r="T23" i="130"/>
  <c r="U23" i="130" s="1"/>
  <c r="T22" i="130"/>
  <c r="U22" i="130" s="1"/>
  <c r="CF26" i="94"/>
  <c r="BH26" i="94"/>
  <c r="T20" i="130"/>
  <c r="U20" i="130" s="1"/>
  <c r="T14" i="130"/>
  <c r="U14" i="130" s="1"/>
  <c r="P22" i="94"/>
  <c r="D12" i="145" s="1"/>
  <c r="T12" i="130"/>
  <c r="U12" i="130" s="1"/>
  <c r="T21" i="130"/>
  <c r="U21" i="130" s="1"/>
  <c r="CE26" i="94"/>
  <c r="T26" i="130"/>
  <c r="U26" i="130" s="1"/>
  <c r="P9" i="94"/>
  <c r="C12" i="145" s="1"/>
  <c r="T11" i="130"/>
  <c r="U11" i="130" s="1"/>
  <c r="E13" i="145" l="1"/>
  <c r="CI17" i="94"/>
  <c r="BK17" i="94"/>
  <c r="BJ17" i="94"/>
  <c r="CH17" i="94"/>
  <c r="BX17" i="94"/>
  <c r="AZ17" i="94"/>
  <c r="BX16" i="94"/>
  <c r="AZ16" i="94"/>
  <c r="BC24" i="94"/>
  <c r="CA24" i="94"/>
  <c r="BR14" i="94"/>
  <c r="AT14" i="94"/>
  <c r="AT23" i="94"/>
  <c r="I23" i="94" s="1"/>
  <c r="BR23" i="94"/>
  <c r="CB25" i="94"/>
  <c r="BD25" i="94"/>
  <c r="I25" i="94" s="1"/>
  <c r="BX7" i="94"/>
  <c r="AZ7" i="94"/>
  <c r="I7" i="94" s="1"/>
  <c r="AX15" i="94"/>
  <c r="BV15" i="94"/>
  <c r="AY26" i="94"/>
  <c r="I26" i="94" s="1"/>
  <c r="BW26" i="94"/>
  <c r="G12" i="145"/>
  <c r="G13" i="145"/>
  <c r="E12" i="145"/>
  <c r="C11" i="88"/>
  <c r="C10" i="88"/>
  <c r="BP6" i="94"/>
  <c r="I6" i="94" s="1"/>
  <c r="I24" i="94"/>
  <c r="Q10" i="94"/>
  <c r="Q23" i="94"/>
  <c r="Q59" i="94"/>
  <c r="CK14" i="94"/>
  <c r="BM14" i="94"/>
  <c r="CN17" i="94"/>
  <c r="BP17" i="94"/>
  <c r="BN15" i="94"/>
  <c r="CL15" i="94"/>
  <c r="I18" i="94"/>
  <c r="CM16" i="94"/>
  <c r="BO16" i="94"/>
  <c r="I8" i="94"/>
  <c r="I9" i="94"/>
  <c r="BG16" i="94"/>
  <c r="I5" i="94"/>
  <c r="P3" i="94"/>
  <c r="C6" i="145" s="1"/>
  <c r="CF16" i="94"/>
  <c r="O30" i="130"/>
  <c r="O61" i="94" s="1"/>
  <c r="P30" i="130"/>
  <c r="Q22" i="94"/>
  <c r="Q9" i="94"/>
  <c r="R30" i="130"/>
  <c r="Q30" i="130"/>
  <c r="P29" i="94" l="1"/>
  <c r="F6" i="145" s="1"/>
  <c r="G6" i="145" s="1"/>
  <c r="D10" i="88"/>
  <c r="E10" i="88"/>
  <c r="E11" i="88"/>
  <c r="D11" i="88"/>
  <c r="I17" i="94"/>
  <c r="I15" i="94"/>
  <c r="I14" i="94"/>
  <c r="P16" i="94"/>
  <c r="D6" i="145" s="1"/>
  <c r="E6" i="145" s="1"/>
  <c r="I16" i="94"/>
  <c r="Q3" i="94"/>
  <c r="M30" i="130"/>
  <c r="N30" i="130"/>
  <c r="Q29" i="94" l="1"/>
  <c r="Q16" i="94"/>
  <c r="B73" i="138" l="1"/>
  <c r="B74" i="138" l="1"/>
  <c r="X7" i="128"/>
  <c r="B72" i="120"/>
  <c r="B121" i="113"/>
  <c r="B73" i="135"/>
  <c r="B74" i="86"/>
  <c r="B72" i="133"/>
  <c r="B74" i="137"/>
  <c r="B121" i="134"/>
  <c r="B72" i="97"/>
  <c r="B73" i="134"/>
  <c r="B72" i="98"/>
  <c r="B74" i="132"/>
  <c r="B72" i="132"/>
  <c r="B74" i="120"/>
  <c r="B74" i="91"/>
  <c r="B74" i="99"/>
  <c r="B73" i="132"/>
  <c r="B72" i="99"/>
  <c r="B72" i="134"/>
  <c r="B121" i="116"/>
  <c r="B74" i="139"/>
  <c r="B72" i="96"/>
  <c r="B74" i="133"/>
  <c r="B73" i="120"/>
  <c r="B73" i="139"/>
  <c r="B121" i="123"/>
  <c r="B73" i="140"/>
  <c r="B73" i="113"/>
  <c r="B73" i="116"/>
  <c r="B72" i="135"/>
  <c r="B121" i="99"/>
  <c r="B121" i="137"/>
  <c r="B73" i="95"/>
  <c r="B121" i="95"/>
  <c r="B72" i="116"/>
  <c r="B74" i="124"/>
  <c r="B121" i="139"/>
  <c r="B121" i="140"/>
  <c r="B73" i="119"/>
  <c r="B74" i="97"/>
  <c r="B73" i="97"/>
  <c r="B74" i="96"/>
  <c r="B73" i="96"/>
  <c r="B121" i="91"/>
  <c r="B72" i="123"/>
  <c r="B121" i="136"/>
  <c r="B121" i="97"/>
  <c r="B72" i="138"/>
  <c r="B73" i="117"/>
  <c r="B121" i="96"/>
  <c r="B121" i="135"/>
  <c r="B72" i="113"/>
  <c r="B74" i="113"/>
  <c r="B121" i="120"/>
  <c r="B72" i="95"/>
  <c r="B121" i="117"/>
  <c r="B74" i="134"/>
  <c r="B72" i="140"/>
  <c r="B74" i="117"/>
  <c r="B121" i="98"/>
  <c r="B72" i="136"/>
  <c r="B73" i="91"/>
  <c r="B73" i="133"/>
  <c r="B74" i="116"/>
  <c r="B121" i="138"/>
  <c r="B72" i="119"/>
  <c r="B73" i="123"/>
  <c r="B72" i="118"/>
  <c r="B73" i="86"/>
  <c r="B73" i="98"/>
  <c r="B74" i="118"/>
  <c r="B121" i="118"/>
  <c r="B72" i="117"/>
  <c r="B73" i="137"/>
  <c r="B74" i="119"/>
  <c r="B74" i="135"/>
  <c r="B121" i="133"/>
  <c r="B72" i="86"/>
  <c r="B73" i="136"/>
  <c r="B74" i="98"/>
  <c r="B74" i="140"/>
  <c r="B121" i="86"/>
  <c r="B121" i="119"/>
  <c r="B73" i="99"/>
  <c r="B121" i="124"/>
  <c r="B72" i="124"/>
  <c r="B74" i="136"/>
  <c r="B72" i="91"/>
  <c r="B73" i="118"/>
  <c r="B72" i="139"/>
  <c r="B74" i="95"/>
  <c r="B73" i="124"/>
  <c r="B121" i="132"/>
  <c r="B74" i="123"/>
  <c r="B72" i="1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tc={0714F691-805F-AB4B-B131-9D54BB46BEAD}</author>
    <author>tc={75A1967C-0715-A542-A5BE-2386F60BD633}</author>
  </authors>
  <commentList>
    <comment ref="I13" authorId="0" shapeId="0" xr:uid="{0714F691-805F-AB4B-B131-9D54BB46BEAD}">
      <text>
        <t>[Threaded comment]
Your version of Excel allows you to read this threaded comment; however, any edits to it will get removed if the file is opened in a newer version of Excel. Learn more: https://go.microsoft.com/fwlink/?linkid=870924
Comment:
    Crop      lb./acre   price/lb
barley        20        0.15
oats           20        0.60
sunflower    1        0.95
peas          40      0.295
turnip      1.25        1.30</t>
      </text>
    </comment>
    <comment ref="I14" authorId="1" shapeId="0" xr:uid="{75A1967C-0715-A542-A5BE-2386F60BD633}">
      <text>
        <t>[Threaded comment]
Your version of Excel allows you to read this threaded comment; however, any edits to it will get removed if the file is opened in a newer version of Excel. Learn more: https://go.microsoft.com/fwlink/?linkid=870924
Comment:
    Crop      lb./acre   price/lb
oats           20        0.60
peas          40      0.295
crimson clover dixie
                    1        0.95
turnip      1.25        1.30
radish     1.25        1.20</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tc={667111DD-542D-AB4A-ADC2-19EB94459C0D}</author>
    <author>tc={C5CFBD13-DD76-C649-8584-CB7F7E364BE4}</author>
  </authors>
  <commentList>
    <comment ref="Q7" authorId="0" shapeId="0" xr:uid="{667111DD-542D-AB4A-ADC2-19EB94459C0D}">
      <text>
        <t>[Threaded comment]
Your version of Excel allows you to read this threaded comment; however, any edits to it will get removed if the file is opened in a newer version of Excel. Learn more: https://go.microsoft.com/fwlink/?linkid=870924
Comment:
    No reference to shredder in UI Budgets, hard coded 115 hours</t>
      </text>
    </comment>
    <comment ref="Q8" authorId="1" shapeId="0" xr:uid="{C5CFBD13-DD76-C649-8584-CB7F7E364BE4}">
      <text>
        <t>[Threaded comment]
Your version of Excel allows you to read this threaded comment; however, any edits to it will get removed if the file is opened in a newer version of Excel. Learn more: https://go.microsoft.com/fwlink/?linkid=870924
Comment:
    No reference to harrow in UI Budgets, hard coded 75 hours</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<sst xmlns="http://schemas.openxmlformats.org/spreadsheetml/2006/main" count="3078" uniqueCount="392">
  <si>
    <t>Value</t>
  </si>
  <si>
    <t>Input</t>
  </si>
  <si>
    <t>Unit</t>
  </si>
  <si>
    <t>Description</t>
  </si>
  <si>
    <t>Fuel</t>
  </si>
  <si>
    <t>Diesel</t>
  </si>
  <si>
    <t>Total</t>
  </si>
  <si>
    <t>Machinery</t>
  </si>
  <si>
    <t/>
  </si>
  <si>
    <t>X/Acre</t>
  </si>
  <si>
    <t>CROP</t>
  </si>
  <si>
    <t>Returns</t>
  </si>
  <si>
    <t>$/Unit</t>
  </si>
  <si>
    <t>Quantity</t>
  </si>
  <si>
    <t>Total Returns</t>
  </si>
  <si>
    <t>Baler - Guayule</t>
  </si>
  <si>
    <t>Bale Wagon</t>
  </si>
  <si>
    <t>Hour</t>
  </si>
  <si>
    <t>Fert. Broadcast</t>
  </si>
  <si>
    <t>Fert. Sidedress</t>
  </si>
  <si>
    <t>Boom Sprayer, 30'</t>
  </si>
  <si>
    <t>Saddle Tank Sprayer</t>
  </si>
  <si>
    <t>Repair Factors</t>
  </si>
  <si>
    <t>RFV Factor</t>
  </si>
  <si>
    <t>Width</t>
  </si>
  <si>
    <t>Speed</t>
  </si>
  <si>
    <t>Year</t>
  </si>
  <si>
    <t xml:space="preserve">   Quantity</t>
  </si>
  <si>
    <t>N/A</t>
  </si>
  <si>
    <t>Other Expenses</t>
  </si>
  <si>
    <t>Percent</t>
  </si>
  <si>
    <t>Total Annual Costs</t>
  </si>
  <si>
    <t>Returns minus Total Annual Costs</t>
  </si>
  <si>
    <t>Gallon</t>
  </si>
  <si>
    <t>Machine Labor Rates</t>
  </si>
  <si>
    <t>Months</t>
  </si>
  <si>
    <t>Months of Operating Loan</t>
  </si>
  <si>
    <t>Variable Cash Costs</t>
  </si>
  <si>
    <t>Total Fixed Non-Cash Costs</t>
  </si>
  <si>
    <t>Annual Returns</t>
  </si>
  <si>
    <t>Annual Costs</t>
  </si>
  <si>
    <t>Acre/Ton/CWT</t>
  </si>
  <si>
    <t>Planter (Custom)</t>
  </si>
  <si>
    <t>PV of Total Costs</t>
  </si>
  <si>
    <t>Total LO Costs</t>
  </si>
  <si>
    <t>PV of LO Costs</t>
  </si>
  <si>
    <t>Total Tenant Costs</t>
  </si>
  <si>
    <t>PV of Tenant Costs</t>
  </si>
  <si>
    <t>Tenant's Share</t>
  </si>
  <si>
    <t>Landowner's Share</t>
  </si>
  <si>
    <t>Annual Appreciation of Land Values</t>
  </si>
  <si>
    <t>Desired Return on Investment (%)</t>
  </si>
  <si>
    <t>Agricultural Value of Land (per acre)</t>
  </si>
  <si>
    <t>Percent Split</t>
  </si>
  <si>
    <t>Total Returns of Rubber Content Only</t>
  </si>
  <si>
    <t>Net Returns of Biomass &amp; Rubber</t>
  </si>
  <si>
    <t>Landowner's Required Cash Rent</t>
  </si>
  <si>
    <t>Tenant's Ability to Pay Cash Rent</t>
  </si>
  <si>
    <t>$ per Acre</t>
  </si>
  <si>
    <t>Crop Share Calculations</t>
  </si>
  <si>
    <t>Cash Rent Calculations</t>
  </si>
  <si>
    <t>Annual Net Returns</t>
  </si>
  <si>
    <r>
      <rPr>
        <sz val="10"/>
        <color theme="1"/>
        <rFont val="Calibri (Body)"/>
      </rPr>
      <t>Accumulated</t>
    </r>
    <r>
      <rPr>
        <sz val="11"/>
        <color theme="1"/>
        <rFont val="Calibri"/>
        <family val="2"/>
        <scheme val="minor"/>
      </rPr>
      <t xml:space="preserve"> Net Returns</t>
    </r>
  </si>
  <si>
    <t>Tenant Returns and Costs</t>
  </si>
  <si>
    <t>Landowner Returns and Costs</t>
  </si>
  <si>
    <t>Desired Annual Cash Rent</t>
  </si>
  <si>
    <t>oz</t>
  </si>
  <si>
    <t>Gas</t>
  </si>
  <si>
    <t>200 HP Trac</t>
  </si>
  <si>
    <t>Bankout Wagon</t>
  </si>
  <si>
    <t>450 HP tractor</t>
  </si>
  <si>
    <t>Field Efficiency</t>
  </si>
  <si>
    <t xml:space="preserve">Other Expenses </t>
  </si>
  <si>
    <t>Repair Cost/Hr</t>
  </si>
  <si>
    <t>Acres/Hr</t>
  </si>
  <si>
    <t>Acres/Yr</t>
  </si>
  <si>
    <t>Tractor #</t>
  </si>
  <si>
    <t>Hours/yr</t>
  </si>
  <si>
    <t>LABOR $/Acre</t>
  </si>
  <si>
    <t>FUEL $/Acre</t>
  </si>
  <si>
    <t>REPAIRS $/Acre</t>
  </si>
  <si>
    <t>REPLACE $/Acre</t>
  </si>
  <si>
    <t>Replace Cost/Hr</t>
  </si>
  <si>
    <t>%</t>
  </si>
  <si>
    <t xml:space="preserve">Interest on operating inputs  </t>
  </si>
  <si>
    <t>Total Variable Cash Costs</t>
  </si>
  <si>
    <t>Custom Operations</t>
  </si>
  <si>
    <t>Machine Operations</t>
  </si>
  <si>
    <t>Cash Fixed Costs</t>
  </si>
  <si>
    <t>Non-Cash Fixed Costs: Replacement Costs</t>
  </si>
  <si>
    <t>Operating Interest Rate</t>
  </si>
  <si>
    <t>TOTAL</t>
  </si>
  <si>
    <t>Fertilizer - Anhydrous Applicator (Rent)</t>
  </si>
  <si>
    <t>Useful Life</t>
  </si>
  <si>
    <t>Power Units and Machinery</t>
  </si>
  <si>
    <t>Change</t>
  </si>
  <si>
    <t>Aerial (Custom)</t>
  </si>
  <si>
    <t>NA</t>
  </si>
  <si>
    <t>Crop Insurance</t>
  </si>
  <si>
    <t>% (+/-)</t>
  </si>
  <si>
    <t>Fuel (gallons)</t>
  </si>
  <si>
    <t>Replacement Costs ($)</t>
  </si>
  <si>
    <t>Repairs ($)</t>
  </si>
  <si>
    <t>Type of Rotation</t>
  </si>
  <si>
    <t>Net Returns per Acre</t>
  </si>
  <si>
    <t>Acres of Each Crop</t>
  </si>
  <si>
    <t>Seed Amounts and Prices</t>
  </si>
  <si>
    <t>Table 3. Crop Prices and Yields</t>
  </si>
  <si>
    <t>Spring Barley</t>
  </si>
  <si>
    <t>Seed, pounds</t>
  </si>
  <si>
    <t>Machine Replacement</t>
  </si>
  <si>
    <t>Labor</t>
  </si>
  <si>
    <t>Repairs</t>
  </si>
  <si>
    <t>Labor (hours)</t>
  </si>
  <si>
    <t>Fertilizer Applicator</t>
  </si>
  <si>
    <t>26' Rental Shredder</t>
  </si>
  <si>
    <t>36' Ripper Shooter</t>
  </si>
  <si>
    <t>Acres</t>
  </si>
  <si>
    <t>lb</t>
  </si>
  <si>
    <t>Cultivator</t>
  </si>
  <si>
    <t>Cultiweeder</t>
  </si>
  <si>
    <t>Shredder</t>
  </si>
  <si>
    <t>Harrow</t>
  </si>
  <si>
    <t>Drill</t>
  </si>
  <si>
    <t>Fertilizer Spreader</t>
  </si>
  <si>
    <t>Fertilizers</t>
  </si>
  <si>
    <t>Pesticides</t>
  </si>
  <si>
    <t>All Fertilizers (ton)</t>
  </si>
  <si>
    <t>All Crop Seeds</t>
  </si>
  <si>
    <t>Total Net Returns ($)</t>
  </si>
  <si>
    <t>All Pesticides &amp; Adjuvents (gallons)</t>
  </si>
  <si>
    <t>Per Crop Net Returns</t>
  </si>
  <si>
    <t>Table 2. Total Net Returns and Inputs/Rotation</t>
  </si>
  <si>
    <t>Total Crop Rotation Net Returns</t>
  </si>
  <si>
    <t>All Crop Seeds (pounds)</t>
  </si>
  <si>
    <t>Aspirational</t>
  </si>
  <si>
    <t>INC</t>
  </si>
  <si>
    <t>ASPIRATIONAL</t>
  </si>
  <si>
    <t>BAU</t>
  </si>
  <si>
    <t>ASP</t>
  </si>
  <si>
    <t>Winter Pea</t>
  </si>
  <si>
    <t>Business As Usual</t>
  </si>
  <si>
    <t>Aspirational Rotation</t>
  </si>
  <si>
    <t>Incremental Rotation</t>
  </si>
  <si>
    <t>INCREMENTAL</t>
  </si>
  <si>
    <t>Table 4. Livestock Grazing Inputs</t>
  </si>
  <si>
    <t>Table 5. Production Inputs, $/Unit, Units Applied/Crop, and Crop Insurance Costs</t>
  </si>
  <si>
    <t>ITEM</t>
  </si>
  <si>
    <t>Acres of Land in Grazing Plan</t>
  </si>
  <si>
    <t>HD Treadin Post</t>
  </si>
  <si>
    <t>Turbowire</t>
  </si>
  <si>
    <t>2,624 feet</t>
  </si>
  <si>
    <t>Steel Post HD</t>
  </si>
  <si>
    <t>5.5 feet</t>
  </si>
  <si>
    <t>White Universal t-post Insulator</t>
  </si>
  <si>
    <t>20 pk</t>
  </si>
  <si>
    <t>Galvanized Porta Reel Post</t>
  </si>
  <si>
    <t>Econo Reel</t>
  </si>
  <si>
    <t>Tax</t>
  </si>
  <si>
    <t>TOTAL PER ACRE</t>
  </si>
  <si>
    <t>Water Source</t>
  </si>
  <si>
    <t>Vehicle Expenses</t>
  </si>
  <si>
    <t>Miles</t>
  </si>
  <si>
    <t>Hours</t>
  </si>
  <si>
    <t>Labor Herding Livestock</t>
  </si>
  <si>
    <t>Tanks &amp; Hose</t>
  </si>
  <si>
    <t>Grazing Inputs From Table 4</t>
  </si>
  <si>
    <t>Table 10. Sharing of Production Inputs and Land Valuation</t>
  </si>
  <si>
    <t>Tenant Share of Inputs</t>
  </si>
  <si>
    <t>Seed</t>
  </si>
  <si>
    <t>Land Market Value ($/acre)</t>
  </si>
  <si>
    <t>Property Taxes ($/acre)</t>
  </si>
  <si>
    <t>M. Replace</t>
  </si>
  <si>
    <t>M. Repairs</t>
  </si>
  <si>
    <t>ROI on Land Investment (%)</t>
  </si>
  <si>
    <t>Tenant</t>
  </si>
  <si>
    <t>Landowner</t>
  </si>
  <si>
    <t>Assumed Landowner's Contributions</t>
  </si>
  <si>
    <t>Custom Op</t>
  </si>
  <si>
    <t>Equitable Crop-share Lease (TENANT)</t>
  </si>
  <si>
    <t>Chem-Fallow</t>
  </si>
  <si>
    <t>Interest</t>
  </si>
  <si>
    <t>Ouputs for Each Crop Rotation</t>
  </si>
  <si>
    <t>Years to Amortize Equipment, Materials, etc.</t>
  </si>
  <si>
    <t>Annual Expenses</t>
  </si>
  <si>
    <t>winter wheat after fallow</t>
  </si>
  <si>
    <t>winter wheat after ?</t>
  </si>
  <si>
    <t>three zones/spreadsheets 1. less than 12", 12 to 18; &gt; 18"</t>
  </si>
  <si>
    <t>flex fallow</t>
  </si>
  <si>
    <t>Flex-Fallow</t>
  </si>
  <si>
    <t>Winter Canola</t>
  </si>
  <si>
    <t>Spring Canola</t>
  </si>
  <si>
    <t>Roundup Ready Spring Canola</t>
  </si>
  <si>
    <t>Spring Lentils</t>
  </si>
  <si>
    <t>Crop #</t>
  </si>
  <si>
    <t>Crops Produced for Rotation</t>
  </si>
  <si>
    <t xml:space="preserve">                                </t>
  </si>
  <si>
    <t>Percent of Crop</t>
  </si>
  <si>
    <t>YIELDS</t>
  </si>
  <si>
    <t>NET RETURNS</t>
  </si>
  <si>
    <t>CHEM</t>
  </si>
  <si>
    <r>
      <t>N2</t>
    </r>
    <r>
      <rPr>
        <b/>
        <vertAlign val="superscript"/>
        <sz val="11"/>
        <color theme="1"/>
        <rFont val="Calibri (Body)"/>
      </rPr>
      <t>1</t>
    </r>
  </si>
  <si>
    <r>
      <rPr>
        <vertAlign val="superscript"/>
        <sz val="11"/>
        <color theme="1"/>
        <rFont val="Calibri (Body)"/>
      </rPr>
      <t>1</t>
    </r>
    <r>
      <rPr>
        <sz val="11"/>
        <color theme="1"/>
        <rFont val="Calibri"/>
        <family val="2"/>
        <scheme val="minor"/>
      </rPr>
      <t>30 lbs./A of Phosphorus and 20 lbs./A of Sulphur are applied in all  years</t>
    </r>
  </si>
  <si>
    <t>Custom self-propelled sprayer</t>
  </si>
  <si>
    <t>Incremental</t>
  </si>
  <si>
    <t>GENESSEE - Winter Wheat</t>
  </si>
  <si>
    <t>St. JOHN - Winter Wheat</t>
  </si>
  <si>
    <t>GENESSEE - Spring Wheat</t>
  </si>
  <si>
    <t>St. JOHN - Spring Wheat</t>
  </si>
  <si>
    <t>GENESSEE - Winter Peas</t>
  </si>
  <si>
    <t>St. JOHN - Winter Peas</t>
  </si>
  <si>
    <t>GENESSEE - Chickpeas</t>
  </si>
  <si>
    <t>St. JOHN - Chickpeas</t>
  </si>
  <si>
    <t>Production Costs</t>
  </si>
  <si>
    <t>W. Wheat</t>
  </si>
  <si>
    <t>S. Wheat</t>
  </si>
  <si>
    <t xml:space="preserve"> Winter Peas</t>
  </si>
  <si>
    <t>Chickpeas</t>
  </si>
  <si>
    <t>Cover Crops</t>
  </si>
  <si>
    <t>Fallow</t>
  </si>
  <si>
    <t>Average</t>
  </si>
  <si>
    <t>Accumulative</t>
  </si>
  <si>
    <t>if no fertilizer, erase the $26 for sulfur and phosphorus</t>
  </si>
  <si>
    <t>Upfront/Initial Expenses</t>
  </si>
  <si>
    <t>TOTAL PER ACRE PER YEAR, AFTER AMORTIZATION</t>
  </si>
  <si>
    <t>https://www.uidaho.edu/cals/idaho-agbiz/crop-budgets</t>
  </si>
  <si>
    <t>Grass Hay, production and establishment</t>
  </si>
  <si>
    <t>$15.06 per acre to mow/condition, rake, and bale into small bales.</t>
  </si>
  <si>
    <t>Assuming the producer owned the equipment, valued at $113,000.</t>
  </si>
  <si>
    <t>Genessee</t>
  </si>
  <si>
    <t>St. John</t>
  </si>
  <si>
    <t>Establish Cover Crop</t>
  </si>
  <si>
    <t>Mow/condition, rake, and bale into small bales</t>
  </si>
  <si>
    <t>WW-SW-Chickpea</t>
  </si>
  <si>
    <r>
      <t>WW-</t>
    </r>
    <r>
      <rPr>
        <b/>
        <sz val="11"/>
        <color rgb="FF000000"/>
        <rFont val="Calibri"/>
        <family val="2"/>
        <scheme val="minor"/>
      </rPr>
      <t>Winter Forage crop</t>
    </r>
    <r>
      <rPr>
        <sz val="11"/>
        <color rgb="FF000000"/>
        <rFont val="Calibri"/>
        <family val="2"/>
        <scheme val="minor"/>
      </rPr>
      <t>-Chickpea</t>
    </r>
  </si>
  <si>
    <r>
      <t>WW-SW-</t>
    </r>
    <r>
      <rPr>
        <b/>
        <sz val="11"/>
        <color rgb="FF000000"/>
        <rFont val="Calibri"/>
        <family val="2"/>
        <scheme val="minor"/>
      </rPr>
      <t>Winter pea</t>
    </r>
  </si>
  <si>
    <r>
      <t>WW-SW-</t>
    </r>
    <r>
      <rPr>
        <b/>
        <sz val="11"/>
        <color rgb="FF000000"/>
        <rFont val="Calibri"/>
        <family val="2"/>
        <scheme val="minor"/>
      </rPr>
      <t>Fallow</t>
    </r>
  </si>
  <si>
    <r>
      <t>WW-SW-</t>
    </r>
    <r>
      <rPr>
        <b/>
        <sz val="11"/>
        <color rgb="FF000000"/>
        <rFont val="Calibri"/>
        <family val="2"/>
        <scheme val="minor"/>
      </rPr>
      <t>Winter Pea</t>
    </r>
  </si>
  <si>
    <r>
      <t>WW-SW-</t>
    </r>
    <r>
      <rPr>
        <b/>
        <sz val="11"/>
        <color rgb="FF000000"/>
        <rFont val="Calibri"/>
        <family val="2"/>
        <scheme val="minor"/>
      </rPr>
      <t>Spring Forage crop</t>
    </r>
  </si>
  <si>
    <t>Establish Fencing, etc. to Graze Livestock</t>
  </si>
  <si>
    <r>
      <rPr>
        <vertAlign val="superscript"/>
        <sz val="16"/>
        <color theme="1"/>
        <rFont val="Times New Roman"/>
        <family val="1"/>
      </rPr>
      <t>1</t>
    </r>
    <r>
      <rPr>
        <sz val="16"/>
        <color theme="1"/>
        <rFont val="Times New Roman"/>
        <family val="1"/>
      </rPr>
      <t>Refer to Table 1 for costs to construct and maintain fence with annual expenses.</t>
    </r>
  </si>
  <si>
    <r>
      <rPr>
        <vertAlign val="superscript"/>
        <sz val="16"/>
        <color theme="1"/>
        <rFont val="Times New Roman"/>
        <family val="1"/>
      </rPr>
      <t>2</t>
    </r>
    <r>
      <rPr>
        <sz val="16"/>
        <color theme="1"/>
        <rFont val="Times New Roman"/>
        <family val="1"/>
      </rPr>
      <t>Source: https://www.uidaho.edu/cals/idaho-agbiz/crop-budgets; Grass Hay, production and establishment. Assuming a $113,000 investment in equipment, spread over a 300 acre operation.</t>
    </r>
  </si>
  <si>
    <t>Tons of Biomass Harvested</t>
  </si>
  <si>
    <t>Table 1. Livestock Grazing Upfront Expenses and Annual Maintenance</t>
  </si>
  <si>
    <t>To account for live grazing as 0 acres</t>
  </si>
  <si>
    <t>To account for live grazing as 0 acres as a percent</t>
  </si>
  <si>
    <t>acre</t>
  </si>
  <si>
    <t>pound</t>
  </si>
  <si>
    <t>bu</t>
  </si>
  <si>
    <t>Sprayer (Rental 90')</t>
  </si>
  <si>
    <t>Additional Operation #8 (Custom)</t>
  </si>
  <si>
    <t>pounds of chemicals</t>
  </si>
  <si>
    <t>machinery repairs</t>
  </si>
  <si>
    <t>For Leasing Calculations</t>
  </si>
  <si>
    <t>BAU Crop 1</t>
  </si>
  <si>
    <t>BAU Crop 2</t>
  </si>
  <si>
    <t>BAU Crop 3</t>
  </si>
  <si>
    <t>BAU Crop 4</t>
  </si>
  <si>
    <t>BAU Crop 5</t>
  </si>
  <si>
    <t>INC Crop 1</t>
  </si>
  <si>
    <t>INC Crop 2</t>
  </si>
  <si>
    <t>INC Crop 3</t>
  </si>
  <si>
    <t>INC Crop 4</t>
  </si>
  <si>
    <t>INC Crop 5</t>
  </si>
  <si>
    <t>ASP Crop 1</t>
  </si>
  <si>
    <t>ASP Crop 2</t>
  </si>
  <si>
    <t>ASP Crop 3</t>
  </si>
  <si>
    <t>ASP Crop 4</t>
  </si>
  <si>
    <t>ASP Crop 5</t>
  </si>
  <si>
    <t>INCR</t>
  </si>
  <si>
    <t>pint</t>
  </si>
  <si>
    <t>ton</t>
  </si>
  <si>
    <t>AUM</t>
  </si>
  <si>
    <t>U of I hours of annual use</t>
  </si>
  <si>
    <t>2. Determine which crops have 2x roundup and those with 1x that use fallow</t>
  </si>
  <si>
    <t>3. Determine how to use LIT model and resesarch data, perhaps keep separate and adjust yields, due to chem use, etc.</t>
  </si>
  <si>
    <t>5. Call extension faculty in WSU and U of I for grower volunteers?</t>
  </si>
  <si>
    <t>GENESEE - Winter Wheat</t>
  </si>
  <si>
    <t>GENESEE - Spring Wheat</t>
  </si>
  <si>
    <t>GENESEE - Winter Peas</t>
  </si>
  <si>
    <t>GENESEE - Chickpeas</t>
  </si>
  <si>
    <t>Change in Replacement Costs</t>
  </si>
  <si>
    <t>SW Winter Wheat after Cereal</t>
  </si>
  <si>
    <t>SW Winter Wheat after Fallow</t>
  </si>
  <si>
    <t>SW Spring Wheat</t>
  </si>
  <si>
    <t>HR Winter Wheat</t>
  </si>
  <si>
    <t>Developed by</t>
  </si>
  <si>
    <t>Clark Seavert, Oregon State University</t>
  </si>
  <si>
    <t>Funding provided by the U.S. Department of Agriculture National Institute of Food and Agriculture grant No. 2017-68002-26819.  “Any opinions, findings, conclusions, or recommendations expressed in this publication/work are those of the author and do not necessarily reflect the view of the U.S. Department of Agriculture.”</t>
  </si>
  <si>
    <r>
      <t>The purpose of this interactive tool is to assist growers in the initial decision-making of whether to change to an alternative crop rotation.  If a more detailed analysis is desired consider using one of the AgBiz Logic</t>
    </r>
    <r>
      <rPr>
        <i/>
        <vertAlign val="superscript"/>
        <sz val="12"/>
        <rFont val="Times New Roman"/>
        <family val="1"/>
      </rPr>
      <t>TM</t>
    </r>
    <r>
      <rPr>
        <i/>
        <sz val="12"/>
        <rFont val="Times New Roman"/>
        <family val="1"/>
      </rPr>
      <t xml:space="preserve"> software modules by visiting https://www.agbizlogic.oregonstate.edu. Also consider discussing your decisions with an accountant and/or lender for the income tax implications and impacts to the liquidity and solvency of your business. However, we claim no credit or fault as to the results provided in this analysis and the outcomes should be used with caution. </t>
    </r>
  </si>
  <si>
    <t>Machinery Repairs ($)</t>
  </si>
  <si>
    <t>Machinery Replacement Costs ($)</t>
  </si>
  <si>
    <t>Machinery Labor (hours)</t>
  </si>
  <si>
    <t>Machinery Fuel Use (gallons)</t>
  </si>
  <si>
    <t>SW Winter Wheat (bu)</t>
  </si>
  <si>
    <t>DN Spring Wheat (bu)</t>
  </si>
  <si>
    <t>HR Winter Wheat (bu)</t>
  </si>
  <si>
    <t>Spring Barley (bu)</t>
  </si>
  <si>
    <t>Peas (lb)</t>
  </si>
  <si>
    <t>Chickpeas (lb)</t>
  </si>
  <si>
    <t>Canola (lb)</t>
  </si>
  <si>
    <t>Production</t>
  </si>
  <si>
    <t xml:space="preserve"> </t>
  </si>
  <si>
    <t>SW Winter Spring (bu)</t>
  </si>
  <si>
    <t>Lentils (lb)</t>
  </si>
  <si>
    <t>Forage Crop-Soil Builder Blend</t>
  </si>
  <si>
    <t>Yields per Acre</t>
  </si>
  <si>
    <t>Table 2. Crop Rotations, Crop Acres, and Net Returns/Acre by Crop</t>
  </si>
  <si>
    <t>Table 1. Total Net Returns, Amount of Inputs and Percentage Change from BAU Rotation</t>
  </si>
  <si>
    <t>TOTAL OF AMORTIZED AND ANNUAL EXPENSES</t>
  </si>
  <si>
    <t xml:space="preserve">Fertilizer - Phosphorus- </t>
  </si>
  <si>
    <t>Fertilizer - Anhydrous Ammonia-</t>
  </si>
  <si>
    <t>Fertilizer - Nitrogen-</t>
  </si>
  <si>
    <t>Fertilizer - Potassium-</t>
  </si>
  <si>
    <t>Fertilizer - Sulfur-</t>
  </si>
  <si>
    <t>Adjuvant - Ammonium Sulfate liquid-</t>
  </si>
  <si>
    <t>Adjuvant - Ammonium Sulfate  (other)-</t>
  </si>
  <si>
    <t>Adjuvant-</t>
  </si>
  <si>
    <t>Pesticide-</t>
  </si>
  <si>
    <t xml:space="preserve">crop oil concentrate </t>
  </si>
  <si>
    <t>In-place</t>
  </si>
  <si>
    <t xml:space="preserve">M90 </t>
  </si>
  <si>
    <t>Surfactant</t>
  </si>
  <si>
    <t>Syltac sticker</t>
  </si>
  <si>
    <t xml:space="preserve">Round Up </t>
  </si>
  <si>
    <t>2,4 - D</t>
  </si>
  <si>
    <t>Achieve SC</t>
  </si>
  <si>
    <t>Affintity TankMix</t>
  </si>
  <si>
    <t xml:space="preserve">Ally </t>
  </si>
  <si>
    <t>Assure</t>
  </si>
  <si>
    <t>Axial Star</t>
  </si>
  <si>
    <t>Axial Bold</t>
  </si>
  <si>
    <t>Bronate</t>
  </si>
  <si>
    <t xml:space="preserve">Brox M </t>
  </si>
  <si>
    <t>Capture</t>
  </si>
  <si>
    <t xml:space="preserve">Dimethoate </t>
  </si>
  <si>
    <t>Clethodim</t>
  </si>
  <si>
    <t>Discover</t>
  </si>
  <si>
    <t>FarGO</t>
  </si>
  <si>
    <t>Finesse</t>
  </si>
  <si>
    <t>Glyphosate</t>
  </si>
  <si>
    <t>Huskie</t>
  </si>
  <si>
    <t>Imidan 70</t>
  </si>
  <si>
    <t xml:space="preserve">Maverick </t>
  </si>
  <si>
    <t>Osprey</t>
  </si>
  <si>
    <t>Poast</t>
  </si>
  <si>
    <t>Power Flex</t>
  </si>
  <si>
    <t>Priaxor</t>
  </si>
  <si>
    <t>Prowl</t>
  </si>
  <si>
    <t>Pursuit</t>
  </si>
  <si>
    <t xml:space="preserve">Quadris </t>
  </si>
  <si>
    <t>Quilt</t>
  </si>
  <si>
    <t>R11</t>
  </si>
  <si>
    <t>Starane</t>
  </si>
  <si>
    <t>Starane + Salvo</t>
  </si>
  <si>
    <t xml:space="preserve">Starane + Sword </t>
  </si>
  <si>
    <t xml:space="preserve"> Tilt</t>
  </si>
  <si>
    <t xml:space="preserve">Wildcard </t>
  </si>
  <si>
    <t>Sharpen</t>
  </si>
  <si>
    <t>Sencor</t>
  </si>
  <si>
    <t>Warrior</t>
  </si>
  <si>
    <t xml:space="preserve"> Lorox</t>
  </si>
  <si>
    <t xml:space="preserve"> Valor</t>
  </si>
  <si>
    <t xml:space="preserve"> Diagon</t>
  </si>
  <si>
    <t xml:space="preserve">Spartan </t>
  </si>
  <si>
    <t>Chisel plow</t>
  </si>
  <si>
    <t>Moldboard plow</t>
  </si>
  <si>
    <t>Combine w/ 36' header</t>
  </si>
  <si>
    <t>Fertilizer tanks and pump</t>
  </si>
  <si>
    <t>Boom sprayer</t>
  </si>
  <si>
    <t>Table 6. List of Power Units and Machinery Values, Years of Life, Width and Speed of Operations.</t>
  </si>
  <si>
    <t>Table 7. Interest Rates, Fuel Prices, &amp; Labor Rates</t>
  </si>
  <si>
    <r>
      <t xml:space="preserve">The </t>
    </r>
    <r>
      <rPr>
        <b/>
        <sz val="12"/>
        <rFont val="Times New Roman"/>
        <family val="1"/>
      </rPr>
      <t>Economic Model to Compare Crop Rotations</t>
    </r>
    <r>
      <rPr>
        <sz val="12"/>
        <rFont val="Times New Roman"/>
        <family val="1"/>
      </rPr>
      <t xml:space="preserve"> model is an interactive tool that allows users to compare the whole-farm net returns of changing to an alternative crop rotation to their Business As Usual (BAU).</t>
    </r>
  </si>
  <si>
    <t>The results of a Economic Model to Compare Crop Rotations analysis show the crops planted in each rotation, percent and acres of each crop on a total farm basis, and the per acre net returns for each crop. Table 1 shows the total farm net returns for each rotation as well as total amounts of crop seeds, fertilizers, pesticides, and machinery labor, fuel use, repairs and maintenance. Also included are the total amounts of wheat, barley, peas, chickpeas, canola, and lentils produced in each rotation.</t>
  </si>
  <si>
    <t>SW Winter Wheat after Spring Legume</t>
  </si>
  <si>
    <t>SW Winter Wheat after Forage Crop</t>
  </si>
  <si>
    <t>DN Spring Wheat after Spring Legume</t>
  </si>
  <si>
    <t>DN Spring Wheat after Forage Crop</t>
  </si>
  <si>
    <t>DN Spring Wheat after Winter Crop</t>
  </si>
  <si>
    <t>Chickpea after Forage Crop</t>
  </si>
  <si>
    <t>Chickpea after Cereal</t>
  </si>
  <si>
    <t>Spring Pea after Cereal</t>
  </si>
  <si>
    <t>Forage Crop-St. John Area</t>
  </si>
  <si>
    <t>Forage Crop-Genesee Area</t>
  </si>
  <si>
    <t>Livestock Grazing</t>
  </si>
  <si>
    <r>
      <t xml:space="preserve">Purchase </t>
    </r>
    <r>
      <rPr>
        <b/>
        <sz val="16"/>
        <rFont val="Times New Roman"/>
        <family val="1"/>
      </rPr>
      <t>Price</t>
    </r>
  </si>
  <si>
    <r>
      <t>Enterprise budgets include cash variable and fixed, and non-cash machinery replacement costs.  Users can modify total farm acres, planted acres, per acre yields, prices received, modify machinery parameters, out-of-pocket input costs, machine use, and times each operation occurs during a season, and any custom hire operations (</t>
    </r>
    <r>
      <rPr>
        <b/>
        <sz val="12"/>
        <color rgb="FF3D6DC3"/>
        <rFont val="Times New Roman"/>
        <family val="1"/>
      </rPr>
      <t>blue font</t>
    </r>
    <r>
      <rPr>
        <sz val="12"/>
        <color theme="1"/>
        <rFont val="Times New Roman"/>
        <family val="1"/>
      </rPr>
      <t>). Not included in budgets are: family living withdrawals for unpaid labor, returns to management and land, depreciation and opportunity costs for vehicles, buildings and improvements, and federal, state, and local income and property taxes.</t>
    </r>
  </si>
  <si>
    <t xml:space="preserve">Tandem Axle Truck </t>
  </si>
  <si>
    <t>Table 8. List of Machinery Operations and Number of Applications per Season.</t>
  </si>
  <si>
    <t>Fuel Use/Hour</t>
  </si>
  <si>
    <t>Table 9. Operations that are Custom Hired or Equipment Rented</t>
  </si>
  <si>
    <t>Economic Model to Compare Crop Rotations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</si>
</sst>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0.0%"/>
    <numFmt numFmtId="165" formatCode="#,##0.0000"/>
    <numFmt numFmtId="166" formatCode="0_)"/>
    <numFmt numFmtId="167" formatCode="0.0"/>
    <numFmt numFmtId="168" formatCode="_(* #,##0.0_);_(* \(#,##0.0\);_(* &quot;-&quot;??_);_(@_)"/>
    <numFmt numFmtId="169" formatCode="_(* #,##0.0_);_(* \(#,##0.0\);_(* &quot;-&quot;?_);_(@_)"/>
    <numFmt numFmtId="170" formatCode="&quot;$&quot;#,##0"/>
    <numFmt numFmtId="171" formatCode="_(* #,##0_);_(* \(#,##0\);_(* &quot;-&quot;??_);_(@_)"/>
    <numFmt numFmtId="172" formatCode="_(* #,##0.000_);_(* \(#,##0.000\);_(* &quot;-&quot;??_);_(@_)"/>
    <numFmt numFmtId="173" formatCode="&quot;$&quot;#,##0.00"/>
    <numFmt numFmtId="174" formatCode=";;;"/>
    <numFmt numFmtId="175" formatCode="0.0_);[Red]\(0.0\)"/>
    <numFmt numFmtId="176" formatCode="_(* #,##0.0000_);_(* \(#,##0.0000\);_(* &quot;-&quot;??_);_(@_)"/>
    <numFmt numFmtId="177" formatCode="_(&quot;$&quot;* #,##0_);_(&quot;$&quot;* \(#,##0\);_(&quot;$&quot;* &quot;-&quot;??_);_(@_)"/>
  </numFmts>
  <fonts count="110">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0"/>
      <name val="Verdana"/>
      <family val="2"/>
    </font>
    <font>
      <u/>
      <sz val="8.5"/>
      <color theme="10"/>
      <name val="Verdana"/>
      <family val="2"/>
    </font>
    <font>
      <sz val="10"/>
      <name val="Arial"/>
      <family val="2"/>
    </font>
    <font>
      <sz val="11"/>
      <color indexed="8"/>
      <name val="Calibri"/>
      <family val="2"/>
    </font>
    <font>
      <u/>
      <sz val="10"/>
      <color indexed="12"/>
      <name val="Arial"/>
      <family val="2"/>
    </font>
    <font>
      <b/>
      <sz val="12"/>
      <name val="Times New Roman"/>
      <family val="1"/>
    </font>
    <font>
      <sz val="10"/>
      <name val="Helv"/>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10"/>
      <name val="Calibri"/>
      <family val="2"/>
    </font>
    <font>
      <b/>
      <sz val="11"/>
      <color indexed="63"/>
      <name val="Calibri"/>
      <family val="2"/>
    </font>
    <font>
      <b/>
      <sz val="11"/>
      <color indexed="8"/>
      <name val="Calibri"/>
      <family val="2"/>
    </font>
    <font>
      <sz val="12"/>
      <name val="Times"/>
      <family val="1"/>
    </font>
    <font>
      <sz val="10"/>
      <color indexed="8"/>
      <name val="Times New Roman"/>
      <family val="1"/>
    </font>
    <font>
      <b/>
      <sz val="11"/>
      <color indexed="52"/>
      <name val="Calibri"/>
      <family val="2"/>
    </font>
    <font>
      <b/>
      <sz val="15"/>
      <color indexed="56"/>
      <name val="Calibri"/>
      <family val="2"/>
    </font>
    <font>
      <b/>
      <sz val="13"/>
      <color indexed="56"/>
      <name val="Calibri"/>
      <family val="2"/>
    </font>
    <font>
      <b/>
      <sz val="11"/>
      <color indexed="56"/>
      <name val="Calibri"/>
      <family val="2"/>
    </font>
    <font>
      <u/>
      <sz val="7.5"/>
      <color indexed="12"/>
      <name val="Arial"/>
      <family val="2"/>
    </font>
    <font>
      <sz val="11"/>
      <color indexed="52"/>
      <name val="Calibri"/>
      <family val="2"/>
    </font>
    <font>
      <sz val="11"/>
      <color indexed="60"/>
      <name val="Calibri"/>
      <family val="2"/>
    </font>
    <font>
      <b/>
      <sz val="18"/>
      <color indexed="56"/>
      <name val="Cambria"/>
      <family val="1"/>
    </font>
    <font>
      <sz val="9"/>
      <name val="Times New Roman"/>
      <family val="1"/>
    </font>
    <font>
      <b/>
      <sz val="9"/>
      <name val="Times New Roman"/>
      <family val="1"/>
    </font>
    <font>
      <sz val="8"/>
      <name val="Helvetica"/>
      <family val="2"/>
    </font>
    <font>
      <b/>
      <sz val="15"/>
      <color indexed="62"/>
      <name val="Calibri"/>
      <family val="2"/>
    </font>
    <font>
      <b/>
      <sz val="13"/>
      <color indexed="62"/>
      <name val="Calibri"/>
      <family val="2"/>
    </font>
    <font>
      <b/>
      <sz val="11"/>
      <color indexed="62"/>
      <name val="Calibri"/>
      <family val="2"/>
    </font>
    <font>
      <b/>
      <sz val="18"/>
      <color indexed="62"/>
      <name val="Cambria"/>
      <family val="1"/>
    </font>
    <font>
      <b/>
      <sz val="11"/>
      <color indexed="10"/>
      <name val="Calibri"/>
      <family val="2"/>
    </font>
    <font>
      <sz val="11"/>
      <color indexed="19"/>
      <name val="Calibri"/>
      <family val="2"/>
    </font>
    <font>
      <b/>
      <sz val="11"/>
      <color theme="1"/>
      <name val="Calibri"/>
      <family val="2"/>
      <scheme val="minor"/>
    </font>
    <font>
      <b/>
      <sz val="11"/>
      <color rgb="FFFF0000"/>
      <name val="Calibri"/>
      <family val="2"/>
      <scheme val="minor"/>
    </font>
    <font>
      <sz val="10"/>
      <color theme="1"/>
      <name val="Calibri"/>
      <family val="2"/>
      <scheme val="minor"/>
    </font>
    <font>
      <sz val="11"/>
      <name val="Times New Roman"/>
      <family val="1"/>
    </font>
    <font>
      <u/>
      <sz val="11"/>
      <color theme="1"/>
      <name val="Calibri"/>
      <family val="2"/>
      <scheme val="minor"/>
    </font>
    <font>
      <sz val="16"/>
      <color theme="1"/>
      <name val="Calibri"/>
      <family val="2"/>
      <scheme val="minor"/>
    </font>
    <font>
      <b/>
      <sz val="16"/>
      <color theme="1"/>
      <name val="Times New Roman"/>
      <family val="1"/>
    </font>
    <font>
      <sz val="16"/>
      <color theme="1"/>
      <name val="Times New Roman"/>
      <family val="1"/>
    </font>
    <font>
      <sz val="16"/>
      <color rgb="FFFF0000"/>
      <name val="Times New Roman"/>
      <family val="1"/>
    </font>
    <font>
      <sz val="16"/>
      <name val="Times New Roman"/>
      <family val="1"/>
    </font>
    <font>
      <sz val="16"/>
      <name val="Calibri"/>
      <family val="2"/>
      <scheme val="minor"/>
    </font>
    <font>
      <b/>
      <sz val="16"/>
      <color rgb="FFC00000"/>
      <name val="Calibri"/>
      <family val="2"/>
      <scheme val="minor"/>
    </font>
    <font>
      <u/>
      <sz val="16"/>
      <color theme="1"/>
      <name val="Times New Roman"/>
      <family val="1"/>
    </font>
    <font>
      <b/>
      <i/>
      <sz val="18"/>
      <color theme="1"/>
      <name val="Times New Roman"/>
      <family val="1"/>
    </font>
    <font>
      <sz val="16"/>
      <color rgb="FF000000"/>
      <name val="Times New Roman"/>
      <family val="1"/>
    </font>
    <font>
      <b/>
      <sz val="16"/>
      <color rgb="FFFF0000"/>
      <name val="Times New Roman"/>
      <family val="1"/>
    </font>
    <font>
      <sz val="11"/>
      <color theme="1"/>
      <name val="Times New Roman"/>
      <family val="1"/>
    </font>
    <font>
      <sz val="16"/>
      <color theme="1"/>
      <name val="Calibri (Body)"/>
    </font>
    <font>
      <i/>
      <sz val="16"/>
      <color theme="1"/>
      <name val="Calibri (Body)"/>
    </font>
    <font>
      <sz val="8"/>
      <name val="Calibri"/>
      <family val="2"/>
      <scheme val="minor"/>
    </font>
    <font>
      <sz val="10"/>
      <color theme="1"/>
      <name val="Calibri (Body)"/>
    </font>
    <font>
      <sz val="16"/>
      <color rgb="FF0070C0"/>
      <name val="Times New Roman"/>
      <family val="1"/>
    </font>
    <font>
      <sz val="11"/>
      <color rgb="FF0070C0"/>
      <name val="Calibri"/>
      <family val="2"/>
      <scheme val="minor"/>
    </font>
    <font>
      <b/>
      <sz val="16"/>
      <color rgb="FF0070C0"/>
      <name val="Calibri"/>
      <family val="2"/>
      <scheme val="minor"/>
    </font>
    <font>
      <sz val="16"/>
      <color rgb="FF0070C0"/>
      <name val="Calibri"/>
      <family val="2"/>
      <scheme val="minor"/>
    </font>
    <font>
      <b/>
      <i/>
      <sz val="16"/>
      <color rgb="FF0070C0"/>
      <name val="Calibri"/>
      <family val="2"/>
      <scheme val="minor"/>
    </font>
    <font>
      <sz val="16"/>
      <color rgb="FF0070C0"/>
      <name val="Calibri (Body)"/>
    </font>
    <font>
      <b/>
      <i/>
      <sz val="16"/>
      <color theme="1"/>
      <name val="Times New Roman"/>
      <family val="1"/>
    </font>
    <font>
      <b/>
      <sz val="16"/>
      <color rgb="FFFF0000"/>
      <name val="Calibri"/>
      <family val="2"/>
      <scheme val="minor"/>
    </font>
    <font>
      <b/>
      <sz val="16"/>
      <color rgb="FF000000"/>
      <name val="Times New Roman"/>
      <family val="1"/>
    </font>
    <font>
      <sz val="11"/>
      <color rgb="FFFF0000"/>
      <name val="Calibri"/>
      <family val="2"/>
      <scheme val="minor"/>
    </font>
    <font>
      <b/>
      <i/>
      <sz val="16"/>
      <color rgb="FFFF0000"/>
      <name val="Calibri"/>
      <family val="2"/>
      <scheme val="minor"/>
    </font>
    <font>
      <b/>
      <sz val="16"/>
      <color theme="1"/>
      <name val="Calibri"/>
      <family val="2"/>
      <scheme val="minor"/>
    </font>
    <font>
      <sz val="14"/>
      <color theme="1"/>
      <name val="Times New Roman"/>
      <family val="1"/>
    </font>
    <font>
      <sz val="11"/>
      <color theme="8"/>
      <name val="Calibri"/>
      <family val="2"/>
      <scheme val="minor"/>
    </font>
    <font>
      <b/>
      <sz val="16"/>
      <color theme="8"/>
      <name val="Calibri"/>
      <family val="2"/>
      <scheme val="minor"/>
    </font>
    <font>
      <sz val="16"/>
      <color theme="8"/>
      <name val="Times New Roman"/>
      <family val="1"/>
    </font>
    <font>
      <u val="singleAccounting"/>
      <sz val="11"/>
      <color theme="1"/>
      <name val="Calibri"/>
      <family val="2"/>
      <scheme val="minor"/>
    </font>
    <font>
      <sz val="11"/>
      <color rgb="FF000000"/>
      <name val="Calibri"/>
      <family val="2"/>
      <scheme val="minor"/>
    </font>
    <font>
      <b/>
      <sz val="15.5"/>
      <color theme="1"/>
      <name val="Times New Roman"/>
      <family val="1"/>
    </font>
    <font>
      <b/>
      <sz val="15.5"/>
      <color rgb="FF0070C0"/>
      <name val="Times New Roman"/>
      <family val="1"/>
    </font>
    <font>
      <b/>
      <sz val="16"/>
      <color rgb="FF0070C0"/>
      <name val="Times New Roman"/>
      <family val="1"/>
    </font>
    <font>
      <sz val="12"/>
      <color rgb="FF0070C0"/>
      <name val="Times New Roman"/>
      <family val="1"/>
    </font>
    <font>
      <b/>
      <vertAlign val="superscript"/>
      <sz val="11"/>
      <color theme="1"/>
      <name val="Calibri (Body)"/>
    </font>
    <font>
      <vertAlign val="superscript"/>
      <sz val="11"/>
      <color theme="1"/>
      <name val="Calibri (Body)"/>
    </font>
    <font>
      <u/>
      <sz val="11"/>
      <color theme="10"/>
      <name val="Calibri"/>
      <family val="2"/>
      <scheme val="minor"/>
    </font>
    <font>
      <sz val="18"/>
      <color theme="1"/>
      <name val="Times New Roman"/>
      <family val="1"/>
    </font>
    <font>
      <b/>
      <sz val="11"/>
      <color rgb="FF000000"/>
      <name val="Calibri"/>
      <family val="2"/>
      <scheme val="minor"/>
    </font>
    <font>
      <vertAlign val="superscript"/>
      <sz val="16"/>
      <color theme="1"/>
      <name val="Times New Roman"/>
      <family val="1"/>
    </font>
    <font>
      <sz val="12"/>
      <color theme="1"/>
      <name val="Times New Roman"/>
      <family val="1"/>
    </font>
    <font>
      <sz val="16"/>
      <color rgb="FF3D6DC3"/>
      <name val="Calibri"/>
      <family val="2"/>
      <scheme val="minor"/>
    </font>
    <font>
      <sz val="16"/>
      <color rgb="FF3D6DC3"/>
      <name val="Times New Roman"/>
      <family val="1"/>
    </font>
    <font>
      <b/>
      <sz val="16"/>
      <color rgb="FF3D6DC3"/>
      <name val="Calibri"/>
      <family val="2"/>
      <scheme val="minor"/>
    </font>
    <font>
      <sz val="11"/>
      <color rgb="FF3D6DC3"/>
      <name val="Calibri"/>
      <family val="2"/>
      <scheme val="minor"/>
    </font>
    <font>
      <sz val="12"/>
      <color rgb="FF3D6DC3"/>
      <name val="Calibri"/>
      <family val="2"/>
      <scheme val="minor"/>
    </font>
    <font>
      <i/>
      <sz val="16"/>
      <color rgb="FF3D6DC3"/>
      <name val="Calibri"/>
      <family val="2"/>
      <scheme val="minor"/>
    </font>
    <font>
      <sz val="16"/>
      <color rgb="FF3D6DC3"/>
      <name val="Calibri (Body)"/>
    </font>
    <font>
      <i/>
      <sz val="16"/>
      <color rgb="FF3D6DC3"/>
      <name val="Calibri (Body)"/>
    </font>
    <font>
      <sz val="12"/>
      <name val="Times New Roman"/>
      <family val="1"/>
    </font>
    <font>
      <i/>
      <sz val="12"/>
      <name val="Times New Roman"/>
      <family val="1"/>
    </font>
    <font>
      <i/>
      <vertAlign val="superscript"/>
      <sz val="12"/>
      <name val="Times New Roman"/>
      <family val="1"/>
    </font>
    <font>
      <b/>
      <sz val="20"/>
      <color theme="1"/>
      <name val="Times New Roman"/>
      <family val="1"/>
    </font>
    <font>
      <b/>
      <sz val="12"/>
      <color theme="1"/>
      <name val="Times New Roman"/>
      <family val="1"/>
    </font>
    <font>
      <sz val="12"/>
      <color rgb="FFC00000"/>
      <name val="Times New Roman"/>
      <family val="1"/>
    </font>
    <font>
      <sz val="11"/>
      <color rgb="FFC00000"/>
      <name val="Calibri"/>
      <family val="2"/>
      <scheme val="minor"/>
    </font>
    <font>
      <b/>
      <sz val="12"/>
      <color rgb="FF3D6DC3"/>
      <name val="Times New Roman"/>
      <family val="1"/>
    </font>
    <font>
      <b/>
      <sz val="16"/>
      <name val="Times New Roman"/>
      <family val="1"/>
    </font>
    <font>
      <b/>
      <sz val="16"/>
      <color rgb="FFC00000"/>
      <name val="Times New Roman"/>
      <family val="1"/>
    </font>
  </fonts>
  <fills count="34">
    <fill>
      <patternFill patternType="none"/>
    </fill>
    <fill>
      <patternFill patternType="gray125"/>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22"/>
      </patternFill>
    </fill>
    <fill>
      <patternFill patternType="solid">
        <fgColor indexed="55"/>
      </patternFill>
    </fill>
    <fill>
      <patternFill patternType="solid">
        <fgColor indexed="22"/>
        <bgColor indexed="64"/>
      </patternFill>
    </fill>
    <fill>
      <patternFill patternType="darkTrellis"/>
    </fill>
    <fill>
      <patternFill patternType="solid">
        <fgColor theme="0"/>
        <bgColor indexed="64"/>
      </patternFill>
    </fill>
    <fill>
      <patternFill patternType="solid">
        <fgColor theme="0"/>
        <bgColor rgb="FF000000"/>
      </patternFill>
    </fill>
    <fill>
      <patternFill patternType="solid">
        <fgColor rgb="FFFFFFFF"/>
        <bgColor rgb="FF000000"/>
      </patternFill>
    </fill>
    <fill>
      <patternFill patternType="solid">
        <fgColor theme="0" tint="-0.14999847407452621"/>
        <bgColor indexed="64"/>
      </patternFill>
    </fill>
    <fill>
      <patternFill patternType="solid">
        <fgColor theme="0" tint="-4.9989318521683403E-2"/>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bottom style="medium">
        <color indexed="30"/>
      </bottom>
      <diagonal/>
    </border>
    <border>
      <left/>
      <right/>
      <top/>
      <bottom style="double">
        <color indexed="10"/>
      </bottom>
      <diagonal/>
    </border>
    <border>
      <left/>
      <right/>
      <top/>
      <bottom style="double">
        <color indexed="52"/>
      </bottom>
      <diagonal/>
    </border>
    <border>
      <left style="hair">
        <color auto="1"/>
      </left>
      <right style="hair">
        <color auto="1"/>
      </right>
      <top style="hair">
        <color auto="1"/>
      </top>
      <bottom style="hair">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right/>
      <top/>
      <bottom style="medium">
        <color indexed="27"/>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4"/>
      </left>
      <right/>
      <top/>
      <bottom style="thin">
        <color indexed="64"/>
      </bottom>
      <diagonal/>
    </border>
    <border>
      <left/>
      <right style="thin">
        <color indexed="64"/>
      </right>
      <top style="thin">
        <color auto="1"/>
      </top>
      <bottom style="thin">
        <color indexed="64"/>
      </bottom>
      <diagonal/>
    </border>
    <border>
      <left style="thin">
        <color indexed="64"/>
      </left>
      <right/>
      <top/>
      <bottom/>
      <diagonal/>
    </border>
    <border>
      <left/>
      <right style="thin">
        <color indexed="64"/>
      </right>
      <top/>
      <bottom style="thin">
        <color auto="1"/>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right/>
      <top/>
      <bottom style="thin">
        <color indexed="64"/>
      </bottom>
      <diagonal/>
    </border>
    <border>
      <left/>
      <right/>
      <top/>
      <bottom style="medium">
        <color indexed="27"/>
      </bottom>
      <diagonal/>
    </border>
    <border>
      <left/>
      <right/>
      <top/>
      <bottom style="medium">
        <color indexed="30"/>
      </bottom>
      <diagonal/>
    </border>
    <border>
      <left style="thin">
        <color auto="1"/>
      </left>
      <right style="thin">
        <color auto="1"/>
      </right>
      <top style="thin">
        <color auto="1"/>
      </top>
      <bottom/>
      <diagonal/>
    </border>
    <border>
      <left/>
      <right/>
      <top style="thin">
        <color indexed="64"/>
      </top>
      <bottom style="thin">
        <color indexed="64"/>
      </bottom>
      <diagonal/>
    </border>
    <border>
      <left/>
      <right style="thin">
        <color indexed="64"/>
      </right>
      <top style="thin">
        <color auto="1"/>
      </top>
      <bottom/>
      <diagonal/>
    </border>
    <border>
      <left/>
      <right/>
      <top style="thin">
        <color indexed="64"/>
      </top>
      <bottom/>
      <diagonal/>
    </border>
    <border>
      <left style="thin">
        <color auto="1"/>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s>
  <cellStyleXfs count="33025">
    <xf numFmtId="0" fontId="0" fillId="0" borderId="0"/>
    <xf numFmtId="9" fontId="6" fillId="0" borderId="0" applyFont="0" applyFill="0" applyBorder="0" applyAlignment="0" applyProtection="0"/>
    <xf numFmtId="0" fontId="7" fillId="0" borderId="0"/>
    <xf numFmtId="0" fontId="8" fillId="0" borderId="0" applyNumberFormat="0" applyFill="0" applyBorder="0" applyAlignment="0" applyProtection="0">
      <alignment vertical="top"/>
      <protection locked="0"/>
    </xf>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9" fillId="0" borderId="0"/>
    <xf numFmtId="0" fontId="10" fillId="2"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2"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8"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6"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6" borderId="0" applyNumberFormat="0" applyBorder="0" applyAlignment="0" applyProtection="0"/>
    <xf numFmtId="49" fontId="33" fillId="0" borderId="1" applyNumberFormat="0" applyFont="0" applyFill="0" applyBorder="0" applyProtection="0">
      <alignment horizontal="left" vertical="center" indent="2"/>
    </xf>
    <xf numFmtId="0" fontId="10" fillId="10"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10"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10" borderId="0" applyNumberFormat="0" applyBorder="0" applyAlignment="0" applyProtection="0"/>
    <xf numFmtId="0" fontId="10" fillId="6"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6" borderId="0" applyNumberFormat="0" applyBorder="0" applyAlignment="0" applyProtection="0"/>
    <xf numFmtId="49" fontId="33" fillId="0" borderId="3" applyNumberFormat="0" applyFont="0" applyFill="0" applyBorder="0" applyProtection="0">
      <alignment horizontal="left" vertical="center" indent="5"/>
    </xf>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0"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15"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5"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0" borderId="0" applyNumberFormat="0" applyBorder="0" applyAlignment="0" applyProtection="0"/>
    <xf numFmtId="0" fontId="14" fillId="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4"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4" fillId="15"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15" borderId="0" applyNumberFormat="0" applyBorder="0" applyAlignment="0" applyProtection="0"/>
    <xf numFmtId="0" fontId="14" fillId="13"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13"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21" borderId="0" applyNumberFormat="0" applyBorder="0" applyAlignment="0" applyProtection="0"/>
    <xf numFmtId="0" fontId="15" fillId="9"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9" borderId="0" applyNumberFormat="0" applyBorder="0" applyAlignment="0" applyProtection="0"/>
    <xf numFmtId="4" fontId="34" fillId="0" borderId="2" applyFill="0" applyBorder="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0" fontId="16" fillId="26" borderId="5"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10"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10" borderId="0" applyNumberFormat="0" applyBorder="0" applyAlignment="0" applyProtection="0"/>
    <xf numFmtId="0" fontId="36" fillId="0" borderId="6"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37" fillId="0" borderId="8"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38" fillId="0" borderId="10"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3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2" fillId="0" borderId="0" applyNumberFormat="0" applyFill="0" applyBorder="0" applyAlignment="0" applyProtection="0"/>
    <xf numFmtId="0" fontId="29"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20" fillId="0" borderId="12"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30" fillId="0" borderId="13" applyNumberFormat="0" applyFill="0" applyAlignment="0" applyProtection="0"/>
    <xf numFmtId="0" fontId="20" fillId="0" borderId="12" applyNumberFormat="0" applyFill="0" applyAlignment="0" applyProtection="0"/>
    <xf numFmtId="0" fontId="4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14"/>
    <xf numFmtId="0" fontId="9" fillId="0" borderId="14"/>
    <xf numFmtId="0" fontId="9" fillId="0" borderId="0"/>
    <xf numFmtId="0" fontId="9" fillId="0" borderId="14"/>
    <xf numFmtId="0" fontId="9" fillId="0" borderId="14"/>
    <xf numFmtId="0" fontId="9" fillId="0" borderId="14"/>
    <xf numFmtId="0" fontId="9" fillId="0" borderId="14"/>
    <xf numFmtId="0" fontId="24" fillId="0" borderId="0"/>
    <xf numFmtId="0" fontId="10" fillId="0" borderId="0"/>
    <xf numFmtId="0" fontId="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xf numFmtId="0" fontId="10" fillId="0" borderId="0"/>
    <xf numFmtId="0" fontId="9" fillId="0" borderId="14"/>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0" fontId="35" fillId="27" borderId="0" applyNumberFormat="0" applyFont="0" applyBorder="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165" fontId="33" fillId="28" borderId="1" applyNumberFormat="0" applyFont="0" applyBorder="0" applyAlignment="0" applyProtection="0">
      <alignment horizontal="right" vertical="center"/>
    </xf>
    <xf numFmtId="9" fontId="9" fillId="0" borderId="0" applyFont="0" applyFill="0" applyBorder="0" applyAlignment="0" applyProtection="0"/>
    <xf numFmtId="164" fontId="9" fillId="0" borderId="0" applyFont="0" applyFill="0" applyBorder="0" applyAlignment="0" applyProtection="0"/>
    <xf numFmtId="166" fontId="13" fillId="0" borderId="0"/>
    <xf numFmtId="11" fontId="13" fillId="0" borderId="0" applyFont="0" applyFill="0" applyBorder="0" applyAlignment="0" applyProtection="0"/>
    <xf numFmtId="0" fontId="39"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3" fontId="7" fillId="0" borderId="0" applyFont="0" applyFill="0" applyBorder="0" applyAlignment="0" applyProtection="0"/>
    <xf numFmtId="9" fontId="7" fillId="0" borderId="0" applyFont="0" applyFill="0" applyBorder="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8" fillId="0" borderId="11" applyNumberFormat="0" applyFill="0" applyAlignment="0" applyProtection="0"/>
    <xf numFmtId="0" fontId="38" fillId="0" borderId="10"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0" borderId="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38" fillId="0" borderId="21"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20" applyNumberFormat="0" applyFont="0" applyFill="0" applyBorder="0" applyProtection="0">
      <alignment horizontal="left" vertical="center" indent="5"/>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8" fillId="0" borderId="22" applyNumberFormat="0" applyFill="0" applyAlignment="0" applyProtection="0"/>
    <xf numFmtId="0" fontId="38" fillId="0" borderId="21"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20" applyNumberFormat="0" applyFont="0" applyFill="0" applyBorder="0" applyProtection="0">
      <alignment horizontal="left" vertical="center" indent="5"/>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49" fontId="33" fillId="0" borderId="20" applyNumberFormat="0" applyFont="0" applyFill="0" applyBorder="0" applyProtection="0">
      <alignment horizontal="left" vertical="center" indent="5"/>
    </xf>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165" fontId="33" fillId="28" borderId="19" applyNumberFormat="0" applyFont="0" applyBorder="0" applyAlignment="0" applyProtection="0">
      <alignment horizontal="right" vertical="center"/>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22" fillId="0" borderId="18" applyNumberFormat="0" applyFill="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2" fillId="0" borderId="18"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25" fillId="25" borderId="4" applyNumberFormat="0" applyAlignment="0" applyProtection="0"/>
    <xf numFmtId="0" fontId="28" fillId="0" borderId="22" applyNumberFormat="0" applyFill="0" applyAlignment="0" applyProtection="0"/>
    <xf numFmtId="0" fontId="19" fillId="8" borderId="4" applyNumberFormat="0" applyAlignment="0" applyProtection="0"/>
    <xf numFmtId="0" fontId="28" fillId="0" borderId="22" applyNumberFormat="0" applyFill="0" applyAlignment="0" applyProtection="0"/>
    <xf numFmtId="0" fontId="21" fillId="25" borderId="16" applyNumberFormat="0" applyAlignment="0" applyProtection="0"/>
    <xf numFmtId="0" fontId="25" fillId="25" borderId="4" applyNumberFormat="0" applyAlignment="0" applyProtection="0"/>
    <xf numFmtId="0" fontId="25" fillId="25" borderId="4" applyNumberFormat="0" applyAlignment="0" applyProtection="0"/>
    <xf numFmtId="0" fontId="9" fillId="6" borderId="15" applyNumberFormat="0" applyFont="0" applyAlignment="0" applyProtection="0"/>
    <xf numFmtId="0" fontId="25" fillId="25" borderId="4" applyNumberFormat="0" applyAlignment="0" applyProtection="0"/>
    <xf numFmtId="0" fontId="28" fillId="0" borderId="22" applyNumberFormat="0" applyFill="0" applyAlignment="0" applyProtection="0"/>
    <xf numFmtId="0" fontId="19" fillId="8" borderId="4" applyNumberFormat="0" applyAlignment="0" applyProtection="0"/>
    <xf numFmtId="0" fontId="25" fillId="25" borderId="4" applyNumberFormat="0" applyAlignment="0" applyProtection="0"/>
    <xf numFmtId="0" fontId="19" fillId="11" borderId="4"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22" fillId="0" borderId="18" applyNumberFormat="0" applyFill="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28" fillId="0" borderId="22" applyNumberFormat="0" applyFill="0" applyAlignment="0" applyProtection="0"/>
    <xf numFmtId="0" fontId="28" fillId="0" borderId="22"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8" fillId="0" borderId="22" applyNumberFormat="0" applyFill="0" applyAlignment="0" applyProtection="0"/>
    <xf numFmtId="165" fontId="33" fillId="28" borderId="19" applyNumberFormat="0" applyFont="0" applyBorder="0" applyAlignment="0" applyProtection="0">
      <alignment horizontal="right" vertical="center"/>
    </xf>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8" fillId="0" borderId="22" applyNumberFormat="0" applyFill="0" applyAlignment="0" applyProtection="0"/>
    <xf numFmtId="0" fontId="38" fillId="0" borderId="21" applyNumberFormat="0" applyFill="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28" fillId="0" borderId="22" applyNumberFormat="0" applyFill="0" applyAlignment="0" applyProtection="0"/>
    <xf numFmtId="0" fontId="22" fillId="0" borderId="18" applyNumberFormat="0" applyFill="0" applyAlignment="0" applyProtection="0"/>
    <xf numFmtId="0" fontId="28" fillId="0" borderId="22"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1" fillId="25" borderId="16"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4"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8" fillId="0" borderId="22" applyNumberFormat="0" applyFill="0" applyAlignment="0" applyProtection="0"/>
    <xf numFmtId="0" fontId="19" fillId="8" borderId="4" applyNumberFormat="0" applyAlignment="0" applyProtection="0"/>
    <xf numFmtId="0" fontId="21" fillId="25" borderId="16" applyNumberFormat="0" applyAlignment="0" applyProtection="0"/>
    <xf numFmtId="0" fontId="21" fillId="24" borderId="16" applyNumberFormat="0" applyAlignment="0" applyProtection="0"/>
    <xf numFmtId="0" fontId="28" fillId="0" borderId="22" applyNumberFormat="0" applyFill="0" applyAlignment="0" applyProtection="0"/>
    <xf numFmtId="0" fontId="28" fillId="0" borderId="22" applyNumberFormat="0" applyFill="0" applyAlignment="0" applyProtection="0"/>
    <xf numFmtId="49" fontId="33" fillId="0" borderId="19" applyNumberFormat="0" applyFont="0" applyFill="0" applyBorder="0" applyProtection="0">
      <alignment horizontal="left" vertical="center" indent="2"/>
    </xf>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8" fillId="0" borderId="22" applyNumberFormat="0" applyFill="0" applyAlignment="0" applyProtection="0"/>
    <xf numFmtId="0" fontId="9" fillId="6" borderId="15" applyNumberFormat="0" applyFont="0" applyAlignment="0" applyProtection="0"/>
    <xf numFmtId="49" fontId="33" fillId="0" borderId="20" applyNumberFormat="0" applyFont="0" applyFill="0" applyBorder="0" applyProtection="0">
      <alignment horizontal="left" vertical="center" indent="5"/>
    </xf>
    <xf numFmtId="0" fontId="19" fillId="8" borderId="4" applyNumberFormat="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33" fillId="0" borderId="19" applyNumberFormat="0" applyFill="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21" fillId="25" borderId="16" applyNumberFormat="0" applyAlignment="0" applyProtection="0"/>
    <xf numFmtId="0" fontId="28" fillId="0" borderId="22" applyNumberFormat="0" applyFill="0" applyAlignment="0" applyProtection="0"/>
    <xf numFmtId="0" fontId="19" fillId="8" borderId="4" applyNumberFormat="0" applyAlignment="0" applyProtection="0"/>
    <xf numFmtId="0" fontId="28" fillId="0" borderId="22"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2" fillId="0" borderId="18" applyNumberFormat="0" applyFill="0" applyAlignment="0" applyProtection="0"/>
    <xf numFmtId="0" fontId="28" fillId="0" borderId="22" applyNumberFormat="0" applyFill="0" applyAlignment="0" applyProtection="0"/>
    <xf numFmtId="0" fontId="40" fillId="24" borderId="4" applyNumberFormat="0" applyAlignment="0" applyProtection="0"/>
    <xf numFmtId="0" fontId="19" fillId="8" borderId="4"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19" fillId="11" borderId="4" applyNumberFormat="0" applyAlignment="0" applyProtection="0"/>
    <xf numFmtId="0" fontId="19" fillId="8" borderId="4" applyNumberFormat="0" applyAlignment="0" applyProtection="0"/>
    <xf numFmtId="0" fontId="22" fillId="0" borderId="17" applyNumberFormat="0" applyFill="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1" fillId="24" borderId="16" applyNumberFormat="0" applyAlignment="0" applyProtection="0"/>
    <xf numFmtId="0" fontId="28" fillId="0" borderId="22" applyNumberFormat="0" applyFill="0" applyAlignment="0" applyProtection="0"/>
    <xf numFmtId="0" fontId="28" fillId="0" borderId="22"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25" fillId="25" borderId="4" applyNumberFormat="0" applyAlignment="0" applyProtection="0"/>
    <xf numFmtId="0" fontId="28" fillId="0" borderId="22" applyNumberFormat="0" applyFill="0" applyAlignment="0" applyProtection="0"/>
    <xf numFmtId="0" fontId="28" fillId="0" borderId="22" applyNumberFormat="0" applyFill="0" applyAlignment="0" applyProtection="0"/>
    <xf numFmtId="0" fontId="9" fillId="6" borderId="15" applyNumberFormat="0" applyFont="0" applyAlignment="0" applyProtection="0"/>
    <xf numFmtId="0" fontId="19" fillId="11"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8" fillId="0" borderId="22" applyNumberFormat="0" applyFill="0" applyAlignment="0" applyProtection="0"/>
    <xf numFmtId="0" fontId="19" fillId="8" borderId="4" applyNumberFormat="0" applyAlignment="0" applyProtection="0"/>
    <xf numFmtId="0" fontId="22" fillId="0" borderId="18" applyNumberFormat="0" applyFill="0" applyAlignment="0" applyProtection="0"/>
    <xf numFmtId="0" fontId="28" fillId="0" borderId="22" applyNumberFormat="0" applyFill="0" applyAlignment="0" applyProtection="0"/>
    <xf numFmtId="49" fontId="33" fillId="0" borderId="3" applyNumberFormat="0" applyFont="0" applyFill="0" applyBorder="0" applyProtection="0">
      <alignment horizontal="left" vertical="center" indent="5"/>
    </xf>
    <xf numFmtId="0" fontId="28" fillId="0" borderId="22" applyNumberFormat="0" applyFill="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165" fontId="33" fillId="28" borderId="19" applyNumberFormat="0" applyFont="0" applyBorder="0" applyAlignment="0" applyProtection="0">
      <alignment horizontal="right" vertical="center"/>
    </xf>
    <xf numFmtId="0" fontId="19" fillId="11" borderId="4" applyNumberFormat="0" applyAlignment="0" applyProtection="0"/>
    <xf numFmtId="0" fontId="25" fillId="25" borderId="4" applyNumberFormat="0" applyAlignment="0" applyProtection="0"/>
    <xf numFmtId="0" fontId="28" fillId="0" borderId="22" applyNumberFormat="0" applyFill="0" applyAlignment="0" applyProtection="0"/>
    <xf numFmtId="0" fontId="25" fillId="25" borderId="4" applyNumberFormat="0" applyAlignment="0" applyProtection="0"/>
    <xf numFmtId="0" fontId="28" fillId="0" borderId="22" applyNumberFormat="0" applyFill="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165" fontId="33" fillId="28" borderId="19" applyNumberFormat="0" applyFont="0" applyBorder="0" applyAlignment="0" applyProtection="0">
      <alignment horizontal="right" vertical="center"/>
    </xf>
    <xf numFmtId="0" fontId="21" fillId="25" borderId="16" applyNumberFormat="0" applyAlignment="0" applyProtection="0"/>
    <xf numFmtId="0" fontId="9" fillId="6" borderId="15" applyNumberFormat="0" applyFont="0" applyAlignment="0" applyProtection="0"/>
    <xf numFmtId="4" fontId="33" fillId="0" borderId="19" applyFill="0" applyBorder="0" applyProtection="0">
      <alignment horizontal="right" vertical="center"/>
    </xf>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165" fontId="33" fillId="28" borderId="19" applyNumberFormat="0" applyFont="0" applyBorder="0" applyAlignment="0" applyProtection="0">
      <alignment horizontal="right" vertical="center"/>
    </xf>
    <xf numFmtId="0" fontId="33" fillId="0" borderId="19" applyNumberFormat="0" applyFill="0" applyAlignment="0" applyProtection="0"/>
    <xf numFmtId="4" fontId="33" fillId="0" borderId="19" applyFill="0" applyBorder="0" applyProtection="0">
      <alignment horizontal="right" vertical="center"/>
    </xf>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19" fillId="11"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4" fontId="33" fillId="0" borderId="19" applyFill="0" applyBorder="0" applyProtection="0">
      <alignment horizontal="right" vertical="center"/>
    </xf>
    <xf numFmtId="0" fontId="22" fillId="0" borderId="17" applyNumberFormat="0" applyFill="0" applyAlignment="0" applyProtection="0"/>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49" fontId="34" fillId="0" borderId="19" applyNumberFormat="0" applyFill="0" applyBorder="0" applyProtection="0">
      <alignment horizontal="left" vertical="center"/>
    </xf>
    <xf numFmtId="0" fontId="22" fillId="0" borderId="18" applyNumberFormat="0" applyFill="0" applyAlignment="0" applyProtection="0"/>
    <xf numFmtId="0" fontId="21" fillId="24"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49" fontId="33" fillId="0" borderId="19" applyNumberFormat="0" applyFont="0" applyFill="0" applyBorder="0" applyProtection="0">
      <alignment horizontal="left" vertical="center" indent="2"/>
    </xf>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22" fillId="0" borderId="17" applyNumberFormat="0" applyFill="0" applyAlignment="0" applyProtection="0"/>
    <xf numFmtId="0" fontId="19" fillId="8" borderId="4"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49" fontId="33" fillId="0" borderId="19" applyNumberFormat="0" applyFont="0" applyFill="0" applyBorder="0" applyProtection="0">
      <alignment horizontal="left" vertical="center" indent="2"/>
    </xf>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40" fillId="24" borderId="4" applyNumberFormat="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2" fillId="0" borderId="17"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8" fillId="0" borderId="22" applyNumberFormat="0" applyFill="0" applyAlignment="0" applyProtection="0"/>
    <xf numFmtId="0" fontId="9" fillId="6" borderId="15" applyNumberFormat="0" applyFont="0" applyAlignment="0" applyProtection="0"/>
    <xf numFmtId="0" fontId="25" fillId="25" borderId="4" applyNumberFormat="0" applyAlignment="0" applyProtection="0"/>
    <xf numFmtId="49" fontId="34" fillId="0" borderId="1" applyNumberFormat="0" applyFill="0" applyBorder="0" applyProtection="0">
      <alignment horizontal="left" vertical="center"/>
    </xf>
    <xf numFmtId="0" fontId="19" fillId="8" borderId="4" applyNumberFormat="0" applyAlignment="0" applyProtection="0"/>
    <xf numFmtId="0" fontId="21" fillId="25" borderId="16" applyNumberFormat="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49" fontId="34" fillId="0" borderId="19" applyNumberFormat="0" applyFill="0" applyBorder="0" applyProtection="0">
      <alignment horizontal="left" vertical="center"/>
    </xf>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40" fillId="24" borderId="4" applyNumberFormat="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8"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20" applyNumberFormat="0" applyFont="0" applyFill="0" applyBorder="0" applyProtection="0">
      <alignment horizontal="left" vertical="center" indent="5"/>
    </xf>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19" fillId="8" borderId="4" applyNumberFormat="0" applyAlignment="0" applyProtection="0"/>
    <xf numFmtId="0" fontId="25" fillId="25"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165" fontId="33" fillId="28" borderId="19" applyNumberFormat="0" applyFont="0" applyBorder="0" applyAlignment="0" applyProtection="0">
      <alignment horizontal="right" vertical="center"/>
    </xf>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4" fontId="33" fillId="0" borderId="1" applyFill="0" applyBorder="0" applyProtection="0">
      <alignment horizontal="right" vertical="center"/>
    </xf>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49" fontId="34" fillId="0" borderId="19" applyNumberFormat="0" applyFill="0" applyBorder="0" applyProtection="0">
      <alignment horizontal="left" vertical="center"/>
    </xf>
    <xf numFmtId="0" fontId="19" fillId="8" borderId="4" applyNumberFormat="0" applyAlignment="0" applyProtection="0"/>
    <xf numFmtId="0" fontId="25" fillId="25" borderId="4" applyNumberFormat="0" applyAlignment="0" applyProtection="0"/>
    <xf numFmtId="0" fontId="19" fillId="8" borderId="4" applyNumberFormat="0" applyAlignment="0" applyProtection="0"/>
    <xf numFmtId="49" fontId="33" fillId="0" borderId="20" applyNumberFormat="0" applyFont="0" applyFill="0" applyBorder="0" applyProtection="0">
      <alignment horizontal="left" vertical="center" indent="5"/>
    </xf>
    <xf numFmtId="0" fontId="19" fillId="8" borderId="4" applyNumberFormat="0" applyAlignment="0" applyProtection="0"/>
    <xf numFmtId="49" fontId="33" fillId="0" borderId="19"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25" fillId="25" borderId="4"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8" fillId="0" borderId="22" applyNumberFormat="0" applyFill="0" applyAlignment="0" applyProtection="0"/>
    <xf numFmtId="0" fontId="9" fillId="6" borderId="15" applyNumberFormat="0" applyFont="0" applyAlignment="0" applyProtection="0"/>
    <xf numFmtId="0" fontId="33" fillId="0" borderId="1" applyNumberFormat="0" applyFill="0" applyAlignment="0" applyProtection="0"/>
    <xf numFmtId="0" fontId="19" fillId="8"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49" fontId="33" fillId="0" borderId="1" applyNumberFormat="0" applyFont="0" applyFill="0" applyBorder="0" applyProtection="0">
      <alignment horizontal="left" vertical="center" indent="2"/>
    </xf>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49" fontId="33" fillId="0" borderId="19" applyNumberFormat="0" applyFont="0" applyFill="0" applyBorder="0" applyProtection="0">
      <alignment horizontal="left" vertical="center" indent="2"/>
    </xf>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40" fillId="24"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49" fontId="33" fillId="0" borderId="19" applyNumberFormat="0" applyFont="0" applyFill="0" applyBorder="0" applyProtection="0">
      <alignment horizontal="left" vertical="center" indent="2"/>
    </xf>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49" fontId="33" fillId="0" borderId="19"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4" applyNumberFormat="0" applyAlignment="0" applyProtection="0"/>
    <xf numFmtId="0" fontId="21" fillId="24"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19" fillId="8"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49" fontId="33" fillId="0" borderId="1" applyNumberFormat="0" applyFont="0" applyFill="0" applyBorder="0" applyProtection="0">
      <alignment horizontal="left" vertical="center" indent="2"/>
    </xf>
    <xf numFmtId="0" fontId="21" fillId="24" borderId="16" applyNumberFormat="0" applyAlignment="0" applyProtection="0"/>
    <xf numFmtId="0" fontId="9" fillId="6" borderId="15" applyNumberFormat="0" applyFont="0" applyAlignment="0" applyProtection="0"/>
    <xf numFmtId="0" fontId="19" fillId="8" borderId="4" applyNumberFormat="0" applyAlignment="0" applyProtection="0"/>
    <xf numFmtId="0" fontId="21" fillId="25" borderId="16" applyNumberFormat="0" applyAlignment="0" applyProtection="0"/>
    <xf numFmtId="0" fontId="21" fillId="25" borderId="16" applyNumberFormat="0" applyAlignment="0" applyProtection="0"/>
    <xf numFmtId="49" fontId="33" fillId="0" borderId="19"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19" fillId="8" borderId="4" applyNumberFormat="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33" fillId="0" borderId="19" applyNumberFormat="0" applyFill="0" applyAlignment="0" applyProtection="0"/>
    <xf numFmtId="0" fontId="22" fillId="0" borderId="18" applyNumberFormat="0" applyFill="0" applyAlignment="0" applyProtection="0"/>
    <xf numFmtId="0" fontId="19" fillId="8" borderId="4" applyNumberFormat="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19" fillId="11" borderId="4" applyNumberFormat="0" applyAlignment="0" applyProtection="0"/>
    <xf numFmtId="0" fontId="21" fillId="24" borderId="16" applyNumberFormat="0" applyAlignment="0" applyProtection="0"/>
    <xf numFmtId="0" fontId="9" fillId="6" borderId="15" applyNumberFormat="0" applyFont="0" applyAlignment="0" applyProtection="0"/>
    <xf numFmtId="0" fontId="28" fillId="0" borderId="22"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40" fillId="24" borderId="4"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19" fillId="8" borderId="4"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4"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2" fillId="0" borderId="17" applyNumberFormat="0" applyFill="0" applyAlignment="0" applyProtection="0"/>
    <xf numFmtId="0" fontId="19" fillId="11" borderId="4" applyNumberFormat="0" applyAlignment="0" applyProtection="0"/>
    <xf numFmtId="0" fontId="21" fillId="25" borderId="16" applyNumberFormat="0" applyAlignment="0" applyProtection="0"/>
    <xf numFmtId="0" fontId="19" fillId="8" borderId="4" applyNumberFormat="0" applyAlignment="0" applyProtection="0"/>
    <xf numFmtId="0" fontId="25" fillId="25" borderId="4" applyNumberFormat="0" applyAlignment="0" applyProtection="0"/>
    <xf numFmtId="0" fontId="22" fillId="0" borderId="17" applyNumberFormat="0" applyFill="0" applyAlignment="0" applyProtection="0"/>
    <xf numFmtId="0" fontId="40" fillId="24" borderId="4" applyNumberFormat="0" applyAlignment="0" applyProtection="0"/>
    <xf numFmtId="0" fontId="19" fillId="8" borderId="4"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7" applyNumberFormat="0" applyFill="0" applyAlignment="0" applyProtection="0"/>
    <xf numFmtId="0" fontId="40" fillId="24"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49" fontId="33" fillId="0" borderId="19"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19" fillId="8" borderId="4" applyNumberFormat="0" applyAlignment="0" applyProtection="0"/>
    <xf numFmtId="4" fontId="33" fillId="0" borderId="19" applyFill="0" applyBorder="0" applyProtection="0">
      <alignment horizontal="right" vertical="center"/>
    </xf>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1" fillId="25" borderId="16" applyNumberFormat="0" applyAlignment="0" applyProtection="0"/>
    <xf numFmtId="49" fontId="33" fillId="0" borderId="3" applyNumberFormat="0" applyFont="0" applyFill="0" applyBorder="0" applyProtection="0">
      <alignment horizontal="left" vertical="center" indent="5"/>
    </xf>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49" fontId="33" fillId="0" borderId="19"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33" fillId="0" borderId="19" applyNumberFormat="0" applyFill="0" applyAlignment="0" applyProtection="0"/>
    <xf numFmtId="0" fontId="19" fillId="8"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4" fontId="33" fillId="0" borderId="19" applyFill="0" applyBorder="0" applyProtection="0">
      <alignment horizontal="right" vertical="center"/>
    </xf>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49" fontId="33" fillId="0" borderId="19"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4"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19" fillId="11" borderId="4" applyNumberFormat="0" applyAlignment="0" applyProtection="0"/>
    <xf numFmtId="0" fontId="21" fillId="24" borderId="16" applyNumberFormat="0" applyAlignment="0" applyProtection="0"/>
    <xf numFmtId="0" fontId="21" fillId="25" borderId="16" applyNumberFormat="0" applyAlignment="0" applyProtection="0"/>
    <xf numFmtId="0" fontId="40" fillId="24" borderId="4" applyNumberFormat="0" applyAlignment="0" applyProtection="0"/>
    <xf numFmtId="0" fontId="19" fillId="8" borderId="4"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8" fillId="0" borderId="22" applyNumberFormat="0" applyFill="0" applyAlignment="0" applyProtection="0"/>
    <xf numFmtId="0" fontId="19" fillId="8" borderId="4" applyNumberFormat="0" applyAlignment="0" applyProtection="0"/>
    <xf numFmtId="0" fontId="25" fillId="25" borderId="4" applyNumberFormat="0" applyAlignment="0" applyProtection="0"/>
    <xf numFmtId="4" fontId="33" fillId="0" borderId="1" applyFill="0" applyBorder="0" applyProtection="0">
      <alignment horizontal="right" vertical="center"/>
    </xf>
    <xf numFmtId="0" fontId="21" fillId="25" borderId="16" applyNumberFormat="0" applyAlignment="0" applyProtection="0"/>
    <xf numFmtId="0" fontId="19" fillId="8" borderId="4" applyNumberFormat="0" applyAlignment="0" applyProtection="0"/>
    <xf numFmtId="49" fontId="33" fillId="0" borderId="20" applyNumberFormat="0" applyFont="0" applyFill="0" applyBorder="0" applyProtection="0">
      <alignment horizontal="left" vertical="center" indent="5"/>
    </xf>
    <xf numFmtId="0" fontId="19" fillId="8"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49" fontId="33" fillId="0" borderId="20" applyNumberFormat="0" applyFont="0" applyFill="0" applyBorder="0" applyProtection="0">
      <alignment horizontal="left" vertical="center" indent="5"/>
    </xf>
    <xf numFmtId="0" fontId="40" fillId="24"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0" fontId="25" fillId="25" borderId="4" applyNumberFormat="0" applyAlignment="0" applyProtection="0"/>
    <xf numFmtId="0" fontId="22" fillId="0" borderId="17" applyNumberFormat="0" applyFill="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21" fillId="25" borderId="16" applyNumberFormat="0" applyAlignment="0" applyProtection="0"/>
    <xf numFmtId="0" fontId="40" fillId="24" borderId="4"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28" fillId="0" borderId="22" applyNumberFormat="0" applyFill="0" applyAlignment="0" applyProtection="0"/>
    <xf numFmtId="0" fontId="21" fillId="25" borderId="16" applyNumberFormat="0" applyAlignment="0" applyProtection="0"/>
    <xf numFmtId="0" fontId="19" fillId="8" borderId="4" applyNumberFormat="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0" fontId="22" fillId="0" borderId="17" applyNumberFormat="0" applyFill="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19" fillId="11" borderId="4" applyNumberFormat="0" applyAlignment="0" applyProtection="0"/>
    <xf numFmtId="0" fontId="19" fillId="8" borderId="4" applyNumberFormat="0" applyAlignment="0" applyProtection="0"/>
    <xf numFmtId="0" fontId="40" fillId="24"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7" applyNumberFormat="0" applyFill="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49" fontId="33" fillId="0" borderId="19"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22" fillId="0" borderId="18" applyNumberFormat="0" applyFill="0" applyAlignment="0" applyProtection="0"/>
    <xf numFmtId="0" fontId="19" fillId="11" borderId="4" applyNumberForma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3" applyNumberFormat="0" applyFont="0" applyFill="0" applyBorder="0" applyProtection="0">
      <alignment horizontal="left" vertical="center" indent="5"/>
    </xf>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21" fillId="25" borderId="16" applyNumberFormat="0" applyAlignment="0" applyProtection="0"/>
    <xf numFmtId="0" fontId="22" fillId="0" borderId="18" applyNumberFormat="0" applyFill="0" applyAlignment="0" applyProtection="0"/>
    <xf numFmtId="49" fontId="33" fillId="0" borderId="19"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49" fontId="33" fillId="0" borderId="20" applyNumberFormat="0" applyFont="0" applyFill="0" applyBorder="0" applyProtection="0">
      <alignment horizontal="left" vertical="center" indent="5"/>
    </xf>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19" fillId="8" borderId="4" applyNumberFormat="0" applyAlignment="0" applyProtection="0"/>
    <xf numFmtId="0" fontId="22" fillId="0" borderId="17" applyNumberFormat="0" applyFill="0" applyAlignment="0" applyProtection="0"/>
    <xf numFmtId="0" fontId="25" fillId="25" borderId="4" applyNumberFormat="0" applyAlignment="0" applyProtection="0"/>
    <xf numFmtId="0" fontId="21" fillId="25" borderId="16" applyNumberFormat="0" applyAlignment="0" applyProtection="0"/>
    <xf numFmtId="0" fontId="25" fillId="25" borderId="4"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38" fillId="0" borderId="21" applyNumberFormat="0" applyFill="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5" fillId="25" borderId="4"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4" applyNumberFormat="0" applyAlignment="0" applyProtection="0"/>
    <xf numFmtId="0" fontId="21" fillId="24" borderId="16" applyNumberFormat="0" applyAlignment="0" applyProtection="0"/>
    <xf numFmtId="0" fontId="22" fillId="0" borderId="17" applyNumberFormat="0" applyFill="0" applyAlignment="0" applyProtection="0"/>
    <xf numFmtId="0" fontId="21" fillId="25" borderId="16"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25" fillId="25" borderId="4" applyNumberFormat="0" applyAlignment="0" applyProtection="0"/>
    <xf numFmtId="0" fontId="19" fillId="11" borderId="4"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49" fontId="33" fillId="0" borderId="19"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19" fillId="11" borderId="4" applyNumberFormat="0" applyAlignment="0" applyProtection="0"/>
    <xf numFmtId="0" fontId="25" fillId="25" borderId="4" applyNumberFormat="0" applyAlignment="0" applyProtection="0"/>
    <xf numFmtId="0" fontId="21" fillId="24" borderId="16" applyNumberFormat="0" applyAlignment="0" applyProtection="0"/>
    <xf numFmtId="0" fontId="19" fillId="8" borderId="4" applyNumberFormat="0" applyAlignment="0" applyProtection="0"/>
    <xf numFmtId="0" fontId="21" fillId="24" borderId="16" applyNumberFormat="0" applyAlignment="0" applyProtection="0"/>
    <xf numFmtId="0" fontId="21" fillId="25" borderId="16"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0" fontId="22" fillId="0" borderId="18" applyNumberFormat="0" applyFill="0" applyAlignment="0" applyProtection="0"/>
    <xf numFmtId="0" fontId="19" fillId="8" borderId="4" applyNumberFormat="0" applyAlignment="0" applyProtection="0"/>
    <xf numFmtId="0" fontId="21" fillId="24" borderId="16" applyNumberFormat="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49" fontId="33" fillId="0" borderId="19"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49" fontId="34" fillId="0" borderId="1" applyNumberFormat="0" applyFill="0" applyBorder="0" applyProtection="0">
      <alignment horizontal="left" vertical="center"/>
    </xf>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19" fillId="11" borderId="4" applyNumberFormat="0" applyAlignment="0" applyProtection="0"/>
    <xf numFmtId="0" fontId="9" fillId="6" borderId="15" applyNumberFormat="0" applyFont="0" applyAlignment="0" applyProtection="0"/>
    <xf numFmtId="0" fontId="25" fillId="25" borderId="4" applyNumberFormat="0" applyAlignment="0" applyProtection="0"/>
    <xf numFmtId="0" fontId="22" fillId="0" borderId="18" applyNumberFormat="0" applyFill="0" applyAlignment="0" applyProtection="0"/>
    <xf numFmtId="0" fontId="33" fillId="0" borderId="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49" fontId="33" fillId="0" borderId="19"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3" applyNumberFormat="0" applyFont="0" applyFill="0" applyBorder="0" applyProtection="0">
      <alignment horizontal="left" vertical="center" indent="5"/>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49" fontId="33" fillId="0" borderId="3" applyNumberFormat="0" applyFont="0" applyFill="0" applyBorder="0" applyProtection="0">
      <alignment horizontal="left" vertical="center" indent="5"/>
    </xf>
    <xf numFmtId="49" fontId="33" fillId="0" borderId="19"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4" fillId="0" borderId="19" applyNumberFormat="0" applyFill="0" applyBorder="0" applyProtection="0">
      <alignment horizontal="left" vertical="center"/>
    </xf>
    <xf numFmtId="49" fontId="33" fillId="0" borderId="19" applyNumberFormat="0" applyFont="0" applyFill="0" applyBorder="0" applyProtection="0">
      <alignment horizontal="left" vertical="center" indent="2"/>
    </xf>
    <xf numFmtId="0" fontId="22" fillId="0" borderId="18" applyNumberFormat="0" applyFill="0" applyAlignment="0" applyProtection="0"/>
    <xf numFmtId="0" fontId="19" fillId="8" borderId="4" applyNumberFormat="0" applyAlignment="0" applyProtection="0"/>
    <xf numFmtId="0" fontId="28" fillId="0" borderId="22" applyNumberFormat="0" applyFill="0" applyAlignment="0" applyProtection="0"/>
    <xf numFmtId="0" fontId="19" fillId="8" borderId="4" applyNumberFormat="0" applyAlignment="0" applyProtection="0"/>
    <xf numFmtId="0" fontId="28" fillId="0" borderId="22" applyNumberFormat="0" applyFill="0" applyAlignment="0" applyProtection="0"/>
    <xf numFmtId="0" fontId="28" fillId="0" borderId="22"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49" fontId="33" fillId="0" borderId="19" applyNumberFormat="0" applyFont="0" applyFill="0" applyBorder="0" applyProtection="0">
      <alignment horizontal="left" vertical="center" indent="2"/>
    </xf>
    <xf numFmtId="0" fontId="19" fillId="8" borderId="4"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28" fillId="0" borderId="22" applyNumberFormat="0" applyFill="0" applyAlignment="0" applyProtection="0"/>
    <xf numFmtId="0" fontId="22" fillId="0" borderId="17" applyNumberFormat="0" applyFill="0" applyAlignment="0" applyProtection="0"/>
    <xf numFmtId="49" fontId="34" fillId="0" borderId="19" applyNumberFormat="0" applyFill="0" applyBorder="0" applyProtection="0">
      <alignment horizontal="left" vertical="center"/>
    </xf>
    <xf numFmtId="0" fontId="28" fillId="0" borderId="22" applyNumberFormat="0" applyFill="0" applyAlignment="0" applyProtection="0"/>
    <xf numFmtId="0" fontId="9" fillId="6" borderId="15" applyNumberFormat="0" applyFont="0" applyAlignment="0" applyProtection="0"/>
    <xf numFmtId="0" fontId="28" fillId="0" borderId="22" applyNumberFormat="0" applyFill="0" applyAlignment="0" applyProtection="0"/>
    <xf numFmtId="0" fontId="21" fillId="24" borderId="16" applyNumberFormat="0" applyAlignment="0" applyProtection="0"/>
    <xf numFmtId="0" fontId="21" fillId="25" borderId="16" applyNumberFormat="0" applyAlignment="0" applyProtection="0"/>
    <xf numFmtId="0" fontId="28" fillId="0" borderId="22" applyNumberFormat="0" applyFill="0" applyAlignment="0" applyProtection="0"/>
    <xf numFmtId="0" fontId="9" fillId="6" borderId="15" applyNumberFormat="0" applyFont="0" applyAlignment="0" applyProtection="0"/>
    <xf numFmtId="0" fontId="19" fillId="8" borderId="4" applyNumberFormat="0" applyAlignment="0" applyProtection="0"/>
    <xf numFmtId="49" fontId="33" fillId="0" borderId="20" applyNumberFormat="0" applyFont="0" applyFill="0" applyBorder="0" applyProtection="0">
      <alignment horizontal="left" vertical="center" indent="5"/>
    </xf>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28" fillId="0" borderId="22" applyNumberFormat="0" applyFill="0" applyAlignment="0" applyProtection="0"/>
    <xf numFmtId="0" fontId="21" fillId="24" borderId="16" applyNumberFormat="0" applyAlignment="0" applyProtection="0"/>
    <xf numFmtId="0" fontId="28" fillId="0" borderId="22"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33" fillId="0" borderId="19"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4" borderId="16"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19" fillId="11" borderId="4" applyNumberFormat="0" applyAlignment="0" applyProtection="0"/>
    <xf numFmtId="0" fontId="22" fillId="0" borderId="18" applyNumberFormat="0" applyFill="0" applyAlignment="0" applyProtection="0"/>
    <xf numFmtId="4" fontId="33" fillId="0" borderId="19" applyFill="0" applyBorder="0" applyProtection="0">
      <alignment horizontal="right" vertical="center"/>
    </xf>
    <xf numFmtId="0" fontId="22" fillId="0" borderId="17" applyNumberFormat="0" applyFill="0" applyAlignment="0" applyProtection="0"/>
    <xf numFmtId="0" fontId="19" fillId="11" borderId="4" applyNumberFormat="0" applyAlignment="0" applyProtection="0"/>
    <xf numFmtId="49" fontId="33" fillId="0" borderId="20" applyNumberFormat="0" applyFont="0" applyFill="0" applyBorder="0" applyProtection="0">
      <alignment horizontal="left" vertical="center" indent="5"/>
    </xf>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20" applyNumberFormat="0" applyFont="0" applyFill="0" applyBorder="0" applyProtection="0">
      <alignment horizontal="left" vertical="center" indent="5"/>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49" fontId="33" fillId="0" borderId="20" applyNumberFormat="0" applyFont="0" applyFill="0" applyBorder="0" applyProtection="0">
      <alignment horizontal="left" vertical="center" indent="5"/>
    </xf>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20" applyNumberFormat="0" applyFont="0" applyFill="0" applyBorder="0" applyProtection="0">
      <alignment horizontal="left" vertical="center" indent="5"/>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38" fillId="0" borderId="21" applyNumberFormat="0" applyFill="0" applyAlignment="0" applyProtection="0"/>
    <xf numFmtId="49" fontId="33" fillId="0" borderId="3" applyNumberFormat="0" applyFont="0" applyFill="0" applyBorder="0" applyProtection="0">
      <alignment horizontal="left" vertical="center" indent="5"/>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25" fillId="25" borderId="4"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38" fillId="0" borderId="10"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8" fillId="0" borderId="11" applyNumberFormat="0" applyFill="0" applyAlignment="0" applyProtection="0"/>
    <xf numFmtId="0" fontId="38" fillId="0" borderId="10"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165" fontId="33" fillId="28" borderId="1" applyNumberFormat="0" applyFont="0" applyBorder="0" applyAlignment="0" applyProtection="0">
      <alignment horizontal="right" vertical="center"/>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8" fillId="0" borderId="11" applyNumberFormat="0" applyFill="0" applyAlignment="0" applyProtection="0"/>
    <xf numFmtId="0" fontId="19" fillId="8" borderId="4" applyNumberFormat="0" applyAlignment="0" applyProtection="0"/>
    <xf numFmtId="0" fontId="28" fillId="0" borderId="11" applyNumberFormat="0" applyFill="0" applyAlignment="0" applyProtection="0"/>
    <xf numFmtId="0" fontId="21" fillId="25" borderId="16" applyNumberFormat="0" applyAlignment="0" applyProtection="0"/>
    <xf numFmtId="0" fontId="25" fillId="25" borderId="4" applyNumberFormat="0" applyAlignment="0" applyProtection="0"/>
    <xf numFmtId="0" fontId="25" fillId="25" borderId="4" applyNumberFormat="0" applyAlignment="0" applyProtection="0"/>
    <xf numFmtId="0" fontId="9" fillId="6" borderId="15" applyNumberFormat="0" applyFont="0" applyAlignment="0" applyProtection="0"/>
    <xf numFmtId="0" fontId="25" fillId="25" borderId="4" applyNumberFormat="0" applyAlignment="0" applyProtection="0"/>
    <xf numFmtId="0" fontId="28" fillId="0" borderId="11" applyNumberFormat="0" applyFill="0" applyAlignment="0" applyProtection="0"/>
    <xf numFmtId="0" fontId="19" fillId="8" borderId="4" applyNumberFormat="0" applyAlignment="0" applyProtection="0"/>
    <xf numFmtId="0" fontId="25" fillId="25" borderId="4" applyNumberFormat="0" applyAlignment="0" applyProtection="0"/>
    <xf numFmtId="0" fontId="19" fillId="11" borderId="4"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22" fillId="0" borderId="18" applyNumberFormat="0" applyFill="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28" fillId="0" borderId="11" applyNumberFormat="0" applyFill="0" applyAlignment="0" applyProtection="0"/>
    <xf numFmtId="0" fontId="28" fillId="0" borderId="11"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8" fillId="0" borderId="11" applyNumberFormat="0" applyFill="0" applyAlignment="0" applyProtection="0"/>
    <xf numFmtId="0" fontId="38" fillId="0" borderId="10" applyNumberFormat="0" applyFill="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8" fillId="0" borderId="11" applyNumberFormat="0" applyFill="0" applyAlignment="0" applyProtection="0"/>
    <xf numFmtId="0" fontId="22" fillId="0" borderId="18"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4"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8" fillId="0" borderId="11" applyNumberFormat="0" applyFill="0" applyAlignment="0" applyProtection="0"/>
    <xf numFmtId="0" fontId="19" fillId="8" borderId="4" applyNumberFormat="0" applyAlignment="0" applyProtection="0"/>
    <xf numFmtId="0" fontId="21" fillId="25" borderId="16" applyNumberFormat="0" applyAlignment="0" applyProtection="0"/>
    <xf numFmtId="0" fontId="21" fillId="24" borderId="16" applyNumberFormat="0" applyAlignment="0" applyProtection="0"/>
    <xf numFmtId="0" fontId="28" fillId="0" borderId="11" applyNumberFormat="0" applyFill="0" applyAlignment="0" applyProtection="0"/>
    <xf numFmtId="0" fontId="28" fillId="0" borderId="11" applyNumberFormat="0" applyFill="0" applyAlignment="0" applyProtection="0"/>
    <xf numFmtId="49" fontId="33" fillId="0" borderId="1" applyNumberFormat="0" applyFont="0" applyFill="0" applyBorder="0" applyProtection="0">
      <alignment horizontal="left" vertical="center" indent="2"/>
    </xf>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49" fontId="33" fillId="0" borderId="3" applyNumberFormat="0" applyFont="0" applyFill="0" applyBorder="0" applyProtection="0">
      <alignment horizontal="left" vertical="center" indent="5"/>
    </xf>
    <xf numFmtId="0" fontId="19" fillId="8" borderId="4"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33" fillId="0" borderId="1" applyNumberFormat="0" applyFill="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21" fillId="25" borderId="16" applyNumberFormat="0" applyAlignment="0" applyProtection="0"/>
    <xf numFmtId="0" fontId="28" fillId="0" borderId="11" applyNumberFormat="0" applyFill="0" applyAlignment="0" applyProtection="0"/>
    <xf numFmtId="0" fontId="19" fillId="8" borderId="4" applyNumberFormat="0" applyAlignment="0" applyProtection="0"/>
    <xf numFmtId="0" fontId="28" fillId="0" borderId="11"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2" fillId="0" borderId="18" applyNumberFormat="0" applyFill="0" applyAlignment="0" applyProtection="0"/>
    <xf numFmtId="0" fontId="28" fillId="0" borderId="11" applyNumberFormat="0" applyFill="0" applyAlignment="0" applyProtection="0"/>
    <xf numFmtId="0" fontId="40" fillId="24" borderId="4" applyNumberFormat="0" applyAlignment="0" applyProtection="0"/>
    <xf numFmtId="0" fontId="19" fillId="8" borderId="4"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19" fillId="11" borderId="4" applyNumberFormat="0" applyAlignment="0" applyProtection="0"/>
    <xf numFmtId="0" fontId="19" fillId="8" borderId="4" applyNumberFormat="0" applyAlignment="0" applyProtection="0"/>
    <xf numFmtId="0" fontId="22" fillId="0" borderId="17" applyNumberFormat="0" applyFill="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1" fillId="24" borderId="16"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25" fillId="25" borderId="4"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19" fillId="11"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8" fillId="0" borderId="11" applyNumberFormat="0" applyFill="0" applyAlignment="0" applyProtection="0"/>
    <xf numFmtId="0" fontId="19" fillId="8" borderId="4" applyNumberFormat="0" applyAlignment="0" applyProtection="0"/>
    <xf numFmtId="0" fontId="22" fillId="0" borderId="18"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25" fillId="25" borderId="4" applyNumberFormat="0" applyAlignment="0" applyProtection="0"/>
    <xf numFmtId="0" fontId="28" fillId="0" borderId="11" applyNumberFormat="0" applyFill="0" applyAlignment="0" applyProtection="0"/>
    <xf numFmtId="0" fontId="25" fillId="25" borderId="4" applyNumberFormat="0" applyAlignment="0" applyProtection="0"/>
    <xf numFmtId="0" fontId="28" fillId="0" borderId="11" applyNumberFormat="0" applyFill="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165" fontId="33" fillId="28" borderId="1" applyNumberFormat="0" applyFont="0" applyBorder="0" applyAlignment="0" applyProtection="0">
      <alignment horizontal="right" vertical="center"/>
    </xf>
    <xf numFmtId="0" fontId="21" fillId="25" borderId="16" applyNumberFormat="0" applyAlignment="0" applyProtection="0"/>
    <xf numFmtId="0" fontId="9" fillId="6" borderId="15" applyNumberFormat="0" applyFont="0" applyAlignment="0" applyProtection="0"/>
    <xf numFmtId="4" fontId="33" fillId="0" borderId="1" applyFill="0" applyBorder="0" applyProtection="0">
      <alignment horizontal="right" vertical="center"/>
    </xf>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165" fontId="33" fillId="28" borderId="1" applyNumberFormat="0" applyFont="0" applyBorder="0" applyAlignment="0" applyProtection="0">
      <alignment horizontal="right" vertical="center"/>
    </xf>
    <xf numFmtId="0" fontId="33" fillId="0" borderId="1" applyNumberFormat="0" applyFill="0" applyAlignment="0" applyProtection="0"/>
    <xf numFmtId="4" fontId="33" fillId="0" borderId="1" applyFill="0" applyBorder="0" applyProtection="0">
      <alignment horizontal="right" vertical="center"/>
    </xf>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19" fillId="11"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4" fontId="33" fillId="0" borderId="1" applyFill="0" applyBorder="0" applyProtection="0">
      <alignment horizontal="right" vertical="center"/>
    </xf>
    <xf numFmtId="0" fontId="22" fillId="0" borderId="17" applyNumberFormat="0" applyFill="0" applyAlignment="0" applyProtection="0"/>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49" fontId="34" fillId="0" borderId="1" applyNumberFormat="0" applyFill="0" applyBorder="0" applyProtection="0">
      <alignment horizontal="left" vertical="center"/>
    </xf>
    <xf numFmtId="0" fontId="22" fillId="0" borderId="18" applyNumberFormat="0" applyFill="0" applyAlignment="0" applyProtection="0"/>
    <xf numFmtId="0" fontId="21" fillId="24"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49" fontId="33" fillId="0" borderId="1" applyNumberFormat="0" applyFont="0" applyFill="0" applyBorder="0" applyProtection="0">
      <alignment horizontal="left" vertical="center" indent="2"/>
    </xf>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22" fillId="0" borderId="17" applyNumberFormat="0" applyFill="0" applyAlignment="0" applyProtection="0"/>
    <xf numFmtId="0" fontId="19" fillId="8" borderId="4"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49" fontId="33" fillId="0" borderId="1" applyNumberFormat="0" applyFont="0" applyFill="0" applyBorder="0" applyProtection="0">
      <alignment horizontal="left" vertical="center" indent="2"/>
    </xf>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40" fillId="24" borderId="4" applyNumberFormat="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2" fillId="0" borderId="17"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8" fillId="0" borderId="11" applyNumberFormat="0" applyFill="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49" fontId="34" fillId="0" borderId="1" applyNumberFormat="0" applyFill="0" applyBorder="0" applyProtection="0">
      <alignment horizontal="left" vertical="center"/>
    </xf>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40" fillId="24" borderId="4" applyNumberFormat="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8"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19" fillId="8" borderId="4" applyNumberFormat="0" applyAlignment="0" applyProtection="0"/>
    <xf numFmtId="0" fontId="25" fillId="25"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165" fontId="33" fillId="28" borderId="1" applyNumberFormat="0" applyFont="0" applyBorder="0" applyAlignment="0" applyProtection="0">
      <alignment horizontal="right" vertical="center"/>
    </xf>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49" fontId="34" fillId="0" borderId="1" applyNumberFormat="0" applyFill="0" applyBorder="0" applyProtection="0">
      <alignment horizontal="left" vertical="center"/>
    </xf>
    <xf numFmtId="0" fontId="19" fillId="8" borderId="4" applyNumberFormat="0" applyAlignment="0" applyProtection="0"/>
    <xf numFmtId="0" fontId="25" fillId="25" borderId="4" applyNumberFormat="0" applyAlignment="0" applyProtection="0"/>
    <xf numFmtId="0" fontId="19" fillId="8" borderId="4" applyNumberFormat="0" applyAlignment="0" applyProtection="0"/>
    <xf numFmtId="49" fontId="33" fillId="0" borderId="3" applyNumberFormat="0" applyFont="0" applyFill="0" applyBorder="0" applyProtection="0">
      <alignment horizontal="left" vertical="center" indent="5"/>
    </xf>
    <xf numFmtId="0" fontId="19" fillId="8" borderId="4"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25" fillId="25" borderId="4"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8" fillId="0" borderId="11" applyNumberFormat="0" applyFill="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49" fontId="33" fillId="0" borderId="1" applyNumberFormat="0" applyFont="0" applyFill="0" applyBorder="0" applyProtection="0">
      <alignment horizontal="left" vertical="center" indent="2"/>
    </xf>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40" fillId="24"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49" fontId="33" fillId="0" borderId="1" applyNumberFormat="0" applyFont="0" applyFill="0" applyBorder="0" applyProtection="0">
      <alignment horizontal="left" vertical="center" indent="2"/>
    </xf>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8" borderId="4" applyNumberFormat="0" applyAlignment="0" applyProtection="0"/>
    <xf numFmtId="0" fontId="21" fillId="24"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19" fillId="8"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21" fillId="24" borderId="16" applyNumberFormat="0" applyAlignment="0" applyProtection="0"/>
    <xf numFmtId="0" fontId="9" fillId="6" borderId="15" applyNumberFormat="0" applyFont="0" applyAlignment="0" applyProtection="0"/>
    <xf numFmtId="0" fontId="19" fillId="8" borderId="4" applyNumberFormat="0" applyAlignment="0" applyProtection="0"/>
    <xf numFmtId="0" fontId="21" fillId="25" borderId="16" applyNumberFormat="0" applyAlignment="0" applyProtection="0"/>
    <xf numFmtId="0" fontId="21" fillId="25" borderId="16" applyNumberFormat="0" applyAlignment="0" applyProtection="0"/>
    <xf numFmtId="49" fontId="33" fillId="0" borderId="1" applyNumberFormat="0" applyFont="0" applyFill="0" applyBorder="0" applyProtection="0">
      <alignment horizontal="left" vertical="center" indent="2"/>
    </xf>
    <xf numFmtId="0" fontId="9" fillId="6" borderId="15" applyNumberFormat="0" applyFont="0" applyAlignment="0" applyProtection="0"/>
    <xf numFmtId="0" fontId="19" fillId="8" borderId="4" applyNumberFormat="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33" fillId="0" borderId="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19" fillId="11" borderId="4" applyNumberFormat="0" applyAlignment="0" applyProtection="0"/>
    <xf numFmtId="0" fontId="21" fillId="24" borderId="16" applyNumberFormat="0" applyAlignment="0" applyProtection="0"/>
    <xf numFmtId="0" fontId="9" fillId="6" borderId="15" applyNumberFormat="0" applyFont="0" applyAlignment="0" applyProtection="0"/>
    <xf numFmtId="0" fontId="28" fillId="0" borderId="11"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40" fillId="24" borderId="4"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19" fillId="8"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8" borderId="4"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2" fillId="0" borderId="17" applyNumberFormat="0" applyFill="0" applyAlignment="0" applyProtection="0"/>
    <xf numFmtId="0" fontId="19" fillId="11" borderId="4" applyNumberFormat="0" applyAlignment="0" applyProtection="0"/>
    <xf numFmtId="0" fontId="21" fillId="25" borderId="16" applyNumberFormat="0" applyAlignment="0" applyProtection="0"/>
    <xf numFmtId="0" fontId="19" fillId="8" borderId="4" applyNumberFormat="0" applyAlignment="0" applyProtection="0"/>
    <xf numFmtId="0" fontId="25" fillId="25" borderId="4" applyNumberFormat="0" applyAlignment="0" applyProtection="0"/>
    <xf numFmtId="0" fontId="22" fillId="0" borderId="17" applyNumberFormat="0" applyFill="0" applyAlignment="0" applyProtection="0"/>
    <xf numFmtId="0" fontId="40" fillId="24" borderId="4" applyNumberFormat="0" applyAlignment="0" applyProtection="0"/>
    <xf numFmtId="0" fontId="19" fillId="8" borderId="4"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7" applyNumberFormat="0" applyFill="0" applyAlignment="0" applyProtection="0"/>
    <xf numFmtId="0" fontId="40" fillId="24"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19" fillId="8" borderId="4" applyNumberFormat="0" applyAlignment="0" applyProtection="0"/>
    <xf numFmtId="4" fontId="33" fillId="0" borderId="1" applyFill="0" applyBorder="0" applyProtection="0">
      <alignment horizontal="right" vertical="center"/>
    </xf>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33" fillId="0" borderId="1" applyNumberFormat="0" applyFill="0" applyAlignment="0" applyProtection="0"/>
    <xf numFmtId="0" fontId="19" fillId="8"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4" fontId="33" fillId="0" borderId="1" applyFill="0" applyBorder="0" applyProtection="0">
      <alignment horizontal="right" vertical="center"/>
    </xf>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8" borderId="4"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19" fillId="11" borderId="4" applyNumberFormat="0" applyAlignment="0" applyProtection="0"/>
    <xf numFmtId="0" fontId="21" fillId="24" borderId="16" applyNumberFormat="0" applyAlignment="0" applyProtection="0"/>
    <xf numFmtId="0" fontId="21" fillId="25" borderId="16" applyNumberFormat="0" applyAlignment="0" applyProtection="0"/>
    <xf numFmtId="0" fontId="40" fillId="24" borderId="4" applyNumberFormat="0" applyAlignment="0" applyProtection="0"/>
    <xf numFmtId="0" fontId="19" fillId="8" borderId="4"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8" fillId="0" borderId="11" applyNumberFormat="0" applyFill="0" applyAlignment="0" applyProtection="0"/>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49" fontId="33" fillId="0" borderId="3" applyNumberFormat="0" applyFont="0" applyFill="0" applyBorder="0" applyProtection="0">
      <alignment horizontal="left" vertical="center" indent="5"/>
    </xf>
    <xf numFmtId="0" fontId="19" fillId="8"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49" fontId="33" fillId="0" borderId="3" applyNumberFormat="0" applyFont="0" applyFill="0" applyBorder="0" applyProtection="0">
      <alignment horizontal="left" vertical="center" indent="5"/>
    </xf>
    <xf numFmtId="0" fontId="40" fillId="24"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0" fontId="25" fillId="25" borderId="4" applyNumberFormat="0" applyAlignment="0" applyProtection="0"/>
    <xf numFmtId="0" fontId="22" fillId="0" borderId="17" applyNumberFormat="0" applyFill="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21" fillId="25" borderId="16" applyNumberFormat="0" applyAlignment="0" applyProtection="0"/>
    <xf numFmtId="0" fontId="40" fillId="24" borderId="4"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28" fillId="0" borderId="11" applyNumberFormat="0" applyFill="0" applyAlignment="0" applyProtection="0"/>
    <xf numFmtId="0" fontId="21" fillId="25" borderId="16"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0" fontId="22" fillId="0" borderId="17" applyNumberFormat="0" applyFill="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19" fillId="11" borderId="4" applyNumberFormat="0" applyAlignment="0" applyProtection="0"/>
    <xf numFmtId="0" fontId="19" fillId="8" borderId="4" applyNumberFormat="0" applyAlignment="0" applyProtection="0"/>
    <xf numFmtId="0" fontId="40" fillId="24"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7" applyNumberFormat="0" applyFill="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22" fillId="0" borderId="18" applyNumberFormat="0" applyFill="0" applyAlignment="0" applyProtection="0"/>
    <xf numFmtId="0" fontId="19" fillId="11" borderId="4" applyNumberForma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21" fillId="25" borderId="16" applyNumberFormat="0" applyAlignment="0" applyProtection="0"/>
    <xf numFmtId="0" fontId="22" fillId="0" borderId="18" applyNumberFormat="0" applyFill="0" applyAlignment="0" applyProtection="0"/>
    <xf numFmtId="49" fontId="33" fillId="0" borderId="1" applyNumberFormat="0" applyFont="0" applyFill="0" applyBorder="0" applyProtection="0">
      <alignment horizontal="left" vertical="center" indent="2"/>
    </xf>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49" fontId="33" fillId="0" borderId="3" applyNumberFormat="0" applyFont="0" applyFill="0" applyBorder="0" applyProtection="0">
      <alignment horizontal="left" vertical="center" indent="5"/>
    </xf>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19" fillId="8" borderId="4" applyNumberFormat="0" applyAlignment="0" applyProtection="0"/>
    <xf numFmtId="0" fontId="22" fillId="0" borderId="17" applyNumberFormat="0" applyFill="0" applyAlignment="0" applyProtection="0"/>
    <xf numFmtId="0" fontId="25" fillId="25" borderId="4" applyNumberFormat="0" applyAlignment="0" applyProtection="0"/>
    <xf numFmtId="0" fontId="21" fillId="25" borderId="16" applyNumberFormat="0" applyAlignment="0" applyProtection="0"/>
    <xf numFmtId="0" fontId="25" fillId="25" borderId="4"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38" fillId="0" borderId="10" applyNumberFormat="0" applyFill="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5" fillId="25"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8" borderId="4" applyNumberFormat="0" applyAlignment="0" applyProtection="0"/>
    <xf numFmtId="0" fontId="21" fillId="24" borderId="16" applyNumberFormat="0" applyAlignment="0" applyProtection="0"/>
    <xf numFmtId="0" fontId="22" fillId="0" borderId="17" applyNumberFormat="0" applyFill="0" applyAlignment="0" applyProtection="0"/>
    <xf numFmtId="0" fontId="21" fillId="25" borderId="16"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25" fillId="25" borderId="4" applyNumberFormat="0" applyAlignment="0" applyProtection="0"/>
    <xf numFmtId="0" fontId="19" fillId="11" borderId="4"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19" fillId="11" borderId="4" applyNumberFormat="0" applyAlignment="0" applyProtection="0"/>
    <xf numFmtId="0" fontId="25" fillId="25" borderId="4" applyNumberFormat="0" applyAlignment="0" applyProtection="0"/>
    <xf numFmtId="0" fontId="21" fillId="24" borderId="16" applyNumberFormat="0" applyAlignment="0" applyProtection="0"/>
    <xf numFmtId="0" fontId="19" fillId="8" borderId="4" applyNumberFormat="0" applyAlignment="0" applyProtection="0"/>
    <xf numFmtId="0" fontId="21" fillId="24" borderId="16" applyNumberFormat="0" applyAlignment="0" applyProtection="0"/>
    <xf numFmtId="0" fontId="21" fillId="25" borderId="16"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0" fontId="22" fillId="0" borderId="18" applyNumberFormat="0" applyFill="0" applyAlignment="0" applyProtection="0"/>
    <xf numFmtId="0" fontId="19" fillId="8" borderId="4" applyNumberFormat="0" applyAlignment="0" applyProtection="0"/>
    <xf numFmtId="0" fontId="21" fillId="24" borderId="16" applyNumberFormat="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19" fillId="11" borderId="4" applyNumberFormat="0" applyAlignment="0" applyProtection="0"/>
    <xf numFmtId="0" fontId="9" fillId="6" borderId="15" applyNumberFormat="0" applyFont="0" applyAlignment="0" applyProtection="0"/>
    <xf numFmtId="0" fontId="25" fillId="25"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4" fillId="0" borderId="1" applyNumberFormat="0" applyFill="0" applyBorder="0" applyProtection="0">
      <alignment horizontal="left" vertical="center"/>
    </xf>
    <xf numFmtId="49" fontId="33" fillId="0" borderId="1" applyNumberFormat="0" applyFont="0" applyFill="0" applyBorder="0" applyProtection="0">
      <alignment horizontal="left" vertical="center" indent="2"/>
    </xf>
    <xf numFmtId="0" fontId="22" fillId="0" borderId="18" applyNumberFormat="0" applyFill="0" applyAlignment="0" applyProtection="0"/>
    <xf numFmtId="0" fontId="19" fillId="8" borderId="4" applyNumberFormat="0" applyAlignment="0" applyProtection="0"/>
    <xf numFmtId="0" fontId="28" fillId="0" borderId="11" applyNumberFormat="0" applyFill="0" applyAlignment="0" applyProtection="0"/>
    <xf numFmtId="0" fontId="19" fillId="8" borderId="4"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49" fontId="33" fillId="0" borderId="1" applyNumberFormat="0" applyFont="0" applyFill="0" applyBorder="0" applyProtection="0">
      <alignment horizontal="left" vertical="center" indent="2"/>
    </xf>
    <xf numFmtId="0" fontId="19" fillId="8" borderId="4"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7" applyNumberFormat="0" applyFill="0" applyAlignment="0" applyProtection="0"/>
    <xf numFmtId="49" fontId="34" fillId="0" borderId="1" applyNumberFormat="0" applyFill="0" applyBorder="0" applyProtection="0">
      <alignment horizontal="left" vertical="center"/>
    </xf>
    <xf numFmtId="0" fontId="28" fillId="0" borderId="11" applyNumberFormat="0" applyFill="0" applyAlignment="0" applyProtection="0"/>
    <xf numFmtId="0" fontId="9" fillId="6" borderId="15" applyNumberFormat="0" applyFont="0" applyAlignment="0" applyProtection="0"/>
    <xf numFmtId="0" fontId="28" fillId="0" borderId="11" applyNumberFormat="0" applyFill="0" applyAlignment="0" applyProtection="0"/>
    <xf numFmtId="0" fontId="21" fillId="24" borderId="16" applyNumberFormat="0" applyAlignment="0" applyProtection="0"/>
    <xf numFmtId="0" fontId="21" fillId="25" borderId="16" applyNumberFormat="0" applyAlignment="0" applyProtection="0"/>
    <xf numFmtId="0" fontId="28" fillId="0" borderId="11" applyNumberFormat="0" applyFill="0" applyAlignment="0" applyProtection="0"/>
    <xf numFmtId="0" fontId="9" fillId="6" borderId="15" applyNumberFormat="0" applyFont="0" applyAlignment="0" applyProtection="0"/>
    <xf numFmtId="0" fontId="19" fillId="8" borderId="4" applyNumberFormat="0" applyAlignment="0" applyProtection="0"/>
    <xf numFmtId="49" fontId="33" fillId="0" borderId="3" applyNumberFormat="0" applyFont="0" applyFill="0" applyBorder="0" applyProtection="0">
      <alignment horizontal="left" vertical="center" indent="5"/>
    </xf>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28" fillId="0" borderId="11" applyNumberFormat="0" applyFill="0" applyAlignment="0" applyProtection="0"/>
    <xf numFmtId="0" fontId="21" fillId="24"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33" fillId="0" borderId="1"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4" borderId="16"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19" fillId="11" borderId="4" applyNumberFormat="0" applyAlignment="0" applyProtection="0"/>
    <xf numFmtId="0" fontId="22" fillId="0" borderId="18" applyNumberFormat="0" applyFill="0" applyAlignment="0" applyProtection="0"/>
    <xf numFmtId="4" fontId="33" fillId="0" borderId="1" applyFill="0" applyBorder="0" applyProtection="0">
      <alignment horizontal="right" vertical="center"/>
    </xf>
    <xf numFmtId="0" fontId="22" fillId="0" borderId="17" applyNumberFormat="0" applyFill="0" applyAlignment="0" applyProtection="0"/>
    <xf numFmtId="0" fontId="19" fillId="11" borderId="4" applyNumberFormat="0" applyAlignment="0" applyProtection="0"/>
    <xf numFmtId="49" fontId="33" fillId="0" borderId="3" applyNumberFormat="0" applyFont="0" applyFill="0" applyBorder="0" applyProtection="0">
      <alignment horizontal="left" vertical="center" indent="5"/>
    </xf>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3" applyNumberFormat="0" applyFont="0" applyFill="0" applyBorder="0" applyProtection="0">
      <alignment horizontal="left" vertical="center" indent="5"/>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49" fontId="33" fillId="0" borderId="3" applyNumberFormat="0" applyFont="0" applyFill="0" applyBorder="0" applyProtection="0">
      <alignment horizontal="left" vertical="center" indent="5"/>
    </xf>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20" applyNumberFormat="0" applyFont="0" applyFill="0" applyBorder="0" applyProtection="0">
      <alignment horizontal="left" vertical="center" indent="5"/>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20" applyNumberFormat="0" applyFont="0" applyFill="0" applyBorder="0" applyProtection="0">
      <alignment horizontal="left" vertical="center" indent="5"/>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20"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20"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20" applyNumberFormat="0" applyFont="0" applyFill="0" applyBorder="0" applyProtection="0">
      <alignment horizontal="left" vertical="center" indent="5"/>
    </xf>
    <xf numFmtId="49" fontId="33" fillId="0" borderId="20" applyNumberFormat="0" applyFont="0" applyFill="0" applyBorder="0" applyProtection="0">
      <alignment horizontal="left" vertical="center" indent="5"/>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20" applyNumberFormat="0" applyFont="0" applyFill="0" applyBorder="0" applyProtection="0">
      <alignment horizontal="left" vertical="center" indent="5"/>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4"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7" applyNumberFormat="0" applyFill="0" applyAlignment="0" applyProtection="0"/>
    <xf numFmtId="0" fontId="21" fillId="24"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49" fontId="33" fillId="0" borderId="3" applyNumberFormat="0" applyFont="0" applyFill="0" applyBorder="0" applyProtection="0">
      <alignment horizontal="left" vertical="center" indent="5"/>
    </xf>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2" fillId="0" borderId="17"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49" fontId="33" fillId="0" borderId="3" applyNumberFormat="0" applyFont="0" applyFill="0" applyBorder="0" applyProtection="0">
      <alignment horizontal="left" vertical="center" indent="5"/>
    </xf>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49" fontId="33" fillId="0" borderId="3" applyNumberFormat="0" applyFont="0" applyFill="0" applyBorder="0" applyProtection="0">
      <alignment horizontal="left" vertical="center" indent="5"/>
    </xf>
    <xf numFmtId="0" fontId="21" fillId="24"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5" borderId="16" applyNumberFormat="0" applyAlignment="0" applyProtection="0"/>
    <xf numFmtId="0" fontId="22" fillId="0" borderId="17"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7"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1" fillId="25" borderId="16" applyNumberFormat="0" applyAlignment="0" applyProtection="0"/>
    <xf numFmtId="49" fontId="33" fillId="0" borderId="3" applyNumberFormat="0" applyFont="0" applyFill="0" applyBorder="0" applyProtection="0">
      <alignment horizontal="left" vertical="center" indent="5"/>
    </xf>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49" fontId="33" fillId="0" borderId="3" applyNumberFormat="0" applyFont="0" applyFill="0" applyBorder="0" applyProtection="0">
      <alignment horizontal="left" vertical="center" indent="5"/>
    </xf>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49" fontId="33" fillId="0" borderId="3" applyNumberFormat="0" applyFont="0" applyFill="0" applyBorder="0" applyProtection="0">
      <alignment horizontal="left" vertical="center" indent="5"/>
    </xf>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1" fillId="25" borderId="16"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49" fontId="33" fillId="0" borderId="3" applyNumberFormat="0" applyFont="0" applyFill="0" applyBorder="0" applyProtection="0">
      <alignment horizontal="left" vertical="center" indent="5"/>
    </xf>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49" fontId="33" fillId="0" borderId="3" applyNumberFormat="0" applyFont="0" applyFill="0" applyBorder="0" applyProtection="0">
      <alignment horizontal="left" vertical="center" indent="5"/>
    </xf>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21" fillId="24" borderId="16" applyNumberFormat="0" applyAlignment="0" applyProtection="0"/>
    <xf numFmtId="0" fontId="21" fillId="24"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49" fontId="33" fillId="0" borderId="3" applyNumberFormat="0" applyFont="0" applyFill="0" applyBorder="0" applyProtection="0">
      <alignment horizontal="left" vertical="center" indent="5"/>
    </xf>
    <xf numFmtId="49" fontId="33" fillId="0" borderId="3" applyNumberFormat="0" applyFont="0" applyFill="0" applyBorder="0" applyProtection="0">
      <alignment horizontal="left" vertical="center" indent="5"/>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49" fontId="33" fillId="0" borderId="3" applyNumberFormat="0" applyFont="0" applyFill="0" applyBorder="0" applyProtection="0">
      <alignment horizontal="left" vertical="center" indent="5"/>
    </xf>
    <xf numFmtId="49" fontId="33" fillId="0" borderId="3" applyNumberFormat="0" applyFont="0" applyFill="0" applyBorder="0" applyProtection="0">
      <alignment horizontal="left" vertical="center" indent="5"/>
    </xf>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21" fillId="24"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4" borderId="16"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8" fillId="0" borderId="11" applyNumberFormat="0" applyFill="0" applyAlignment="0" applyProtection="0"/>
    <xf numFmtId="0" fontId="38" fillId="0" borderId="2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38" fillId="0" borderId="2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8" fillId="0" borderId="11" applyNumberFormat="0" applyFill="0" applyAlignment="0" applyProtection="0"/>
    <xf numFmtId="0" fontId="38" fillId="0" borderId="2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49" fontId="33" fillId="0" borderId="1" applyNumberFormat="0" applyFont="0" applyFill="0" applyBorder="0" applyProtection="0">
      <alignment horizontal="left" vertical="center" indent="2"/>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165" fontId="33" fillId="28" borderId="1" applyNumberFormat="0" applyFont="0" applyBorder="0" applyAlignment="0" applyProtection="0">
      <alignment horizontal="right" vertical="center"/>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22" fillId="0" borderId="18" applyNumberFormat="0" applyFill="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2" fillId="0" borderId="18"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25" fillId="25" borderId="4" applyNumberFormat="0" applyAlignment="0" applyProtection="0"/>
    <xf numFmtId="0" fontId="28" fillId="0" borderId="11" applyNumberFormat="0" applyFill="0" applyAlignment="0" applyProtection="0"/>
    <xf numFmtId="0" fontId="19" fillId="8" borderId="4" applyNumberFormat="0" applyAlignment="0" applyProtection="0"/>
    <xf numFmtId="0" fontId="28" fillId="0" borderId="11" applyNumberFormat="0" applyFill="0" applyAlignment="0" applyProtection="0"/>
    <xf numFmtId="0" fontId="21" fillId="25" borderId="16" applyNumberFormat="0" applyAlignment="0" applyProtection="0"/>
    <xf numFmtId="0" fontId="25" fillId="25" borderId="4" applyNumberFormat="0" applyAlignment="0" applyProtection="0"/>
    <xf numFmtId="0" fontId="25" fillId="25" borderId="4" applyNumberFormat="0" applyAlignment="0" applyProtection="0"/>
    <xf numFmtId="0" fontId="9" fillId="6" borderId="15" applyNumberFormat="0" applyFont="0" applyAlignment="0" applyProtection="0"/>
    <xf numFmtId="0" fontId="25" fillId="25" borderId="4" applyNumberFormat="0" applyAlignment="0" applyProtection="0"/>
    <xf numFmtId="0" fontId="28" fillId="0" borderId="11" applyNumberFormat="0" applyFill="0" applyAlignment="0" applyProtection="0"/>
    <xf numFmtId="0" fontId="19" fillId="8" borderId="4" applyNumberFormat="0" applyAlignment="0" applyProtection="0"/>
    <xf numFmtId="0" fontId="25" fillId="25" borderId="4" applyNumberFormat="0" applyAlignment="0" applyProtection="0"/>
    <xf numFmtId="0" fontId="19" fillId="11" borderId="4"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22" fillId="0" borderId="18" applyNumberFormat="0" applyFill="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28" fillId="0" borderId="11" applyNumberFormat="0" applyFill="0" applyAlignment="0" applyProtection="0"/>
    <xf numFmtId="0" fontId="28" fillId="0" borderId="11"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8" fillId="0" borderId="11" applyNumberFormat="0" applyFill="0" applyAlignment="0" applyProtection="0"/>
    <xf numFmtId="0" fontId="38" fillId="0" borderId="21" applyNumberFormat="0" applyFill="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8" fillId="0" borderId="11" applyNumberFormat="0" applyFill="0" applyAlignment="0" applyProtection="0"/>
    <xf numFmtId="0" fontId="22" fillId="0" borderId="18"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4"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8" fillId="0" borderId="11" applyNumberFormat="0" applyFill="0" applyAlignment="0" applyProtection="0"/>
    <xf numFmtId="0" fontId="19" fillId="8" borderId="4" applyNumberFormat="0" applyAlignment="0" applyProtection="0"/>
    <xf numFmtId="0" fontId="21" fillId="25" borderId="16" applyNumberFormat="0" applyAlignment="0" applyProtection="0"/>
    <xf numFmtId="0" fontId="21" fillId="24" borderId="16" applyNumberFormat="0" applyAlignment="0" applyProtection="0"/>
    <xf numFmtId="0" fontId="28" fillId="0" borderId="11" applyNumberFormat="0" applyFill="0" applyAlignment="0" applyProtection="0"/>
    <xf numFmtId="0" fontId="28" fillId="0" borderId="11" applyNumberFormat="0" applyFill="0" applyAlignment="0" applyProtection="0"/>
    <xf numFmtId="49" fontId="33" fillId="0" borderId="1" applyNumberFormat="0" applyFont="0" applyFill="0" applyBorder="0" applyProtection="0">
      <alignment horizontal="left" vertical="center" indent="2"/>
    </xf>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19" fillId="8" borderId="4"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33" fillId="0" borderId="1" applyNumberFormat="0" applyFill="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21" fillId="25" borderId="16" applyNumberFormat="0" applyAlignment="0" applyProtection="0"/>
    <xf numFmtId="0" fontId="28" fillId="0" borderId="11" applyNumberFormat="0" applyFill="0" applyAlignment="0" applyProtection="0"/>
    <xf numFmtId="0" fontId="19" fillId="8" borderId="4" applyNumberFormat="0" applyAlignment="0" applyProtection="0"/>
    <xf numFmtId="0" fontId="28" fillId="0" borderId="11"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2" fillId="0" borderId="18" applyNumberFormat="0" applyFill="0" applyAlignment="0" applyProtection="0"/>
    <xf numFmtId="0" fontId="28" fillId="0" borderId="11" applyNumberFormat="0" applyFill="0" applyAlignment="0" applyProtection="0"/>
    <xf numFmtId="0" fontId="40" fillId="24" borderId="4" applyNumberFormat="0" applyAlignment="0" applyProtection="0"/>
    <xf numFmtId="0" fontId="19" fillId="8" borderId="4"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19" fillId="11" borderId="4" applyNumberFormat="0" applyAlignment="0" applyProtection="0"/>
    <xf numFmtId="0" fontId="19" fillId="8" borderId="4" applyNumberFormat="0" applyAlignment="0" applyProtection="0"/>
    <xf numFmtId="0" fontId="22" fillId="0" borderId="17" applyNumberFormat="0" applyFill="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1" fillId="24" borderId="16"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25" fillId="25" borderId="4"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19" fillId="11"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8" fillId="0" borderId="11" applyNumberFormat="0" applyFill="0" applyAlignment="0" applyProtection="0"/>
    <xf numFmtId="0" fontId="19" fillId="8" borderId="4" applyNumberFormat="0" applyAlignment="0" applyProtection="0"/>
    <xf numFmtId="0" fontId="22" fillId="0" borderId="18" applyNumberFormat="0" applyFill="0" applyAlignment="0" applyProtection="0"/>
    <xf numFmtId="0" fontId="28" fillId="0" borderId="11" applyNumberFormat="0" applyFill="0" applyAlignment="0" applyProtection="0"/>
    <xf numFmtId="49" fontId="33" fillId="0" borderId="3" applyNumberFormat="0" applyFont="0" applyFill="0" applyBorder="0" applyProtection="0">
      <alignment horizontal="left" vertical="center" indent="5"/>
    </xf>
    <xf numFmtId="0" fontId="28" fillId="0" borderId="11" applyNumberFormat="0" applyFill="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25" fillId="25" borderId="4" applyNumberFormat="0" applyAlignment="0" applyProtection="0"/>
    <xf numFmtId="0" fontId="28" fillId="0" borderId="11" applyNumberFormat="0" applyFill="0" applyAlignment="0" applyProtection="0"/>
    <xf numFmtId="0" fontId="25" fillId="25" borderId="4" applyNumberFormat="0" applyAlignment="0" applyProtection="0"/>
    <xf numFmtId="0" fontId="28" fillId="0" borderId="11" applyNumberFormat="0" applyFill="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165" fontId="33" fillId="28" borderId="1" applyNumberFormat="0" applyFont="0" applyBorder="0" applyAlignment="0" applyProtection="0">
      <alignment horizontal="right" vertical="center"/>
    </xf>
    <xf numFmtId="0" fontId="21" fillId="25" borderId="16" applyNumberFormat="0" applyAlignment="0" applyProtection="0"/>
    <xf numFmtId="0" fontId="9" fillId="6" borderId="15" applyNumberFormat="0" applyFont="0" applyAlignment="0" applyProtection="0"/>
    <xf numFmtId="4" fontId="33" fillId="0" borderId="1" applyFill="0" applyBorder="0" applyProtection="0">
      <alignment horizontal="right" vertical="center"/>
    </xf>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165" fontId="33" fillId="28" borderId="1" applyNumberFormat="0" applyFont="0" applyBorder="0" applyAlignment="0" applyProtection="0">
      <alignment horizontal="right" vertical="center"/>
    </xf>
    <xf numFmtId="0" fontId="33" fillId="0" borderId="1" applyNumberFormat="0" applyFill="0" applyAlignment="0" applyProtection="0"/>
    <xf numFmtId="4" fontId="33" fillId="0" borderId="1" applyFill="0" applyBorder="0" applyProtection="0">
      <alignment horizontal="right" vertical="center"/>
    </xf>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19" fillId="11"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4" fontId="33" fillId="0" borderId="1" applyFill="0" applyBorder="0" applyProtection="0">
      <alignment horizontal="right" vertical="center"/>
    </xf>
    <xf numFmtId="0" fontId="22" fillId="0" borderId="17" applyNumberFormat="0" applyFill="0" applyAlignment="0" applyProtection="0"/>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49" fontId="34" fillId="0" borderId="1" applyNumberFormat="0" applyFill="0" applyBorder="0" applyProtection="0">
      <alignment horizontal="left" vertical="center"/>
    </xf>
    <xf numFmtId="0" fontId="22" fillId="0" borderId="18" applyNumberFormat="0" applyFill="0" applyAlignment="0" applyProtection="0"/>
    <xf numFmtId="0" fontId="21" fillId="24"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49" fontId="33" fillId="0" borderId="1" applyNumberFormat="0" applyFont="0" applyFill="0" applyBorder="0" applyProtection="0">
      <alignment horizontal="left" vertical="center" indent="2"/>
    </xf>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22" fillId="0" borderId="17" applyNumberFormat="0" applyFill="0" applyAlignment="0" applyProtection="0"/>
    <xf numFmtId="0" fontId="19" fillId="8" borderId="4"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49" fontId="33" fillId="0" borderId="1" applyNumberFormat="0" applyFont="0" applyFill="0" applyBorder="0" applyProtection="0">
      <alignment horizontal="left" vertical="center" indent="2"/>
    </xf>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40" fillId="24" borderId="4" applyNumberFormat="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2" fillId="0" borderId="17"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8" fillId="0" borderId="11" applyNumberFormat="0" applyFill="0" applyAlignment="0" applyProtection="0"/>
    <xf numFmtId="0" fontId="9" fillId="6" borderId="15" applyNumberFormat="0" applyFont="0" applyAlignment="0" applyProtection="0"/>
    <xf numFmtId="0" fontId="25" fillId="25" borderId="4" applyNumberFormat="0" applyAlignment="0" applyProtection="0"/>
    <xf numFmtId="49" fontId="34" fillId="0" borderId="1" applyNumberFormat="0" applyFill="0" applyBorder="0" applyProtection="0">
      <alignment horizontal="left" vertical="center"/>
    </xf>
    <xf numFmtId="0" fontId="19" fillId="8" borderId="4" applyNumberFormat="0" applyAlignment="0" applyProtection="0"/>
    <xf numFmtId="0" fontId="21" fillId="25" borderId="16" applyNumberFormat="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49" fontId="34" fillId="0" borderId="1" applyNumberFormat="0" applyFill="0" applyBorder="0" applyProtection="0">
      <alignment horizontal="left" vertical="center"/>
    </xf>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40" fillId="24" borderId="4" applyNumberFormat="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8"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19" fillId="8" borderId="4" applyNumberFormat="0" applyAlignment="0" applyProtection="0"/>
    <xf numFmtId="0" fontId="25" fillId="25"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165" fontId="33" fillId="28" borderId="1" applyNumberFormat="0" applyFont="0" applyBorder="0" applyAlignment="0" applyProtection="0">
      <alignment horizontal="right" vertical="center"/>
    </xf>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4" fontId="33" fillId="0" borderId="1" applyFill="0" applyBorder="0" applyProtection="0">
      <alignment horizontal="right" vertical="center"/>
    </xf>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49" fontId="34" fillId="0" borderId="1" applyNumberFormat="0" applyFill="0" applyBorder="0" applyProtection="0">
      <alignment horizontal="left" vertical="center"/>
    </xf>
    <xf numFmtId="0" fontId="19" fillId="8" borderId="4" applyNumberFormat="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25" fillId="25" borderId="4"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5" fillId="25" borderId="4" applyNumberFormat="0" applyAlignment="0" applyProtection="0"/>
    <xf numFmtId="0" fontId="28" fillId="0" borderId="11" applyNumberFormat="0" applyFill="0" applyAlignment="0" applyProtection="0"/>
    <xf numFmtId="0" fontId="9" fillId="6" borderId="15" applyNumberFormat="0" applyFont="0" applyAlignment="0" applyProtection="0"/>
    <xf numFmtId="0" fontId="33" fillId="0" borderId="1" applyNumberFormat="0" applyFill="0" applyAlignment="0" applyProtection="0"/>
    <xf numFmtId="0" fontId="19" fillId="8"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49" fontId="33" fillId="0" borderId="1" applyNumberFormat="0" applyFont="0" applyFill="0" applyBorder="0" applyProtection="0">
      <alignment horizontal="left" vertical="center" indent="2"/>
    </xf>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19" fillId="8" borderId="4" applyNumberFormat="0" applyAlignment="0" applyProtection="0"/>
    <xf numFmtId="49" fontId="33" fillId="0" borderId="1" applyNumberFormat="0" applyFont="0" applyFill="0" applyBorder="0" applyProtection="0">
      <alignment horizontal="left" vertical="center" indent="2"/>
    </xf>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40" fillId="24"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49" fontId="33" fillId="0" borderId="1" applyNumberFormat="0" applyFont="0" applyFill="0" applyBorder="0" applyProtection="0">
      <alignment horizontal="left" vertical="center" indent="2"/>
    </xf>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8" borderId="4" applyNumberFormat="0" applyAlignment="0" applyProtection="0"/>
    <xf numFmtId="0" fontId="21" fillId="24"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19" fillId="8" borderId="4"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49" fontId="33" fillId="0" borderId="1" applyNumberFormat="0" applyFont="0" applyFill="0" applyBorder="0" applyProtection="0">
      <alignment horizontal="left" vertical="center" indent="2"/>
    </xf>
    <xf numFmtId="0" fontId="21" fillId="24" borderId="16" applyNumberFormat="0" applyAlignment="0" applyProtection="0"/>
    <xf numFmtId="0" fontId="9" fillId="6" borderId="15" applyNumberFormat="0" applyFont="0" applyAlignment="0" applyProtection="0"/>
    <xf numFmtId="0" fontId="19" fillId="8" borderId="4" applyNumberFormat="0" applyAlignment="0" applyProtection="0"/>
    <xf numFmtId="0" fontId="21" fillId="25" borderId="16" applyNumberFormat="0" applyAlignment="0" applyProtection="0"/>
    <xf numFmtId="0" fontId="21" fillId="25" borderId="16"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19" fillId="8" borderId="4" applyNumberFormat="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33" fillId="0" borderId="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19" fillId="11" borderId="4" applyNumberFormat="0" applyAlignment="0" applyProtection="0"/>
    <xf numFmtId="0" fontId="21" fillId="24" borderId="16" applyNumberFormat="0" applyAlignment="0" applyProtection="0"/>
    <xf numFmtId="0" fontId="9" fillId="6" borderId="15" applyNumberFormat="0" applyFont="0" applyAlignment="0" applyProtection="0"/>
    <xf numFmtId="0" fontId="28" fillId="0" borderId="11"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40" fillId="24" borderId="4"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19" fillId="8"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8" borderId="4"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2" fillId="0" borderId="17" applyNumberFormat="0" applyFill="0" applyAlignment="0" applyProtection="0"/>
    <xf numFmtId="0" fontId="19" fillId="11" borderId="4" applyNumberFormat="0" applyAlignment="0" applyProtection="0"/>
    <xf numFmtId="0" fontId="21" fillId="25" borderId="16" applyNumberFormat="0" applyAlignment="0" applyProtection="0"/>
    <xf numFmtId="0" fontId="19" fillId="8" borderId="4" applyNumberFormat="0" applyAlignment="0" applyProtection="0"/>
    <xf numFmtId="0" fontId="25" fillId="25" borderId="4" applyNumberFormat="0" applyAlignment="0" applyProtection="0"/>
    <xf numFmtId="0" fontId="22" fillId="0" borderId="17" applyNumberFormat="0" applyFill="0" applyAlignment="0" applyProtection="0"/>
    <xf numFmtId="0" fontId="40" fillId="24" borderId="4" applyNumberFormat="0" applyAlignment="0" applyProtection="0"/>
    <xf numFmtId="0" fontId="19" fillId="8" borderId="4"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7" applyNumberFormat="0" applyFill="0" applyAlignment="0" applyProtection="0"/>
    <xf numFmtId="0" fontId="40" fillId="24"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19" fillId="8" borderId="4" applyNumberFormat="0" applyAlignment="0" applyProtection="0"/>
    <xf numFmtId="4" fontId="33" fillId="0" borderId="1" applyFill="0" applyBorder="0" applyProtection="0">
      <alignment horizontal="right" vertical="center"/>
    </xf>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1" fillId="25" borderId="16" applyNumberFormat="0" applyAlignment="0" applyProtection="0"/>
    <xf numFmtId="49" fontId="33" fillId="0" borderId="3" applyNumberFormat="0" applyFont="0" applyFill="0" applyBorder="0" applyProtection="0">
      <alignment horizontal="left" vertical="center" indent="5"/>
    </xf>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33" fillId="0" borderId="1" applyNumberFormat="0" applyFill="0" applyAlignment="0" applyProtection="0"/>
    <xf numFmtId="0" fontId="19" fillId="8"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4" fontId="33" fillId="0" borderId="1" applyFill="0" applyBorder="0" applyProtection="0">
      <alignment horizontal="right" vertical="center"/>
    </xf>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8" borderId="4"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19" fillId="11" borderId="4" applyNumberFormat="0" applyAlignment="0" applyProtection="0"/>
    <xf numFmtId="0" fontId="21" fillId="24" borderId="16" applyNumberFormat="0" applyAlignment="0" applyProtection="0"/>
    <xf numFmtId="0" fontId="21" fillId="25" borderId="16" applyNumberFormat="0" applyAlignment="0" applyProtection="0"/>
    <xf numFmtId="0" fontId="40" fillId="24" borderId="4" applyNumberFormat="0" applyAlignment="0" applyProtection="0"/>
    <xf numFmtId="0" fontId="19" fillId="8" borderId="4"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8" fillId="0" borderId="11" applyNumberFormat="0" applyFill="0" applyAlignment="0" applyProtection="0"/>
    <xf numFmtId="0" fontId="19" fillId="8" borderId="4" applyNumberFormat="0" applyAlignment="0" applyProtection="0"/>
    <xf numFmtId="0" fontId="25" fillId="25" borderId="4" applyNumberFormat="0" applyAlignment="0" applyProtection="0"/>
    <xf numFmtId="4" fontId="33" fillId="0" borderId="1" applyFill="0" applyBorder="0" applyProtection="0">
      <alignment horizontal="right" vertical="center"/>
    </xf>
    <xf numFmtId="0" fontId="21" fillId="25" borderId="16" applyNumberFormat="0" applyAlignment="0" applyProtection="0"/>
    <xf numFmtId="0" fontId="19" fillId="8" borderId="4" applyNumberFormat="0" applyAlignment="0" applyProtection="0"/>
    <xf numFmtId="0" fontId="19" fillId="8"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0" fontId="40" fillId="24"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0" fontId="25" fillId="25" borderId="4" applyNumberFormat="0" applyAlignment="0" applyProtection="0"/>
    <xf numFmtId="0" fontId="22" fillId="0" borderId="17" applyNumberFormat="0" applyFill="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21" fillId="25" borderId="16" applyNumberFormat="0" applyAlignment="0" applyProtection="0"/>
    <xf numFmtId="0" fontId="40" fillId="24" borderId="4"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9" fillId="6" borderId="15" applyNumberFormat="0" applyFont="0" applyAlignment="0" applyProtection="0"/>
    <xf numFmtId="0" fontId="25" fillId="25" borderId="4" applyNumberFormat="0" applyAlignment="0" applyProtection="0"/>
    <xf numFmtId="0" fontId="28" fillId="0" borderId="11" applyNumberFormat="0" applyFill="0" applyAlignment="0" applyProtection="0"/>
    <xf numFmtId="0" fontId="21" fillId="25" borderId="16" applyNumberFormat="0" applyAlignment="0" applyProtection="0"/>
    <xf numFmtId="0" fontId="19" fillId="8" borderId="4" applyNumberFormat="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0" fontId="22" fillId="0" borderId="17" applyNumberFormat="0" applyFill="0" applyAlignment="0" applyProtection="0"/>
    <xf numFmtId="0" fontId="25" fillId="25" borderId="4" applyNumberFormat="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19" fillId="11" borderId="4" applyNumberFormat="0" applyAlignment="0" applyProtection="0"/>
    <xf numFmtId="0" fontId="19" fillId="8" borderId="4" applyNumberFormat="0" applyAlignment="0" applyProtection="0"/>
    <xf numFmtId="0" fontId="40" fillId="24"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5" fillId="25" borderId="4" applyNumberFormat="0" applyAlignment="0" applyProtection="0"/>
    <xf numFmtId="0" fontId="21" fillId="25" borderId="16" applyNumberFormat="0" applyAlignment="0" applyProtection="0"/>
    <xf numFmtId="0" fontId="22" fillId="0" borderId="17" applyNumberFormat="0" applyFill="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22" fillId="0" borderId="18" applyNumberFormat="0" applyFill="0" applyAlignment="0" applyProtection="0"/>
    <xf numFmtId="0" fontId="19" fillId="11" borderId="4" applyNumberForma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3" applyNumberFormat="0" applyFont="0" applyFill="0" applyBorder="0" applyProtection="0">
      <alignment horizontal="left" vertical="center" indent="5"/>
    </xf>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21" fillId="25" borderId="16" applyNumberFormat="0" applyAlignment="0" applyProtection="0"/>
    <xf numFmtId="0" fontId="22" fillId="0" borderId="18" applyNumberFormat="0" applyFill="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19" fillId="8" borderId="4" applyNumberFormat="0" applyAlignment="0" applyProtection="0"/>
    <xf numFmtId="0" fontId="22" fillId="0" borderId="17" applyNumberFormat="0" applyFill="0" applyAlignment="0" applyProtection="0"/>
    <xf numFmtId="0" fontId="25" fillId="25" borderId="4" applyNumberFormat="0" applyAlignment="0" applyProtection="0"/>
    <xf numFmtId="0" fontId="21" fillId="25" borderId="16" applyNumberFormat="0" applyAlignment="0" applyProtection="0"/>
    <xf numFmtId="0" fontId="25" fillId="25" borderId="4"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38" fillId="0" borderId="21" applyNumberFormat="0" applyFill="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19" fillId="8"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5" fillId="25"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8" borderId="4" applyNumberFormat="0" applyAlignment="0" applyProtection="0"/>
    <xf numFmtId="0" fontId="21" fillId="24" borderId="16" applyNumberFormat="0" applyAlignment="0" applyProtection="0"/>
    <xf numFmtId="0" fontId="22" fillId="0" borderId="17" applyNumberFormat="0" applyFill="0" applyAlignment="0" applyProtection="0"/>
    <xf numFmtId="0" fontId="21" fillId="25" borderId="16"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2" fillId="0" borderId="18" applyNumberFormat="0" applyFill="0" applyAlignment="0" applyProtection="0"/>
    <xf numFmtId="0" fontId="25" fillId="25" borderId="4" applyNumberFormat="0" applyAlignment="0" applyProtection="0"/>
    <xf numFmtId="0" fontId="19" fillId="11" borderId="4" applyNumberFormat="0" applyAlignment="0" applyProtection="0"/>
    <xf numFmtId="0" fontId="25" fillId="25" borderId="4" applyNumberFormat="0" applyAlignment="0" applyProtection="0"/>
    <xf numFmtId="0" fontId="19" fillId="8" borderId="4" applyNumberForma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5" fillId="25" borderId="4" applyNumberFormat="0" applyAlignment="0" applyProtection="0"/>
    <xf numFmtId="0" fontId="25" fillId="25" borderId="4" applyNumberFormat="0" applyAlignment="0" applyProtection="0"/>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5" fillId="25" borderId="4" applyNumberFormat="0" applyAlignment="0" applyProtection="0"/>
    <xf numFmtId="0" fontId="22" fillId="0" borderId="18" applyNumberFormat="0" applyFill="0" applyAlignment="0" applyProtection="0"/>
    <xf numFmtId="0" fontId="21" fillId="25" borderId="16"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19" fillId="11" borderId="4" applyNumberFormat="0" applyAlignment="0" applyProtection="0"/>
    <xf numFmtId="0" fontId="25" fillId="25" borderId="4" applyNumberFormat="0" applyAlignment="0" applyProtection="0"/>
    <xf numFmtId="0" fontId="21" fillId="24" borderId="16" applyNumberFormat="0" applyAlignment="0" applyProtection="0"/>
    <xf numFmtId="0" fontId="19" fillId="8" borderId="4" applyNumberFormat="0" applyAlignment="0" applyProtection="0"/>
    <xf numFmtId="0" fontId="21" fillId="24" borderId="16" applyNumberFormat="0" applyAlignment="0" applyProtection="0"/>
    <xf numFmtId="0" fontId="21" fillId="25" borderId="16"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19" fillId="8" borderId="4"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0" fontId="22" fillId="0" borderId="18" applyNumberFormat="0" applyFill="0" applyAlignment="0" applyProtection="0"/>
    <xf numFmtId="0" fontId="19" fillId="8" borderId="4" applyNumberFormat="0" applyAlignment="0" applyProtection="0"/>
    <xf numFmtId="0" fontId="21" fillId="24" borderId="16" applyNumberFormat="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5" fillId="25" borderId="4"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5" fillId="25" borderId="4" applyNumberFormat="0" applyAlignment="0" applyProtection="0"/>
    <xf numFmtId="0" fontId="21" fillId="25" borderId="16" applyNumberFormat="0" applyAlignment="0" applyProtection="0"/>
    <xf numFmtId="0" fontId="19" fillId="8" borderId="4" applyNumberFormat="0" applyAlignment="0" applyProtection="0"/>
    <xf numFmtId="0" fontId="21" fillId="25" borderId="16" applyNumberForma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19" fillId="8" borderId="4" applyNumberFormat="0" applyAlignment="0" applyProtection="0"/>
    <xf numFmtId="0" fontId="22" fillId="0" borderId="18" applyNumberFormat="0" applyFill="0" applyAlignment="0" applyProtection="0"/>
    <xf numFmtId="49" fontId="34" fillId="0" borderId="1" applyNumberFormat="0" applyFill="0" applyBorder="0" applyProtection="0">
      <alignment horizontal="left" vertical="center"/>
    </xf>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1" fillId="25" borderId="16" applyNumberFormat="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9" fillId="6" borderId="15" applyNumberFormat="0" applyFont="0" applyAlignment="0" applyProtection="0"/>
    <xf numFmtId="0" fontId="19" fillId="8" borderId="4"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25" fillId="25" borderId="4" applyNumberFormat="0" applyAlignment="0" applyProtection="0"/>
    <xf numFmtId="0" fontId="9" fillId="6" borderId="15" applyNumberFormat="0" applyFont="0" applyAlignment="0" applyProtection="0"/>
    <xf numFmtId="0" fontId="19" fillId="11" borderId="4" applyNumberFormat="0" applyAlignment="0" applyProtection="0"/>
    <xf numFmtId="0" fontId="9" fillId="6" borderId="15" applyNumberFormat="0" applyFont="0" applyAlignment="0" applyProtection="0"/>
    <xf numFmtId="0" fontId="25" fillId="25" borderId="4" applyNumberFormat="0" applyAlignment="0" applyProtection="0"/>
    <xf numFmtId="0" fontId="22" fillId="0" borderId="18" applyNumberFormat="0" applyFill="0" applyAlignment="0" applyProtection="0"/>
    <xf numFmtId="0" fontId="33" fillId="0" borderId="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3" applyNumberFormat="0" applyFont="0" applyFill="0" applyBorder="0" applyProtection="0">
      <alignment horizontal="left" vertical="center" indent="5"/>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49" fontId="33" fillId="0" borderId="3" applyNumberFormat="0" applyFont="0" applyFill="0" applyBorder="0" applyProtection="0">
      <alignment horizontal="left" vertical="center" indent="5"/>
    </xf>
    <xf numFmtId="49" fontId="33" fillId="0" borderId="1" applyNumberFormat="0" applyFont="0" applyFill="0" applyBorder="0" applyProtection="0">
      <alignment horizontal="left" vertical="center" indent="2"/>
    </xf>
    <xf numFmtId="49" fontId="33" fillId="0" borderId="3" applyNumberFormat="0" applyFont="0" applyFill="0" applyBorder="0" applyProtection="0">
      <alignment horizontal="left" vertical="center" indent="5"/>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4" fillId="0" borderId="1" applyNumberFormat="0" applyFill="0" applyBorder="0" applyProtection="0">
      <alignment horizontal="left" vertical="center"/>
    </xf>
    <xf numFmtId="49" fontId="33" fillId="0" borderId="1" applyNumberFormat="0" applyFont="0" applyFill="0" applyBorder="0" applyProtection="0">
      <alignment horizontal="left" vertical="center" indent="2"/>
    </xf>
    <xf numFmtId="0" fontId="22" fillId="0" borderId="18" applyNumberFormat="0" applyFill="0" applyAlignment="0" applyProtection="0"/>
    <xf numFmtId="0" fontId="19" fillId="8" borderId="4" applyNumberFormat="0" applyAlignment="0" applyProtection="0"/>
    <xf numFmtId="0" fontId="28" fillId="0" borderId="11" applyNumberFormat="0" applyFill="0" applyAlignment="0" applyProtection="0"/>
    <xf numFmtId="0" fontId="19" fillId="8" borderId="4"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49" fontId="33" fillId="0" borderId="1" applyNumberFormat="0" applyFont="0" applyFill="0" applyBorder="0" applyProtection="0">
      <alignment horizontal="left" vertical="center" indent="2"/>
    </xf>
    <xf numFmtId="0" fontId="19" fillId="8" borderId="4"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5" fillId="25" borderId="4"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7" applyNumberFormat="0" applyFill="0" applyAlignment="0" applyProtection="0"/>
    <xf numFmtId="49" fontId="34" fillId="0" borderId="1" applyNumberFormat="0" applyFill="0" applyBorder="0" applyProtection="0">
      <alignment horizontal="left" vertical="center"/>
    </xf>
    <xf numFmtId="0" fontId="28" fillId="0" borderId="11" applyNumberFormat="0" applyFill="0" applyAlignment="0" applyProtection="0"/>
    <xf numFmtId="0" fontId="9" fillId="6" borderId="15" applyNumberFormat="0" applyFont="0" applyAlignment="0" applyProtection="0"/>
    <xf numFmtId="0" fontId="28" fillId="0" borderId="11" applyNumberFormat="0" applyFill="0" applyAlignment="0" applyProtection="0"/>
    <xf numFmtId="0" fontId="21" fillId="24" borderId="16" applyNumberFormat="0" applyAlignment="0" applyProtection="0"/>
    <xf numFmtId="0" fontId="21" fillId="25" borderId="16" applyNumberFormat="0" applyAlignment="0" applyProtection="0"/>
    <xf numFmtId="0" fontId="28" fillId="0" borderId="11" applyNumberFormat="0" applyFill="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19" fillId="8"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28" fillId="0" borderId="11" applyNumberFormat="0" applyFill="0" applyAlignment="0" applyProtection="0"/>
    <xf numFmtId="0" fontId="21" fillId="24"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33" fillId="0" borderId="1"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4" borderId="16"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19" fillId="8" borderId="4" applyNumberFormat="0" applyAlignment="0" applyProtection="0"/>
    <xf numFmtId="0" fontId="19" fillId="8" borderId="4" applyNumberFormat="0" applyAlignment="0" applyProtection="0"/>
    <xf numFmtId="0" fontId="22" fillId="0" borderId="18" applyNumberFormat="0" applyFill="0" applyAlignment="0" applyProtection="0"/>
    <xf numFmtId="0" fontId="19" fillId="11" borderId="4" applyNumberFormat="0" applyAlignment="0" applyProtection="0"/>
    <xf numFmtId="0" fontId="22" fillId="0" borderId="18" applyNumberFormat="0" applyFill="0" applyAlignment="0" applyProtection="0"/>
    <xf numFmtId="4" fontId="33" fillId="0" borderId="1" applyFill="0" applyBorder="0" applyProtection="0">
      <alignment horizontal="right" vertical="center"/>
    </xf>
    <xf numFmtId="0" fontId="22" fillId="0" borderId="17" applyNumberFormat="0" applyFill="0" applyAlignment="0" applyProtection="0"/>
    <xf numFmtId="0" fontId="19" fillId="11" borderId="4"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1" applyNumberFormat="0" applyFont="0" applyFill="0" applyBorder="0" applyProtection="0">
      <alignment horizontal="left" vertical="center" indent="2"/>
    </xf>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49" fontId="33" fillId="0" borderId="1" applyNumberFormat="0" applyFont="0" applyFill="0" applyBorder="0" applyProtection="0">
      <alignment horizontal="left" vertical="center" indent="2"/>
    </xf>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4" fontId="33" fillId="0" borderId="1" applyFill="0" applyBorder="0" applyProtection="0">
      <alignment horizontal="right" vertical="center"/>
    </xf>
    <xf numFmtId="49" fontId="34" fillId="0" borderId="1" applyNumberFormat="0" applyFill="0" applyBorder="0" applyProtection="0">
      <alignment horizontal="left" vertical="center"/>
    </xf>
    <xf numFmtId="0" fontId="33" fillId="0" borderId="1" applyNumberFormat="0" applyFill="0" applyAlignment="0" applyProtection="0"/>
    <xf numFmtId="165" fontId="33" fillId="28" borderId="1" applyNumberFormat="0" applyFont="0" applyBorder="0" applyAlignment="0" applyProtection="0">
      <alignment horizontal="right" vertical="center"/>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38" fillId="0" borderId="2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9" fillId="6" borderId="15" applyNumberFormat="0" applyFon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40" fillId="24"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5" fillId="25" borderId="4" applyNumberFormat="0" applyAlignment="0" applyProtection="0"/>
    <xf numFmtId="0" fontId="28" fillId="0" borderId="11" applyNumberFormat="0" applyFill="0" applyAlignment="0" applyProtection="0"/>
    <xf numFmtId="0" fontId="38" fillId="0" borderId="2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8" borderId="4" applyNumberFormat="0" applyAlignment="0" applyProtection="0"/>
    <xf numFmtId="0" fontId="19" fillId="11"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19" fillId="8" borderId="4" applyNumberFormat="0" applyAlignment="0" applyProtection="0"/>
    <xf numFmtId="0" fontId="25" fillId="25" borderId="4"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8" fillId="0" borderId="11" applyNumberFormat="0" applyFill="0" applyAlignment="0" applyProtection="0"/>
    <xf numFmtId="0" fontId="28" fillId="0" borderId="11"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8" fillId="0" borderId="11" applyNumberFormat="0" applyFill="0" applyAlignment="0" applyProtection="0"/>
    <xf numFmtId="0" fontId="28" fillId="0" borderId="11"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8" fillId="0" borderId="11" applyNumberFormat="0" applyFill="0" applyAlignment="0" applyProtection="0"/>
    <xf numFmtId="0" fontId="28" fillId="0" borderId="11"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8" fillId="0" borderId="11" applyNumberFormat="0" applyFill="0" applyAlignment="0" applyProtection="0"/>
    <xf numFmtId="0" fontId="38" fillId="0" borderId="21" applyNumberFormat="0" applyFill="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8" fillId="0" borderId="11" applyNumberFormat="0" applyFill="0" applyAlignment="0" applyProtection="0"/>
    <xf numFmtId="0" fontId="22" fillId="0" borderId="18"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4"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8" fillId="0" borderId="11" applyNumberFormat="0" applyFill="0" applyAlignment="0" applyProtection="0"/>
    <xf numFmtId="0" fontId="21" fillId="25" borderId="16" applyNumberFormat="0" applyAlignment="0" applyProtection="0"/>
    <xf numFmtId="0" fontId="21" fillId="24" borderId="16"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49" fontId="33" fillId="0" borderId="3" applyNumberFormat="0" applyFont="0" applyFill="0" applyBorder="0" applyProtection="0">
      <alignment horizontal="left" vertical="center" indent="5"/>
    </xf>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7" applyNumberFormat="0" applyFill="0" applyAlignment="0" applyProtection="0"/>
    <xf numFmtId="0" fontId="21" fillId="24" borderId="16"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8" fillId="0" borderId="11"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28" fillId="0" borderId="11"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2" fillId="0" borderId="17"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8" fillId="0" borderId="11"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49" fontId="33" fillId="0" borderId="3" applyNumberFormat="0" applyFont="0" applyFill="0" applyBorder="0" applyProtection="0">
      <alignment horizontal="left" vertical="center" indent="5"/>
    </xf>
    <xf numFmtId="0" fontId="22" fillId="0" borderId="17" applyNumberFormat="0" applyFill="0" applyAlignment="0" applyProtection="0"/>
    <xf numFmtId="0" fontId="9" fillId="6" borderId="15" applyNumberFormat="0" applyFont="0" applyAlignment="0" applyProtection="0"/>
    <xf numFmtId="0" fontId="28" fillId="0" borderId="11"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1" fillId="24"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9" fillId="6" borderId="15" applyNumberFormat="0" applyFont="0" applyAlignment="0" applyProtection="0"/>
    <xf numFmtId="0" fontId="28" fillId="0" borderId="11" applyNumberFormat="0" applyFill="0" applyAlignment="0" applyProtection="0"/>
    <xf numFmtId="0" fontId="28" fillId="0" borderId="11"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5" borderId="16" applyNumberFormat="0" applyAlignment="0" applyProtection="0"/>
    <xf numFmtId="0" fontId="22" fillId="0" borderId="17"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7"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8" fillId="0" borderId="11" applyNumberFormat="0" applyFill="0" applyAlignment="0" applyProtection="0"/>
    <xf numFmtId="0" fontId="21" fillId="25" borderId="16" applyNumberFormat="0" applyAlignment="0" applyProtection="0"/>
    <xf numFmtId="49" fontId="33" fillId="0" borderId="3" applyNumberFormat="0" applyFont="0" applyFill="0" applyBorder="0" applyProtection="0">
      <alignment horizontal="left" vertical="center" indent="5"/>
    </xf>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49" fontId="33" fillId="0" borderId="3" applyNumberFormat="0" applyFont="0" applyFill="0" applyBorder="0" applyProtection="0">
      <alignment horizontal="left" vertical="center" indent="5"/>
    </xf>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8" fillId="0" borderId="11"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1" fillId="25" borderId="16"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38" fillId="0" borderId="21"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1" fillId="24" borderId="16" applyNumberFormat="0" applyAlignment="0" applyProtection="0"/>
    <xf numFmtId="0" fontId="21" fillId="24"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8"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8" fillId="0" borderId="11"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8" fillId="0" borderId="11" applyNumberFormat="0" applyFill="0" applyAlignment="0" applyProtection="0"/>
    <xf numFmtId="0" fontId="22" fillId="0" borderId="17" applyNumberFormat="0" applyFill="0" applyAlignment="0" applyProtection="0"/>
    <xf numFmtId="0" fontId="28" fillId="0" borderId="11" applyNumberFormat="0" applyFill="0" applyAlignment="0" applyProtection="0"/>
    <xf numFmtId="0" fontId="9" fillId="6" borderId="15" applyNumberFormat="0" applyFont="0" applyAlignment="0" applyProtection="0"/>
    <xf numFmtId="0" fontId="28" fillId="0" borderId="11" applyNumberFormat="0" applyFill="0" applyAlignment="0" applyProtection="0"/>
    <xf numFmtId="0" fontId="21" fillId="24" borderId="16" applyNumberFormat="0" applyAlignment="0" applyProtection="0"/>
    <xf numFmtId="0" fontId="21" fillId="25" borderId="16" applyNumberFormat="0" applyAlignment="0" applyProtection="0"/>
    <xf numFmtId="0" fontId="28" fillId="0" borderId="11" applyNumberFormat="0" applyFill="0" applyAlignment="0" applyProtection="0"/>
    <xf numFmtId="0" fontId="9" fillId="6" borderId="15" applyNumberFormat="0" applyFont="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21" fillId="25" borderId="16" applyNumberFormat="0" applyAlignment="0" applyProtection="0"/>
    <xf numFmtId="0" fontId="21" fillId="25"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21" fillId="25" borderId="16" applyNumberFormat="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28" fillId="0" borderId="11" applyNumberFormat="0" applyFill="0" applyAlignment="0" applyProtection="0"/>
    <xf numFmtId="0" fontId="21" fillId="24" borderId="16" applyNumberFormat="0" applyAlignment="0" applyProtection="0"/>
    <xf numFmtId="0" fontId="28" fillId="0" borderId="11"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5" borderId="16" applyNumberFormat="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1" fillId="24" borderId="16" applyNumberFormat="0" applyAlignment="0" applyProtection="0"/>
    <xf numFmtId="0" fontId="22" fillId="0" borderId="18" applyNumberFormat="0" applyFill="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21" fillId="24" borderId="16" applyNumberFormat="0" applyAlignment="0" applyProtection="0"/>
    <xf numFmtId="0" fontId="22" fillId="0" borderId="17"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1" fillId="25" borderId="16" applyNumberFormat="0" applyAlignment="0" applyProtection="0"/>
    <xf numFmtId="0" fontId="22" fillId="0" borderId="18" applyNumberFormat="0" applyFill="0" applyAlignment="0" applyProtection="0"/>
    <xf numFmtId="0" fontId="9" fillId="6" borderId="15" applyNumberFormat="0" applyFont="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49" fontId="33" fillId="0" borderId="3" applyNumberFormat="0" applyFont="0" applyFill="0" applyBorder="0" applyProtection="0">
      <alignment horizontal="left" vertical="center" indent="5"/>
    </xf>
    <xf numFmtId="49" fontId="33" fillId="0" borderId="3" applyNumberFormat="0" applyFont="0" applyFill="0" applyBorder="0" applyProtection="0">
      <alignment horizontal="left" vertical="center" indent="5"/>
    </xf>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49" fontId="33" fillId="0" borderId="3" applyNumberFormat="0" applyFont="0" applyFill="0" applyBorder="0" applyProtection="0">
      <alignment horizontal="left" vertical="center" indent="5"/>
    </xf>
    <xf numFmtId="49" fontId="33" fillId="0" borderId="3" applyNumberFormat="0" applyFont="0" applyFill="0" applyBorder="0" applyProtection="0">
      <alignment horizontal="left" vertical="center" indent="5"/>
    </xf>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9" fillId="6" borderId="15" applyNumberFormat="0" applyFont="0" applyAlignment="0" applyProtection="0"/>
    <xf numFmtId="0" fontId="21" fillId="24"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5" borderId="16" applyNumberFormat="0" applyAlignment="0" applyProtection="0"/>
    <xf numFmtId="0" fontId="21" fillId="24" borderId="16" applyNumberFormat="0" applyAlignment="0" applyProtection="0"/>
    <xf numFmtId="0" fontId="22" fillId="0" borderId="17"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8" applyNumberFormat="0" applyFill="0" applyAlignment="0" applyProtection="0"/>
    <xf numFmtId="0" fontId="22" fillId="0" borderId="17"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9" fontId="33" fillId="0" borderId="26" applyNumberFormat="0" applyFont="0" applyFill="0" applyBorder="0" applyProtection="0">
      <alignment horizontal="left" vertical="center" indent="5"/>
    </xf>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5" fillId="25" borderId="27"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5" fillId="25" borderId="27"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5" fillId="25" borderId="27" applyNumberFormat="0" applyAlignment="0" applyProtection="0"/>
    <xf numFmtId="0" fontId="25" fillId="25" borderId="27"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5" fillId="25" borderId="27"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5" fillId="25" borderId="27"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5" fillId="25" borderId="27"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5" fillId="25" borderId="27"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5" fillId="25" borderId="27"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5" fillId="25" borderId="27"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40" fillId="24" borderId="27"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5" fillId="25" borderId="27"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5" fillId="25" borderId="27"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5" fillId="25" borderId="27"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4"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4"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4"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4" applyNumberFormat="0" applyFill="0" applyAlignment="0" applyProtection="0"/>
    <xf numFmtId="0" fontId="21" fillId="24"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4"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5" fillId="25"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4"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5"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4"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4" borderId="23" applyNumberFormat="0" applyAlignment="0" applyProtection="0"/>
    <xf numFmtId="0" fontId="21" fillId="25"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4" borderId="23"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4"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25" fillId="25" borderId="27" applyNumberFormat="0" applyAlignment="0" applyProtection="0"/>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44" fontId="6" fillId="0" borderId="0" applyFont="0" applyFill="0" applyBorder="0" applyAlignment="0" applyProtection="0"/>
    <xf numFmtId="0" fontId="38" fillId="0" borderId="37"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38" fillId="0" borderId="37"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38" fillId="0" borderId="37"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38" fillId="0" borderId="37"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5" fillId="25" borderId="27" applyNumberFormat="0" applyAlignment="0" applyProtection="0"/>
    <xf numFmtId="0" fontId="19" fillId="11"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38" fillId="0" borderId="37" applyNumberFormat="0" applyFill="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28" fillId="0" borderId="38" applyNumberFormat="0" applyFill="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9" fillId="6" borderId="28" applyNumberFormat="0" applyFont="0" applyAlignment="0" applyProtection="0"/>
    <xf numFmtId="0" fontId="19" fillId="8"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40" fillId="24" borderId="27" applyNumberFormat="0" applyAlignment="0" applyProtection="0"/>
    <xf numFmtId="0" fontId="19" fillId="8" borderId="27" applyNumberFormat="0" applyAlignment="0" applyProtection="0"/>
    <xf numFmtId="0" fontId="28" fillId="0" borderId="38" applyNumberFormat="0" applyFill="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49" fontId="33" fillId="0" borderId="20" applyNumberFormat="0" applyFont="0" applyFill="0" applyBorder="0" applyProtection="0">
      <alignment horizontal="left" vertical="center" indent="5"/>
    </xf>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25" fillId="25" borderId="27" applyNumberFormat="0" applyAlignment="0" applyProtection="0"/>
    <xf numFmtId="49" fontId="34" fillId="0" borderId="19" applyNumberFormat="0" applyFill="0" applyBorder="0" applyProtection="0">
      <alignment horizontal="left" vertical="center"/>
    </xf>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40" fillId="24"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4" fontId="33" fillId="0" borderId="19" applyFill="0" applyBorder="0" applyProtection="0">
      <alignment horizontal="right" vertical="center"/>
    </xf>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49" fontId="33" fillId="0" borderId="20" applyNumberFormat="0" applyFont="0" applyFill="0" applyBorder="0" applyProtection="0">
      <alignment horizontal="left" vertical="center" indent="5"/>
    </xf>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33" fillId="0" borderId="19" applyNumberFormat="0" applyFill="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49" fontId="33" fillId="0" borderId="20" applyNumberFormat="0" applyFont="0" applyFill="0" applyBorder="0" applyProtection="0">
      <alignment horizontal="left" vertical="center" indent="5"/>
    </xf>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49" fontId="33" fillId="0" borderId="19" applyNumberFormat="0" applyFont="0" applyFill="0" applyBorder="0" applyProtection="0">
      <alignment horizontal="left" vertical="center" indent="2"/>
    </xf>
    <xf numFmtId="0" fontId="9" fillId="6" borderId="28" applyNumberFormat="0" applyFont="0" applyAlignment="0" applyProtection="0"/>
    <xf numFmtId="0" fontId="19" fillId="8" borderId="27" applyNumberForma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28" fillId="0" borderId="38" applyNumberFormat="0" applyFill="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8" fillId="0" borderId="38" applyNumberFormat="0" applyFill="0" applyAlignment="0" applyProtection="0"/>
    <xf numFmtId="0" fontId="40" fillId="24"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25" fillId="25" borderId="27" applyNumberFormat="0" applyAlignment="0" applyProtection="0"/>
    <xf numFmtId="0" fontId="40" fillId="24" borderId="27" applyNumberFormat="0" applyAlignment="0" applyProtection="0"/>
    <xf numFmtId="0" fontId="19" fillId="8" borderId="27" applyNumberFormat="0" applyAlignment="0" applyProtection="0"/>
    <xf numFmtId="0" fontId="40" fillId="24"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19" fillId="8" borderId="27" applyNumberFormat="0" applyAlignment="0" applyProtection="0"/>
    <xf numFmtId="0" fontId="28" fillId="0" borderId="38" applyNumberFormat="0" applyFill="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19" fillId="11" borderId="27" applyNumberFormat="0" applyAlignment="0" applyProtection="0"/>
    <xf numFmtId="0" fontId="40" fillId="24"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8" fillId="0" borderId="38" applyNumberFormat="0" applyFill="0" applyAlignment="0" applyProtection="0"/>
    <xf numFmtId="0" fontId="19" fillId="8" borderId="27" applyNumberFormat="0" applyAlignment="0" applyProtection="0"/>
    <xf numFmtId="0" fontId="25" fillId="25" borderId="27" applyNumberFormat="0" applyAlignment="0" applyProtection="0"/>
    <xf numFmtId="4" fontId="33" fillId="0" borderId="19" applyFill="0" applyBorder="0" applyProtection="0">
      <alignment horizontal="right" vertical="center"/>
    </xf>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40" fillId="24"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40" fillId="24"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19" fillId="11"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19" fillId="8" borderId="27" applyNumberFormat="0" applyAlignment="0" applyProtection="0"/>
    <xf numFmtId="49" fontId="33" fillId="0" borderId="20" applyNumberFormat="0" applyFont="0" applyFill="0" applyBorder="0" applyProtection="0">
      <alignment horizontal="left" vertical="center" indent="5"/>
    </xf>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38" fillId="0" borderId="37" applyNumberFormat="0" applyFill="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19" fillId="11"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19" fillId="8" borderId="27" applyNumberFormat="0" applyAlignment="0" applyProtection="0"/>
    <xf numFmtId="49" fontId="34" fillId="0" borderId="19" applyNumberFormat="0" applyFill="0" applyBorder="0" applyProtection="0">
      <alignment horizontal="left" vertical="center"/>
    </xf>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11"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33" fillId="0" borderId="19" applyNumberFormat="0" applyFill="0" applyAlignment="0" applyProtection="0"/>
    <xf numFmtId="0" fontId="19" fillId="8" borderId="27" applyNumberFormat="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49" fontId="33" fillId="0" borderId="20" applyNumberFormat="0" applyFont="0" applyFill="0" applyBorder="0" applyProtection="0">
      <alignment horizontal="left" vertical="center" indent="5"/>
    </xf>
    <xf numFmtId="49" fontId="33" fillId="0" borderId="20" applyNumberFormat="0" applyFont="0" applyFill="0" applyBorder="0" applyProtection="0">
      <alignment horizontal="left" vertical="center" indent="5"/>
    </xf>
    <xf numFmtId="0" fontId="19" fillId="8"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8" fillId="0" borderId="38" applyNumberFormat="0" applyFill="0" applyAlignment="0" applyProtection="0"/>
    <xf numFmtId="0" fontId="25" fillId="25"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8" fillId="0" borderId="38" applyNumberFormat="0" applyFill="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38" fillId="0" borderId="37" applyNumberFormat="0" applyFill="0" applyAlignment="0" applyProtection="0"/>
    <xf numFmtId="49" fontId="33" fillId="0" borderId="20" applyNumberFormat="0" applyFont="0" applyFill="0" applyBorder="0" applyProtection="0">
      <alignment horizontal="left" vertical="center" indent="5"/>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38" fillId="0" borderId="37"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38" fillId="0" borderId="37"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5" fillId="25" borderId="27" applyNumberFormat="0" applyAlignment="0" applyProtection="0"/>
    <xf numFmtId="0" fontId="19" fillId="11"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38" fillId="0" borderId="37" applyNumberFormat="0" applyFill="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49" fontId="33" fillId="0" borderId="19" applyNumberFormat="0" applyFont="0" applyFill="0" applyBorder="0" applyProtection="0">
      <alignment horizontal="left" vertical="center" indent="2"/>
    </xf>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28" fillId="0" borderId="38" applyNumberFormat="0" applyFill="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19" fillId="8"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33" fillId="0" borderId="19" applyNumberFormat="0" applyFill="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40" fillId="24" borderId="27" applyNumberFormat="0" applyAlignment="0" applyProtection="0"/>
    <xf numFmtId="0" fontId="19" fillId="8" borderId="27" applyNumberFormat="0" applyAlignment="0" applyProtection="0"/>
    <xf numFmtId="0" fontId="28" fillId="0" borderId="38" applyNumberFormat="0" applyFill="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4" fontId="33" fillId="0" borderId="19" applyFill="0" applyBorder="0" applyProtection="0">
      <alignment horizontal="right" vertical="center"/>
    </xf>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165" fontId="33" fillId="28" borderId="19" applyNumberFormat="0" applyFont="0" applyBorder="0" applyAlignment="0" applyProtection="0">
      <alignment horizontal="right" vertical="center"/>
    </xf>
    <xf numFmtId="0" fontId="33" fillId="0" borderId="19" applyNumberFormat="0" applyFill="0" applyAlignment="0" applyProtection="0"/>
    <xf numFmtId="4" fontId="33" fillId="0" borderId="19" applyFill="0" applyBorder="0" applyProtection="0">
      <alignment horizontal="right" vertical="center"/>
    </xf>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4" fillId="0" borderId="19" applyNumberFormat="0" applyFill="0" applyBorder="0" applyProtection="0">
      <alignment horizontal="left" vertical="center"/>
    </xf>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49" fontId="34" fillId="0" borderId="19" applyNumberFormat="0" applyFill="0" applyBorder="0" applyProtection="0">
      <alignment horizontal="lef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40" fillId="24"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165" fontId="33" fillId="28" borderId="19" applyNumberFormat="0" applyFont="0" applyBorder="0" applyAlignment="0" applyProtection="0">
      <alignment horizontal="right" vertical="center"/>
    </xf>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49" fontId="34" fillId="0" borderId="19" applyNumberFormat="0" applyFill="0" applyBorder="0" applyProtection="0">
      <alignment horizontal="left" vertical="center"/>
    </xf>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49" fontId="33" fillId="0" borderId="20" applyNumberFormat="0" applyFont="0" applyFill="0" applyBorder="0" applyProtection="0">
      <alignment horizontal="left" vertical="center" indent="5"/>
    </xf>
    <xf numFmtId="0" fontId="19" fillId="8" borderId="27" applyNumberForma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49" fontId="33" fillId="0" borderId="19" applyNumberFormat="0" applyFont="0" applyFill="0" applyBorder="0" applyProtection="0">
      <alignment horizontal="left" vertical="center" indent="2"/>
    </xf>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49" fontId="33" fillId="0" borderId="19" applyNumberFormat="0" applyFont="0" applyFill="0" applyBorder="0" applyProtection="0">
      <alignment horizontal="left" vertical="center" indent="2"/>
    </xf>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33" fillId="0" borderId="19" applyNumberFormat="0" applyFill="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28" fillId="0" borderId="38" applyNumberFormat="0" applyFill="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8" fillId="0" borderId="38" applyNumberFormat="0" applyFill="0" applyAlignment="0" applyProtection="0"/>
    <xf numFmtId="0" fontId="40" fillId="24"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25" fillId="25" borderId="27" applyNumberFormat="0" applyAlignment="0" applyProtection="0"/>
    <xf numFmtId="0" fontId="40" fillId="24" borderId="27" applyNumberFormat="0" applyAlignment="0" applyProtection="0"/>
    <xf numFmtId="0" fontId="19" fillId="8" borderId="27" applyNumberFormat="0" applyAlignment="0" applyProtection="0"/>
    <xf numFmtId="0" fontId="40" fillId="24"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4" fontId="33" fillId="0" borderId="19" applyFill="0" applyBorder="0" applyProtection="0">
      <alignment horizontal="right" vertical="center"/>
    </xf>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9" fillId="6" borderId="28" applyNumberFormat="0" applyFont="0" applyAlignment="0" applyProtection="0"/>
    <xf numFmtId="0" fontId="33" fillId="0" borderId="19" applyNumberFormat="0" applyFill="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4" fontId="33" fillId="0" borderId="19" applyFill="0" applyBorder="0" applyProtection="0">
      <alignment horizontal="right" vertical="center"/>
    </xf>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27" applyNumberFormat="0" applyAlignment="0" applyProtection="0"/>
    <xf numFmtId="0" fontId="28" fillId="0" borderId="38" applyNumberFormat="0" applyFill="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19" fillId="11" borderId="27" applyNumberFormat="0" applyAlignment="0" applyProtection="0"/>
    <xf numFmtId="0" fontId="40" fillId="24"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8" fillId="0" borderId="38" applyNumberFormat="0" applyFill="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49" fontId="33" fillId="0" borderId="20" applyNumberFormat="0" applyFont="0" applyFill="0" applyBorder="0" applyProtection="0">
      <alignment horizontal="left" vertical="center" indent="5"/>
    </xf>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40" fillId="24"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40" fillId="24"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19" fillId="11"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49" fontId="33" fillId="0" borderId="19" applyNumberFormat="0" applyFont="0" applyFill="0" applyBorder="0" applyProtection="0">
      <alignment horizontal="left" vertical="center" indent="2"/>
    </xf>
    <xf numFmtId="0" fontId="25" fillId="25" borderId="27" applyNumberFormat="0" applyAlignment="0" applyProtection="0"/>
    <xf numFmtId="0" fontId="25" fillId="25" borderId="27" applyNumberFormat="0" applyAlignment="0" applyProtection="0"/>
    <xf numFmtId="49" fontId="33" fillId="0" borderId="20" applyNumberFormat="0" applyFont="0" applyFill="0" applyBorder="0" applyProtection="0">
      <alignment horizontal="left" vertical="center" indent="5"/>
    </xf>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38" fillId="0" borderId="37" applyNumberFormat="0" applyFill="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19" fillId="11"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11"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4" fillId="0" borderId="19" applyNumberFormat="0" applyFill="0" applyBorder="0" applyProtection="0">
      <alignment horizontal="left" vertical="center"/>
    </xf>
    <xf numFmtId="49" fontId="33" fillId="0" borderId="19" applyNumberFormat="0" applyFont="0" applyFill="0" applyBorder="0" applyProtection="0">
      <alignment horizontal="left" vertical="center" indent="2"/>
    </xf>
    <xf numFmtId="0" fontId="19" fillId="8"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49" fontId="33" fillId="0" borderId="19" applyNumberFormat="0" applyFont="0" applyFill="0" applyBorder="0" applyProtection="0">
      <alignment horizontal="left" vertical="center" indent="2"/>
    </xf>
    <xf numFmtId="0" fontId="19" fillId="8" borderId="27" applyNumberFormat="0" applyAlignment="0" applyProtection="0"/>
    <xf numFmtId="0" fontId="28" fillId="0" borderId="38" applyNumberFormat="0" applyFill="0" applyAlignment="0" applyProtection="0"/>
    <xf numFmtId="0" fontId="25" fillId="25" borderId="27" applyNumberFormat="0" applyAlignment="0" applyProtection="0"/>
    <xf numFmtId="0" fontId="28" fillId="0" borderId="38" applyNumberFormat="0" applyFill="0" applyAlignment="0" applyProtection="0"/>
    <xf numFmtId="49" fontId="34" fillId="0" borderId="19" applyNumberFormat="0" applyFill="0" applyBorder="0" applyProtection="0">
      <alignment horizontal="left" vertical="center"/>
    </xf>
    <xf numFmtId="0" fontId="28" fillId="0" borderId="38" applyNumberFormat="0" applyFill="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19" fillId="8" borderId="27" applyNumberFormat="0" applyAlignment="0" applyProtection="0"/>
    <xf numFmtId="49" fontId="33" fillId="0" borderId="20" applyNumberFormat="0" applyFont="0" applyFill="0" applyBorder="0" applyProtection="0">
      <alignment horizontal="left" vertical="center" indent="5"/>
    </xf>
    <xf numFmtId="0" fontId="19" fillId="8" borderId="27" applyNumberFormat="0" applyAlignment="0" applyProtection="0"/>
    <xf numFmtId="0" fontId="9" fillId="6" borderId="28" applyNumberFormat="0" applyFont="0" applyAlignment="0" applyProtection="0"/>
    <xf numFmtId="0" fontId="28" fillId="0" borderId="38" applyNumberFormat="0" applyFill="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33" fillId="0" borderId="19"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0" fontId="19" fillId="11" borderId="27" applyNumberFormat="0" applyAlignment="0" applyProtection="0"/>
    <xf numFmtId="49" fontId="33" fillId="0" borderId="20" applyNumberFormat="0" applyFont="0" applyFill="0" applyBorder="0" applyProtection="0">
      <alignment horizontal="left" vertical="center" indent="5"/>
    </xf>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49" fontId="33" fillId="0" borderId="20" applyNumberFormat="0" applyFont="0" applyFill="0" applyBorder="0" applyProtection="0">
      <alignment horizontal="left" vertical="center" indent="5"/>
    </xf>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4"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4"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4" applyNumberFormat="0" applyFill="0" applyAlignment="0" applyProtection="0"/>
    <xf numFmtId="0" fontId="21" fillId="24"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49" fontId="33" fillId="0" borderId="20" applyNumberFormat="0" applyFont="0" applyFill="0" applyBorder="0" applyProtection="0">
      <alignment horizontal="left" vertical="center" indent="5"/>
    </xf>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4"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49" fontId="33" fillId="0" borderId="20" applyNumberFormat="0" applyFont="0" applyFill="0" applyBorder="0" applyProtection="0">
      <alignment horizontal="left" vertical="center" indent="5"/>
    </xf>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21" fillId="24"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5"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22" fillId="0" borderId="24" applyNumberFormat="0" applyFill="0" applyAlignment="0" applyProtection="0"/>
    <xf numFmtId="0" fontId="21" fillId="25" borderId="23" applyNumberFormat="0" applyAlignment="0" applyProtection="0"/>
    <xf numFmtId="49" fontId="33" fillId="0" borderId="20" applyNumberFormat="0" applyFont="0" applyFill="0" applyBorder="0" applyProtection="0">
      <alignment horizontal="left" vertical="center" indent="5"/>
    </xf>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49" fontId="33" fillId="0" borderId="20" applyNumberFormat="0" applyFont="0" applyFill="0" applyBorder="0" applyProtection="0">
      <alignment horizontal="left" vertical="center" indent="5"/>
    </xf>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49" fontId="33" fillId="0" borderId="20" applyNumberFormat="0" applyFont="0" applyFill="0" applyBorder="0" applyProtection="0">
      <alignment horizontal="left" vertical="center" indent="5"/>
    </xf>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4" borderId="23" applyNumberFormat="0" applyAlignment="0" applyProtection="0"/>
    <xf numFmtId="0" fontId="21" fillId="25" borderId="23" applyNumberFormat="0" applyAlignment="0" applyProtection="0"/>
    <xf numFmtId="0" fontId="22" fillId="0" borderId="24"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49" fontId="33" fillId="0" borderId="20" applyNumberFormat="0" applyFont="0" applyFill="0" applyBorder="0" applyProtection="0">
      <alignment horizontal="left" vertical="center" indent="5"/>
    </xf>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49" fontId="33" fillId="0" borderId="20" applyNumberFormat="0" applyFont="0" applyFill="0" applyBorder="0" applyProtection="0">
      <alignment horizontal="left" vertical="center" indent="5"/>
    </xf>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21" fillId="24" borderId="23" applyNumberFormat="0" applyAlignment="0" applyProtection="0"/>
    <xf numFmtId="0" fontId="21" fillId="24"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4"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49" fontId="33" fillId="0" borderId="20" applyNumberFormat="0" applyFont="0" applyFill="0" applyBorder="0" applyProtection="0">
      <alignment horizontal="left" vertical="center" indent="5"/>
    </xf>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49" fontId="33" fillId="0" borderId="20" applyNumberFormat="0" applyFont="0" applyFill="0" applyBorder="0" applyProtection="0">
      <alignment horizontal="left" vertical="center" indent="5"/>
    </xf>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4" applyNumberFormat="0" applyFill="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21" fillId="24"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4" borderId="23" applyNumberFormat="0" applyAlignment="0" applyProtection="0"/>
    <xf numFmtId="0" fontId="22" fillId="0" borderId="24"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38" fillId="0" borderId="37"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38" fillId="0" borderId="37"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38" fillId="0" borderId="37"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49" fontId="33" fillId="0" borderId="19" applyNumberFormat="0" applyFont="0" applyFill="0" applyBorder="0" applyProtection="0">
      <alignment horizontal="left" vertical="center" indent="2"/>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165" fontId="33" fillId="28" borderId="19" applyNumberFormat="0" applyFont="0" applyBorder="0" applyAlignment="0" applyProtection="0">
      <alignment horizontal="right" vertical="center"/>
    </xf>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22" fillId="0" borderId="25" applyNumberFormat="0" applyFill="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2" fillId="0" borderId="25"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21" fillId="25" borderId="23"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5" fillId="25" borderId="27" applyNumberFormat="0" applyAlignment="0" applyProtection="0"/>
    <xf numFmtId="0" fontId="19" fillId="11" borderId="27"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19" fillId="8" borderId="27" applyNumberFormat="0" applyAlignment="0" applyProtection="0"/>
    <xf numFmtId="0" fontId="22" fillId="0" borderId="25" applyNumberFormat="0" applyFill="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22" fillId="0" borderId="25" applyNumberFormat="0" applyFill="0" applyAlignment="0" applyProtection="0"/>
    <xf numFmtId="0" fontId="25" fillId="25"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1" fillId="24"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8" fillId="0" borderId="38"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38" fillId="0" borderId="37" applyNumberFormat="0" applyFill="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8" fillId="0" borderId="38" applyNumberFormat="0" applyFill="0" applyAlignment="0" applyProtection="0"/>
    <xf numFmtId="0" fontId="22" fillId="0" borderId="25"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25" fillId="25" borderId="27" applyNumberForma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4"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8" fillId="0" borderId="38" applyNumberFormat="0" applyFill="0" applyAlignment="0" applyProtection="0"/>
    <xf numFmtId="0" fontId="19" fillId="8" borderId="27" applyNumberFormat="0" applyAlignment="0" applyProtection="0"/>
    <xf numFmtId="0" fontId="21" fillId="25" borderId="23" applyNumberFormat="0" applyAlignment="0" applyProtection="0"/>
    <xf numFmtId="0" fontId="21" fillId="24" borderId="23" applyNumberFormat="0" applyAlignment="0" applyProtection="0"/>
    <xf numFmtId="0" fontId="28" fillId="0" borderId="38" applyNumberFormat="0" applyFill="0" applyAlignment="0" applyProtection="0"/>
    <xf numFmtId="0" fontId="28" fillId="0" borderId="38" applyNumberFormat="0" applyFill="0" applyAlignment="0" applyProtection="0"/>
    <xf numFmtId="49" fontId="33" fillId="0" borderId="19" applyNumberFormat="0" applyFont="0" applyFill="0" applyBorder="0" applyProtection="0">
      <alignment horizontal="left" vertical="center" indent="2"/>
    </xf>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19" fillId="8"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33" fillId="0" borderId="19" applyNumberFormat="0" applyFill="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21" fillId="25" borderId="23" applyNumberForma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25" fillId="25" borderId="27" applyNumberFormat="0" applyAlignment="0" applyProtection="0"/>
    <xf numFmtId="0" fontId="22" fillId="0" borderId="25" applyNumberFormat="0" applyFill="0" applyAlignment="0" applyProtection="0"/>
    <xf numFmtId="0" fontId="28" fillId="0" borderId="38" applyNumberFormat="0" applyFill="0" applyAlignment="0" applyProtection="0"/>
    <xf numFmtId="0" fontId="40" fillId="24" borderId="27" applyNumberFormat="0" applyAlignment="0" applyProtection="0"/>
    <xf numFmtId="0" fontId="19" fillId="8" borderId="27"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19" fillId="11" borderId="27" applyNumberFormat="0" applyAlignment="0" applyProtection="0"/>
    <xf numFmtId="0" fontId="19" fillId="8" borderId="27" applyNumberFormat="0" applyAlignment="0" applyProtection="0"/>
    <xf numFmtId="0" fontId="22" fillId="0" borderId="24" applyNumberFormat="0" applyFill="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1" fillId="24" borderId="23"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22" fillId="0" borderId="25" applyNumberFormat="0" applyFill="0" applyAlignment="0" applyProtection="0"/>
    <xf numFmtId="0" fontId="19" fillId="8"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19" fillId="8"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19" fillId="11" borderId="27" applyNumberFormat="0" applyAlignment="0" applyProtection="0"/>
    <xf numFmtId="0" fontId="25" fillId="25"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5" fillId="25" borderId="27" applyNumberFormat="0" applyAlignment="0" applyProtection="0"/>
    <xf numFmtId="0" fontId="19" fillId="8" borderId="27" applyNumberFormat="0" applyAlignment="0" applyProtection="0"/>
    <xf numFmtId="0" fontId="21" fillId="25" borderId="23" applyNumberFormat="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2" fillId="0" borderId="25" applyNumberFormat="0" applyFill="0" applyAlignment="0" applyProtection="0"/>
    <xf numFmtId="0" fontId="28" fillId="0" borderId="38" applyNumberFormat="0" applyFill="0" applyAlignment="0" applyProtection="0"/>
    <xf numFmtId="49" fontId="33" fillId="0" borderId="20" applyNumberFormat="0" applyFont="0" applyFill="0" applyBorder="0" applyProtection="0">
      <alignment horizontal="left" vertical="center" indent="5"/>
    </xf>
    <xf numFmtId="0" fontId="28" fillId="0" borderId="38" applyNumberFormat="0" applyFill="0" applyAlignment="0" applyProtection="0"/>
    <xf numFmtId="0" fontId="21" fillId="25" borderId="23" applyNumberFormat="0" applyAlignment="0" applyProtection="0"/>
    <xf numFmtId="0" fontId="21" fillId="25" borderId="23" applyNumberFormat="0" applyAlignment="0" applyProtection="0"/>
    <xf numFmtId="0" fontId="19" fillId="8" borderId="27" applyNumberForma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25" fillId="25"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22" fillId="0" borderId="25" applyNumberFormat="0" applyFill="0" applyAlignment="0" applyProtection="0"/>
    <xf numFmtId="0" fontId="22" fillId="0" borderId="25" applyNumberFormat="0" applyFill="0" applyAlignment="0" applyProtection="0"/>
    <xf numFmtId="165" fontId="33" fillId="28" borderId="19" applyNumberFormat="0" applyFont="0" applyBorder="0" applyAlignment="0" applyProtection="0">
      <alignment horizontal="right" vertical="center"/>
    </xf>
    <xf numFmtId="0" fontId="21" fillId="25" borderId="23" applyNumberFormat="0" applyAlignment="0" applyProtection="0"/>
    <xf numFmtId="0" fontId="9" fillId="6" borderId="28" applyNumberFormat="0" applyFont="0" applyAlignment="0" applyProtection="0"/>
    <xf numFmtId="4" fontId="33" fillId="0" borderId="19" applyFill="0" applyBorder="0" applyProtection="0">
      <alignment horizontal="right" vertical="center"/>
    </xf>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1" fillId="25" borderId="23"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165" fontId="33" fillId="28" borderId="19" applyNumberFormat="0" applyFont="0" applyBorder="0" applyAlignment="0" applyProtection="0">
      <alignment horizontal="right" vertical="center"/>
    </xf>
    <xf numFmtId="0" fontId="33" fillId="0" borderId="19" applyNumberFormat="0" applyFill="0" applyAlignment="0" applyProtection="0"/>
    <xf numFmtId="4" fontId="33" fillId="0" borderId="19" applyFill="0" applyBorder="0" applyProtection="0">
      <alignment horizontal="right" vertical="center"/>
    </xf>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5" fillId="25"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1" fillId="24" borderId="23" applyNumberFormat="0" applyAlignment="0" applyProtection="0"/>
    <xf numFmtId="4" fontId="33" fillId="0" borderId="19" applyFill="0" applyBorder="0" applyProtection="0">
      <alignment horizontal="right" vertical="center"/>
    </xf>
    <xf numFmtId="0" fontId="22" fillId="0" borderId="24" applyNumberFormat="0" applyFill="0" applyAlignment="0" applyProtection="0"/>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25" fillId="25" borderId="27"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49" fontId="34" fillId="0" borderId="19" applyNumberFormat="0" applyFill="0" applyBorder="0" applyProtection="0">
      <alignment horizontal="left" vertical="center"/>
    </xf>
    <xf numFmtId="0" fontId="22" fillId="0" borderId="25" applyNumberFormat="0" applyFill="0" applyAlignment="0" applyProtection="0"/>
    <xf numFmtId="0" fontId="21" fillId="24"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2" fillId="0" borderId="25" applyNumberFormat="0" applyFill="0" applyAlignment="0" applyProtection="0"/>
    <xf numFmtId="0" fontId="21" fillId="25" borderId="23" applyNumberFormat="0" applyAlignment="0" applyProtection="0"/>
    <xf numFmtId="49" fontId="33" fillId="0" borderId="19" applyNumberFormat="0" applyFont="0" applyFill="0" applyBorder="0" applyProtection="0">
      <alignment horizontal="left" vertical="center" indent="2"/>
    </xf>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2" fillId="0" borderId="25" applyNumberFormat="0" applyFill="0" applyAlignment="0" applyProtection="0"/>
    <xf numFmtId="0" fontId="25" fillId="25" borderId="27" applyNumberFormat="0" applyAlignment="0" applyProtection="0"/>
    <xf numFmtId="0" fontId="19" fillId="8" borderId="27" applyNumberFormat="0" applyAlignment="0" applyProtection="0"/>
    <xf numFmtId="0" fontId="21" fillId="25" borderId="23" applyNumberFormat="0" applyAlignment="0" applyProtection="0"/>
    <xf numFmtId="0" fontId="22" fillId="0" borderId="24" applyNumberFormat="0" applyFill="0" applyAlignment="0" applyProtection="0"/>
    <xf numFmtId="0" fontId="19" fillId="8" borderId="27" applyNumberFormat="0" applyAlignment="0" applyProtection="0"/>
    <xf numFmtId="0" fontId="21" fillId="25" borderId="23"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0" fontId="25" fillId="25" borderId="27" applyNumberFormat="0" applyAlignment="0" applyProtection="0"/>
    <xf numFmtId="0" fontId="25" fillId="25" borderId="27" applyNumberFormat="0" applyAlignment="0" applyProtection="0"/>
    <xf numFmtId="0" fontId="21" fillId="25" borderId="23" applyNumberFormat="0" applyAlignment="0" applyProtection="0"/>
    <xf numFmtId="0" fontId="40" fillId="24" borderId="27" applyNumberFormat="0" applyAlignment="0" applyProtection="0"/>
    <xf numFmtId="0" fontId="19" fillId="8" borderId="27" applyNumberFormat="0" applyAlignment="0" applyProtection="0"/>
    <xf numFmtId="0" fontId="19" fillId="8" borderId="27" applyNumberFormat="0" applyAlignment="0" applyProtection="0"/>
    <xf numFmtId="0" fontId="22" fillId="0" borderId="25" applyNumberFormat="0" applyFill="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2" fillId="0" borderId="24"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25" fillId="25" borderId="27" applyNumberFormat="0" applyAlignment="0" applyProtection="0"/>
    <xf numFmtId="49" fontId="34" fillId="0" borderId="19" applyNumberFormat="0" applyFill="0" applyBorder="0" applyProtection="0">
      <alignment horizontal="left" vertical="center"/>
    </xf>
    <xf numFmtId="0" fontId="19" fillId="8" borderId="27" applyNumberFormat="0" applyAlignment="0" applyProtection="0"/>
    <xf numFmtId="0" fontId="21" fillId="25" borderId="23"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49" fontId="34" fillId="0" borderId="19" applyNumberFormat="0" applyFill="0" applyBorder="0" applyProtection="0">
      <alignment horizontal="left" vertical="center"/>
    </xf>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40" fillId="24"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5"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0" fontId="25" fillId="25" borderId="27" applyNumberFormat="0" applyAlignment="0" applyProtection="0"/>
    <xf numFmtId="0" fontId="22" fillId="0" borderId="25" applyNumberFormat="0" applyFill="0" applyAlignment="0" applyProtection="0"/>
    <xf numFmtId="0" fontId="21" fillId="25" borderId="23" applyNumberFormat="0" applyAlignment="0" applyProtection="0"/>
    <xf numFmtId="0" fontId="19" fillId="8" borderId="27" applyNumberFormat="0" applyAlignment="0" applyProtection="0"/>
    <xf numFmtId="0" fontId="21" fillId="25" borderId="23" applyNumberFormat="0" applyAlignment="0" applyProtection="0"/>
    <xf numFmtId="0" fontId="25" fillId="25" borderId="27" applyNumberFormat="0" applyAlignment="0" applyProtection="0"/>
    <xf numFmtId="0" fontId="21" fillId="25" borderId="23" applyNumberFormat="0" applyAlignment="0" applyProtection="0"/>
    <xf numFmtId="0" fontId="21" fillId="25" borderId="23" applyNumberFormat="0" applyAlignment="0" applyProtection="0"/>
    <xf numFmtId="0" fontId="25" fillId="25" borderId="27" applyNumberFormat="0" applyAlignment="0" applyProtection="0"/>
    <xf numFmtId="0" fontId="19" fillId="8" borderId="27" applyNumberFormat="0" applyAlignment="0" applyProtection="0"/>
    <xf numFmtId="0" fontId="22" fillId="0" borderId="25" applyNumberFormat="0" applyFill="0" applyAlignment="0" applyProtection="0"/>
    <xf numFmtId="0" fontId="25" fillId="25" borderId="27" applyNumberFormat="0" applyAlignment="0" applyProtection="0"/>
    <xf numFmtId="0" fontId="22" fillId="0" borderId="25" applyNumberFormat="0" applyFill="0" applyAlignment="0" applyProtection="0"/>
    <xf numFmtId="0" fontId="19" fillId="8"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5" fillId="25" borderId="27" applyNumberFormat="0" applyAlignment="0" applyProtection="0"/>
    <xf numFmtId="0" fontId="22" fillId="0" borderId="25" applyNumberFormat="0" applyFill="0" applyAlignment="0" applyProtection="0"/>
    <xf numFmtId="165" fontId="33" fillId="28" borderId="19" applyNumberFormat="0" applyFont="0" applyBorder="0" applyAlignment="0" applyProtection="0">
      <alignment horizontal="right" vertical="center"/>
    </xf>
    <xf numFmtId="0" fontId="19" fillId="8" borderId="27" applyNumberFormat="0" applyAlignment="0" applyProtection="0"/>
    <xf numFmtId="0" fontId="21" fillId="25" borderId="23" applyNumberForma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0" fontId="22" fillId="0" borderId="25" applyNumberFormat="0" applyFill="0" applyAlignment="0" applyProtection="0"/>
    <xf numFmtId="0" fontId="19" fillId="8" borderId="27" applyNumberFormat="0" applyAlignment="0" applyProtection="0"/>
    <xf numFmtId="0" fontId="19" fillId="8" borderId="27" applyNumberFormat="0" applyAlignment="0" applyProtection="0"/>
    <xf numFmtId="0" fontId="22" fillId="0" borderId="25" applyNumberFormat="0" applyFill="0" applyAlignment="0" applyProtection="0"/>
    <xf numFmtId="4" fontId="33" fillId="0" borderId="19" applyFill="0" applyBorder="0" applyProtection="0">
      <alignment horizontal="right" vertical="center"/>
    </xf>
    <xf numFmtId="0" fontId="22" fillId="0" borderId="25" applyNumberFormat="0" applyFill="0" applyAlignment="0" applyProtection="0"/>
    <xf numFmtId="0" fontId="21" fillId="25" borderId="23" applyNumberFormat="0" applyAlignment="0" applyProtection="0"/>
    <xf numFmtId="0" fontId="25" fillId="25" borderId="27" applyNumberFormat="0" applyAlignment="0" applyProtection="0"/>
    <xf numFmtId="0" fontId="21" fillId="25" borderId="23" applyNumberFormat="0" applyAlignment="0" applyProtection="0"/>
    <xf numFmtId="0" fontId="19" fillId="8" borderId="27" applyNumberFormat="0" applyAlignment="0" applyProtection="0"/>
    <xf numFmtId="0" fontId="21" fillId="25" borderId="23" applyNumberFormat="0" applyAlignment="0" applyProtection="0"/>
    <xf numFmtId="0" fontId="25" fillId="25" borderId="27" applyNumberFormat="0" applyAlignment="0" applyProtection="0"/>
    <xf numFmtId="49" fontId="34" fillId="0" borderId="19" applyNumberFormat="0" applyFill="0" applyBorder="0" applyProtection="0">
      <alignment horizontal="left" vertical="center"/>
    </xf>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25" fillId="25" borderId="27" applyNumberFormat="0" applyAlignment="0" applyProtection="0"/>
    <xf numFmtId="0" fontId="22" fillId="0" borderId="24" applyNumberFormat="0" applyFill="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9" fillId="6" borderId="28" applyNumberFormat="0" applyFont="0" applyAlignment="0" applyProtection="0"/>
    <xf numFmtId="0" fontId="33" fillId="0" borderId="19" applyNumberFormat="0" applyFill="0" applyAlignment="0" applyProtection="0"/>
    <xf numFmtId="0" fontId="19" fillId="8" borderId="27"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5" fillId="25" borderId="27" applyNumberFormat="0" applyAlignment="0" applyProtection="0"/>
    <xf numFmtId="0" fontId="22" fillId="0" borderId="25" applyNumberFormat="0" applyFill="0" applyAlignment="0" applyProtection="0"/>
    <xf numFmtId="0" fontId="25" fillId="25" borderId="27"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49" fontId="33" fillId="0" borderId="19" applyNumberFormat="0" applyFont="0" applyFill="0" applyBorder="0" applyProtection="0">
      <alignment horizontal="left" vertical="center" indent="2"/>
    </xf>
    <xf numFmtId="0" fontId="21" fillId="25" borderId="23" applyNumberFormat="0" applyAlignment="0" applyProtection="0"/>
    <xf numFmtId="0" fontId="9" fillId="6" borderId="28" applyNumberFormat="0" applyFont="0" applyAlignment="0" applyProtection="0"/>
    <xf numFmtId="0" fontId="25" fillId="25" borderId="27" applyNumberFormat="0" applyAlignment="0" applyProtection="0"/>
    <xf numFmtId="0" fontId="19" fillId="8" borderId="27" applyNumberFormat="0" applyAlignment="0" applyProtection="0"/>
    <xf numFmtId="49" fontId="33" fillId="0" borderId="19" applyNumberFormat="0" applyFont="0" applyFill="0" applyBorder="0" applyProtection="0">
      <alignment horizontal="left" vertical="center" indent="2"/>
    </xf>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2" fillId="0" borderId="25" applyNumberFormat="0" applyFill="0" applyAlignment="0" applyProtection="0"/>
    <xf numFmtId="0" fontId="40" fillId="24"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5" fillId="25" borderId="27" applyNumberFormat="0" applyAlignment="0" applyProtection="0"/>
    <xf numFmtId="0" fontId="22" fillId="0" borderId="25" applyNumberFormat="0" applyFill="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0" fontId="22" fillId="0" borderId="25" applyNumberFormat="0" applyFill="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27" applyNumberFormat="0" applyAlignment="0" applyProtection="0"/>
    <xf numFmtId="0" fontId="21" fillId="24"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19" fillId="8" borderId="27"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49" fontId="33" fillId="0" borderId="19" applyNumberFormat="0" applyFont="0" applyFill="0" applyBorder="0" applyProtection="0">
      <alignment horizontal="left" vertical="center" indent="2"/>
    </xf>
    <xf numFmtId="0" fontId="21" fillId="24" borderId="23" applyNumberFormat="0" applyAlignment="0" applyProtection="0"/>
    <xf numFmtId="0" fontId="9" fillId="6" borderId="28" applyNumberFormat="0" applyFont="0" applyAlignment="0" applyProtection="0"/>
    <xf numFmtId="0" fontId="19" fillId="8" borderId="27" applyNumberFormat="0" applyAlignment="0" applyProtection="0"/>
    <xf numFmtId="0" fontId="21" fillId="25" borderId="23" applyNumberFormat="0" applyAlignment="0" applyProtection="0"/>
    <xf numFmtId="0" fontId="21" fillId="25" borderId="23"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19" fillId="8" borderId="27" applyNumberFormat="0" applyAlignment="0" applyProtection="0"/>
    <xf numFmtId="0" fontId="21" fillId="25" borderId="23" applyNumberFormat="0" applyAlignment="0" applyProtection="0"/>
    <xf numFmtId="0" fontId="21" fillId="25" borderId="23" applyNumberFormat="0" applyAlignment="0" applyProtection="0"/>
    <xf numFmtId="0" fontId="19" fillId="8"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33" fillId="0" borderId="19" applyNumberFormat="0" applyFill="0" applyAlignment="0" applyProtection="0"/>
    <xf numFmtId="0" fontId="22" fillId="0" borderId="25" applyNumberFormat="0" applyFill="0" applyAlignment="0" applyProtection="0"/>
    <xf numFmtId="0" fontId="19" fillId="8" borderId="27" applyNumberFormat="0" applyAlignment="0" applyProtection="0"/>
    <xf numFmtId="0" fontId="21" fillId="25" borderId="23"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19" fillId="11" borderId="27" applyNumberFormat="0" applyAlignment="0" applyProtection="0"/>
    <xf numFmtId="0" fontId="21" fillId="24" borderId="23" applyNumberFormat="0" applyAlignment="0" applyProtection="0"/>
    <xf numFmtId="0" fontId="9" fillId="6" borderId="28" applyNumberFormat="0" applyFont="0" applyAlignment="0" applyProtection="0"/>
    <xf numFmtId="0" fontId="28" fillId="0" borderId="38" applyNumberFormat="0" applyFill="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40" fillId="24" borderId="27" applyNumberFormat="0" applyAlignment="0" applyProtection="0"/>
    <xf numFmtId="0" fontId="19" fillId="8" borderId="27" applyNumberFormat="0" applyAlignment="0" applyProtection="0"/>
    <xf numFmtId="0" fontId="21" fillId="25" borderId="23" applyNumberFormat="0" applyAlignment="0" applyProtection="0"/>
    <xf numFmtId="0" fontId="25" fillId="25"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5" fillId="25"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19" fillId="8"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27" applyNumberFormat="0" applyAlignment="0" applyProtection="0"/>
    <xf numFmtId="0" fontId="21" fillId="25" borderId="23" applyNumberFormat="0" applyAlignment="0" applyProtection="0"/>
    <xf numFmtId="0" fontId="9" fillId="6" borderId="28" applyNumberFormat="0" applyFont="0" applyAlignment="0" applyProtection="0"/>
    <xf numFmtId="0" fontId="19" fillId="8" borderId="27" applyNumberFormat="0" applyAlignment="0" applyProtection="0"/>
    <xf numFmtId="0" fontId="22" fillId="0" borderId="25" applyNumberFormat="0" applyFill="0" applyAlignment="0" applyProtection="0"/>
    <xf numFmtId="0" fontId="25" fillId="25" borderId="27" applyNumberFormat="0" applyAlignment="0" applyProtection="0"/>
    <xf numFmtId="0" fontId="25" fillId="25" borderId="27" applyNumberFormat="0" applyAlignment="0" applyProtection="0"/>
    <xf numFmtId="0" fontId="22" fillId="0" borderId="25" applyNumberFormat="0" applyFill="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2" fillId="0" borderId="24" applyNumberFormat="0" applyFill="0" applyAlignment="0" applyProtection="0"/>
    <xf numFmtId="0" fontId="19" fillId="11" borderId="27" applyNumberFormat="0" applyAlignment="0" applyProtection="0"/>
    <xf numFmtId="0" fontId="21" fillId="25" borderId="23" applyNumberFormat="0" applyAlignment="0" applyProtection="0"/>
    <xf numFmtId="0" fontId="19" fillId="8" borderId="27" applyNumberFormat="0" applyAlignment="0" applyProtection="0"/>
    <xf numFmtId="0" fontId="25" fillId="25" borderId="27" applyNumberFormat="0" applyAlignment="0" applyProtection="0"/>
    <xf numFmtId="0" fontId="22" fillId="0" borderId="24" applyNumberFormat="0" applyFill="0" applyAlignment="0" applyProtection="0"/>
    <xf numFmtId="0" fontId="40" fillId="24" borderId="27" applyNumberFormat="0" applyAlignment="0" applyProtection="0"/>
    <xf numFmtId="0" fontId="19" fillId="8" borderId="27"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4" applyNumberFormat="0" applyFill="0" applyAlignment="0" applyProtection="0"/>
    <xf numFmtId="0" fontId="40" fillId="24"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5" fillId="25"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5" fillId="25" borderId="27" applyNumberFormat="0" applyAlignment="0" applyProtection="0"/>
    <xf numFmtId="0" fontId="25" fillId="25" borderId="27" applyNumberFormat="0" applyAlignment="0" applyProtection="0"/>
    <xf numFmtId="0" fontId="22" fillId="0" borderId="25" applyNumberFormat="0" applyFill="0" applyAlignment="0" applyProtection="0"/>
    <xf numFmtId="0" fontId="19" fillId="8" borderId="27"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2" fillId="0" borderId="25" applyNumberFormat="0" applyFill="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19" fillId="8" borderId="27" applyNumberFormat="0" applyAlignment="0" applyProtection="0"/>
    <xf numFmtId="4" fontId="33" fillId="0" borderId="19" applyFill="0" applyBorder="0" applyProtection="0">
      <alignment horizontal="right" vertical="center"/>
    </xf>
    <xf numFmtId="0" fontId="19" fillId="8" borderId="27" applyNumberFormat="0" applyAlignment="0" applyProtection="0"/>
    <xf numFmtId="0" fontId="25" fillId="25" borderId="27" applyNumberForma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5" fillId="25" borderId="27" applyNumberFormat="0" applyAlignment="0" applyProtection="0"/>
    <xf numFmtId="0" fontId="25" fillId="25" borderId="27" applyNumberFormat="0" applyAlignment="0" applyProtection="0"/>
    <xf numFmtId="0" fontId="22" fillId="0" borderId="24" applyNumberFormat="0" applyFill="0" applyAlignment="0" applyProtection="0"/>
    <xf numFmtId="0" fontId="9" fillId="6" borderId="28" applyNumberFormat="0" applyFont="0" applyAlignment="0" applyProtection="0"/>
    <xf numFmtId="0" fontId="22" fillId="0" borderId="24" applyNumberFormat="0" applyFill="0" applyAlignment="0" applyProtection="0"/>
    <xf numFmtId="0" fontId="21" fillId="25" borderId="23" applyNumberFormat="0" applyAlignment="0" applyProtection="0"/>
    <xf numFmtId="49" fontId="33" fillId="0" borderId="20" applyNumberFormat="0" applyFont="0" applyFill="0" applyBorder="0" applyProtection="0">
      <alignment horizontal="left" vertical="center" indent="5"/>
    </xf>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27" applyNumberFormat="0" applyAlignment="0" applyProtection="0"/>
    <xf numFmtId="0" fontId="25" fillId="25" borderId="27" applyNumberFormat="0" applyAlignment="0" applyProtection="0"/>
    <xf numFmtId="0" fontId="21" fillId="25" borderId="23" applyNumberFormat="0" applyAlignment="0" applyProtection="0"/>
    <xf numFmtId="0" fontId="19" fillId="8"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19" fillId="8" borderId="27" applyNumberFormat="0" applyAlignment="0" applyProtection="0"/>
    <xf numFmtId="0" fontId="21" fillId="25" borderId="23" applyNumberFormat="0" applyAlignment="0" applyProtection="0"/>
    <xf numFmtId="0" fontId="25" fillId="25" borderId="27" applyNumberFormat="0" applyAlignment="0" applyProtection="0"/>
    <xf numFmtId="0" fontId="19" fillId="8" borderId="27" applyNumberFormat="0" applyAlignment="0" applyProtection="0"/>
    <xf numFmtId="0" fontId="21" fillId="25" borderId="23" applyNumberFormat="0" applyAlignment="0" applyProtection="0"/>
    <xf numFmtId="0" fontId="25" fillId="25"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33" fillId="0" borderId="19" applyNumberFormat="0" applyFill="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4" fontId="33" fillId="0" borderId="19" applyFill="0" applyBorder="0" applyProtection="0">
      <alignment horizontal="right" vertical="center"/>
    </xf>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21" fillId="25" borderId="23"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27"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5" fillId="25" borderId="27" applyNumberFormat="0" applyAlignment="0" applyProtection="0"/>
    <xf numFmtId="0" fontId="19" fillId="8" borderId="27" applyNumberFormat="0" applyAlignment="0" applyProtection="0"/>
    <xf numFmtId="0" fontId="22" fillId="0" borderId="25" applyNumberFormat="0" applyFill="0" applyAlignment="0" applyProtection="0"/>
    <xf numFmtId="0" fontId="25" fillId="25" borderId="27" applyNumberFormat="0" applyAlignment="0" applyProtection="0"/>
    <xf numFmtId="0" fontId="22" fillId="0" borderId="25" applyNumberFormat="0" applyFill="0" applyAlignment="0" applyProtection="0"/>
    <xf numFmtId="0" fontId="19" fillId="11" borderId="27" applyNumberFormat="0" applyAlignment="0" applyProtection="0"/>
    <xf numFmtId="0" fontId="21" fillId="24" borderId="23" applyNumberFormat="0" applyAlignment="0" applyProtection="0"/>
    <xf numFmtId="0" fontId="21" fillId="25" borderId="23" applyNumberFormat="0" applyAlignment="0" applyProtection="0"/>
    <xf numFmtId="0" fontId="40" fillId="24"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8" fillId="0" borderId="38" applyNumberFormat="0" applyFill="0" applyAlignment="0" applyProtection="0"/>
    <xf numFmtId="0" fontId="19" fillId="8" borderId="27" applyNumberFormat="0" applyAlignment="0" applyProtection="0"/>
    <xf numFmtId="0" fontId="25" fillId="25" borderId="27" applyNumberFormat="0" applyAlignment="0" applyProtection="0"/>
    <xf numFmtId="4" fontId="33" fillId="0" borderId="19" applyFill="0" applyBorder="0" applyProtection="0">
      <alignment horizontal="right" vertical="center"/>
    </xf>
    <xf numFmtId="0" fontId="21" fillId="25" borderId="23" applyNumberFormat="0" applyAlignment="0" applyProtection="0"/>
    <xf numFmtId="0" fontId="19" fillId="8" borderId="27" applyNumberFormat="0" applyAlignment="0" applyProtection="0"/>
    <xf numFmtId="0" fontId="19" fillId="8"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5" fillId="25" borderId="27" applyNumberForma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40" fillId="24"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5" fillId="25" borderId="27" applyNumberFormat="0" applyAlignment="0" applyProtection="0"/>
    <xf numFmtId="0" fontId="25" fillId="25" borderId="27" applyNumberFormat="0" applyAlignment="0" applyProtection="0"/>
    <xf numFmtId="0" fontId="22" fillId="0" borderId="25" applyNumberFormat="0" applyFill="0" applyAlignment="0" applyProtection="0"/>
    <xf numFmtId="0" fontId="19" fillId="8" borderId="27" applyNumberFormat="0" applyAlignment="0" applyProtection="0"/>
    <xf numFmtId="0" fontId="25" fillId="25" borderId="27" applyNumberFormat="0" applyAlignment="0" applyProtection="0"/>
    <xf numFmtId="0" fontId="22" fillId="0" borderId="24" applyNumberFormat="0" applyFill="0" applyAlignment="0" applyProtection="0"/>
    <xf numFmtId="0" fontId="21" fillId="25" borderId="23" applyNumberFormat="0" applyAlignment="0" applyProtection="0"/>
    <xf numFmtId="0" fontId="25" fillId="25"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19" fillId="8" borderId="27" applyNumberFormat="0" applyAlignment="0" applyProtection="0"/>
    <xf numFmtId="0" fontId="21" fillId="25" borderId="23" applyNumberFormat="0" applyAlignment="0" applyProtection="0"/>
    <xf numFmtId="0" fontId="40" fillId="24" borderId="27" applyNumberFormat="0" applyAlignment="0" applyProtection="0"/>
    <xf numFmtId="0" fontId="21" fillId="25" borderId="23" applyNumberFormat="0" applyAlignment="0" applyProtection="0"/>
    <xf numFmtId="0" fontId="19" fillId="8" borderId="27" applyNumberFormat="0" applyAlignment="0" applyProtection="0"/>
    <xf numFmtId="0" fontId="21" fillId="25" borderId="23" applyNumberFormat="0" applyAlignment="0" applyProtection="0"/>
    <xf numFmtId="0" fontId="21" fillId="25" borderId="23" applyNumberFormat="0" applyAlignment="0" applyProtection="0"/>
    <xf numFmtId="0" fontId="19" fillId="8" borderId="27" applyNumberFormat="0" applyAlignment="0" applyProtection="0"/>
    <xf numFmtId="0" fontId="21" fillId="25" borderId="23" applyNumberFormat="0" applyAlignment="0" applyProtection="0"/>
    <xf numFmtId="0" fontId="25" fillId="25" borderId="27" applyNumberFormat="0" applyAlignment="0" applyProtection="0"/>
    <xf numFmtId="0" fontId="19" fillId="8" borderId="27" applyNumberFormat="0" applyAlignment="0" applyProtection="0"/>
    <xf numFmtId="0" fontId="21" fillId="25" borderId="23" applyNumberFormat="0" applyAlignment="0" applyProtection="0"/>
    <xf numFmtId="0" fontId="9" fillId="6" borderId="28" applyNumberFormat="0" applyFont="0" applyAlignment="0" applyProtection="0"/>
    <xf numFmtId="0" fontId="25" fillId="25" borderId="27" applyNumberFormat="0" applyAlignment="0" applyProtection="0"/>
    <xf numFmtId="0" fontId="28" fillId="0" borderId="38" applyNumberFormat="0" applyFill="0" applyAlignment="0" applyProtection="0"/>
    <xf numFmtId="0" fontId="21" fillId="25" borderId="23" applyNumberFormat="0" applyAlignment="0" applyProtection="0"/>
    <xf numFmtId="0" fontId="19" fillId="8" borderId="27" applyNumberFormat="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22" fillId="0" borderId="24" applyNumberFormat="0" applyFill="0" applyAlignment="0" applyProtection="0"/>
    <xf numFmtId="0" fontId="25" fillId="25" borderId="27" applyNumberFormat="0" applyAlignment="0" applyProtection="0"/>
    <xf numFmtId="0" fontId="19" fillId="8" borderId="27" applyNumberFormat="0" applyAlignment="0" applyProtection="0"/>
    <xf numFmtId="0" fontId="19" fillId="8" borderId="27"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5" fillId="25" borderId="27" applyNumberFormat="0" applyAlignment="0" applyProtection="0"/>
    <xf numFmtId="0" fontId="21" fillId="25" borderId="23" applyNumberFormat="0" applyAlignment="0" applyProtection="0"/>
    <xf numFmtId="0" fontId="19" fillId="11" borderId="27" applyNumberFormat="0" applyAlignment="0" applyProtection="0"/>
    <xf numFmtId="0" fontId="19" fillId="8" borderId="27" applyNumberFormat="0" applyAlignment="0" applyProtection="0"/>
    <xf numFmtId="0" fontId="40" fillId="24"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1" fillId="25" borderId="23"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4" borderId="23" applyNumberFormat="0" applyAlignment="0" applyProtection="0"/>
    <xf numFmtId="0" fontId="25" fillId="25" borderId="27" applyNumberFormat="0" applyAlignment="0" applyProtection="0"/>
    <xf numFmtId="0" fontId="21" fillId="25" borderId="23" applyNumberFormat="0" applyAlignment="0" applyProtection="0"/>
    <xf numFmtId="0" fontId="22" fillId="0" borderId="24" applyNumberFormat="0" applyFill="0" applyAlignment="0" applyProtection="0"/>
    <xf numFmtId="0" fontId="9" fillId="6" borderId="28" applyNumberFormat="0" applyFont="0" applyAlignment="0" applyProtection="0"/>
    <xf numFmtId="0" fontId="19" fillId="8" borderId="27" applyNumberFormat="0" applyAlignment="0" applyProtection="0"/>
    <xf numFmtId="0" fontId="22" fillId="0" borderId="25" applyNumberFormat="0" applyFill="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22" fillId="0" borderId="25" applyNumberFormat="0" applyFill="0" applyAlignment="0" applyProtection="0"/>
    <xf numFmtId="0" fontId="19" fillId="11" borderId="27" applyNumberFormat="0" applyAlignment="0" applyProtection="0"/>
    <xf numFmtId="0" fontId="21" fillId="25" borderId="23" applyNumberFormat="0" applyAlignment="0" applyProtection="0"/>
    <xf numFmtId="0" fontId="25" fillId="25" borderId="27" applyNumberFormat="0" applyAlignment="0" applyProtection="0"/>
    <xf numFmtId="0" fontId="22" fillId="0" borderId="25" applyNumberFormat="0" applyFill="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20" applyNumberFormat="0" applyFont="0" applyFill="0" applyBorder="0" applyProtection="0">
      <alignment horizontal="left" vertical="center" indent="5"/>
    </xf>
    <xf numFmtId="0" fontId="21" fillId="25" borderId="23" applyNumberFormat="0" applyAlignment="0" applyProtection="0"/>
    <xf numFmtId="0" fontId="9" fillId="6" borderId="28" applyNumberFormat="0" applyFont="0" applyAlignment="0" applyProtection="0"/>
    <xf numFmtId="0" fontId="19" fillId="8" borderId="27" applyNumberFormat="0" applyAlignment="0" applyProtection="0"/>
    <xf numFmtId="0" fontId="21" fillId="25" borderId="23" applyNumberFormat="0" applyAlignment="0" applyProtection="0"/>
    <xf numFmtId="0" fontId="22" fillId="0" borderId="25" applyNumberFormat="0" applyFill="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0" fontId="25" fillId="25" borderId="27" applyNumberFormat="0" applyAlignment="0" applyProtection="0"/>
    <xf numFmtId="0" fontId="25" fillId="25"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19" fillId="8"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5" fillId="25" borderId="27" applyNumberFormat="0" applyAlignment="0" applyProtection="0"/>
    <xf numFmtId="0" fontId="19" fillId="8" borderId="27" applyNumberFormat="0" applyAlignment="0" applyProtection="0"/>
    <xf numFmtId="0" fontId="22" fillId="0" borderId="24" applyNumberFormat="0" applyFill="0" applyAlignment="0" applyProtection="0"/>
    <xf numFmtId="0" fontId="25" fillId="25" borderId="27" applyNumberFormat="0" applyAlignment="0" applyProtection="0"/>
    <xf numFmtId="0" fontId="21" fillId="25" borderId="23" applyNumberFormat="0" applyAlignment="0" applyProtection="0"/>
    <xf numFmtId="0" fontId="25" fillId="25" borderId="27"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38" fillId="0" borderId="37" applyNumberFormat="0" applyFill="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5" fillId="25"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5" fillId="25" borderId="27"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19" fillId="8" borderId="27"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5" fillId="25"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8" borderId="27" applyNumberFormat="0" applyAlignment="0" applyProtection="0"/>
    <xf numFmtId="0" fontId="21" fillId="24"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2" fillId="0" borderId="25" applyNumberFormat="0" applyFill="0" applyAlignment="0" applyProtection="0"/>
    <xf numFmtId="0" fontId="25" fillId="25" borderId="27" applyNumberFormat="0" applyAlignment="0" applyProtection="0"/>
    <xf numFmtId="0" fontId="19" fillId="11" borderId="27" applyNumberFormat="0" applyAlignment="0" applyProtection="0"/>
    <xf numFmtId="0" fontId="25" fillId="25" borderId="27" applyNumberFormat="0" applyAlignment="0" applyProtection="0"/>
    <xf numFmtId="0" fontId="19" fillId="8" borderId="27" applyNumberFormat="0" applyAlignment="0" applyProtection="0"/>
    <xf numFmtId="0" fontId="21" fillId="25" borderId="23" applyNumberFormat="0" applyAlignment="0" applyProtection="0"/>
    <xf numFmtId="0" fontId="25" fillId="25" borderId="27" applyNumberFormat="0" applyAlignment="0" applyProtection="0"/>
    <xf numFmtId="0" fontId="22" fillId="0" borderId="25" applyNumberFormat="0" applyFill="0" applyAlignment="0" applyProtection="0"/>
    <xf numFmtId="0" fontId="25" fillId="25" borderId="27" applyNumberFormat="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2" fillId="0" borderId="25" applyNumberFormat="0" applyFill="0" applyAlignment="0" applyProtection="0"/>
    <xf numFmtId="0" fontId="21" fillId="25" borderId="23" applyNumberFormat="0" applyAlignment="0" applyProtection="0"/>
    <xf numFmtId="0" fontId="25" fillId="25" borderId="27" applyNumberFormat="0" applyAlignment="0" applyProtection="0"/>
    <xf numFmtId="0" fontId="25" fillId="25" borderId="27" applyNumberForma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5" fillId="25" borderId="27"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5" fillId="25" borderId="27" applyNumberFormat="0" applyAlignment="0" applyProtection="0"/>
    <xf numFmtId="0" fontId="22" fillId="0" borderId="25" applyNumberFormat="0" applyFill="0" applyAlignment="0" applyProtection="0"/>
    <xf numFmtId="0" fontId="21" fillId="25" borderId="23"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19" fillId="11" borderId="27" applyNumberFormat="0" applyAlignment="0" applyProtection="0"/>
    <xf numFmtId="0" fontId="25" fillId="25" borderId="27" applyNumberFormat="0" applyAlignment="0" applyProtection="0"/>
    <xf numFmtId="0" fontId="21" fillId="24" borderId="23" applyNumberFormat="0" applyAlignment="0" applyProtection="0"/>
    <xf numFmtId="0" fontId="19" fillId="8" borderId="27" applyNumberFormat="0" applyAlignment="0" applyProtection="0"/>
    <xf numFmtId="0" fontId="21" fillId="24" borderId="23" applyNumberFormat="0" applyAlignment="0" applyProtection="0"/>
    <xf numFmtId="0" fontId="21" fillId="25" borderId="23"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19" fillId="8" borderId="27" applyNumberFormat="0" applyAlignment="0" applyProtection="0"/>
    <xf numFmtId="0" fontId="25" fillId="25" borderId="27" applyNumberFormat="0" applyAlignment="0" applyProtection="0"/>
    <xf numFmtId="0" fontId="21" fillId="25" borderId="23" applyNumberFormat="0" applyAlignment="0" applyProtection="0"/>
    <xf numFmtId="0" fontId="19" fillId="8" borderId="27" applyNumberFormat="0" applyAlignment="0" applyProtection="0"/>
    <xf numFmtId="0" fontId="22" fillId="0" borderId="25" applyNumberFormat="0" applyFill="0" applyAlignment="0" applyProtection="0"/>
    <xf numFmtId="0" fontId="19" fillId="8" borderId="27" applyNumberFormat="0" applyAlignment="0" applyProtection="0"/>
    <xf numFmtId="0" fontId="21" fillId="24" borderId="23" applyNumberFormat="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5" fillId="25" borderId="27"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4" applyNumberFormat="0" applyFill="0" applyAlignment="0" applyProtection="0"/>
    <xf numFmtId="0" fontId="25" fillId="25" borderId="27"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5" fillId="25" borderId="27" applyNumberFormat="0" applyAlignment="0" applyProtection="0"/>
    <xf numFmtId="0" fontId="21" fillId="25" borderId="23" applyNumberFormat="0" applyAlignment="0" applyProtection="0"/>
    <xf numFmtId="0" fontId="19" fillId="8" borderId="27" applyNumberFormat="0" applyAlignment="0" applyProtection="0"/>
    <xf numFmtId="0" fontId="21" fillId="25" borderId="23" applyNumberForma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19" fillId="8" borderId="27" applyNumberFormat="0" applyAlignment="0" applyProtection="0"/>
    <xf numFmtId="0" fontId="22" fillId="0" borderId="25" applyNumberFormat="0" applyFill="0" applyAlignment="0" applyProtection="0"/>
    <xf numFmtId="49" fontId="34" fillId="0" borderId="19" applyNumberFormat="0" applyFill="0" applyBorder="0" applyProtection="0">
      <alignment horizontal="left" vertical="center"/>
    </xf>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4" applyNumberFormat="0" applyFill="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1" fillId="25" borderId="23" applyNumberFormat="0" applyAlignment="0" applyProtection="0"/>
    <xf numFmtId="0" fontId="22" fillId="0" borderId="25" applyNumberFormat="0" applyFill="0" applyAlignment="0" applyProtection="0"/>
    <xf numFmtId="0" fontId="25" fillId="25" borderId="27" applyNumberFormat="0" applyAlignment="0" applyProtection="0"/>
    <xf numFmtId="0" fontId="21" fillId="25" borderId="23" applyNumberFormat="0" applyAlignment="0" applyProtection="0"/>
    <xf numFmtId="0" fontId="9" fillId="6" borderId="28" applyNumberFormat="0" applyFont="0" applyAlignment="0" applyProtection="0"/>
    <xf numFmtId="0" fontId="19" fillId="8" borderId="27"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19" fillId="8"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9" fillId="6" borderId="28" applyNumberFormat="0" applyFont="0" applyAlignment="0" applyProtection="0"/>
    <xf numFmtId="0" fontId="19" fillId="11" borderId="27" applyNumberFormat="0" applyAlignment="0" applyProtection="0"/>
    <xf numFmtId="0" fontId="9" fillId="6" borderId="28" applyNumberFormat="0" applyFont="0" applyAlignment="0" applyProtection="0"/>
    <xf numFmtId="0" fontId="25" fillId="25" borderId="27" applyNumberFormat="0" applyAlignment="0" applyProtection="0"/>
    <xf numFmtId="0" fontId="22" fillId="0" borderId="25" applyNumberFormat="0" applyFill="0" applyAlignment="0" applyProtection="0"/>
    <xf numFmtId="0" fontId="33" fillId="0" borderId="19" applyNumberFormat="0" applyFill="0" applyAlignment="0" applyProtection="0"/>
    <xf numFmtId="0" fontId="22" fillId="0" borderId="25" applyNumberFormat="0" applyFill="0" applyAlignment="0" applyProtection="0"/>
    <xf numFmtId="0" fontId="19" fillId="8" borderId="27" applyNumberFormat="0" applyAlignment="0" applyProtection="0"/>
    <xf numFmtId="0" fontId="9" fillId="6" borderId="28" applyNumberFormat="0" applyFont="0" applyAlignment="0" applyProtection="0"/>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20" applyNumberFormat="0" applyFont="0" applyFill="0" applyBorder="0" applyProtection="0">
      <alignment horizontal="left" vertical="center" indent="5"/>
    </xf>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49" fontId="33" fillId="0" borderId="20" applyNumberFormat="0" applyFont="0" applyFill="0" applyBorder="0" applyProtection="0">
      <alignment horizontal="left" vertical="center" indent="5"/>
    </xf>
    <xf numFmtId="49" fontId="33" fillId="0" borderId="19" applyNumberFormat="0" applyFont="0" applyFill="0" applyBorder="0" applyProtection="0">
      <alignment horizontal="left" vertical="center" indent="2"/>
    </xf>
    <xf numFmtId="49" fontId="33" fillId="0" borderId="20" applyNumberFormat="0" applyFont="0" applyFill="0" applyBorder="0" applyProtection="0">
      <alignment horizontal="left" vertical="center" indent="5"/>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4" fillId="0" borderId="19" applyNumberFormat="0" applyFill="0" applyBorder="0" applyProtection="0">
      <alignment horizontal="left" vertical="center"/>
    </xf>
    <xf numFmtId="49" fontId="33" fillId="0" borderId="19" applyNumberFormat="0" applyFont="0" applyFill="0" applyBorder="0" applyProtection="0">
      <alignment horizontal="left" vertical="center" indent="2"/>
    </xf>
    <xf numFmtId="0" fontId="22" fillId="0" borderId="25"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19" fillId="8" borderId="27"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49" fontId="33" fillId="0" borderId="19" applyNumberFormat="0" applyFont="0" applyFill="0" applyBorder="0" applyProtection="0">
      <alignment horizontal="left" vertical="center" indent="2"/>
    </xf>
    <xf numFmtId="0" fontId="19" fillId="8" borderId="27"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5" fillId="25" borderId="27" applyNumberFormat="0" applyAlignment="0" applyProtection="0"/>
    <xf numFmtId="0" fontId="21" fillId="25" borderId="23" applyNumberFormat="0" applyAlignment="0" applyProtection="0"/>
    <xf numFmtId="0" fontId="28" fillId="0" borderId="38" applyNumberFormat="0" applyFill="0" applyAlignment="0" applyProtection="0"/>
    <xf numFmtId="0" fontId="22" fillId="0" borderId="24" applyNumberFormat="0" applyFill="0" applyAlignment="0" applyProtection="0"/>
    <xf numFmtId="49" fontId="34" fillId="0" borderId="19" applyNumberFormat="0" applyFill="0" applyBorder="0" applyProtection="0">
      <alignment horizontal="left" vertical="center"/>
    </xf>
    <xf numFmtId="0" fontId="28" fillId="0" borderId="38" applyNumberFormat="0" applyFill="0" applyAlignment="0" applyProtection="0"/>
    <xf numFmtId="0" fontId="9" fillId="6" borderId="28" applyNumberFormat="0" applyFont="0" applyAlignment="0" applyProtection="0"/>
    <xf numFmtId="0" fontId="28" fillId="0" borderId="38" applyNumberFormat="0" applyFill="0" applyAlignment="0" applyProtection="0"/>
    <xf numFmtId="0" fontId="21" fillId="24" borderId="23" applyNumberFormat="0" applyAlignment="0" applyProtection="0"/>
    <xf numFmtId="0" fontId="21" fillId="25" borderId="23" applyNumberFormat="0" applyAlignment="0" applyProtection="0"/>
    <xf numFmtId="0" fontId="28" fillId="0" borderId="38" applyNumberFormat="0" applyFill="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19" fillId="8"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28" fillId="0" borderId="38" applyNumberFormat="0" applyFill="0" applyAlignment="0" applyProtection="0"/>
    <xf numFmtId="0" fontId="21" fillId="24"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33" fillId="0" borderId="19"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4" borderId="23" applyNumberFormat="0" applyAlignment="0" applyProtection="0"/>
    <xf numFmtId="0" fontId="22" fillId="0" borderId="24"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19" fillId="8" borderId="27" applyNumberFormat="0" applyAlignment="0" applyProtection="0"/>
    <xf numFmtId="0" fontId="19" fillId="8" borderId="27" applyNumberFormat="0" applyAlignment="0" applyProtection="0"/>
    <xf numFmtId="0" fontId="22" fillId="0" borderId="25" applyNumberFormat="0" applyFill="0" applyAlignment="0" applyProtection="0"/>
    <xf numFmtId="0" fontId="19" fillId="11" borderId="27" applyNumberFormat="0" applyAlignment="0" applyProtection="0"/>
    <xf numFmtId="0" fontId="22" fillId="0" borderId="25" applyNumberFormat="0" applyFill="0" applyAlignment="0" applyProtection="0"/>
    <xf numFmtId="4" fontId="33" fillId="0" borderId="19" applyFill="0" applyBorder="0" applyProtection="0">
      <alignment horizontal="right" vertical="center"/>
    </xf>
    <xf numFmtId="0" fontId="22" fillId="0" borderId="24" applyNumberFormat="0" applyFill="0" applyAlignment="0" applyProtection="0"/>
    <xf numFmtId="0" fontId="19" fillId="11" borderId="27" applyNumberForma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19" applyNumberFormat="0" applyFont="0" applyFill="0" applyBorder="0" applyProtection="0">
      <alignment horizontal="left" vertical="center" indent="2"/>
    </xf>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49" fontId="33" fillId="0" borderId="19" applyNumberFormat="0" applyFont="0" applyFill="0" applyBorder="0" applyProtection="0">
      <alignment horizontal="left" vertical="center" indent="2"/>
    </xf>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4" fontId="33" fillId="0" borderId="19" applyFill="0" applyBorder="0" applyProtection="0">
      <alignment horizontal="right" vertical="center"/>
    </xf>
    <xf numFmtId="49" fontId="34" fillId="0" borderId="19" applyNumberFormat="0" applyFill="0" applyBorder="0" applyProtection="0">
      <alignment horizontal="left" vertical="center"/>
    </xf>
    <xf numFmtId="0" fontId="33" fillId="0" borderId="19" applyNumberFormat="0" applyFill="0" applyAlignment="0" applyProtection="0"/>
    <xf numFmtId="165" fontId="33" fillId="28" borderId="19" applyNumberFormat="0" applyFont="0" applyBorder="0" applyAlignment="0" applyProtection="0">
      <alignment horizontal="right" vertical="center"/>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38" fillId="0" borderId="37"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9" fillId="6" borderId="28" applyNumberFormat="0" applyFon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40" fillId="24"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5" fillId="25" borderId="27" applyNumberFormat="0" applyAlignment="0" applyProtection="0"/>
    <xf numFmtId="0" fontId="28" fillId="0" borderId="38" applyNumberFormat="0" applyFill="0" applyAlignment="0" applyProtection="0"/>
    <xf numFmtId="0" fontId="38" fillId="0" borderId="37"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8" borderId="27" applyNumberFormat="0" applyAlignment="0" applyProtection="0"/>
    <xf numFmtId="0" fontId="19" fillId="11"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19" fillId="8" borderId="27" applyNumberFormat="0" applyAlignment="0" applyProtection="0"/>
    <xf numFmtId="0" fontId="25" fillId="25" borderId="27"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4"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8" fillId="0" borderId="38"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8" fillId="0" borderId="38" applyNumberFormat="0" applyFill="0" applyAlignment="0" applyProtection="0"/>
    <xf numFmtId="0" fontId="38" fillId="0" borderId="37" applyNumberFormat="0" applyFill="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8" fillId="0" borderId="38" applyNumberFormat="0" applyFill="0" applyAlignment="0" applyProtection="0"/>
    <xf numFmtId="0" fontId="22" fillId="0" borderId="25"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4"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8" fillId="0" borderId="38" applyNumberFormat="0" applyFill="0" applyAlignment="0" applyProtection="0"/>
    <xf numFmtId="0" fontId="21" fillId="25" borderId="23" applyNumberFormat="0" applyAlignment="0" applyProtection="0"/>
    <xf numFmtId="0" fontId="21" fillId="24" borderId="23"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4" applyNumberFormat="0" applyFill="0" applyAlignment="0" applyProtection="0"/>
    <xf numFmtId="0" fontId="21" fillId="24" borderId="23"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4"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8" fillId="0" borderId="38"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49" fontId="33" fillId="0" borderId="20" applyNumberFormat="0" applyFont="0" applyFill="0" applyBorder="0" applyProtection="0">
      <alignment horizontal="left" vertical="center" indent="5"/>
    </xf>
    <xf numFmtId="0" fontId="22" fillId="0" borderId="24" applyNumberFormat="0" applyFill="0" applyAlignment="0" applyProtection="0"/>
    <xf numFmtId="0" fontId="9" fillId="6" borderId="28" applyNumberFormat="0" applyFont="0" applyAlignment="0" applyProtection="0"/>
    <xf numFmtId="0" fontId="28" fillId="0" borderId="38"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1" fillId="24"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9" fillId="6" borderId="28" applyNumberFormat="0" applyFont="0" applyAlignment="0" applyProtection="0"/>
    <xf numFmtId="0" fontId="28" fillId="0" borderId="38" applyNumberFormat="0" applyFill="0" applyAlignment="0" applyProtection="0"/>
    <xf numFmtId="0" fontId="28" fillId="0" borderId="38"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5"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22" fillId="0" borderId="24" applyNumberFormat="0" applyFill="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8" fillId="0" borderId="38" applyNumberFormat="0" applyFill="0" applyAlignment="0" applyProtection="0"/>
    <xf numFmtId="0" fontId="21" fillId="25" borderId="23" applyNumberFormat="0" applyAlignment="0" applyProtection="0"/>
    <xf numFmtId="49" fontId="33" fillId="0" borderId="20" applyNumberFormat="0" applyFont="0" applyFill="0" applyBorder="0" applyProtection="0">
      <alignment horizontal="left" vertical="center" indent="5"/>
    </xf>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8" fillId="0" borderId="38"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1" fillId="25" borderId="23" applyNumberFormat="0" applyAlignment="0" applyProtection="0"/>
    <xf numFmtId="0" fontId="21" fillId="24" borderId="23" applyNumberFormat="0" applyAlignment="0" applyProtection="0"/>
    <xf numFmtId="0" fontId="21" fillId="25" borderId="23" applyNumberFormat="0" applyAlignment="0" applyProtection="0"/>
    <xf numFmtId="0" fontId="22" fillId="0" borderId="24"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38" fillId="0" borderId="37"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1" fillId="24" borderId="23" applyNumberFormat="0" applyAlignment="0" applyProtection="0"/>
    <xf numFmtId="0" fontId="21" fillId="24"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4"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5"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8" fillId="0" borderId="38"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8" fillId="0" borderId="38" applyNumberFormat="0" applyFill="0" applyAlignment="0" applyProtection="0"/>
    <xf numFmtId="0" fontId="22" fillId="0" borderId="24" applyNumberFormat="0" applyFill="0" applyAlignment="0" applyProtection="0"/>
    <xf numFmtId="0" fontId="28" fillId="0" borderId="38" applyNumberFormat="0" applyFill="0" applyAlignment="0" applyProtection="0"/>
    <xf numFmtId="0" fontId="9" fillId="6" borderId="28" applyNumberFormat="0" applyFont="0" applyAlignment="0" applyProtection="0"/>
    <xf numFmtId="0" fontId="28" fillId="0" borderId="38" applyNumberFormat="0" applyFill="0" applyAlignment="0" applyProtection="0"/>
    <xf numFmtId="0" fontId="21" fillId="24" borderId="23" applyNumberFormat="0" applyAlignment="0" applyProtection="0"/>
    <xf numFmtId="0" fontId="21" fillId="25" borderId="23" applyNumberFormat="0" applyAlignment="0" applyProtection="0"/>
    <xf numFmtId="0" fontId="28" fillId="0" borderId="38" applyNumberFormat="0" applyFill="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21" fillId="25" borderId="23" applyNumberFormat="0" applyAlignment="0" applyProtection="0"/>
    <xf numFmtId="0" fontId="21" fillId="25"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21" fillId="25" borderId="23" applyNumberFormat="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28" fillId="0" borderId="38" applyNumberFormat="0" applyFill="0" applyAlignment="0" applyProtection="0"/>
    <xf numFmtId="0" fontId="21" fillId="24" borderId="23" applyNumberFormat="0" applyAlignment="0" applyProtection="0"/>
    <xf numFmtId="0" fontId="28" fillId="0" borderId="38"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5" borderId="23" applyNumberFormat="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1" fillId="24" borderId="23" applyNumberFormat="0" applyAlignment="0" applyProtection="0"/>
    <xf numFmtId="0" fontId="22" fillId="0" borderId="25" applyNumberFormat="0" applyFill="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21" fillId="24" borderId="23" applyNumberFormat="0" applyAlignment="0" applyProtection="0"/>
    <xf numFmtId="0" fontId="22" fillId="0" borderId="24"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1" fillId="25" borderId="23" applyNumberFormat="0" applyAlignment="0" applyProtection="0"/>
    <xf numFmtId="0" fontId="22" fillId="0" borderId="25" applyNumberFormat="0" applyFill="0" applyAlignment="0" applyProtection="0"/>
    <xf numFmtId="0" fontId="9" fillId="6" borderId="28" applyNumberFormat="0" applyFont="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49" fontId="33" fillId="0" borderId="20" applyNumberFormat="0" applyFont="0" applyFill="0" applyBorder="0" applyProtection="0">
      <alignment horizontal="left" vertical="center" indent="5"/>
    </xf>
    <xf numFmtId="49" fontId="33" fillId="0" borderId="20" applyNumberFormat="0" applyFont="0" applyFill="0" applyBorder="0" applyProtection="0">
      <alignment horizontal="left" vertical="center" indent="5"/>
    </xf>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49" fontId="33" fillId="0" borderId="20" applyNumberFormat="0" applyFont="0" applyFill="0" applyBorder="0" applyProtection="0">
      <alignment horizontal="left" vertical="center" indent="5"/>
    </xf>
    <xf numFmtId="49" fontId="33" fillId="0" borderId="20" applyNumberFormat="0" applyFont="0" applyFill="0" applyBorder="0" applyProtection="0">
      <alignment horizontal="left" vertical="center" indent="5"/>
    </xf>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9" fillId="6" borderId="28" applyNumberFormat="0" applyFont="0" applyAlignment="0" applyProtection="0"/>
    <xf numFmtId="0" fontId="21" fillId="24"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5" borderId="23" applyNumberFormat="0" applyAlignment="0" applyProtection="0"/>
    <xf numFmtId="0" fontId="21" fillId="24" borderId="23" applyNumberFormat="0" applyAlignment="0" applyProtection="0"/>
    <xf numFmtId="0" fontId="22" fillId="0" borderId="24"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5" applyNumberFormat="0" applyFill="0" applyAlignment="0" applyProtection="0"/>
    <xf numFmtId="0" fontId="22" fillId="0" borderId="24" applyNumberFormat="0" applyFill="0" applyAlignment="0" applyProtection="0"/>
    <xf numFmtId="0" fontId="5" fillId="0" borderId="0"/>
    <xf numFmtId="9" fontId="5" fillId="0" borderId="0" applyFont="0" applyFill="0" applyBorder="0" applyAlignment="0" applyProtection="0"/>
    <xf numFmtId="0" fontId="4" fillId="0" borderId="0"/>
    <xf numFmtId="43" fontId="6" fillId="0" borderId="0" applyFont="0" applyFill="0" applyBorder="0" applyAlignment="0" applyProtection="0"/>
    <xf numFmtId="0" fontId="45" fillId="0" borderId="0"/>
    <xf numFmtId="0" fontId="3" fillId="0" borderId="0"/>
    <xf numFmtId="0" fontId="87" fillId="0" borderId="0" applyNumberFormat="0" applyFill="0" applyBorder="0" applyAlignment="0" applyProtection="0"/>
  </cellStyleXfs>
  <cellXfs count="833">
    <xf numFmtId="0" fontId="0" fillId="0" borderId="0" xfId="0"/>
    <xf numFmtId="0" fontId="0" fillId="0" borderId="0" xfId="0"/>
    <xf numFmtId="0" fontId="0" fillId="0" borderId="0" xfId="0" applyBorder="1"/>
    <xf numFmtId="0" fontId="0" fillId="0" borderId="0" xfId="0" applyFont="1"/>
    <xf numFmtId="0" fontId="0" fillId="0" borderId="0" xfId="0" applyFill="1" applyBorder="1"/>
    <xf numFmtId="2" fontId="0" fillId="0" borderId="0" xfId="0" applyNumberFormat="1" applyBorder="1"/>
    <xf numFmtId="0" fontId="49" fillId="0" borderId="0" xfId="0" applyFont="1"/>
    <xf numFmtId="0" fontId="0" fillId="0" borderId="0" xfId="0" applyProtection="1"/>
    <xf numFmtId="0" fontId="0" fillId="29" borderId="0" xfId="0" applyFill="1" applyProtection="1"/>
    <xf numFmtId="6" fontId="49" fillId="29" borderId="0" xfId="20251" applyNumberFormat="1" applyFont="1" applyFill="1" applyBorder="1" applyProtection="1"/>
    <xf numFmtId="0" fontId="49" fillId="29" borderId="0" xfId="0" applyFont="1" applyFill="1" applyProtection="1"/>
    <xf numFmtId="0" fontId="49" fillId="29" borderId="36" xfId="0" applyFont="1" applyFill="1" applyBorder="1" applyAlignment="1" applyProtection="1">
      <alignment horizontal="center"/>
    </xf>
    <xf numFmtId="0" fontId="49" fillId="29" borderId="36" xfId="0" applyFont="1" applyFill="1" applyBorder="1" applyAlignment="1" applyProtection="1">
      <alignment horizontal="right"/>
    </xf>
    <xf numFmtId="0" fontId="49" fillId="29" borderId="0" xfId="0" applyFont="1" applyFill="1" applyAlignment="1" applyProtection="1">
      <alignment horizontal="center"/>
    </xf>
    <xf numFmtId="0" fontId="48" fillId="29" borderId="0" xfId="0" applyFont="1" applyFill="1" applyProtection="1">
      <protection locked="0"/>
    </xf>
    <xf numFmtId="0" fontId="0" fillId="29" borderId="0" xfId="0" applyFill="1"/>
    <xf numFmtId="0" fontId="49" fillId="29" borderId="0" xfId="0" applyFont="1" applyFill="1"/>
    <xf numFmtId="7" fontId="49" fillId="29" borderId="0" xfId="0" applyNumberFormat="1" applyFont="1" applyFill="1" applyProtection="1">
      <protection locked="0"/>
    </xf>
    <xf numFmtId="0" fontId="49" fillId="29" borderId="0" xfId="0" applyFont="1" applyFill="1" applyProtection="1">
      <protection locked="0"/>
    </xf>
    <xf numFmtId="0" fontId="49" fillId="29" borderId="36" xfId="0" applyFont="1" applyFill="1" applyBorder="1" applyAlignment="1" applyProtection="1">
      <alignment horizontal="center"/>
      <protection locked="0"/>
    </xf>
    <xf numFmtId="7" fontId="49" fillId="29" borderId="36" xfId="0" applyNumberFormat="1" applyFont="1" applyFill="1" applyBorder="1" applyAlignment="1" applyProtection="1">
      <alignment horizontal="right"/>
      <protection locked="0"/>
    </xf>
    <xf numFmtId="0" fontId="49" fillId="29" borderId="36" xfId="0" applyFont="1" applyFill="1" applyBorder="1" applyAlignment="1" applyProtection="1">
      <alignment horizontal="right"/>
      <protection locked="0"/>
    </xf>
    <xf numFmtId="7" fontId="49" fillId="29" borderId="0" xfId="0" applyNumberFormat="1" applyFont="1" applyFill="1" applyAlignment="1" applyProtection="1">
      <alignment horizontal="center"/>
      <protection locked="0"/>
    </xf>
    <xf numFmtId="0" fontId="49" fillId="29" borderId="0" xfId="0" applyFont="1" applyFill="1" applyAlignment="1" applyProtection="1">
      <alignment horizontal="center"/>
      <protection locked="0"/>
    </xf>
    <xf numFmtId="0" fontId="49" fillId="29" borderId="40" xfId="0" applyFont="1" applyFill="1" applyBorder="1" applyAlignment="1" applyProtection="1">
      <alignment horizontal="center"/>
      <protection locked="0"/>
    </xf>
    <xf numFmtId="7" fontId="49" fillId="29" borderId="40" xfId="0" applyNumberFormat="1" applyFont="1" applyFill="1" applyBorder="1" applyAlignment="1" applyProtection="1">
      <alignment horizontal="right"/>
      <protection locked="0"/>
    </xf>
    <xf numFmtId="0" fontId="49" fillId="29" borderId="40" xfId="0" applyFont="1" applyFill="1" applyBorder="1" applyAlignment="1" applyProtection="1">
      <alignment horizontal="right"/>
      <protection locked="0"/>
    </xf>
    <xf numFmtId="0" fontId="48" fillId="29" borderId="0" xfId="0" quotePrefix="1" applyFont="1" applyFill="1" applyProtection="1">
      <protection locked="0"/>
    </xf>
    <xf numFmtId="0" fontId="55" fillId="29" borderId="40" xfId="0" applyFont="1" applyFill="1" applyBorder="1" applyProtection="1">
      <protection locked="0"/>
    </xf>
    <xf numFmtId="0" fontId="48" fillId="29" borderId="0" xfId="0" applyFont="1" applyFill="1"/>
    <xf numFmtId="7" fontId="48" fillId="29" borderId="0" xfId="0" applyNumberFormat="1" applyFont="1" applyFill="1" applyProtection="1">
      <protection locked="0"/>
    </xf>
    <xf numFmtId="0" fontId="48" fillId="29" borderId="36" xfId="0" applyFont="1" applyFill="1" applyBorder="1" applyProtection="1">
      <protection locked="0"/>
    </xf>
    <xf numFmtId="0" fontId="48" fillId="29" borderId="36" xfId="0" applyFont="1" applyFill="1" applyBorder="1"/>
    <xf numFmtId="7" fontId="48" fillId="29" borderId="36" xfId="0" applyNumberFormat="1" applyFont="1" applyFill="1" applyBorder="1" applyProtection="1">
      <protection locked="0"/>
    </xf>
    <xf numFmtId="173" fontId="49" fillId="29" borderId="0" xfId="0" applyNumberFormat="1" applyFont="1" applyFill="1" applyProtection="1">
      <protection locked="0"/>
    </xf>
    <xf numFmtId="173" fontId="54" fillId="29" borderId="0" xfId="20251" applyNumberFormat="1" applyFont="1" applyFill="1" applyProtection="1">
      <protection locked="0"/>
    </xf>
    <xf numFmtId="0" fontId="0" fillId="0" borderId="0" xfId="0" applyFill="1" applyProtection="1"/>
    <xf numFmtId="0" fontId="49" fillId="29" borderId="0" xfId="0" applyFont="1" applyFill="1" applyBorder="1" applyAlignment="1" applyProtection="1"/>
    <xf numFmtId="9" fontId="48" fillId="29" borderId="0" xfId="0" applyNumberFormat="1" applyFont="1" applyFill="1" applyBorder="1" applyAlignment="1" applyProtection="1">
      <alignment horizontal="center"/>
    </xf>
    <xf numFmtId="0" fontId="48" fillId="29" borderId="0" xfId="0" quotePrefix="1" applyFont="1" applyFill="1" applyBorder="1" applyAlignment="1" applyProtection="1">
      <alignment horizontal="center"/>
    </xf>
    <xf numFmtId="10" fontId="49" fillId="29" borderId="0" xfId="1" applyNumberFormat="1" applyFont="1" applyFill="1"/>
    <xf numFmtId="173" fontId="49" fillId="29" borderId="0" xfId="0" applyNumberFormat="1" applyFont="1" applyFill="1" applyAlignment="1" applyProtection="1">
      <alignment horizontal="center"/>
      <protection locked="0"/>
    </xf>
    <xf numFmtId="173" fontId="49" fillId="29" borderId="0" xfId="0" applyNumberFormat="1" applyFont="1" applyFill="1" applyAlignment="1" applyProtection="1">
      <alignment horizontal="right"/>
      <protection locked="0"/>
    </xf>
    <xf numFmtId="173" fontId="54" fillId="29" borderId="0" xfId="0" applyNumberFormat="1" applyFont="1" applyFill="1" applyAlignment="1" applyProtection="1">
      <alignment horizontal="right"/>
      <protection locked="0"/>
    </xf>
    <xf numFmtId="173" fontId="49" fillId="29" borderId="0" xfId="0" applyNumberFormat="1" applyFont="1" applyFill="1"/>
    <xf numFmtId="173" fontId="49" fillId="29" borderId="36" xfId="0" applyNumberFormat="1" applyFont="1" applyFill="1" applyBorder="1" applyAlignment="1" applyProtection="1">
      <alignment horizontal="right"/>
      <protection locked="0"/>
    </xf>
    <xf numFmtId="173" fontId="48" fillId="29" borderId="0" xfId="0" applyNumberFormat="1" applyFont="1" applyFill="1" applyProtection="1">
      <protection locked="0"/>
    </xf>
    <xf numFmtId="173" fontId="48" fillId="29" borderId="0" xfId="0" quotePrefix="1" applyNumberFormat="1" applyFont="1" applyFill="1" applyProtection="1">
      <protection locked="0"/>
    </xf>
    <xf numFmtId="173" fontId="48" fillId="29" borderId="36" xfId="0" applyNumberFormat="1" applyFont="1" applyFill="1" applyBorder="1"/>
    <xf numFmtId="8" fontId="0" fillId="0" borderId="0" xfId="0" applyNumberFormat="1"/>
    <xf numFmtId="0" fontId="0" fillId="0" borderId="0" xfId="0" applyAlignment="1">
      <alignment horizontal="center"/>
    </xf>
    <xf numFmtId="0" fontId="49" fillId="29" borderId="36" xfId="0" applyFont="1" applyFill="1" applyBorder="1" applyProtection="1"/>
    <xf numFmtId="0" fontId="49" fillId="29" borderId="0" xfId="0" quotePrefix="1" applyFont="1" applyFill="1" applyAlignment="1" applyProtection="1">
      <alignment horizontal="center"/>
    </xf>
    <xf numFmtId="0" fontId="0" fillId="0" borderId="35" xfId="0" applyBorder="1"/>
    <xf numFmtId="6" fontId="0" fillId="0" borderId="0" xfId="0" applyNumberFormat="1"/>
    <xf numFmtId="10" fontId="0" fillId="0" borderId="0" xfId="1" applyNumberFormat="1" applyFont="1" applyAlignment="1">
      <alignment horizontal="center"/>
    </xf>
    <xf numFmtId="10" fontId="42" fillId="0" borderId="0" xfId="1" applyNumberFormat="1" applyFont="1"/>
    <xf numFmtId="0" fontId="0" fillId="0" borderId="43" xfId="0" applyBorder="1"/>
    <xf numFmtId="6" fontId="0" fillId="0" borderId="35" xfId="0" applyNumberFormat="1" applyBorder="1"/>
    <xf numFmtId="6" fontId="43" fillId="0" borderId="0" xfId="0" applyNumberFormat="1" applyFont="1" applyAlignment="1" applyProtection="1">
      <protection locked="0"/>
    </xf>
    <xf numFmtId="10" fontId="43" fillId="0" borderId="0" xfId="1" applyNumberFormat="1" applyFont="1" applyAlignment="1" applyProtection="1">
      <protection locked="0"/>
    </xf>
    <xf numFmtId="0" fontId="0" fillId="0" borderId="43" xfId="0" applyFill="1" applyBorder="1"/>
    <xf numFmtId="8" fontId="42" fillId="0" borderId="0" xfId="0" applyNumberFormat="1" applyFont="1"/>
    <xf numFmtId="0" fontId="0" fillId="0" borderId="39" xfId="0" applyBorder="1" applyAlignment="1">
      <alignment horizontal="center"/>
    </xf>
    <xf numFmtId="0" fontId="0" fillId="0" borderId="43" xfId="0" applyBorder="1" applyAlignment="1">
      <alignment horizontal="center"/>
    </xf>
    <xf numFmtId="0" fontId="0" fillId="0" borderId="40" xfId="0" applyBorder="1" applyAlignment="1">
      <alignment horizontal="right" wrapText="1"/>
    </xf>
    <xf numFmtId="0" fontId="0" fillId="0" borderId="30" xfId="0" applyBorder="1" applyAlignment="1">
      <alignment horizontal="right" wrapText="1"/>
    </xf>
    <xf numFmtId="0" fontId="0" fillId="0" borderId="43" xfId="0" applyFill="1" applyBorder="1" applyAlignment="1">
      <alignment vertical="top"/>
    </xf>
    <xf numFmtId="8" fontId="43" fillId="0" borderId="0" xfId="0" applyNumberFormat="1" applyFont="1" applyAlignment="1">
      <alignment vertical="top"/>
    </xf>
    <xf numFmtId="7" fontId="0" fillId="0" borderId="0" xfId="0" applyNumberFormat="1"/>
    <xf numFmtId="7" fontId="0" fillId="0" borderId="35" xfId="0" applyNumberFormat="1" applyBorder="1"/>
    <xf numFmtId="7" fontId="46" fillId="0" borderId="0" xfId="0" applyNumberFormat="1" applyFont="1"/>
    <xf numFmtId="7" fontId="46" fillId="0" borderId="35" xfId="0" applyNumberFormat="1" applyFont="1" applyBorder="1"/>
    <xf numFmtId="7" fontId="0" fillId="0" borderId="0" xfId="0" applyNumberFormat="1" applyBorder="1"/>
    <xf numFmtId="7" fontId="0" fillId="0" borderId="0" xfId="0" applyNumberFormat="1" applyFont="1" applyBorder="1"/>
    <xf numFmtId="7" fontId="0" fillId="0" borderId="35" xfId="0" applyNumberFormat="1" applyFont="1" applyBorder="1"/>
    <xf numFmtId="168" fontId="63" fillId="0" borderId="0" xfId="33021" applyNumberFormat="1" applyFont="1" applyFill="1" applyProtection="1">
      <protection locked="0"/>
    </xf>
    <xf numFmtId="8" fontId="63" fillId="0" borderId="0" xfId="0" applyNumberFormat="1" applyFont="1" applyFill="1" applyProtection="1">
      <protection locked="0"/>
    </xf>
    <xf numFmtId="174" fontId="53" fillId="0" borderId="0" xfId="0" quotePrefix="1" applyNumberFormat="1" applyFont="1" applyFill="1" applyBorder="1" applyProtection="1">
      <protection locked="0"/>
    </xf>
    <xf numFmtId="173" fontId="63" fillId="0" borderId="0" xfId="1" applyNumberFormat="1" applyFont="1" applyFill="1" applyProtection="1">
      <protection locked="0"/>
    </xf>
    <xf numFmtId="7" fontId="63" fillId="0" borderId="0" xfId="20251" applyNumberFormat="1" applyFont="1" applyFill="1" applyProtection="1">
      <protection locked="0"/>
    </xf>
    <xf numFmtId="7" fontId="63" fillId="0" borderId="0" xfId="20251" applyNumberFormat="1" applyFont="1" applyFill="1" applyBorder="1" applyProtection="1">
      <protection locked="0"/>
    </xf>
    <xf numFmtId="10" fontId="63" fillId="0" borderId="0" xfId="1" applyNumberFormat="1" applyFont="1" applyFill="1" applyProtection="1">
      <protection locked="0"/>
    </xf>
    <xf numFmtId="43" fontId="63" fillId="0" borderId="0" xfId="33021" applyFont="1" applyFill="1" applyProtection="1">
      <protection locked="0"/>
    </xf>
    <xf numFmtId="168" fontId="63" fillId="0" borderId="0" xfId="33021" applyNumberFormat="1" applyFont="1" applyFill="1" applyBorder="1" applyProtection="1">
      <protection locked="0"/>
    </xf>
    <xf numFmtId="0" fontId="49" fillId="29" borderId="0" xfId="0" applyFont="1" applyFill="1" applyAlignment="1" applyProtection="1">
      <alignment horizontal="left"/>
      <protection locked="0"/>
    </xf>
    <xf numFmtId="8" fontId="49" fillId="29" borderId="0" xfId="0" applyNumberFormat="1" applyFont="1" applyFill="1"/>
    <xf numFmtId="2" fontId="49" fillId="29" borderId="0" xfId="0" applyNumberFormat="1" applyFont="1" applyFill="1" applyAlignment="1" applyProtection="1">
      <alignment horizontal="right"/>
      <protection locked="0"/>
    </xf>
    <xf numFmtId="7" fontId="49" fillId="29" borderId="0" xfId="0" applyNumberFormat="1" applyFont="1" applyFill="1" applyAlignment="1" applyProtection="1">
      <alignment horizontal="right"/>
      <protection locked="0"/>
    </xf>
    <xf numFmtId="8" fontId="49" fillId="29" borderId="0" xfId="0" applyNumberFormat="1" applyFont="1" applyFill="1" applyProtection="1">
      <protection locked="0"/>
    </xf>
    <xf numFmtId="43" fontId="49" fillId="29" borderId="0" xfId="33021" applyFont="1" applyFill="1" applyProtection="1">
      <protection locked="0"/>
    </xf>
    <xf numFmtId="0" fontId="47" fillId="0" borderId="0" xfId="0" applyFont="1" applyFill="1"/>
    <xf numFmtId="0" fontId="0" fillId="0" borderId="0" xfId="0" applyFill="1"/>
    <xf numFmtId="0" fontId="49" fillId="0" borderId="0" xfId="0" applyFont="1" applyFill="1" applyProtection="1"/>
    <xf numFmtId="44" fontId="47" fillId="0" borderId="0" xfId="20251" applyFont="1" applyFill="1"/>
    <xf numFmtId="0" fontId="47" fillId="0" borderId="0" xfId="0" applyFont="1" applyFill="1" applyAlignment="1">
      <alignment horizontal="center"/>
    </xf>
    <xf numFmtId="44" fontId="47" fillId="0" borderId="0" xfId="20251" quotePrefix="1" applyFont="1" applyFill="1"/>
    <xf numFmtId="7" fontId="47" fillId="0" borderId="0" xfId="0" applyNumberFormat="1" applyFont="1" applyFill="1"/>
    <xf numFmtId="0" fontId="47" fillId="0" borderId="0" xfId="0" quotePrefix="1" applyFont="1" applyFill="1" applyAlignment="1">
      <alignment horizontal="right"/>
    </xf>
    <xf numFmtId="43" fontId="47" fillId="0" borderId="0" xfId="33021" applyFont="1" applyFill="1"/>
    <xf numFmtId="174" fontId="59" fillId="0" borderId="0" xfId="0" applyNumberFormat="1" applyFont="1" applyFill="1"/>
    <xf numFmtId="174" fontId="2" fillId="0" borderId="0" xfId="0" applyNumberFormat="1" applyFont="1" applyFill="1" applyAlignment="1" applyProtection="1">
      <alignment horizontal="center"/>
    </xf>
    <xf numFmtId="174" fontId="65" fillId="0" borderId="0" xfId="0" applyNumberFormat="1" applyFont="1" applyFill="1"/>
    <xf numFmtId="174" fontId="0" fillId="0" borderId="0" xfId="0" applyNumberFormat="1" applyFill="1"/>
    <xf numFmtId="174" fontId="64" fillId="0" borderId="0" xfId="0" applyNumberFormat="1" applyFont="1" applyFill="1"/>
    <xf numFmtId="0" fontId="49" fillId="0" borderId="0" xfId="0" applyFont="1" applyFill="1"/>
    <xf numFmtId="174" fontId="53" fillId="0" borderId="0" xfId="33021" applyNumberFormat="1" applyFont="1" applyFill="1" applyBorder="1" applyProtection="1">
      <protection locked="0"/>
    </xf>
    <xf numFmtId="174" fontId="47" fillId="0" borderId="0" xfId="33022" applyNumberFormat="1" applyFont="1" applyFill="1" applyBorder="1" applyProtection="1"/>
    <xf numFmtId="174" fontId="53" fillId="0" borderId="0" xfId="4" applyNumberFormat="1" applyFont="1" applyFill="1" applyBorder="1" applyProtection="1">
      <protection locked="0"/>
    </xf>
    <xf numFmtId="8" fontId="66" fillId="0" borderId="0" xfId="0" applyNumberFormat="1" applyFont="1" applyFill="1" applyBorder="1" applyProtection="1">
      <protection locked="0"/>
    </xf>
    <xf numFmtId="167" fontId="47" fillId="0" borderId="0" xfId="0" applyNumberFormat="1" applyFont="1" applyFill="1"/>
    <xf numFmtId="10" fontId="49" fillId="29" borderId="0" xfId="1" applyNumberFormat="1" applyFont="1" applyFill="1" applyAlignment="1" applyProtection="1">
      <alignment horizontal="right"/>
      <protection locked="0"/>
    </xf>
    <xf numFmtId="9" fontId="49" fillId="29" borderId="0" xfId="1" applyFont="1" applyFill="1" applyAlignment="1" applyProtection="1">
      <alignment horizontal="right"/>
      <protection locked="0"/>
    </xf>
    <xf numFmtId="0" fontId="58" fillId="29" borderId="0" xfId="0" applyFont="1" applyFill="1"/>
    <xf numFmtId="0" fontId="58" fillId="29" borderId="0" xfId="0" applyFont="1" applyFill="1" applyAlignment="1">
      <alignment horizontal="right"/>
    </xf>
    <xf numFmtId="0" fontId="58" fillId="0" borderId="0" xfId="0" applyFont="1"/>
    <xf numFmtId="8" fontId="49" fillId="29" borderId="0" xfId="0" applyNumberFormat="1" applyFont="1" applyFill="1" applyAlignment="1" applyProtection="1">
      <alignment horizontal="right"/>
      <protection locked="0"/>
    </xf>
    <xf numFmtId="8" fontId="49" fillId="29" borderId="0" xfId="0" applyNumberFormat="1" applyFont="1" applyFill="1" applyAlignment="1">
      <alignment horizontal="right"/>
    </xf>
    <xf numFmtId="8" fontId="54" fillId="29" borderId="0" xfId="0" applyNumberFormat="1" applyFont="1" applyFill="1" applyAlignment="1">
      <alignment horizontal="right"/>
    </xf>
    <xf numFmtId="173" fontId="49" fillId="29" borderId="0" xfId="0" applyNumberFormat="1" applyFont="1" applyFill="1" applyAlignment="1" applyProtection="1">
      <alignment horizontal="center" vertical="top"/>
    </xf>
    <xf numFmtId="8" fontId="49" fillId="29" borderId="0" xfId="0" applyNumberFormat="1" applyFont="1" applyFill="1" applyAlignment="1" applyProtection="1"/>
    <xf numFmtId="169" fontId="49" fillId="29" borderId="0" xfId="0" applyNumberFormat="1" applyFont="1" applyFill="1" applyAlignment="1" applyProtection="1"/>
    <xf numFmtId="43" fontId="66" fillId="0" borderId="0" xfId="4" applyFont="1" applyFill="1" applyBorder="1" applyProtection="1">
      <protection locked="0"/>
    </xf>
    <xf numFmtId="43" fontId="66" fillId="0" borderId="36" xfId="4" applyFont="1" applyFill="1" applyBorder="1" applyProtection="1">
      <protection locked="0"/>
    </xf>
    <xf numFmtId="0" fontId="47" fillId="0" borderId="0" xfId="33022" applyFont="1" applyFill="1" applyBorder="1" applyProtection="1"/>
    <xf numFmtId="173" fontId="49" fillId="29" borderId="0" xfId="0" applyNumberFormat="1" applyFont="1" applyFill="1" applyAlignment="1" applyProtection="1">
      <alignment horizontal="left"/>
      <protection locked="0"/>
    </xf>
    <xf numFmtId="173" fontId="49" fillId="0" borderId="0" xfId="0" applyNumberFormat="1" applyFont="1" applyAlignment="1" applyProtection="1">
      <alignment horizontal="left" vertical="top"/>
    </xf>
    <xf numFmtId="7" fontId="49" fillId="29" borderId="0" xfId="0" applyNumberFormat="1" applyFont="1" applyFill="1" applyAlignment="1" applyProtection="1">
      <alignment horizontal="left"/>
      <protection locked="0"/>
    </xf>
    <xf numFmtId="43" fontId="49" fillId="29" borderId="0" xfId="33021" applyFont="1" applyFill="1" applyAlignment="1" applyProtection="1">
      <alignment horizontal="right"/>
      <protection locked="0"/>
    </xf>
    <xf numFmtId="8" fontId="49" fillId="29" borderId="0" xfId="20251" applyNumberFormat="1" applyFont="1" applyFill="1" applyProtection="1">
      <protection locked="0"/>
    </xf>
    <xf numFmtId="8" fontId="49" fillId="29" borderId="0" xfId="20251" applyNumberFormat="1" applyFont="1" applyFill="1" applyAlignment="1" applyProtection="1">
      <alignment horizontal="right"/>
      <protection locked="0"/>
    </xf>
    <xf numFmtId="0" fontId="69" fillId="29" borderId="40" xfId="0" applyFont="1" applyFill="1" applyBorder="1" applyProtection="1">
      <protection locked="0"/>
    </xf>
    <xf numFmtId="0" fontId="69" fillId="29" borderId="36" xfId="0" applyFont="1" applyFill="1" applyBorder="1" applyProtection="1">
      <protection locked="0"/>
    </xf>
    <xf numFmtId="43" fontId="49" fillId="29" borderId="0" xfId="33021" applyFont="1" applyFill="1" applyAlignment="1" applyProtection="1"/>
    <xf numFmtId="8" fontId="49" fillId="29" borderId="0" xfId="0" applyNumberFormat="1" applyFont="1" applyFill="1" applyAlignment="1" applyProtection="1">
      <alignment horizontal="center"/>
      <protection locked="0"/>
    </xf>
    <xf numFmtId="7" fontId="47" fillId="0" borderId="0" xfId="20251" applyNumberFormat="1" applyFont="1" applyFill="1"/>
    <xf numFmtId="8" fontId="66" fillId="0" borderId="0" xfId="20251" applyNumberFormat="1" applyFont="1" applyFill="1" applyBorder="1" applyProtection="1">
      <protection locked="0"/>
    </xf>
    <xf numFmtId="8" fontId="66" fillId="0" borderId="0" xfId="33021" applyNumberFormat="1" applyFont="1" applyFill="1" applyBorder="1" applyProtection="1">
      <protection locked="0"/>
    </xf>
    <xf numFmtId="175" fontId="66" fillId="0" borderId="0" xfId="33021" applyNumberFormat="1" applyFont="1" applyFill="1" applyBorder="1" applyProtection="1">
      <protection locked="0"/>
    </xf>
    <xf numFmtId="0" fontId="69" fillId="29" borderId="0" xfId="0" applyFont="1" applyFill="1" applyAlignment="1" applyProtection="1">
      <alignment horizontal="left"/>
      <protection locked="0"/>
    </xf>
    <xf numFmtId="173" fontId="54" fillId="29" borderId="0" xfId="0" applyNumberFormat="1" applyFont="1" applyFill="1"/>
    <xf numFmtId="7" fontId="48" fillId="29" borderId="0" xfId="0" applyNumberFormat="1" applyFont="1" applyFill="1" applyAlignment="1" applyProtection="1">
      <alignment horizontal="right"/>
      <protection locked="0"/>
    </xf>
    <xf numFmtId="2" fontId="48" fillId="29" borderId="0" xfId="0" applyNumberFormat="1" applyFont="1" applyFill="1" applyAlignment="1">
      <alignment horizontal="right"/>
    </xf>
    <xf numFmtId="8" fontId="48" fillId="29" borderId="0" xfId="0" applyNumberFormat="1" applyFont="1" applyFill="1"/>
    <xf numFmtId="0" fontId="71" fillId="30" borderId="0" xfId="0" applyFont="1" applyFill="1" applyProtection="1">
      <protection locked="0"/>
    </xf>
    <xf numFmtId="40" fontId="49" fillId="29" borderId="0" xfId="0" applyNumberFormat="1" applyFont="1" applyFill="1" applyProtection="1">
      <protection locked="0"/>
    </xf>
    <xf numFmtId="8" fontId="48" fillId="29" borderId="0" xfId="0" applyNumberFormat="1" applyFont="1" applyFill="1" applyAlignment="1">
      <alignment horizontal="right"/>
    </xf>
    <xf numFmtId="0" fontId="0" fillId="29" borderId="0" xfId="0" applyFill="1" applyBorder="1" applyProtection="1"/>
    <xf numFmtId="0" fontId="0" fillId="29" borderId="0" xfId="0" applyFill="1" applyBorder="1"/>
    <xf numFmtId="0" fontId="49" fillId="29" borderId="0" xfId="0" applyFont="1" applyFill="1" applyBorder="1" applyAlignment="1" applyProtection="1">
      <alignment vertical="center"/>
    </xf>
    <xf numFmtId="8" fontId="49" fillId="29" borderId="0" xfId="20251" applyNumberFormat="1" applyFont="1" applyFill="1" applyBorder="1" applyProtection="1"/>
    <xf numFmtId="0" fontId="49" fillId="29" borderId="40" xfId="0" applyFont="1" applyFill="1" applyBorder="1" applyAlignment="1" applyProtection="1">
      <alignment vertical="center"/>
    </xf>
    <xf numFmtId="0" fontId="49" fillId="29" borderId="40" xfId="0" applyFont="1" applyFill="1" applyBorder="1" applyAlignment="1" applyProtection="1">
      <alignment horizontal="right" vertical="center"/>
    </xf>
    <xf numFmtId="0" fontId="49" fillId="29" borderId="40" xfId="0" applyFont="1" applyFill="1" applyBorder="1" applyAlignment="1" applyProtection="1">
      <alignment horizontal="right"/>
    </xf>
    <xf numFmtId="0" fontId="63" fillId="29" borderId="0" xfId="0" quotePrefix="1" applyFont="1" applyFill="1" applyProtection="1">
      <protection locked="0"/>
    </xf>
    <xf numFmtId="10" fontId="63" fillId="29" borderId="0" xfId="1" applyNumberFormat="1" applyFont="1" applyFill="1" applyProtection="1">
      <protection locked="0"/>
    </xf>
    <xf numFmtId="8" fontId="63" fillId="29" borderId="0" xfId="0" applyNumberFormat="1" applyFont="1" applyFill="1" applyProtection="1">
      <protection locked="0"/>
    </xf>
    <xf numFmtId="43" fontId="63" fillId="29" borderId="0" xfId="33021" applyFont="1" applyFill="1" applyProtection="1">
      <protection locked="0"/>
    </xf>
    <xf numFmtId="0" fontId="63" fillId="29" borderId="0" xfId="0" applyFont="1" applyFill="1" applyProtection="1">
      <protection locked="0"/>
    </xf>
    <xf numFmtId="39" fontId="49" fillId="29" borderId="0" xfId="0" applyNumberFormat="1" applyFont="1" applyFill="1" applyProtection="1"/>
    <xf numFmtId="0" fontId="63" fillId="29" borderId="0" xfId="0" applyFont="1" applyFill="1" applyAlignment="1" applyProtection="1">
      <alignment horizontal="center"/>
      <protection locked="0"/>
    </xf>
    <xf numFmtId="8" fontId="70" fillId="0" borderId="0" xfId="0" applyNumberFormat="1" applyFont="1" applyFill="1" applyProtection="1">
      <protection locked="0"/>
    </xf>
    <xf numFmtId="8" fontId="70" fillId="0" borderId="0" xfId="33021" applyNumberFormat="1" applyFont="1" applyFill="1" applyBorder="1" applyProtection="1">
      <protection locked="0"/>
    </xf>
    <xf numFmtId="9" fontId="49" fillId="29" borderId="0" xfId="1" applyFont="1" applyFill="1" applyBorder="1" applyAlignment="1" applyProtection="1">
      <alignment horizontal="right"/>
    </xf>
    <xf numFmtId="39" fontId="49" fillId="29" borderId="0" xfId="20251" applyNumberFormat="1" applyFont="1" applyFill="1" applyBorder="1" applyProtection="1"/>
    <xf numFmtId="43" fontId="0" fillId="0" borderId="0" xfId="0" applyNumberFormat="1"/>
    <xf numFmtId="44" fontId="0" fillId="0" borderId="0" xfId="0" applyNumberFormat="1"/>
    <xf numFmtId="0" fontId="49" fillId="29" borderId="0" xfId="0" applyFont="1" applyFill="1" applyBorder="1" applyProtection="1"/>
    <xf numFmtId="171" fontId="49" fillId="29" borderId="0" xfId="33021" applyNumberFormat="1" applyFont="1" applyFill="1" applyProtection="1"/>
    <xf numFmtId="0" fontId="63" fillId="29" borderId="36" xfId="0" quotePrefix="1" applyFont="1" applyFill="1" applyBorder="1" applyProtection="1">
      <protection locked="0"/>
    </xf>
    <xf numFmtId="10" fontId="63" fillId="29" borderId="36" xfId="1" applyNumberFormat="1" applyFont="1" applyFill="1" applyBorder="1" applyProtection="1">
      <protection locked="0"/>
    </xf>
    <xf numFmtId="171" fontId="49" fillId="29" borderId="36" xfId="33021" applyNumberFormat="1" applyFont="1" applyFill="1" applyBorder="1" applyProtection="1"/>
    <xf numFmtId="39" fontId="49" fillId="29" borderId="36" xfId="0" applyNumberFormat="1" applyFont="1" applyFill="1" applyBorder="1" applyProtection="1"/>
    <xf numFmtId="0" fontId="0" fillId="0" borderId="0" xfId="0" quotePrefix="1"/>
    <xf numFmtId="2" fontId="0" fillId="0" borderId="0" xfId="0" applyNumberFormat="1"/>
    <xf numFmtId="173" fontId="49" fillId="29" borderId="0" xfId="33021" applyNumberFormat="1" applyFont="1" applyFill="1" applyAlignment="1" applyProtection="1"/>
    <xf numFmtId="173" fontId="49" fillId="29" borderId="0" xfId="0" applyNumberFormat="1" applyFont="1" applyFill="1" applyAlignment="1">
      <alignment horizontal="right"/>
    </xf>
    <xf numFmtId="0" fontId="0" fillId="0" borderId="0" xfId="0" applyAlignment="1">
      <alignment horizontal="right"/>
    </xf>
    <xf numFmtId="0" fontId="0" fillId="0" borderId="0" xfId="0" quotePrefix="1" applyAlignment="1">
      <alignment horizontal="right"/>
    </xf>
    <xf numFmtId="0" fontId="49" fillId="29" borderId="0" xfId="0" applyFont="1" applyFill="1" applyBorder="1" applyAlignment="1" applyProtection="1">
      <alignment horizontal="center"/>
      <protection locked="0"/>
    </xf>
    <xf numFmtId="7" fontId="49" fillId="29" borderId="0" xfId="0" applyNumberFormat="1" applyFont="1" applyFill="1" applyBorder="1" applyAlignment="1" applyProtection="1">
      <alignment horizontal="right"/>
      <protection locked="0"/>
    </xf>
    <xf numFmtId="0" fontId="49" fillId="29" borderId="0" xfId="0" applyFont="1" applyFill="1" applyBorder="1" applyAlignment="1" applyProtection="1">
      <alignment horizontal="right"/>
      <protection locked="0"/>
    </xf>
    <xf numFmtId="173" fontId="49" fillId="29" borderId="0" xfId="0" applyNumberFormat="1" applyFont="1" applyFill="1" applyBorder="1" applyAlignment="1" applyProtection="1">
      <alignment horizontal="right"/>
      <protection locked="0"/>
    </xf>
    <xf numFmtId="8" fontId="49" fillId="29" borderId="0" xfId="0" quotePrefix="1" applyNumberFormat="1" applyFont="1" applyFill="1" applyAlignment="1">
      <alignment horizontal="right"/>
    </xf>
    <xf numFmtId="0" fontId="72" fillId="0" borderId="0" xfId="0" applyFont="1"/>
    <xf numFmtId="8" fontId="50" fillId="0" borderId="0" xfId="0" applyNumberFormat="1" applyFont="1" applyFill="1" applyProtection="1">
      <protection locked="0"/>
    </xf>
    <xf numFmtId="10" fontId="50" fillId="0" borderId="0" xfId="1" applyNumberFormat="1" applyFont="1" applyFill="1" applyProtection="1">
      <protection locked="0"/>
    </xf>
    <xf numFmtId="173" fontId="50" fillId="0" borderId="0" xfId="1" applyNumberFormat="1" applyFont="1" applyFill="1" applyProtection="1">
      <protection locked="0"/>
    </xf>
    <xf numFmtId="7" fontId="50" fillId="0" borderId="0" xfId="20251" applyNumberFormat="1" applyFont="1" applyFill="1" applyBorder="1" applyProtection="1">
      <protection locked="0"/>
    </xf>
    <xf numFmtId="168" fontId="50" fillId="0" borderId="0" xfId="33021" applyNumberFormat="1" applyFont="1" applyFill="1" applyProtection="1">
      <protection locked="0"/>
    </xf>
    <xf numFmtId="43" fontId="50" fillId="0" borderId="0" xfId="33021" applyFont="1" applyFill="1" applyProtection="1">
      <protection locked="0"/>
    </xf>
    <xf numFmtId="168" fontId="50" fillId="0" borderId="0" xfId="33021" applyNumberFormat="1" applyFont="1" applyFill="1" applyBorder="1" applyProtection="1">
      <protection locked="0"/>
    </xf>
    <xf numFmtId="0" fontId="50" fillId="0" borderId="0" xfId="0" applyFont="1" applyFill="1" applyProtection="1"/>
    <xf numFmtId="0" fontId="72" fillId="0" borderId="0" xfId="0" applyFont="1" applyFill="1" applyProtection="1"/>
    <xf numFmtId="0" fontId="72" fillId="0" borderId="0" xfId="0" applyFont="1" applyProtection="1"/>
    <xf numFmtId="175" fontId="66" fillId="0" borderId="0" xfId="0" applyNumberFormat="1" applyFont="1" applyProtection="1">
      <protection locked="0"/>
    </xf>
    <xf numFmtId="8" fontId="66" fillId="0" borderId="0" xfId="0" applyNumberFormat="1" applyFont="1" applyProtection="1">
      <protection locked="0"/>
    </xf>
    <xf numFmtId="0" fontId="72" fillId="0" borderId="0" xfId="0" applyFont="1" applyFill="1"/>
    <xf numFmtId="0" fontId="50" fillId="0" borderId="0" xfId="0" applyFont="1"/>
    <xf numFmtId="0" fontId="50" fillId="0" borderId="0" xfId="0" applyFont="1" applyFill="1"/>
    <xf numFmtId="174" fontId="70" fillId="0" borderId="0" xfId="0" applyNumberFormat="1" applyFont="1" applyFill="1"/>
    <xf numFmtId="43" fontId="49" fillId="0" borderId="0" xfId="33021" applyFont="1" applyFill="1" applyProtection="1">
      <protection locked="0"/>
    </xf>
    <xf numFmtId="0" fontId="6" fillId="29" borderId="0" xfId="0" applyFont="1" applyFill="1"/>
    <xf numFmtId="0" fontId="6" fillId="0" borderId="0" xfId="0" applyFont="1"/>
    <xf numFmtId="0" fontId="0" fillId="0" borderId="0" xfId="0" applyFont="1" applyFill="1" applyProtection="1"/>
    <xf numFmtId="0" fontId="0" fillId="0" borderId="0" xfId="0" applyFont="1" applyFill="1"/>
    <xf numFmtId="0" fontId="47" fillId="0" borderId="0" xfId="0" quotePrefix="1" applyFont="1" applyFill="1"/>
    <xf numFmtId="43" fontId="47" fillId="0" borderId="0" xfId="0" applyNumberFormat="1" applyFont="1" applyFill="1"/>
    <xf numFmtId="0" fontId="47" fillId="0" borderId="0" xfId="0" applyFont="1" applyFill="1" applyProtection="1">
      <protection locked="0"/>
    </xf>
    <xf numFmtId="8" fontId="74" fillId="0" borderId="0" xfId="33021" applyNumberFormat="1" applyFont="1" applyFill="1" applyBorder="1" applyProtection="1">
      <protection locked="0"/>
    </xf>
    <xf numFmtId="8" fontId="49" fillId="0" borderId="0" xfId="0" applyNumberFormat="1" applyFont="1" applyFill="1" applyProtection="1">
      <protection locked="0"/>
    </xf>
    <xf numFmtId="10" fontId="49" fillId="0" borderId="0" xfId="1" applyNumberFormat="1" applyFont="1" applyFill="1" applyProtection="1">
      <protection locked="0"/>
    </xf>
    <xf numFmtId="173" fontId="49" fillId="0" borderId="0" xfId="1" applyNumberFormat="1" applyFont="1" applyFill="1" applyProtection="1">
      <protection locked="0"/>
    </xf>
    <xf numFmtId="7" fontId="49" fillId="0" borderId="0" xfId="20251" applyNumberFormat="1" applyFont="1" applyFill="1" applyBorder="1" applyProtection="1">
      <protection locked="0"/>
    </xf>
    <xf numFmtId="168" fontId="49" fillId="0" borderId="0" xfId="33021" applyNumberFormat="1" applyFont="1" applyFill="1" applyProtection="1">
      <protection locked="0"/>
    </xf>
    <xf numFmtId="168" fontId="49" fillId="0" borderId="0" xfId="33021" applyNumberFormat="1" applyFont="1" applyFill="1" applyBorder="1" applyProtection="1">
      <protection locked="0"/>
    </xf>
    <xf numFmtId="0" fontId="0" fillId="0" borderId="0" xfId="0" applyFont="1" applyProtection="1"/>
    <xf numFmtId="175" fontId="66" fillId="0" borderId="31" xfId="33021" applyNumberFormat="1" applyFont="1" applyFill="1" applyBorder="1" applyProtection="1">
      <protection locked="0"/>
    </xf>
    <xf numFmtId="8" fontId="66" fillId="0" borderId="31" xfId="0" applyNumberFormat="1" applyFont="1" applyFill="1" applyBorder="1" applyProtection="1">
      <protection locked="0"/>
    </xf>
    <xf numFmtId="0" fontId="76" fillId="0" borderId="0" xfId="0" applyFont="1" applyFill="1"/>
    <xf numFmtId="174" fontId="77" fillId="0" borderId="0" xfId="0" applyNumberFormat="1" applyFont="1" applyFill="1"/>
    <xf numFmtId="174" fontId="76" fillId="0" borderId="0" xfId="0" applyNumberFormat="1" applyFont="1" applyFill="1"/>
    <xf numFmtId="0" fontId="76" fillId="0" borderId="0" xfId="0" applyFont="1"/>
    <xf numFmtId="0" fontId="78" fillId="30" borderId="0" xfId="0" applyFont="1" applyFill="1" applyProtection="1">
      <protection locked="0"/>
    </xf>
    <xf numFmtId="43" fontId="0" fillId="0" borderId="0" xfId="0" quotePrefix="1" applyNumberFormat="1"/>
    <xf numFmtId="43" fontId="79" fillId="0" borderId="0" xfId="0" applyNumberFormat="1" applyFont="1"/>
    <xf numFmtId="10" fontId="63" fillId="29" borderId="0" xfId="1" applyNumberFormat="1" applyFont="1" applyFill="1" applyBorder="1" applyProtection="1">
      <protection locked="0"/>
    </xf>
    <xf numFmtId="171" fontId="49" fillId="29" borderId="0" xfId="33021" applyNumberFormat="1" applyFont="1" applyFill="1" applyBorder="1" applyProtection="1"/>
    <xf numFmtId="39" fontId="49" fillId="29" borderId="0" xfId="0" applyNumberFormat="1" applyFont="1" applyFill="1" applyBorder="1" applyProtection="1"/>
    <xf numFmtId="37" fontId="49" fillId="29" borderId="0" xfId="0" applyNumberFormat="1" applyFont="1" applyFill="1" applyBorder="1" applyProtection="1"/>
    <xf numFmtId="0" fontId="49" fillId="29" borderId="0" xfId="0" applyFont="1" applyFill="1" applyBorder="1" applyAlignment="1" applyProtection="1">
      <alignment horizontal="right" wrapText="1"/>
    </xf>
    <xf numFmtId="6" fontId="49" fillId="29" borderId="0" xfId="0" applyNumberFormat="1" applyFont="1" applyFill="1"/>
    <xf numFmtId="10" fontId="49" fillId="29" borderId="0" xfId="0" applyNumberFormat="1" applyFont="1" applyFill="1"/>
    <xf numFmtId="0" fontId="49" fillId="29" borderId="0" xfId="0" applyFont="1" applyFill="1" applyAlignment="1">
      <alignment horizontal="left"/>
    </xf>
    <xf numFmtId="38" fontId="49" fillId="29" borderId="0" xfId="33021" applyNumberFormat="1" applyFont="1" applyFill="1"/>
    <xf numFmtId="38" fontId="49" fillId="29" borderId="0" xfId="0" applyNumberFormat="1" applyFont="1" applyFill="1"/>
    <xf numFmtId="6" fontId="49" fillId="29" borderId="0" xfId="33021" applyNumberFormat="1" applyFont="1" applyFill="1"/>
    <xf numFmtId="0" fontId="75" fillId="29" borderId="0" xfId="0" applyFont="1" applyFill="1"/>
    <xf numFmtId="0" fontId="75" fillId="30" borderId="0" xfId="0" applyFont="1" applyFill="1" applyProtection="1">
      <protection locked="0"/>
    </xf>
    <xf numFmtId="0" fontId="81" fillId="29" borderId="40" xfId="0" applyFont="1" applyFill="1" applyBorder="1" applyAlignment="1" applyProtection="1">
      <alignment horizontal="right"/>
      <protection locked="0"/>
    </xf>
    <xf numFmtId="0" fontId="81" fillId="29" borderId="40" xfId="0" applyFont="1" applyFill="1" applyBorder="1" applyAlignment="1">
      <alignment horizontal="right"/>
    </xf>
    <xf numFmtId="0" fontId="49" fillId="29" borderId="42" xfId="0" applyFont="1" applyFill="1" applyBorder="1"/>
    <xf numFmtId="6" fontId="49" fillId="29" borderId="42" xfId="0" applyNumberFormat="1" applyFont="1" applyFill="1" applyBorder="1"/>
    <xf numFmtId="10" fontId="49" fillId="29" borderId="42" xfId="0" applyNumberFormat="1" applyFont="1" applyFill="1" applyBorder="1"/>
    <xf numFmtId="0" fontId="74" fillId="0" borderId="0" xfId="0" applyFont="1" applyFill="1"/>
    <xf numFmtId="44" fontId="47" fillId="0" borderId="0" xfId="20251" applyFont="1"/>
    <xf numFmtId="44" fontId="0" fillId="0" borderId="0" xfId="0" quotePrefix="1" applyNumberFormat="1"/>
    <xf numFmtId="44" fontId="79" fillId="0" borderId="0" xfId="0" applyNumberFormat="1" applyFont="1"/>
    <xf numFmtId="44" fontId="79" fillId="0" borderId="0" xfId="0" quotePrefix="1" applyNumberFormat="1" applyFont="1"/>
    <xf numFmtId="44" fontId="74" fillId="0" borderId="0" xfId="0" applyNumberFormat="1" applyFont="1"/>
    <xf numFmtId="173" fontId="74" fillId="0" borderId="0" xfId="0" applyNumberFormat="1" applyFont="1"/>
    <xf numFmtId="171" fontId="82" fillId="29" borderId="40" xfId="33021" applyNumberFormat="1" applyFont="1" applyFill="1" applyBorder="1" applyProtection="1">
      <protection locked="0"/>
    </xf>
    <xf numFmtId="168" fontId="47" fillId="0" borderId="36" xfId="0" applyNumberFormat="1" applyFont="1" applyFill="1" applyBorder="1" applyProtection="1"/>
    <xf numFmtId="0" fontId="78" fillId="30" borderId="0" xfId="0" quotePrefix="1" applyFont="1" applyFill="1" applyProtection="1">
      <protection locked="0"/>
    </xf>
    <xf numFmtId="0" fontId="78" fillId="30" borderId="0" xfId="0" applyFont="1" applyFill="1" applyAlignment="1" applyProtection="1">
      <alignment horizontal="right"/>
      <protection locked="0"/>
    </xf>
    <xf numFmtId="168" fontId="63" fillId="29" borderId="0" xfId="33021" applyNumberFormat="1" applyFont="1" applyFill="1" applyAlignment="1" applyProtection="1">
      <alignment horizontal="center"/>
      <protection locked="0"/>
    </xf>
    <xf numFmtId="0" fontId="49" fillId="29" borderId="0" xfId="0" applyFont="1" applyFill="1" applyBorder="1" applyProtection="1">
      <protection locked="0"/>
    </xf>
    <xf numFmtId="0" fontId="49" fillId="29" borderId="36" xfId="0" applyFont="1" applyFill="1" applyBorder="1" applyAlignment="1" applyProtection="1">
      <alignment horizontal="right" vertical="center"/>
    </xf>
    <xf numFmtId="9" fontId="63" fillId="29" borderId="0" xfId="1" applyFont="1" applyFill="1" applyAlignment="1" applyProtection="1">
      <alignment horizontal="right"/>
      <protection locked="0"/>
    </xf>
    <xf numFmtId="0" fontId="49" fillId="29" borderId="36" xfId="0" applyFont="1" applyFill="1" applyBorder="1" applyAlignment="1" applyProtection="1">
      <alignment horizontal="right" vertical="center" wrapText="1"/>
    </xf>
    <xf numFmtId="9" fontId="63" fillId="29" borderId="0" xfId="1" applyFont="1" applyFill="1" applyBorder="1" applyAlignment="1" applyProtection="1">
      <alignment horizontal="right"/>
      <protection locked="0"/>
    </xf>
    <xf numFmtId="44" fontId="63" fillId="29" borderId="0" xfId="20251" applyFont="1" applyFill="1" applyBorder="1" applyAlignment="1" applyProtection="1">
      <alignment horizontal="right"/>
      <protection locked="0"/>
    </xf>
    <xf numFmtId="177" fontId="63" fillId="29" borderId="0" xfId="20251" applyNumberFormat="1" applyFont="1" applyFill="1" applyBorder="1" applyAlignment="1" applyProtection="1">
      <alignment horizontal="right"/>
      <protection locked="0"/>
    </xf>
    <xf numFmtId="10" fontId="63" fillId="29" borderId="36" xfId="1" applyNumberFormat="1" applyFont="1" applyFill="1" applyBorder="1" applyAlignment="1" applyProtection="1">
      <alignment horizontal="right"/>
      <protection locked="0"/>
    </xf>
    <xf numFmtId="8" fontId="0" fillId="0" borderId="0" xfId="0" quotePrefix="1" applyNumberFormat="1"/>
    <xf numFmtId="0" fontId="49" fillId="29" borderId="0" xfId="0" applyFont="1" applyFill="1" applyBorder="1" applyAlignment="1" applyProtection="1">
      <alignment horizontal="right"/>
    </xf>
    <xf numFmtId="8" fontId="84" fillId="29" borderId="0" xfId="1" applyNumberFormat="1" applyFont="1" applyFill="1" applyBorder="1" applyAlignment="1" applyProtection="1">
      <alignment horizontal="right"/>
      <protection locked="0"/>
    </xf>
    <xf numFmtId="0" fontId="80" fillId="0" borderId="0" xfId="0" applyFont="1"/>
    <xf numFmtId="43" fontId="83" fillId="29" borderId="0" xfId="33021" applyFont="1" applyFill="1" applyBorder="1" applyProtection="1">
      <protection locked="0"/>
    </xf>
    <xf numFmtId="171" fontId="83" fillId="29" borderId="36" xfId="33021" applyNumberFormat="1" applyFont="1" applyFill="1" applyBorder="1" applyProtection="1">
      <protection locked="0"/>
    </xf>
    <xf numFmtId="0" fontId="49" fillId="29" borderId="0" xfId="0" quotePrefix="1" applyFont="1" applyFill="1" applyBorder="1" applyProtection="1">
      <protection locked="0"/>
    </xf>
    <xf numFmtId="0" fontId="69" fillId="29" borderId="0" xfId="0" quotePrefix="1" applyFont="1" applyFill="1" applyBorder="1" applyProtection="1">
      <protection locked="0"/>
    </xf>
    <xf numFmtId="173" fontId="49" fillId="29" borderId="0" xfId="0" applyNumberFormat="1" applyFont="1" applyFill="1" applyAlignment="1" applyProtection="1">
      <alignment horizontal="left" vertical="top"/>
    </xf>
    <xf numFmtId="2" fontId="0" fillId="0" borderId="0" xfId="0" quotePrefix="1" applyNumberFormat="1"/>
    <xf numFmtId="2" fontId="0" fillId="0" borderId="0" xfId="0" quotePrefix="1" applyNumberFormat="1" applyBorder="1"/>
    <xf numFmtId="171" fontId="82" fillId="29" borderId="0" xfId="33021" applyNumberFormat="1" applyFont="1" applyFill="1" applyBorder="1" applyProtection="1">
      <protection locked="0"/>
    </xf>
    <xf numFmtId="0" fontId="75" fillId="29" borderId="0" xfId="0" quotePrefix="1" applyFont="1" applyFill="1" applyBorder="1"/>
    <xf numFmtId="0" fontId="75" fillId="30" borderId="0" xfId="0" quotePrefix="1" applyFont="1" applyFill="1" applyBorder="1" applyProtection="1">
      <protection locked="0"/>
    </xf>
    <xf numFmtId="0" fontId="75" fillId="29" borderId="0" xfId="0" applyFont="1" applyFill="1" applyBorder="1"/>
    <xf numFmtId="0" fontId="75" fillId="30" borderId="0" xfId="0" applyFont="1" applyFill="1" applyBorder="1" applyProtection="1">
      <protection locked="0"/>
    </xf>
    <xf numFmtId="10" fontId="49" fillId="29" borderId="0" xfId="1" applyNumberFormat="1" applyFont="1" applyFill="1" applyBorder="1" applyProtection="1"/>
    <xf numFmtId="0" fontId="49" fillId="29" borderId="36" xfId="0" quotePrefix="1" applyFont="1" applyFill="1" applyBorder="1" applyAlignment="1" applyProtection="1">
      <alignment horizontal="center"/>
    </xf>
    <xf numFmtId="0" fontId="49" fillId="29" borderId="0" xfId="0" quotePrefix="1" applyFont="1" applyFill="1" applyBorder="1" applyAlignment="1" applyProtection="1">
      <alignment horizontal="center"/>
    </xf>
    <xf numFmtId="0" fontId="49" fillId="29" borderId="31" xfId="0" applyFont="1" applyFill="1" applyBorder="1" applyProtection="1"/>
    <xf numFmtId="0" fontId="49" fillId="29" borderId="31" xfId="0" applyFont="1" applyFill="1" applyBorder="1" applyAlignment="1" applyProtection="1">
      <alignment horizontal="left"/>
    </xf>
    <xf numFmtId="38" fontId="49" fillId="29" borderId="43" xfId="33021" applyNumberFormat="1" applyFont="1" applyFill="1" applyBorder="1" applyProtection="1"/>
    <xf numFmtId="6" fontId="49" fillId="29" borderId="43" xfId="33021" applyNumberFormat="1" applyFont="1" applyFill="1" applyBorder="1" applyProtection="1"/>
    <xf numFmtId="0" fontId="49" fillId="29" borderId="29" xfId="0" applyFont="1" applyFill="1" applyBorder="1" applyProtection="1"/>
    <xf numFmtId="0" fontId="81" fillId="29" borderId="0" xfId="0" applyFont="1" applyFill="1" applyBorder="1" applyAlignment="1" applyProtection="1">
      <alignment horizontal="left"/>
    </xf>
    <xf numFmtId="0" fontId="81" fillId="29" borderId="0" xfId="0" applyFont="1" applyFill="1" applyBorder="1" applyAlignment="1" applyProtection="1">
      <alignment horizontal="center" wrapText="1"/>
    </xf>
    <xf numFmtId="0" fontId="81" fillId="29" borderId="0" xfId="0" applyFont="1" applyFill="1" applyBorder="1" applyAlignment="1" applyProtection="1">
      <alignment horizontal="right"/>
    </xf>
    <xf numFmtId="10" fontId="49" fillId="29" borderId="0" xfId="0" applyNumberFormat="1" applyFont="1" applyFill="1" applyBorder="1" applyProtection="1"/>
    <xf numFmtId="0" fontId="49" fillId="30" borderId="0" xfId="0" applyFont="1" applyFill="1" applyProtection="1"/>
    <xf numFmtId="8" fontId="49" fillId="29" borderId="0" xfId="0" applyNumberFormat="1" applyFont="1" applyFill="1" applyProtection="1"/>
    <xf numFmtId="43" fontId="49" fillId="29" borderId="0" xfId="33021" applyFont="1" applyFill="1" applyProtection="1"/>
    <xf numFmtId="0" fontId="49" fillId="30" borderId="36" xfId="0" applyFont="1" applyFill="1" applyBorder="1" applyProtection="1"/>
    <xf numFmtId="0" fontId="49" fillId="29" borderId="36" xfId="0" applyFont="1" applyFill="1" applyBorder="1" applyAlignment="1" applyProtection="1"/>
    <xf numFmtId="173" fontId="49" fillId="29" borderId="0" xfId="33021" applyNumberFormat="1" applyFont="1" applyFill="1" applyProtection="1"/>
    <xf numFmtId="0" fontId="49" fillId="30" borderId="36" xfId="0" quotePrefix="1" applyFont="1" applyFill="1" applyBorder="1" applyProtection="1"/>
    <xf numFmtId="0" fontId="78" fillId="30" borderId="36" xfId="0" quotePrefix="1" applyFont="1" applyFill="1" applyBorder="1" applyProtection="1"/>
    <xf numFmtId="168" fontId="63" fillId="29" borderId="36" xfId="33021" applyNumberFormat="1" applyFont="1" applyFill="1" applyBorder="1" applyAlignment="1" applyProtection="1">
      <alignment horizontal="center"/>
    </xf>
    <xf numFmtId="8" fontId="63" fillId="29" borderId="36" xfId="0" applyNumberFormat="1" applyFont="1" applyFill="1" applyBorder="1" applyProtection="1"/>
    <xf numFmtId="173" fontId="49" fillId="29" borderId="36" xfId="33021" applyNumberFormat="1" applyFont="1" applyFill="1" applyBorder="1" applyProtection="1"/>
    <xf numFmtId="173" fontId="54" fillId="29" borderId="0" xfId="33021" applyNumberFormat="1" applyFont="1" applyFill="1" applyProtection="1"/>
    <xf numFmtId="8" fontId="49" fillId="29" borderId="0" xfId="0" quotePrefix="1" applyNumberFormat="1" applyFont="1" applyFill="1" applyProtection="1"/>
    <xf numFmtId="0" fontId="49" fillId="30" borderId="0" xfId="0" applyFont="1" applyFill="1" applyBorder="1" applyProtection="1"/>
    <xf numFmtId="8" fontId="49" fillId="29" borderId="0" xfId="0" quotePrefix="1" applyNumberFormat="1" applyFont="1" applyFill="1" applyBorder="1" applyProtection="1"/>
    <xf numFmtId="173" fontId="49" fillId="29" borderId="0" xfId="33021" applyNumberFormat="1" applyFont="1" applyFill="1" applyBorder="1" applyProtection="1"/>
    <xf numFmtId="8" fontId="49" fillId="29" borderId="36" xfId="0" quotePrefix="1" applyNumberFormat="1" applyFont="1" applyFill="1" applyBorder="1" applyProtection="1"/>
    <xf numFmtId="0" fontId="78" fillId="29" borderId="0" xfId="0" applyFont="1" applyFill="1" applyProtection="1">
      <protection locked="0"/>
    </xf>
    <xf numFmtId="171" fontId="78" fillId="29" borderId="0" xfId="33021" applyNumberFormat="1" applyFont="1" applyFill="1" applyAlignment="1" applyProtection="1">
      <alignment horizontal="right"/>
      <protection locked="0"/>
    </xf>
    <xf numFmtId="0" fontId="78" fillId="29" borderId="0" xfId="0" quotePrefix="1" applyFont="1" applyFill="1" applyAlignment="1" applyProtection="1">
      <alignment horizontal="right"/>
      <protection locked="0"/>
    </xf>
    <xf numFmtId="0" fontId="78" fillId="29" borderId="0" xfId="0" applyFont="1" applyFill="1" applyAlignment="1" applyProtection="1">
      <alignment horizontal="right"/>
      <protection locked="0"/>
    </xf>
    <xf numFmtId="168" fontId="47" fillId="0" borderId="36" xfId="0" applyNumberFormat="1" applyFont="1" applyFill="1" applyBorder="1" applyAlignment="1" applyProtection="1">
      <alignment horizontal="right"/>
    </xf>
    <xf numFmtId="0" fontId="49" fillId="0" borderId="0" xfId="0" applyFont="1" applyFill="1" applyAlignment="1" applyProtection="1">
      <alignment horizontal="left"/>
    </xf>
    <xf numFmtId="0" fontId="49" fillId="0" borderId="0" xfId="0" applyFont="1" applyFill="1" applyAlignment="1" applyProtection="1">
      <alignment horizontal="center"/>
    </xf>
    <xf numFmtId="9" fontId="63" fillId="29" borderId="0" xfId="1" applyFont="1" applyFill="1" applyBorder="1" applyAlignment="1" applyProtection="1">
      <alignment horizontal="right"/>
    </xf>
    <xf numFmtId="9" fontId="63" fillId="29" borderId="36" xfId="1" applyFont="1" applyFill="1" applyBorder="1" applyAlignment="1" applyProtection="1">
      <alignment horizontal="right"/>
    </xf>
    <xf numFmtId="0" fontId="42" fillId="0" borderId="0" xfId="0" applyFont="1" applyAlignment="1">
      <alignment horizontal="right"/>
    </xf>
    <xf numFmtId="0" fontId="42" fillId="0" borderId="0" xfId="0" applyFont="1"/>
    <xf numFmtId="0" fontId="0" fillId="0" borderId="36" xfId="0" applyBorder="1" applyAlignment="1">
      <alignment horizontal="center"/>
    </xf>
    <xf numFmtId="0" fontId="42" fillId="0" borderId="32" xfId="0" applyFont="1" applyBorder="1" applyAlignment="1">
      <alignment horizontal="right"/>
    </xf>
    <xf numFmtId="0" fontId="0" fillId="0" borderId="32" xfId="0" applyBorder="1" applyAlignment="1">
      <alignment horizontal="center"/>
    </xf>
    <xf numFmtId="0" fontId="0" fillId="0" borderId="0" xfId="0" applyAlignment="1"/>
    <xf numFmtId="0" fontId="0" fillId="0" borderId="0" xfId="0" quotePrefix="1" applyAlignment="1">
      <alignment horizontal="center"/>
    </xf>
    <xf numFmtId="170" fontId="0" fillId="0" borderId="0" xfId="20251" applyNumberFormat="1" applyFont="1"/>
    <xf numFmtId="170" fontId="46" fillId="0" borderId="0" xfId="20251" applyNumberFormat="1" applyFont="1"/>
    <xf numFmtId="0" fontId="88" fillId="0" borderId="0" xfId="0" quotePrefix="1" applyFont="1"/>
    <xf numFmtId="170" fontId="0" fillId="0" borderId="0" xfId="0" applyNumberFormat="1"/>
    <xf numFmtId="168" fontId="49" fillId="29" borderId="0" xfId="33021" applyNumberFormat="1" applyFont="1" applyFill="1" applyAlignment="1" applyProtection="1">
      <alignment horizontal="center"/>
      <protection locked="0"/>
    </xf>
    <xf numFmtId="171" fontId="49" fillId="29" borderId="0" xfId="33021" applyNumberFormat="1" applyFont="1" applyFill="1" applyAlignment="1" applyProtection="1">
      <alignment horizontal="right"/>
      <protection locked="0"/>
    </xf>
    <xf numFmtId="0" fontId="49" fillId="29" borderId="0" xfId="0" quotePrefix="1" applyFont="1" applyFill="1" applyAlignment="1" applyProtection="1">
      <alignment horizontal="right"/>
      <protection locked="0"/>
    </xf>
    <xf numFmtId="0" fontId="49" fillId="29" borderId="0" xfId="0" applyFont="1" applyFill="1" applyAlignment="1" applyProtection="1">
      <alignment horizontal="right"/>
      <protection locked="0"/>
    </xf>
    <xf numFmtId="0" fontId="49" fillId="30" borderId="0" xfId="0" applyFont="1" applyFill="1" applyProtection="1">
      <protection locked="0"/>
    </xf>
    <xf numFmtId="0" fontId="49" fillId="30" borderId="0" xfId="0" applyFont="1" applyFill="1" applyAlignment="1" applyProtection="1">
      <alignment horizontal="right"/>
      <protection locked="0"/>
    </xf>
    <xf numFmtId="0" fontId="49" fillId="30" borderId="0" xfId="0" quotePrefix="1" applyFont="1" applyFill="1" applyProtection="1">
      <protection locked="0"/>
    </xf>
    <xf numFmtId="43" fontId="48" fillId="29" borderId="0" xfId="33021" applyFont="1" applyFill="1" applyBorder="1" applyProtection="1">
      <protection locked="0"/>
    </xf>
    <xf numFmtId="171" fontId="48" fillId="29" borderId="36" xfId="33021" applyNumberFormat="1" applyFont="1" applyFill="1" applyBorder="1" applyProtection="1">
      <protection locked="0"/>
    </xf>
    <xf numFmtId="0" fontId="48" fillId="30" borderId="0" xfId="0" applyFont="1" applyFill="1" applyProtection="1"/>
    <xf numFmtId="0" fontId="48" fillId="29" borderId="0" xfId="0" quotePrefix="1" applyFont="1" applyFill="1" applyAlignment="1" applyProtection="1">
      <alignment horizontal="center"/>
    </xf>
    <xf numFmtId="8" fontId="48" fillId="29" borderId="0" xfId="0" quotePrefix="1" applyNumberFormat="1" applyFont="1" applyFill="1" applyProtection="1"/>
    <xf numFmtId="173" fontId="48" fillId="29" borderId="0" xfId="33021" applyNumberFormat="1" applyFont="1" applyFill="1" applyProtection="1"/>
    <xf numFmtId="0" fontId="48" fillId="30" borderId="0" xfId="0" applyFont="1" applyFill="1" applyBorder="1" applyProtection="1"/>
    <xf numFmtId="8" fontId="48" fillId="29" borderId="0" xfId="0" quotePrefix="1" applyNumberFormat="1" applyFont="1" applyFill="1" applyBorder="1" applyProtection="1"/>
    <xf numFmtId="173" fontId="48" fillId="29" borderId="0" xfId="33021" applyNumberFormat="1" applyFont="1" applyFill="1" applyBorder="1" applyProtection="1"/>
    <xf numFmtId="0" fontId="48" fillId="30" borderId="36" xfId="0" applyFont="1" applyFill="1" applyBorder="1" applyProtection="1"/>
    <xf numFmtId="0" fontId="48" fillId="29" borderId="36" xfId="0" quotePrefix="1" applyFont="1" applyFill="1" applyBorder="1" applyAlignment="1" applyProtection="1">
      <alignment horizontal="center"/>
    </xf>
    <xf numFmtId="8" fontId="48" fillId="29" borderId="36" xfId="0" quotePrefix="1" applyNumberFormat="1" applyFont="1" applyFill="1" applyBorder="1" applyProtection="1"/>
    <xf numFmtId="173" fontId="48" fillId="29" borderId="36" xfId="33021" applyNumberFormat="1" applyFont="1" applyFill="1" applyBorder="1" applyProtection="1"/>
    <xf numFmtId="173" fontId="0" fillId="0" borderId="0" xfId="0" applyNumberFormat="1"/>
    <xf numFmtId="0" fontId="87" fillId="0" borderId="0" xfId="33024"/>
    <xf numFmtId="0" fontId="88" fillId="29" borderId="0" xfId="0" quotePrefix="1" applyFont="1" applyFill="1"/>
    <xf numFmtId="0" fontId="0" fillId="29" borderId="0" xfId="0" quotePrefix="1" applyFill="1"/>
    <xf numFmtId="10" fontId="50" fillId="29" borderId="0" xfId="1" applyNumberFormat="1" applyFont="1" applyFill="1" applyProtection="1">
      <protection locked="0"/>
    </xf>
    <xf numFmtId="10" fontId="50" fillId="29" borderId="36" xfId="1" applyNumberFormat="1" applyFont="1" applyFill="1" applyBorder="1" applyProtection="1">
      <protection locked="0"/>
    </xf>
    <xf numFmtId="10" fontId="50" fillId="29" borderId="0" xfId="1" applyNumberFormat="1" applyFont="1" applyFill="1" applyBorder="1" applyProtection="1">
      <protection locked="0"/>
    </xf>
    <xf numFmtId="171" fontId="50" fillId="29" borderId="0" xfId="33021" applyNumberFormat="1" applyFont="1" applyFill="1" applyProtection="1"/>
    <xf numFmtId="171" fontId="50" fillId="29" borderId="36" xfId="33021" applyNumberFormat="1" applyFont="1" applyFill="1" applyBorder="1" applyProtection="1"/>
    <xf numFmtId="171" fontId="50" fillId="29" borderId="0" xfId="33021" quotePrefix="1" applyNumberFormat="1" applyFont="1" applyFill="1" applyBorder="1" applyProtection="1"/>
    <xf numFmtId="171" fontId="50" fillId="29" borderId="0" xfId="33021" applyNumberFormat="1" applyFont="1" applyFill="1" applyBorder="1" applyProtection="1"/>
    <xf numFmtId="8" fontId="49" fillId="0" borderId="0" xfId="0" quotePrefix="1" applyNumberFormat="1" applyFont="1" applyFill="1" applyProtection="1">
      <protection locked="0"/>
    </xf>
    <xf numFmtId="7" fontId="49" fillId="0" borderId="0" xfId="20251" applyNumberFormat="1" applyFont="1" applyFill="1" applyProtection="1">
      <protection locked="0"/>
    </xf>
    <xf numFmtId="0" fontId="6" fillId="0" borderId="0" xfId="0" applyFont="1" applyFill="1"/>
    <xf numFmtId="0" fontId="80" fillId="31" borderId="0" xfId="0" quotePrefix="1" applyFont="1" applyFill="1"/>
    <xf numFmtId="0" fontId="0" fillId="0" borderId="0" xfId="0" quotePrefix="1" applyBorder="1"/>
    <xf numFmtId="0" fontId="49" fillId="29" borderId="0" xfId="0" quotePrefix="1" applyFont="1" applyFill="1"/>
    <xf numFmtId="10" fontId="63" fillId="29" borderId="0" xfId="1" applyNumberFormat="1" applyFont="1" applyFill="1" applyBorder="1" applyAlignment="1" applyProtection="1">
      <alignment horizontal="right"/>
      <protection locked="0"/>
    </xf>
    <xf numFmtId="10" fontId="49" fillId="29" borderId="0" xfId="0" quotePrefix="1" applyNumberFormat="1" applyFont="1" applyFill="1"/>
    <xf numFmtId="8" fontId="0" fillId="0" borderId="0" xfId="0" applyNumberFormat="1" applyFont="1"/>
    <xf numFmtId="44" fontId="0" fillId="0" borderId="0" xfId="0" applyNumberFormat="1" applyFont="1"/>
    <xf numFmtId="9" fontId="63" fillId="29" borderId="0" xfId="1" quotePrefix="1" applyFont="1" applyFill="1" applyAlignment="1" applyProtection="1">
      <alignment horizontal="right"/>
      <protection locked="0"/>
    </xf>
    <xf numFmtId="0" fontId="49" fillId="29" borderId="0" xfId="0" applyFont="1" applyFill="1" applyAlignment="1">
      <alignment horizontal="right"/>
    </xf>
    <xf numFmtId="2" fontId="75" fillId="29" borderId="0" xfId="0" applyNumberFormat="1" applyFont="1" applyFill="1"/>
    <xf numFmtId="0" fontId="0" fillId="0" borderId="44" xfId="0" applyBorder="1"/>
    <xf numFmtId="0" fontId="0" fillId="0" borderId="45" xfId="0" applyBorder="1"/>
    <xf numFmtId="0" fontId="0" fillId="0" borderId="46" xfId="0" applyBorder="1"/>
    <xf numFmtId="2" fontId="0" fillId="0" borderId="47" xfId="0" applyNumberFormat="1" applyBorder="1"/>
    <xf numFmtId="2" fontId="0" fillId="0" borderId="35" xfId="0" applyNumberFormat="1" applyBorder="1"/>
    <xf numFmtId="0" fontId="49" fillId="29" borderId="0" xfId="0" quotePrefix="1" applyFont="1" applyFill="1" applyProtection="1"/>
    <xf numFmtId="0" fontId="91" fillId="29" borderId="0" xfId="0" applyFont="1" applyFill="1" applyProtection="1"/>
    <xf numFmtId="2" fontId="0" fillId="0" borderId="48" xfId="0" applyNumberFormat="1" applyBorder="1"/>
    <xf numFmtId="2" fontId="0" fillId="0" borderId="49" xfId="0" applyNumberFormat="1" applyBorder="1"/>
    <xf numFmtId="2" fontId="0" fillId="0" borderId="50" xfId="0" applyNumberFormat="1" applyBorder="1"/>
    <xf numFmtId="2" fontId="0" fillId="0" borderId="51" xfId="0" applyNumberFormat="1" applyBorder="1"/>
    <xf numFmtId="2" fontId="0" fillId="0" borderId="52" xfId="0" applyNumberFormat="1" applyBorder="1"/>
    <xf numFmtId="0" fontId="0" fillId="0" borderId="44" xfId="0" applyBorder="1" applyAlignment="1">
      <alignment horizontal="center"/>
    </xf>
    <xf numFmtId="0" fontId="0" fillId="0" borderId="45" xfId="0" applyBorder="1" applyAlignment="1">
      <alignment horizontal="center"/>
    </xf>
    <xf numFmtId="0" fontId="0" fillId="0" borderId="46" xfId="0" applyBorder="1" applyAlignment="1">
      <alignment horizontal="center"/>
    </xf>
    <xf numFmtId="8" fontId="92" fillId="0" borderId="0" xfId="0" applyNumberFormat="1" applyFont="1" applyProtection="1">
      <protection locked="0"/>
    </xf>
    <xf numFmtId="0" fontId="66" fillId="0" borderId="0" xfId="0" applyFont="1" applyProtection="1">
      <protection locked="0"/>
    </xf>
    <xf numFmtId="0" fontId="63" fillId="0" borderId="0" xfId="0" applyFont="1" applyAlignment="1" applyProtection="1">
      <alignment horizontal="center"/>
      <protection locked="0"/>
    </xf>
    <xf numFmtId="8" fontId="63" fillId="0" borderId="0" xfId="0" applyNumberFormat="1" applyFont="1" applyProtection="1">
      <protection locked="0"/>
    </xf>
    <xf numFmtId="0" fontId="63" fillId="0" borderId="0" xfId="0" applyFont="1" applyProtection="1">
      <protection locked="0"/>
    </xf>
    <xf numFmtId="0" fontId="63" fillId="0" borderId="0" xfId="0" applyFont="1" applyAlignment="1" applyProtection="1">
      <alignment horizontal="left"/>
      <protection locked="0"/>
    </xf>
    <xf numFmtId="0" fontId="66" fillId="0" borderId="0" xfId="0" applyFont="1" applyAlignment="1" applyProtection="1">
      <alignment horizontal="center"/>
      <protection locked="0"/>
    </xf>
    <xf numFmtId="8" fontId="93" fillId="29" borderId="0" xfId="0" applyNumberFormat="1" applyFont="1" applyFill="1" applyProtection="1">
      <protection locked="0"/>
    </xf>
    <xf numFmtId="0" fontId="0" fillId="32" borderId="0" xfId="0" applyFill="1"/>
    <xf numFmtId="10" fontId="0" fillId="0" borderId="0" xfId="1" applyNumberFormat="1" applyFont="1" applyFill="1"/>
    <xf numFmtId="0" fontId="93" fillId="0" borderId="0" xfId="0" applyFont="1" applyAlignment="1" applyProtection="1">
      <alignment horizontal="left"/>
      <protection locked="0"/>
    </xf>
    <xf numFmtId="0" fontId="93" fillId="0" borderId="0" xfId="0" applyFont="1" applyAlignment="1">
      <alignment horizontal="center"/>
    </xf>
    <xf numFmtId="8" fontId="93" fillId="0" borderId="0" xfId="0" applyNumberFormat="1" applyFont="1" applyProtection="1">
      <protection locked="0"/>
    </xf>
    <xf numFmtId="175" fontId="92" fillId="0" borderId="31" xfId="33021" applyNumberFormat="1" applyFont="1" applyFill="1" applyBorder="1" applyProtection="1">
      <protection locked="0"/>
    </xf>
    <xf numFmtId="175" fontId="92" fillId="0" borderId="0" xfId="33021" applyNumberFormat="1" applyFont="1" applyFill="1" applyBorder="1" applyProtection="1">
      <protection locked="0"/>
    </xf>
    <xf numFmtId="0" fontId="0" fillId="29" borderId="0" xfId="0" applyFont="1" applyFill="1"/>
    <xf numFmtId="0" fontId="95" fillId="0" borderId="0" xfId="0" applyFont="1" applyFill="1"/>
    <xf numFmtId="0" fontId="92" fillId="0" borderId="0" xfId="0" quotePrefix="1" applyFont="1" applyFill="1" applyProtection="1">
      <protection locked="0"/>
    </xf>
    <xf numFmtId="0" fontId="96" fillId="0" borderId="0" xfId="0" applyFont="1" applyFill="1" applyAlignment="1" applyProtection="1">
      <alignment horizontal="center"/>
      <protection locked="0"/>
    </xf>
    <xf numFmtId="0" fontId="95" fillId="0" borderId="0" xfId="0" applyFont="1"/>
    <xf numFmtId="0" fontId="97" fillId="0" borderId="0" xfId="0" applyFont="1" applyFill="1" applyProtection="1">
      <protection locked="0"/>
    </xf>
    <xf numFmtId="167" fontId="97" fillId="0" borderId="0" xfId="0" applyNumberFormat="1" applyFont="1" applyProtection="1">
      <protection locked="0"/>
    </xf>
    <xf numFmtId="167" fontId="97" fillId="0" borderId="0" xfId="0" applyNumberFormat="1" applyFont="1" applyFill="1" applyProtection="1">
      <protection locked="0"/>
    </xf>
    <xf numFmtId="168" fontId="97" fillId="0" borderId="0" xfId="33021" applyNumberFormat="1" applyFont="1" applyFill="1" applyProtection="1">
      <protection locked="0"/>
    </xf>
    <xf numFmtId="0" fontId="98" fillId="0" borderId="0" xfId="0" quotePrefix="1" applyFont="1" applyFill="1" applyProtection="1">
      <protection locked="0"/>
    </xf>
    <xf numFmtId="0" fontId="99" fillId="0" borderId="0" xfId="0" applyFont="1" applyFill="1" applyProtection="1">
      <protection locked="0"/>
    </xf>
    <xf numFmtId="0" fontId="93" fillId="0" borderId="0" xfId="0" quotePrefix="1" applyFont="1" applyFill="1" applyAlignment="1" applyProtection="1">
      <alignment horizontal="left"/>
      <protection locked="0"/>
    </xf>
    <xf numFmtId="8" fontId="92" fillId="0" borderId="0" xfId="0" applyNumberFormat="1" applyFont="1" applyFill="1" applyProtection="1">
      <protection locked="0"/>
    </xf>
    <xf numFmtId="44" fontId="0" fillId="0" borderId="0" xfId="0" quotePrefix="1" applyNumberFormat="1" applyFont="1"/>
    <xf numFmtId="2" fontId="0" fillId="0" borderId="35" xfId="0" quotePrefix="1" applyNumberFormat="1" applyBorder="1"/>
    <xf numFmtId="0" fontId="49" fillId="29" borderId="0" xfId="0" applyFont="1" applyFill="1" applyBorder="1" applyAlignment="1" applyProtection="1">
      <alignment horizontal="center"/>
    </xf>
    <xf numFmtId="0" fontId="93" fillId="29" borderId="0" xfId="0" applyFont="1" applyFill="1" applyBorder="1" applyAlignment="1" applyProtection="1">
      <alignment horizontal="center"/>
    </xf>
    <xf numFmtId="8" fontId="93" fillId="29" borderId="0" xfId="0" applyNumberFormat="1" applyFont="1" applyFill="1" applyBorder="1" applyProtection="1"/>
    <xf numFmtId="43" fontId="63" fillId="29" borderId="0" xfId="33021" applyFont="1" applyFill="1" applyBorder="1" applyProtection="1"/>
    <xf numFmtId="0" fontId="63" fillId="29" borderId="36" xfId="0" applyFont="1" applyFill="1" applyBorder="1" applyAlignment="1" applyProtection="1">
      <alignment horizontal="center"/>
      <protection locked="0"/>
    </xf>
    <xf numFmtId="8" fontId="63" fillId="29" borderId="36" xfId="0" applyNumberFormat="1" applyFont="1" applyFill="1" applyBorder="1" applyProtection="1">
      <protection locked="0"/>
    </xf>
    <xf numFmtId="43" fontId="63" fillId="29" borderId="36" xfId="33021" applyFont="1" applyFill="1" applyBorder="1" applyProtection="1">
      <protection locked="0"/>
    </xf>
    <xf numFmtId="6" fontId="49" fillId="29" borderId="2" xfId="0" applyNumberFormat="1" applyFont="1" applyFill="1" applyBorder="1" applyProtection="1"/>
    <xf numFmtId="10" fontId="49" fillId="29" borderId="0" xfId="1" applyNumberFormat="1" applyFont="1" applyFill="1" applyBorder="1" applyAlignment="1" applyProtection="1">
      <alignment horizontal="right"/>
    </xf>
    <xf numFmtId="39" fontId="49" fillId="29" borderId="0" xfId="0" applyNumberFormat="1" applyFont="1" applyFill="1" applyBorder="1" applyAlignment="1" applyProtection="1">
      <alignment horizontal="center"/>
    </xf>
    <xf numFmtId="0" fontId="49" fillId="29" borderId="0" xfId="0" applyFont="1" applyFill="1" applyBorder="1" applyAlignment="1" applyProtection="1">
      <alignment horizontal="right" wrapText="1"/>
    </xf>
    <xf numFmtId="0" fontId="51" fillId="29" borderId="0" xfId="0" applyFont="1" applyFill="1" applyBorder="1" applyAlignment="1" applyProtection="1">
      <alignment horizontal="left"/>
    </xf>
    <xf numFmtId="0" fontId="49" fillId="29" borderId="40" xfId="0" applyFont="1" applyFill="1" applyBorder="1" applyAlignment="1">
      <alignment horizontal="center"/>
    </xf>
    <xf numFmtId="0" fontId="49" fillId="29" borderId="0" xfId="0" applyFont="1" applyFill="1" applyAlignment="1">
      <alignment horizontal="left"/>
    </xf>
    <xf numFmtId="0" fontId="1" fillId="29" borderId="0" xfId="0" applyFont="1" applyFill="1"/>
    <xf numFmtId="0" fontId="100" fillId="29" borderId="0" xfId="0" applyFont="1" applyFill="1" applyAlignment="1">
      <alignment vertical="center"/>
    </xf>
    <xf numFmtId="0" fontId="100" fillId="29" borderId="0" xfId="0" applyFont="1" applyFill="1" applyAlignment="1">
      <alignment horizontal="center" vertical="center"/>
    </xf>
    <xf numFmtId="0" fontId="100" fillId="29" borderId="0" xfId="0" applyFont="1" applyFill="1" applyAlignment="1">
      <alignment horizontal="left" vertical="center" wrapText="1"/>
    </xf>
    <xf numFmtId="0" fontId="101" fillId="29" borderId="0" xfId="0" applyFont="1" applyFill="1" applyAlignment="1">
      <alignment vertical="center" wrapText="1"/>
    </xf>
    <xf numFmtId="0" fontId="103" fillId="29" borderId="0" xfId="0" quotePrefix="1" applyFont="1" applyFill="1" applyAlignment="1">
      <alignment horizontal="center"/>
    </xf>
    <xf numFmtId="0" fontId="105" fillId="29" borderId="0" xfId="0" applyFont="1" applyFill="1" applyAlignment="1">
      <alignment vertical="center" wrapText="1"/>
    </xf>
    <xf numFmtId="0" fontId="106" fillId="29" borderId="0" xfId="0" applyFont="1" applyFill="1"/>
    <xf numFmtId="0" fontId="0" fillId="0" borderId="31" xfId="0" applyBorder="1"/>
    <xf numFmtId="0" fontId="49" fillId="29" borderId="31" xfId="0" applyFont="1" applyFill="1" applyBorder="1"/>
    <xf numFmtId="0" fontId="49" fillId="29" borderId="29" xfId="0" applyFont="1" applyFill="1" applyBorder="1"/>
    <xf numFmtId="6" fontId="49" fillId="29" borderId="39" xfId="0" applyNumberFormat="1" applyFont="1" applyFill="1" applyBorder="1" applyProtection="1"/>
    <xf numFmtId="37" fontId="49" fillId="29" borderId="43" xfId="0" applyNumberFormat="1" applyFont="1" applyFill="1" applyBorder="1" applyProtection="1"/>
    <xf numFmtId="37" fontId="49" fillId="29" borderId="43" xfId="0" applyNumberFormat="1" applyFont="1" applyFill="1" applyBorder="1"/>
    <xf numFmtId="37" fontId="49" fillId="29" borderId="2" xfId="0" applyNumberFormat="1" applyFont="1" applyFill="1" applyBorder="1"/>
    <xf numFmtId="0" fontId="49" fillId="29" borderId="36" xfId="0" applyFont="1" applyFill="1" applyBorder="1" applyAlignment="1">
      <alignment horizontal="center"/>
    </xf>
    <xf numFmtId="0" fontId="49" fillId="29" borderId="36" xfId="0" applyFont="1" applyFill="1" applyBorder="1" applyAlignment="1" applyProtection="1">
      <alignment vertical="center"/>
    </xf>
    <xf numFmtId="0" fontId="48" fillId="29" borderId="42" xfId="0" applyFont="1" applyFill="1" applyBorder="1" applyAlignment="1"/>
    <xf numFmtId="43" fontId="93" fillId="33" borderId="0" xfId="33021" applyFont="1" applyFill="1" applyBorder="1" applyProtection="1"/>
    <xf numFmtId="43" fontId="63" fillId="33" borderId="36" xfId="33021" applyFont="1" applyFill="1" applyBorder="1" applyProtection="1">
      <protection locked="0"/>
    </xf>
    <xf numFmtId="43" fontId="63" fillId="29" borderId="34" xfId="33021" applyFont="1" applyFill="1" applyBorder="1" applyProtection="1">
      <protection locked="0"/>
    </xf>
    <xf numFmtId="43" fontId="63" fillId="33" borderId="42" xfId="33021" applyFont="1" applyFill="1" applyBorder="1" applyProtection="1">
      <protection locked="0"/>
    </xf>
    <xf numFmtId="43" fontId="63" fillId="32" borderId="41" xfId="33021" applyFont="1" applyFill="1" applyBorder="1" applyProtection="1">
      <protection locked="0"/>
    </xf>
    <xf numFmtId="43" fontId="63" fillId="29" borderId="31" xfId="33021" applyFont="1" applyFill="1" applyBorder="1" applyProtection="1">
      <protection locked="0"/>
    </xf>
    <xf numFmtId="43" fontId="63" fillId="33" borderId="0" xfId="33021" applyFont="1" applyFill="1" applyBorder="1" applyProtection="1">
      <protection locked="0"/>
    </xf>
    <xf numFmtId="43" fontId="63" fillId="32" borderId="35" xfId="33021" applyFont="1" applyFill="1" applyBorder="1" applyProtection="1">
      <protection locked="0"/>
    </xf>
    <xf numFmtId="43" fontId="93" fillId="29" borderId="31" xfId="33021" applyFont="1" applyFill="1" applyBorder="1" applyProtection="1"/>
    <xf numFmtId="43" fontId="93" fillId="32" borderId="35" xfId="33021" applyFont="1" applyFill="1" applyBorder="1" applyProtection="1"/>
    <xf numFmtId="43" fontId="49" fillId="29" borderId="31" xfId="33021" applyFont="1" applyFill="1" applyBorder="1" applyProtection="1"/>
    <xf numFmtId="43" fontId="49" fillId="33" borderId="0" xfId="33021" applyFont="1" applyFill="1" applyBorder="1" applyProtection="1"/>
    <xf numFmtId="43" fontId="49" fillId="32" borderId="35" xfId="33021" applyFont="1" applyFill="1" applyBorder="1" applyProtection="1"/>
    <xf numFmtId="43" fontId="63" fillId="29" borderId="29" xfId="33021" applyFont="1" applyFill="1" applyBorder="1" applyProtection="1">
      <protection locked="0"/>
    </xf>
    <xf numFmtId="43" fontId="63" fillId="32" borderId="32" xfId="33021" applyFont="1" applyFill="1" applyBorder="1" applyProtection="1">
      <protection locked="0"/>
    </xf>
    <xf numFmtId="0" fontId="63" fillId="33" borderId="0" xfId="0" applyFont="1" applyFill="1" applyAlignment="1" applyProtection="1">
      <alignment horizontal="center"/>
      <protection locked="0"/>
    </xf>
    <xf numFmtId="8" fontId="63" fillId="33" borderId="0" xfId="0" applyNumberFormat="1" applyFont="1" applyFill="1" applyProtection="1">
      <protection locked="0"/>
    </xf>
    <xf numFmtId="175" fontId="66" fillId="33" borderId="31" xfId="33021" applyNumberFormat="1" applyFont="1" applyFill="1" applyBorder="1" applyProtection="1">
      <protection locked="0"/>
    </xf>
    <xf numFmtId="175" fontId="66" fillId="33" borderId="0" xfId="33021" applyNumberFormat="1" applyFont="1" applyFill="1" applyBorder="1" applyProtection="1">
      <protection locked="0"/>
    </xf>
    <xf numFmtId="175" fontId="66" fillId="33" borderId="0" xfId="0" applyNumberFormat="1" applyFont="1" applyFill="1" applyProtection="1">
      <protection locked="0"/>
    </xf>
    <xf numFmtId="0" fontId="0" fillId="33" borderId="0" xfId="0" applyFill="1"/>
    <xf numFmtId="0" fontId="63" fillId="32" borderId="36" xfId="0" applyFont="1" applyFill="1" applyBorder="1" applyAlignment="1" applyProtection="1">
      <alignment horizontal="center"/>
      <protection locked="0"/>
    </xf>
    <xf numFmtId="8" fontId="63" fillId="32" borderId="36" xfId="0" applyNumberFormat="1" applyFont="1" applyFill="1" applyBorder="1" applyProtection="1">
      <protection locked="0"/>
    </xf>
    <xf numFmtId="175" fontId="66" fillId="32" borderId="29" xfId="33021" applyNumberFormat="1" applyFont="1" applyFill="1" applyBorder="1" applyProtection="1">
      <protection locked="0"/>
    </xf>
    <xf numFmtId="175" fontId="66" fillId="32" borderId="36" xfId="33021" applyNumberFormat="1" applyFont="1" applyFill="1" applyBorder="1" applyProtection="1">
      <protection locked="0"/>
    </xf>
    <xf numFmtId="175" fontId="66" fillId="32" borderId="36" xfId="0" applyNumberFormat="1" applyFont="1" applyFill="1" applyBorder="1" applyProtection="1">
      <protection locked="0"/>
    </xf>
    <xf numFmtId="0" fontId="0" fillId="32" borderId="36" xfId="0" applyFill="1" applyBorder="1"/>
    <xf numFmtId="0" fontId="57" fillId="0" borderId="0" xfId="0" applyFont="1" applyFill="1" applyAlignment="1" applyProtection="1">
      <alignment horizontal="left" wrapText="1"/>
      <protection locked="0"/>
    </xf>
    <xf numFmtId="0" fontId="49" fillId="29" borderId="36" xfId="0" applyFont="1" applyFill="1" applyBorder="1" applyAlignment="1" applyProtection="1">
      <alignment horizontal="left"/>
    </xf>
    <xf numFmtId="8" fontId="0" fillId="0" borderId="31" xfId="0" applyNumberFormat="1" applyBorder="1"/>
    <xf numFmtId="44" fontId="0" fillId="0" borderId="35" xfId="0" applyNumberFormat="1" applyBorder="1"/>
    <xf numFmtId="8" fontId="0" fillId="0" borderId="31" xfId="0" applyNumberFormat="1" applyFont="1" applyBorder="1"/>
    <xf numFmtId="44" fontId="0" fillId="0" borderId="35" xfId="0" applyNumberFormat="1" applyFont="1" applyBorder="1"/>
    <xf numFmtId="8" fontId="0" fillId="0" borderId="29" xfId="0" applyNumberFormat="1" applyBorder="1"/>
    <xf numFmtId="44" fontId="0" fillId="0" borderId="32" xfId="0" applyNumberFormat="1" applyBorder="1"/>
    <xf numFmtId="0" fontId="48" fillId="29" borderId="33" xfId="0" applyFont="1" applyFill="1" applyBorder="1" applyAlignment="1" applyProtection="1">
      <alignment horizontal="left"/>
    </xf>
    <xf numFmtId="0" fontId="48" fillId="29" borderId="1" xfId="0" quotePrefix="1" applyFont="1" applyFill="1" applyBorder="1" applyAlignment="1" applyProtection="1">
      <alignment horizontal="center"/>
    </xf>
    <xf numFmtId="0" fontId="0" fillId="29" borderId="36" xfId="0" applyFill="1" applyBorder="1"/>
    <xf numFmtId="0" fontId="0" fillId="29" borderId="36" xfId="0" applyFont="1" applyFill="1" applyBorder="1"/>
    <xf numFmtId="0" fontId="72" fillId="29" borderId="36" xfId="0" applyFont="1" applyFill="1" applyBorder="1"/>
    <xf numFmtId="0" fontId="48" fillId="29" borderId="40" xfId="0" applyFont="1" applyFill="1" applyBorder="1" applyAlignment="1">
      <alignment horizontal="left"/>
    </xf>
    <xf numFmtId="175" fontId="66" fillId="29" borderId="31" xfId="33021" applyNumberFormat="1" applyFont="1" applyFill="1" applyBorder="1" applyProtection="1">
      <protection locked="0"/>
    </xf>
    <xf numFmtId="175" fontId="66" fillId="29" borderId="0" xfId="33021" applyNumberFormat="1" applyFont="1" applyFill="1" applyBorder="1" applyProtection="1">
      <protection locked="0"/>
    </xf>
    <xf numFmtId="175" fontId="66" fillId="29" borderId="0" xfId="0" applyNumberFormat="1" applyFont="1" applyFill="1" applyProtection="1">
      <protection locked="0"/>
    </xf>
    <xf numFmtId="0" fontId="63" fillId="29" borderId="0" xfId="0" quotePrefix="1" applyFont="1" applyFill="1" applyAlignment="1" applyProtection="1">
      <alignment horizontal="center"/>
      <protection locked="0"/>
    </xf>
    <xf numFmtId="8" fontId="63" fillId="29" borderId="0" xfId="0" applyNumberFormat="1" applyFont="1" applyFill="1" applyBorder="1" applyProtection="1">
      <protection locked="0"/>
    </xf>
    <xf numFmtId="43" fontId="50" fillId="29" borderId="0" xfId="33021" applyFont="1" applyFill="1" applyProtection="1">
      <protection locked="0"/>
    </xf>
    <xf numFmtId="0" fontId="50" fillId="29" borderId="0" xfId="0" applyFont="1" applyFill="1" applyBorder="1" applyAlignment="1" applyProtection="1">
      <alignment horizontal="right"/>
    </xf>
    <xf numFmtId="8" fontId="50" fillId="29" borderId="0" xfId="0" applyNumberFormat="1" applyFont="1" applyFill="1" applyProtection="1">
      <protection locked="0"/>
    </xf>
    <xf numFmtId="0" fontId="72" fillId="29" borderId="0" xfId="0" applyFont="1" applyFill="1"/>
    <xf numFmtId="173" fontId="63" fillId="29" borderId="0" xfId="1" applyNumberFormat="1" applyFont="1" applyFill="1" applyProtection="1">
      <protection locked="0"/>
    </xf>
    <xf numFmtId="7" fontId="63" fillId="29" borderId="0" xfId="20251" applyNumberFormat="1" applyFont="1" applyFill="1" applyProtection="1">
      <protection locked="0"/>
    </xf>
    <xf numFmtId="7" fontId="63" fillId="29" borderId="0" xfId="20251" applyNumberFormat="1" applyFont="1" applyFill="1" applyBorder="1" applyProtection="1">
      <protection locked="0"/>
    </xf>
    <xf numFmtId="168" fontId="63" fillId="29" borderId="0" xfId="33021" applyNumberFormat="1" applyFont="1" applyFill="1" applyProtection="1">
      <protection locked="0"/>
    </xf>
    <xf numFmtId="168" fontId="63" fillId="29" borderId="0" xfId="33021" applyNumberFormat="1" applyFont="1" applyFill="1" applyBorder="1" applyProtection="1">
      <protection locked="0"/>
    </xf>
    <xf numFmtId="0" fontId="57" fillId="29" borderId="0" xfId="0" applyFont="1" applyFill="1" applyAlignment="1" applyProtection="1">
      <alignment horizontal="left" wrapText="1"/>
      <protection locked="0"/>
    </xf>
    <xf numFmtId="0" fontId="47" fillId="29" borderId="0" xfId="0" applyFont="1" applyFill="1" applyAlignment="1" applyProtection="1">
      <alignment horizontal="center"/>
    </xf>
    <xf numFmtId="0" fontId="47" fillId="33" borderId="0" xfId="0" applyFont="1" applyFill="1" applyAlignment="1" applyProtection="1">
      <alignment horizontal="center"/>
    </xf>
    <xf numFmtId="0" fontId="47" fillId="32" borderId="36" xfId="0" applyFont="1" applyFill="1" applyBorder="1" applyAlignment="1" applyProtection="1">
      <alignment horizontal="center"/>
    </xf>
    <xf numFmtId="0" fontId="47" fillId="0" borderId="0" xfId="0" applyFont="1" applyAlignment="1" applyProtection="1">
      <alignment horizontal="center"/>
    </xf>
    <xf numFmtId="0" fontId="49" fillId="0" borderId="0" xfId="0" applyFont="1" applyAlignment="1" applyProtection="1">
      <alignment horizontal="center"/>
    </xf>
    <xf numFmtId="0" fontId="47" fillId="29" borderId="0" xfId="0" applyFont="1" applyFill="1" applyProtection="1"/>
    <xf numFmtId="43" fontId="63" fillId="33" borderId="0" xfId="33021" applyFont="1" applyFill="1" applyProtection="1"/>
    <xf numFmtId="43" fontId="63" fillId="32" borderId="36" xfId="33021" applyFont="1" applyFill="1" applyBorder="1" applyProtection="1"/>
    <xf numFmtId="0" fontId="47" fillId="0" borderId="0" xfId="0" applyFont="1" applyProtection="1"/>
    <xf numFmtId="0" fontId="49" fillId="0" borderId="0" xfId="0" applyFont="1" applyProtection="1"/>
    <xf numFmtId="0" fontId="49" fillId="0" borderId="0" xfId="0" applyFont="1" applyAlignment="1" applyProtection="1">
      <alignment horizontal="left"/>
    </xf>
    <xf numFmtId="0" fontId="49" fillId="29" borderId="0" xfId="0" applyFont="1" applyFill="1" applyAlignment="1">
      <alignment horizontal="center"/>
    </xf>
    <xf numFmtId="0" fontId="47" fillId="0" borderId="36" xfId="33022" applyFont="1" applyFill="1" applyBorder="1" applyProtection="1"/>
    <xf numFmtId="44" fontId="47" fillId="29" borderId="0" xfId="20251" applyFont="1" applyFill="1"/>
    <xf numFmtId="0" fontId="47" fillId="29" borderId="0" xfId="0" applyFont="1" applyFill="1" applyAlignment="1">
      <alignment horizontal="center"/>
    </xf>
    <xf numFmtId="167" fontId="47" fillId="29" borderId="0" xfId="0" applyNumberFormat="1" applyFont="1" applyFill="1"/>
    <xf numFmtId="0" fontId="47" fillId="29" borderId="0" xfId="0" quotePrefix="1" applyFont="1" applyFill="1" applyAlignment="1">
      <alignment horizontal="right"/>
    </xf>
    <xf numFmtId="43" fontId="47" fillId="29" borderId="0" xfId="33021" applyFont="1" applyFill="1"/>
    <xf numFmtId="43" fontId="47" fillId="29" borderId="0" xfId="0" applyNumberFormat="1" applyFont="1" applyFill="1"/>
    <xf numFmtId="0" fontId="48" fillId="29" borderId="40" xfId="0" applyFont="1" applyFill="1" applyBorder="1" applyProtection="1"/>
    <xf numFmtId="0" fontId="49" fillId="29" borderId="40" xfId="0" applyFont="1" applyFill="1" applyBorder="1" applyAlignment="1" applyProtection="1">
      <alignment horizontal="center"/>
    </xf>
    <xf numFmtId="0" fontId="49" fillId="29" borderId="0" xfId="0" applyFont="1" applyFill="1" applyAlignment="1" applyProtection="1">
      <alignment horizontal="left"/>
    </xf>
    <xf numFmtId="10" fontId="0" fillId="29" borderId="0" xfId="1" applyNumberFormat="1" applyFont="1" applyFill="1"/>
    <xf numFmtId="8" fontId="63" fillId="29" borderId="0" xfId="1" applyNumberFormat="1" applyFont="1" applyFill="1" applyProtection="1">
      <protection locked="0"/>
    </xf>
    <xf numFmtId="8" fontId="63" fillId="29" borderId="0" xfId="20251" applyNumberFormat="1" applyFont="1" applyFill="1" applyProtection="1">
      <protection locked="0"/>
    </xf>
    <xf numFmtId="43" fontId="49" fillId="29" borderId="36" xfId="4" applyFont="1" applyFill="1" applyBorder="1" applyAlignment="1" applyProtection="1">
      <alignment horizontal="center"/>
    </xf>
    <xf numFmtId="8" fontId="63" fillId="29" borderId="36" xfId="20251" applyNumberFormat="1" applyFont="1" applyFill="1" applyBorder="1" applyProtection="1">
      <protection locked="0"/>
    </xf>
    <xf numFmtId="174" fontId="47" fillId="29" borderId="0" xfId="33022" applyNumberFormat="1" applyFont="1" applyFill="1" applyBorder="1" applyProtection="1"/>
    <xf numFmtId="174" fontId="53" fillId="29" borderId="0" xfId="0" quotePrefix="1" applyNumberFormat="1" applyFont="1" applyFill="1" applyBorder="1" applyProtection="1">
      <protection locked="0"/>
    </xf>
    <xf numFmtId="174" fontId="53" fillId="29" borderId="0" xfId="4" applyNumberFormat="1" applyFont="1" applyFill="1" applyBorder="1" applyProtection="1">
      <protection locked="0"/>
    </xf>
    <xf numFmtId="0" fontId="72" fillId="29" borderId="0" xfId="0" applyFont="1" applyFill="1" applyProtection="1"/>
    <xf numFmtId="0" fontId="0" fillId="29" borderId="0" xfId="0" applyFont="1" applyFill="1" applyProtection="1"/>
    <xf numFmtId="0" fontId="50" fillId="29" borderId="0" xfId="0" applyFont="1" applyFill="1" applyProtection="1"/>
    <xf numFmtId="0" fontId="76" fillId="29" borderId="0" xfId="0" applyFont="1" applyFill="1"/>
    <xf numFmtId="0" fontId="95" fillId="29" borderId="0" xfId="0" applyFont="1" applyFill="1"/>
    <xf numFmtId="174" fontId="94" fillId="29" borderId="0" xfId="33021" applyNumberFormat="1" applyFont="1" applyFill="1" applyBorder="1" applyProtection="1">
      <protection locked="0"/>
    </xf>
    <xf numFmtId="174" fontId="53" fillId="29" borderId="0" xfId="33021" applyNumberFormat="1" applyFont="1" applyFill="1" applyBorder="1" applyProtection="1">
      <protection locked="0"/>
    </xf>
    <xf numFmtId="174" fontId="53" fillId="29" borderId="0" xfId="0" applyNumberFormat="1" applyFont="1" applyFill="1" applyBorder="1" applyProtection="1">
      <protection locked="0"/>
    </xf>
    <xf numFmtId="174" fontId="59" fillId="29" borderId="0" xfId="0" applyNumberFormat="1" applyFont="1" applyFill="1"/>
    <xf numFmtId="174" fontId="2" fillId="29" borderId="0" xfId="0" applyNumberFormat="1" applyFont="1" applyFill="1" applyAlignment="1" applyProtection="1">
      <alignment horizontal="center"/>
    </xf>
    <xf numFmtId="174" fontId="64" fillId="29" borderId="0" xfId="0" applyNumberFormat="1" applyFont="1" applyFill="1"/>
    <xf numFmtId="174" fontId="76" fillId="29" borderId="0" xfId="0" applyNumberFormat="1" applyFont="1" applyFill="1"/>
    <xf numFmtId="174" fontId="65" fillId="29" borderId="0" xfId="0" applyNumberFormat="1" applyFont="1" applyFill="1"/>
    <xf numFmtId="174" fontId="0" fillId="29" borderId="0" xfId="0" applyNumberFormat="1" applyFill="1"/>
    <xf numFmtId="174" fontId="70" fillId="29" borderId="0" xfId="0" applyNumberFormat="1" applyFont="1" applyFill="1"/>
    <xf numFmtId="174" fontId="60" fillId="29" borderId="0" xfId="0" applyNumberFormat="1" applyFont="1" applyFill="1" applyProtection="1"/>
    <xf numFmtId="174" fontId="67" fillId="29" borderId="0" xfId="33021" applyNumberFormat="1" applyFont="1" applyFill="1" applyProtection="1">
      <protection locked="0"/>
    </xf>
    <xf numFmtId="174" fontId="73" fillId="29" borderId="0" xfId="33021" applyNumberFormat="1" applyFont="1" applyFill="1" applyProtection="1">
      <protection locked="0"/>
    </xf>
    <xf numFmtId="174" fontId="68" fillId="29" borderId="0" xfId="0" applyNumberFormat="1" applyFont="1" applyFill="1"/>
    <xf numFmtId="0" fontId="49" fillId="29" borderId="0" xfId="33022" applyFont="1" applyFill="1" applyProtection="1"/>
    <xf numFmtId="170" fontId="63" fillId="29" borderId="0" xfId="0" quotePrefix="1" applyNumberFormat="1" applyFont="1" applyFill="1" applyProtection="1">
      <protection locked="0"/>
    </xf>
    <xf numFmtId="171" fontId="63" fillId="29" borderId="0" xfId="4" applyNumberFormat="1" applyFont="1" applyFill="1" applyBorder="1" applyProtection="1">
      <protection locked="0"/>
    </xf>
    <xf numFmtId="172" fontId="49" fillId="29" borderId="0" xfId="4" applyNumberFormat="1" applyFont="1" applyFill="1" applyBorder="1" applyProtection="1"/>
    <xf numFmtId="43" fontId="49" fillId="29" borderId="0" xfId="4" applyNumberFormat="1" applyFont="1" applyFill="1" applyBorder="1" applyProtection="1"/>
    <xf numFmtId="176" fontId="49" fillId="29" borderId="0" xfId="4" applyNumberFormat="1" applyFont="1" applyFill="1" applyBorder="1" applyProtection="1"/>
    <xf numFmtId="0" fontId="63" fillId="29" borderId="0" xfId="33022" applyFont="1" applyFill="1" applyBorder="1" applyProtection="1"/>
    <xf numFmtId="168" fontId="49" fillId="29" borderId="0" xfId="4" quotePrefix="1" applyNumberFormat="1" applyFont="1" applyFill="1" applyBorder="1" applyProtection="1"/>
    <xf numFmtId="0" fontId="49" fillId="29" borderId="0" xfId="33022" quotePrefix="1" applyFont="1" applyFill="1" applyBorder="1" applyAlignment="1" applyProtection="1">
      <alignment horizontal="right"/>
    </xf>
    <xf numFmtId="44" fontId="49" fillId="29" borderId="0" xfId="20251" applyFont="1" applyFill="1"/>
    <xf numFmtId="167" fontId="49" fillId="29" borderId="0" xfId="0" applyNumberFormat="1" applyFont="1" applyFill="1"/>
    <xf numFmtId="44" fontId="49" fillId="29" borderId="0" xfId="20251" quotePrefix="1" applyFont="1" applyFill="1"/>
    <xf numFmtId="7" fontId="49" fillId="29" borderId="0" xfId="0" applyNumberFormat="1" applyFont="1" applyFill="1"/>
    <xf numFmtId="172" fontId="49" fillId="29" borderId="0" xfId="0" applyNumberFormat="1" applyFont="1" applyFill="1" applyProtection="1"/>
    <xf numFmtId="43" fontId="49" fillId="29" borderId="0" xfId="0" applyNumberFormat="1" applyFont="1" applyFill="1" applyProtection="1"/>
    <xf numFmtId="0" fontId="49" fillId="29" borderId="0" xfId="33022" applyFont="1" applyFill="1" applyBorder="1" applyAlignment="1" applyProtection="1">
      <alignment horizontal="right"/>
    </xf>
    <xf numFmtId="0" fontId="49" fillId="29" borderId="0" xfId="33022" applyFont="1" applyFill="1" applyBorder="1" applyProtection="1"/>
    <xf numFmtId="0" fontId="49" fillId="29" borderId="0" xfId="33022" applyFont="1" applyFill="1" applyAlignment="1" applyProtection="1">
      <alignment horizontal="right"/>
    </xf>
    <xf numFmtId="168" fontId="63" fillId="29" borderId="0" xfId="4" applyNumberFormat="1" applyFont="1" applyFill="1" applyBorder="1" applyProtection="1">
      <protection locked="0"/>
    </xf>
    <xf numFmtId="43" fontId="63" fillId="29" borderId="0" xfId="4" applyNumberFormat="1" applyFont="1" applyFill="1" applyBorder="1" applyProtection="1">
      <protection locked="0"/>
    </xf>
    <xf numFmtId="0" fontId="63" fillId="29" borderId="0" xfId="33022" applyFont="1" applyFill="1" applyAlignment="1" applyProtection="1">
      <alignment horizontal="right"/>
      <protection locked="0"/>
    </xf>
    <xf numFmtId="43" fontId="49" fillId="29" borderId="0" xfId="33021" applyFont="1" applyFill="1"/>
    <xf numFmtId="43" fontId="49" fillId="29" borderId="0" xfId="0" applyNumberFormat="1" applyFont="1" applyFill="1"/>
    <xf numFmtId="167" fontId="57" fillId="29" borderId="0" xfId="0" applyNumberFormat="1" applyFont="1" applyFill="1"/>
    <xf numFmtId="0" fontId="63" fillId="29" borderId="0" xfId="33022" applyFont="1" applyFill="1" applyBorder="1" applyAlignment="1" applyProtection="1">
      <alignment horizontal="right"/>
      <protection locked="0"/>
    </xf>
    <xf numFmtId="170" fontId="63" fillId="29" borderId="0" xfId="0" applyNumberFormat="1" applyFont="1" applyFill="1" applyProtection="1">
      <protection locked="0"/>
    </xf>
    <xf numFmtId="171" fontId="63" fillId="29" borderId="0" xfId="0" applyNumberFormat="1" applyFont="1" applyFill="1" applyProtection="1">
      <protection locked="0"/>
    </xf>
    <xf numFmtId="168" fontId="63" fillId="29" borderId="0" xfId="0" applyNumberFormat="1" applyFont="1" applyFill="1" applyProtection="1">
      <protection locked="0"/>
    </xf>
    <xf numFmtId="43" fontId="63" fillId="29" borderId="0" xfId="0" applyNumberFormat="1" applyFont="1" applyFill="1" applyProtection="1">
      <protection locked="0"/>
    </xf>
    <xf numFmtId="0" fontId="63" fillId="29" borderId="0" xfId="0" applyFont="1" applyFill="1" applyAlignment="1" applyProtection="1">
      <alignment horizontal="right"/>
      <protection locked="0"/>
    </xf>
    <xf numFmtId="176" fontId="49" fillId="29" borderId="0" xfId="0" applyNumberFormat="1" applyFont="1" applyFill="1" applyProtection="1"/>
    <xf numFmtId="3" fontId="63" fillId="29" borderId="0" xfId="0" applyNumberFormat="1" applyFont="1" applyFill="1" applyProtection="1">
      <protection locked="0"/>
    </xf>
    <xf numFmtId="0" fontId="49" fillId="29" borderId="0" xfId="33022" quotePrefix="1" applyFont="1" applyFill="1" applyAlignment="1" applyProtection="1">
      <alignment horizontal="right"/>
    </xf>
    <xf numFmtId="171" fontId="49" fillId="29" borderId="0" xfId="4" applyNumberFormat="1" applyFont="1" applyFill="1" applyBorder="1" applyProtection="1"/>
    <xf numFmtId="43" fontId="49" fillId="29" borderId="0" xfId="4" applyFont="1" applyFill="1" applyBorder="1" applyProtection="1"/>
    <xf numFmtId="7" fontId="49" fillId="29" borderId="0" xfId="20251" applyNumberFormat="1" applyFont="1" applyFill="1"/>
    <xf numFmtId="0" fontId="48" fillId="29" borderId="0" xfId="0" quotePrefix="1" applyFont="1" applyFill="1"/>
    <xf numFmtId="174" fontId="109" fillId="29" borderId="0" xfId="0" quotePrefix="1" applyNumberFormat="1" applyFont="1" applyFill="1" applyBorder="1" applyProtection="1"/>
    <xf numFmtId="174" fontId="109" fillId="29" borderId="0" xfId="4" applyNumberFormat="1" applyFont="1" applyFill="1" applyBorder="1" applyProtection="1"/>
    <xf numFmtId="9" fontId="49" fillId="29" borderId="0" xfId="1" applyFont="1" applyFill="1"/>
    <xf numFmtId="9" fontId="49" fillId="29" borderId="0" xfId="1" quotePrefix="1" applyFont="1" applyFill="1"/>
    <xf numFmtId="0" fontId="49" fillId="29" borderId="40" xfId="0" applyFont="1" applyFill="1" applyBorder="1"/>
    <xf numFmtId="0" fontId="48" fillId="33" borderId="40" xfId="0" quotePrefix="1" applyFont="1" applyFill="1" applyBorder="1" applyAlignment="1" applyProtection="1">
      <alignment horizontal="center"/>
    </xf>
    <xf numFmtId="0" fontId="48" fillId="33" borderId="40" xfId="0" applyFont="1" applyFill="1" applyBorder="1" applyAlignment="1" applyProtection="1">
      <alignment horizontal="right"/>
    </xf>
    <xf numFmtId="6" fontId="49" fillId="33" borderId="34" xfId="0" applyNumberFormat="1" applyFont="1" applyFill="1" applyBorder="1" applyProtection="1"/>
    <xf numFmtId="10" fontId="49" fillId="33" borderId="41" xfId="1" applyNumberFormat="1" applyFont="1" applyFill="1" applyBorder="1" applyProtection="1"/>
    <xf numFmtId="38" fontId="49" fillId="33" borderId="31" xfId="33021" applyNumberFormat="1" applyFont="1" applyFill="1" applyBorder="1" applyProtection="1"/>
    <xf numFmtId="10" fontId="49" fillId="33" borderId="35" xfId="0" applyNumberFormat="1" applyFont="1" applyFill="1" applyBorder="1" applyProtection="1"/>
    <xf numFmtId="6" fontId="49" fillId="33" borderId="31" xfId="33021" applyNumberFormat="1" applyFont="1" applyFill="1" applyBorder="1" applyProtection="1"/>
    <xf numFmtId="6" fontId="49" fillId="33" borderId="29" xfId="0" applyNumberFormat="1" applyFont="1" applyFill="1" applyBorder="1" applyProtection="1"/>
    <xf numFmtId="10" fontId="49" fillId="33" borderId="32" xfId="0" applyNumberFormat="1" applyFont="1" applyFill="1" applyBorder="1" applyProtection="1"/>
    <xf numFmtId="37" fontId="49" fillId="33" borderId="31" xfId="0" applyNumberFormat="1" applyFont="1" applyFill="1" applyBorder="1" applyProtection="1"/>
    <xf numFmtId="37" fontId="49" fillId="33" borderId="31" xfId="0" applyNumberFormat="1" applyFont="1" applyFill="1" applyBorder="1"/>
    <xf numFmtId="37" fontId="49" fillId="33" borderId="29" xfId="0" applyNumberFormat="1" applyFont="1" applyFill="1" applyBorder="1"/>
    <xf numFmtId="0" fontId="48" fillId="32" borderId="33" xfId="0" quotePrefix="1" applyFont="1" applyFill="1" applyBorder="1" applyAlignment="1" applyProtection="1">
      <alignment horizontal="center"/>
    </xf>
    <xf numFmtId="0" fontId="48" fillId="32" borderId="53" xfId="0" applyFont="1" applyFill="1" applyBorder="1" applyAlignment="1" applyProtection="1">
      <alignment horizontal="right"/>
    </xf>
    <xf numFmtId="6" fontId="49" fillId="32" borderId="0" xfId="0" applyNumberFormat="1" applyFont="1" applyFill="1" applyBorder="1" applyProtection="1"/>
    <xf numFmtId="10" fontId="49" fillId="32" borderId="41" xfId="1" applyNumberFormat="1" applyFont="1" applyFill="1" applyBorder="1" applyProtection="1"/>
    <xf numFmtId="38" fontId="49" fillId="32" borderId="0" xfId="33021" applyNumberFormat="1" applyFont="1" applyFill="1" applyBorder="1" applyProtection="1"/>
    <xf numFmtId="10" fontId="49" fillId="32" borderId="35" xfId="0" applyNumberFormat="1" applyFont="1" applyFill="1" applyBorder="1" applyProtection="1"/>
    <xf numFmtId="6" fontId="49" fillId="32" borderId="0" xfId="33021" applyNumberFormat="1" applyFont="1" applyFill="1" applyBorder="1" applyProtection="1"/>
    <xf numFmtId="6" fontId="49" fillId="32" borderId="36" xfId="0" applyNumberFormat="1" applyFont="1" applyFill="1" applyBorder="1" applyProtection="1"/>
    <xf numFmtId="10" fontId="49" fillId="32" borderId="32" xfId="0" applyNumberFormat="1" applyFont="1" applyFill="1" applyBorder="1" applyProtection="1"/>
    <xf numFmtId="37" fontId="49" fillId="32" borderId="0" xfId="0" applyNumberFormat="1" applyFont="1" applyFill="1" applyBorder="1" applyProtection="1"/>
    <xf numFmtId="37" fontId="49" fillId="32" borderId="0" xfId="0" applyNumberFormat="1" applyFont="1" applyFill="1" applyBorder="1"/>
    <xf numFmtId="37" fontId="49" fillId="32" borderId="36" xfId="0" applyNumberFormat="1" applyFont="1" applyFill="1" applyBorder="1"/>
    <xf numFmtId="0" fontId="50" fillId="33" borderId="0" xfId="0" applyFont="1" applyFill="1" applyBorder="1" applyAlignment="1" applyProtection="1">
      <alignment horizontal="right" wrapText="1"/>
    </xf>
    <xf numFmtId="0" fontId="72" fillId="33" borderId="0" xfId="0" applyFont="1" applyFill="1" applyAlignment="1" applyProtection="1">
      <alignment horizontal="right"/>
    </xf>
    <xf numFmtId="0" fontId="72" fillId="33" borderId="36" xfId="0" applyFont="1" applyFill="1" applyBorder="1" applyAlignment="1">
      <alignment horizontal="right"/>
    </xf>
    <xf numFmtId="10" fontId="50" fillId="33" borderId="36" xfId="1" applyNumberFormat="1" applyFont="1" applyFill="1" applyBorder="1" applyAlignment="1" applyProtection="1">
      <alignment horizontal="right"/>
    </xf>
    <xf numFmtId="0" fontId="49" fillId="33" borderId="42" xfId="0" quotePrefix="1" applyFont="1" applyFill="1" applyBorder="1" applyAlignment="1" applyProtection="1">
      <alignment horizontal="center"/>
    </xf>
    <xf numFmtId="0" fontId="63" fillId="33" borderId="42" xfId="0" quotePrefix="1" applyFont="1" applyFill="1" applyBorder="1" applyProtection="1">
      <protection locked="0"/>
    </xf>
    <xf numFmtId="10" fontId="63" fillId="33" borderId="0" xfId="1" applyNumberFormat="1" applyFont="1" applyFill="1" applyProtection="1">
      <protection locked="0"/>
    </xf>
    <xf numFmtId="10" fontId="50" fillId="33" borderId="0" xfId="1" applyNumberFormat="1" applyFont="1" applyFill="1" applyProtection="1">
      <protection locked="0"/>
    </xf>
    <xf numFmtId="171" fontId="49" fillId="33" borderId="0" xfId="33021" applyNumberFormat="1" applyFont="1" applyFill="1" applyProtection="1"/>
    <xf numFmtId="171" fontId="50" fillId="33" borderId="0" xfId="33021" applyNumberFormat="1" applyFont="1" applyFill="1" applyProtection="1"/>
    <xf numFmtId="39" fontId="49" fillId="33" borderId="0" xfId="0" applyNumberFormat="1" applyFont="1" applyFill="1" applyBorder="1" applyProtection="1"/>
    <xf numFmtId="0" fontId="49" fillId="33" borderId="0" xfId="0" quotePrefix="1" applyFont="1" applyFill="1" applyAlignment="1" applyProtection="1">
      <alignment horizontal="center"/>
    </xf>
    <xf numFmtId="0" fontId="63" fillId="33" borderId="0" xfId="0" quotePrefix="1" applyFont="1" applyFill="1" applyProtection="1">
      <protection locked="0"/>
    </xf>
    <xf numFmtId="39" fontId="49" fillId="33" borderId="0" xfId="0" applyNumberFormat="1" applyFont="1" applyFill="1" applyProtection="1"/>
    <xf numFmtId="0" fontId="49" fillId="33" borderId="36" xfId="0" quotePrefix="1" applyFont="1" applyFill="1" applyBorder="1" applyAlignment="1" applyProtection="1">
      <alignment horizontal="center"/>
    </xf>
    <xf numFmtId="0" fontId="63" fillId="33" borderId="36" xfId="0" quotePrefix="1" applyFont="1" applyFill="1" applyBorder="1" applyProtection="1">
      <protection locked="0"/>
    </xf>
    <xf numFmtId="10" fontId="63" fillId="33" borderId="36" xfId="1" applyNumberFormat="1" applyFont="1" applyFill="1" applyBorder="1" applyProtection="1">
      <protection locked="0"/>
    </xf>
    <xf numFmtId="10" fontId="50" fillId="33" borderId="36" xfId="1" applyNumberFormat="1" applyFont="1" applyFill="1" applyBorder="1" applyProtection="1">
      <protection locked="0"/>
    </xf>
    <xf numFmtId="171" fontId="49" fillId="33" borderId="36" xfId="33021" applyNumberFormat="1" applyFont="1" applyFill="1" applyBorder="1" applyProtection="1"/>
    <xf numFmtId="171" fontId="50" fillId="33" borderId="36" xfId="33021" applyNumberFormat="1" applyFont="1" applyFill="1" applyBorder="1" applyProtection="1"/>
    <xf numFmtId="39" fontId="49" fillId="33" borderId="36" xfId="0" applyNumberFormat="1" applyFont="1" applyFill="1" applyBorder="1" applyProtection="1"/>
    <xf numFmtId="0" fontId="0" fillId="33" borderId="0" xfId="0" applyFill="1" applyProtection="1"/>
    <xf numFmtId="10" fontId="49" fillId="33" borderId="0" xfId="1" applyNumberFormat="1" applyFont="1" applyFill="1" applyBorder="1" applyAlignment="1" applyProtection="1">
      <alignment horizontal="right"/>
    </xf>
    <xf numFmtId="10" fontId="50" fillId="33" borderId="0" xfId="1" applyNumberFormat="1" applyFont="1" applyFill="1" applyBorder="1" applyProtection="1">
      <protection locked="0"/>
    </xf>
    <xf numFmtId="171" fontId="49" fillId="33" borderId="0" xfId="33021" applyNumberFormat="1" applyFont="1" applyFill="1" applyBorder="1" applyProtection="1"/>
    <xf numFmtId="171" fontId="50" fillId="33" borderId="0" xfId="33021" quotePrefix="1" applyNumberFormat="1" applyFont="1" applyFill="1" applyBorder="1" applyProtection="1"/>
    <xf numFmtId="0" fontId="50" fillId="32" borderId="0" xfId="0" applyFont="1" applyFill="1" applyBorder="1" applyAlignment="1" applyProtection="1">
      <alignment horizontal="right" wrapText="1"/>
    </xf>
    <xf numFmtId="0" fontId="72" fillId="32" borderId="0" xfId="0" applyFont="1" applyFill="1" applyProtection="1"/>
    <xf numFmtId="10" fontId="50" fillId="32" borderId="36" xfId="1" applyNumberFormat="1" applyFont="1" applyFill="1" applyBorder="1" applyProtection="1">
      <protection locked="0"/>
    </xf>
    <xf numFmtId="171" fontId="50" fillId="32" borderId="36" xfId="33021" applyNumberFormat="1" applyFont="1" applyFill="1" applyBorder="1" applyProtection="1"/>
    <xf numFmtId="0" fontId="49" fillId="32" borderId="42" xfId="0" quotePrefix="1" applyFont="1" applyFill="1" applyBorder="1" applyAlignment="1" applyProtection="1">
      <alignment horizontal="center"/>
    </xf>
    <xf numFmtId="0" fontId="63" fillId="32" borderId="42" xfId="0" quotePrefix="1" applyFont="1" applyFill="1" applyBorder="1" applyProtection="1">
      <protection locked="0"/>
    </xf>
    <xf numFmtId="10" fontId="63" fillId="32" borderId="0" xfId="1" applyNumberFormat="1" applyFont="1" applyFill="1" applyProtection="1">
      <protection locked="0"/>
    </xf>
    <xf numFmtId="10" fontId="50" fillId="32" borderId="0" xfId="1" applyNumberFormat="1" applyFont="1" applyFill="1" applyProtection="1">
      <protection locked="0"/>
    </xf>
    <xf numFmtId="171" fontId="49" fillId="32" borderId="0" xfId="33021" applyNumberFormat="1" applyFont="1" applyFill="1" applyProtection="1"/>
    <xf numFmtId="171" fontId="50" fillId="32" borderId="0" xfId="33021" applyNumberFormat="1" applyFont="1" applyFill="1" applyProtection="1"/>
    <xf numFmtId="39" fontId="49" fillId="32" borderId="0" xfId="0" applyNumberFormat="1" applyFont="1" applyFill="1" applyBorder="1" applyProtection="1"/>
    <xf numFmtId="0" fontId="49" fillId="32" borderId="0" xfId="0" quotePrefix="1" applyFont="1" applyFill="1" applyBorder="1" applyAlignment="1" applyProtection="1">
      <alignment horizontal="center"/>
    </xf>
    <xf numFmtId="0" fontId="63" fillId="32" borderId="0" xfId="0" quotePrefix="1" applyFont="1" applyFill="1" applyBorder="1" applyProtection="1">
      <protection locked="0"/>
    </xf>
    <xf numFmtId="0" fontId="49" fillId="32" borderId="36" xfId="0" quotePrefix="1" applyFont="1" applyFill="1" applyBorder="1" applyAlignment="1" applyProtection="1">
      <alignment horizontal="center"/>
    </xf>
    <xf numFmtId="0" fontId="63" fillId="32" borderId="36" xfId="0" quotePrefix="1" applyFont="1" applyFill="1" applyBorder="1" applyProtection="1">
      <protection locked="0"/>
    </xf>
    <xf numFmtId="10" fontId="63" fillId="32" borderId="36" xfId="1" applyNumberFormat="1" applyFont="1" applyFill="1" applyBorder="1" applyProtection="1">
      <protection locked="0"/>
    </xf>
    <xf numFmtId="171" fontId="49" fillId="32" borderId="36" xfId="33021" applyNumberFormat="1" applyFont="1" applyFill="1" applyBorder="1" applyProtection="1"/>
    <xf numFmtId="39" fontId="49" fillId="32" borderId="36" xfId="0" applyNumberFormat="1" applyFont="1" applyFill="1" applyBorder="1" applyProtection="1"/>
    <xf numFmtId="0" fontId="51" fillId="32" borderId="0" xfId="0" quotePrefix="1" applyFont="1" applyFill="1" applyBorder="1" applyProtection="1"/>
    <xf numFmtId="0" fontId="51" fillId="32" borderId="0" xfId="0" applyFont="1" applyFill="1" applyBorder="1" applyProtection="1"/>
    <xf numFmtId="10" fontId="49" fillId="32" borderId="0" xfId="1" applyNumberFormat="1" applyFont="1" applyFill="1" applyBorder="1" applyAlignment="1" applyProtection="1">
      <alignment horizontal="right"/>
    </xf>
    <xf numFmtId="10" fontId="50" fillId="32" borderId="0" xfId="1" applyNumberFormat="1" applyFont="1" applyFill="1" applyBorder="1" applyProtection="1">
      <protection locked="0"/>
    </xf>
    <xf numFmtId="171" fontId="49" fillId="32" borderId="0" xfId="33021" applyNumberFormat="1" applyFont="1" applyFill="1" applyBorder="1" applyProtection="1"/>
    <xf numFmtId="171" fontId="50" fillId="32" borderId="0" xfId="33021" quotePrefix="1" applyNumberFormat="1" applyFont="1" applyFill="1" applyBorder="1" applyProtection="1"/>
    <xf numFmtId="39" fontId="49" fillId="32" borderId="0" xfId="20251" applyNumberFormat="1" applyFont="1" applyFill="1" applyBorder="1" applyProtection="1"/>
    <xf numFmtId="0" fontId="0" fillId="29" borderId="0" xfId="0" applyFill="1" applyProtection="1">
      <protection locked="0"/>
    </xf>
    <xf numFmtId="0" fontId="0" fillId="29" borderId="0" xfId="0" applyFont="1" applyFill="1" applyProtection="1">
      <protection locked="0"/>
    </xf>
    <xf numFmtId="0" fontId="0" fillId="0" borderId="0" xfId="0" applyProtection="1">
      <protection locked="0"/>
    </xf>
    <xf numFmtId="0" fontId="103" fillId="29" borderId="0" xfId="0" quotePrefix="1" applyFont="1" applyFill="1" applyAlignment="1">
      <alignment horizontal="center"/>
    </xf>
    <xf numFmtId="0" fontId="104" fillId="29" borderId="42" xfId="0" applyFont="1" applyFill="1" applyBorder="1" applyAlignment="1">
      <alignment horizontal="center"/>
    </xf>
    <xf numFmtId="0" fontId="100" fillId="29" borderId="36" xfId="0" applyFont="1" applyFill="1" applyBorder="1" applyAlignment="1">
      <alignment horizontal="center" vertical="center"/>
    </xf>
    <xf numFmtId="0" fontId="101" fillId="29" borderId="0" xfId="0" applyFont="1" applyFill="1" applyAlignment="1">
      <alignment horizontal="left" vertical="center" wrapText="1"/>
    </xf>
    <xf numFmtId="0" fontId="100" fillId="29" borderId="0" xfId="0" applyFont="1" applyFill="1" applyAlignment="1">
      <alignment horizontal="left" vertical="center" wrapText="1"/>
    </xf>
    <xf numFmtId="0" fontId="91" fillId="29" borderId="0" xfId="0" applyFont="1" applyFill="1" applyAlignment="1">
      <alignment horizontal="left" vertical="center" wrapText="1"/>
    </xf>
    <xf numFmtId="0" fontId="48" fillId="29" borderId="33" xfId="0" applyFont="1" applyFill="1" applyBorder="1" applyAlignment="1" applyProtection="1">
      <alignment horizontal="left"/>
    </xf>
    <xf numFmtId="0" fontId="48" fillId="29" borderId="40" xfId="0" applyFont="1" applyFill="1" applyBorder="1" applyAlignment="1" applyProtection="1">
      <alignment horizontal="left"/>
    </xf>
    <xf numFmtId="0" fontId="48" fillId="29" borderId="30" xfId="0" applyFont="1" applyFill="1" applyBorder="1" applyAlignment="1" applyProtection="1">
      <alignment horizontal="left"/>
    </xf>
    <xf numFmtId="0" fontId="48" fillId="29" borderId="39" xfId="0" applyFont="1" applyFill="1" applyBorder="1" applyAlignment="1" applyProtection="1">
      <alignment horizontal="center"/>
    </xf>
    <xf numFmtId="0" fontId="48" fillId="29" borderId="2" xfId="0" applyFont="1" applyFill="1" applyBorder="1" applyAlignment="1" applyProtection="1">
      <alignment horizontal="center"/>
    </xf>
    <xf numFmtId="0" fontId="48" fillId="29" borderId="39" xfId="0" applyFont="1" applyFill="1" applyBorder="1" applyAlignment="1" applyProtection="1">
      <alignment horizontal="center" wrapText="1"/>
    </xf>
    <xf numFmtId="0" fontId="48" fillId="29" borderId="2" xfId="0" applyFont="1" applyFill="1" applyBorder="1" applyAlignment="1" applyProtection="1">
      <alignment horizontal="center" wrapText="1"/>
    </xf>
    <xf numFmtId="0" fontId="48" fillId="33" borderId="34" xfId="0" applyFont="1" applyFill="1" applyBorder="1" applyAlignment="1" applyProtection="1">
      <alignment horizontal="center" wrapText="1"/>
    </xf>
    <xf numFmtId="0" fontId="48" fillId="33" borderId="41" xfId="0" applyFont="1" applyFill="1" applyBorder="1" applyAlignment="1" applyProtection="1">
      <alignment horizontal="center" wrapText="1"/>
    </xf>
    <xf numFmtId="0" fontId="48" fillId="33" borderId="29" xfId="0" applyFont="1" applyFill="1" applyBorder="1" applyAlignment="1" applyProtection="1">
      <alignment horizontal="center" wrapText="1"/>
    </xf>
    <xf numFmtId="0" fontId="48" fillId="33" borderId="32" xfId="0" applyFont="1" applyFill="1" applyBorder="1" applyAlignment="1" applyProtection="1">
      <alignment horizontal="center" wrapText="1"/>
    </xf>
    <xf numFmtId="0" fontId="48" fillId="32" borderId="42" xfId="0" applyFont="1" applyFill="1" applyBorder="1" applyAlignment="1" applyProtection="1">
      <alignment horizontal="center" wrapText="1"/>
    </xf>
    <xf numFmtId="0" fontId="48" fillId="32" borderId="41" xfId="0" applyFont="1" applyFill="1" applyBorder="1" applyAlignment="1" applyProtection="1">
      <alignment horizontal="center" wrapText="1"/>
    </xf>
    <xf numFmtId="0" fontId="48" fillId="32" borderId="36" xfId="0" applyFont="1" applyFill="1" applyBorder="1" applyAlignment="1" applyProtection="1">
      <alignment horizontal="center" wrapText="1"/>
    </xf>
    <xf numFmtId="0" fontId="48" fillId="32" borderId="32" xfId="0" applyFont="1" applyFill="1" applyBorder="1" applyAlignment="1" applyProtection="1">
      <alignment horizontal="center" wrapText="1"/>
    </xf>
    <xf numFmtId="9" fontId="49" fillId="29" borderId="0" xfId="1" applyFont="1" applyFill="1" applyBorder="1" applyAlignment="1" applyProtection="1">
      <alignment horizontal="center"/>
    </xf>
    <xf numFmtId="0" fontId="63" fillId="29" borderId="42" xfId="0" applyFont="1" applyFill="1" applyBorder="1" applyAlignment="1" applyProtection="1">
      <alignment horizontal="center" vertical="center" wrapText="1"/>
      <protection locked="0"/>
    </xf>
    <xf numFmtId="0" fontId="63" fillId="29" borderId="0" xfId="0" applyFont="1" applyFill="1" applyBorder="1" applyAlignment="1" applyProtection="1">
      <alignment horizontal="center" vertical="center" wrapText="1"/>
      <protection locked="0"/>
    </xf>
    <xf numFmtId="0" fontId="63" fillId="29" borderId="36" xfId="0" applyFont="1" applyFill="1" applyBorder="1" applyAlignment="1" applyProtection="1">
      <alignment horizontal="center" vertical="center" wrapText="1"/>
      <protection locked="0"/>
    </xf>
    <xf numFmtId="0" fontId="63" fillId="33" borderId="42" xfId="0" applyFont="1" applyFill="1" applyBorder="1" applyAlignment="1" applyProtection="1">
      <alignment horizontal="center" vertical="center" wrapText="1"/>
      <protection locked="0"/>
    </xf>
    <xf numFmtId="0" fontId="63" fillId="33" borderId="0" xfId="0" applyFont="1" applyFill="1" applyBorder="1" applyAlignment="1" applyProtection="1">
      <alignment horizontal="center" vertical="center" wrapText="1"/>
      <protection locked="0"/>
    </xf>
    <xf numFmtId="0" fontId="63" fillId="33" borderId="36" xfId="0" applyFont="1" applyFill="1" applyBorder="1" applyAlignment="1" applyProtection="1">
      <alignment horizontal="center" vertical="center" wrapText="1"/>
      <protection locked="0"/>
    </xf>
    <xf numFmtId="0" fontId="81" fillId="29" borderId="40" xfId="0" applyFont="1" applyFill="1" applyBorder="1" applyAlignment="1">
      <alignment horizontal="left"/>
    </xf>
    <xf numFmtId="0" fontId="81" fillId="29" borderId="40" xfId="0" applyFont="1" applyFill="1" applyBorder="1" applyAlignment="1" applyProtection="1">
      <alignment horizontal="left"/>
    </xf>
    <xf numFmtId="0" fontId="51" fillId="29" borderId="42" xfId="0" applyFont="1" applyFill="1" applyBorder="1" applyAlignment="1" applyProtection="1">
      <alignment horizontal="left" wrapText="1"/>
    </xf>
    <xf numFmtId="0" fontId="51" fillId="29" borderId="36" xfId="0" applyFont="1" applyFill="1" applyBorder="1" applyAlignment="1" applyProtection="1">
      <alignment horizontal="left" wrapText="1"/>
    </xf>
    <xf numFmtId="0" fontId="51" fillId="29" borderId="42" xfId="0" applyFont="1" applyFill="1" applyBorder="1" applyAlignment="1" applyProtection="1">
      <alignment horizontal="center" wrapText="1"/>
    </xf>
    <xf numFmtId="0" fontId="51" fillId="29" borderId="36" xfId="0" applyFont="1" applyFill="1" applyBorder="1" applyAlignment="1" applyProtection="1">
      <alignment horizontal="center" wrapText="1"/>
    </xf>
    <xf numFmtId="0" fontId="51" fillId="29" borderId="42" xfId="0" applyFont="1" applyFill="1" applyBorder="1" applyAlignment="1" applyProtection="1">
      <alignment horizontal="center"/>
    </xf>
    <xf numFmtId="0" fontId="51" fillId="29" borderId="36" xfId="0" applyFont="1" applyFill="1" applyBorder="1" applyAlignment="1" applyProtection="1">
      <alignment horizontal="center"/>
    </xf>
    <xf numFmtId="0" fontId="51" fillId="29" borderId="42" xfId="0" applyFont="1" applyFill="1" applyBorder="1" applyAlignment="1" applyProtection="1">
      <alignment horizontal="right" wrapText="1"/>
    </xf>
    <xf numFmtId="0" fontId="51" fillId="29" borderId="36" xfId="0" applyFont="1" applyFill="1" applyBorder="1" applyAlignment="1" applyProtection="1">
      <alignment horizontal="right" wrapText="1"/>
    </xf>
    <xf numFmtId="0" fontId="50" fillId="29" borderId="42" xfId="0" applyFont="1" applyFill="1" applyBorder="1" applyAlignment="1" applyProtection="1">
      <alignment horizontal="center" wrapText="1"/>
    </xf>
    <xf numFmtId="0" fontId="50" fillId="29" borderId="36" xfId="0" applyFont="1" applyFill="1" applyBorder="1" applyAlignment="1" applyProtection="1">
      <alignment horizontal="center" wrapText="1"/>
    </xf>
    <xf numFmtId="0" fontId="49" fillId="29" borderId="42" xfId="0" applyFont="1" applyFill="1" applyBorder="1" applyAlignment="1" applyProtection="1">
      <alignment horizontal="right" wrapText="1"/>
    </xf>
    <xf numFmtId="0" fontId="49" fillId="29" borderId="36" xfId="0" applyFont="1" applyFill="1" applyBorder="1" applyAlignment="1" applyProtection="1">
      <alignment horizontal="right" wrapText="1"/>
    </xf>
    <xf numFmtId="0" fontId="51" fillId="33" borderId="0" xfId="0" applyFont="1" applyFill="1" applyBorder="1" applyAlignment="1" applyProtection="1">
      <alignment horizontal="left" wrapText="1"/>
    </xf>
    <xf numFmtId="0" fontId="51" fillId="33" borderId="36" xfId="0" applyFont="1" applyFill="1" applyBorder="1" applyAlignment="1" applyProtection="1">
      <alignment horizontal="left" wrapText="1"/>
    </xf>
    <xf numFmtId="0" fontId="51" fillId="33" borderId="0" xfId="0" applyFont="1" applyFill="1" applyBorder="1" applyAlignment="1" applyProtection="1">
      <alignment horizontal="center" wrapText="1"/>
    </xf>
    <xf numFmtId="0" fontId="51" fillId="33" borderId="36" xfId="0" applyFont="1" applyFill="1" applyBorder="1" applyAlignment="1" applyProtection="1">
      <alignment horizontal="center" wrapText="1"/>
    </xf>
    <xf numFmtId="0" fontId="51" fillId="33" borderId="0" xfId="0" applyFont="1" applyFill="1" applyBorder="1" applyAlignment="1" applyProtection="1">
      <alignment horizontal="center"/>
    </xf>
    <xf numFmtId="0" fontId="51" fillId="33" borderId="36" xfId="0" applyFont="1" applyFill="1" applyBorder="1" applyAlignment="1" applyProtection="1">
      <alignment horizontal="center"/>
    </xf>
    <xf numFmtId="0" fontId="49" fillId="33" borderId="0" xfId="0" applyFont="1" applyFill="1" applyBorder="1" applyAlignment="1" applyProtection="1">
      <alignment horizontal="right" wrapText="1"/>
    </xf>
    <xf numFmtId="0" fontId="49" fillId="33" borderId="36" xfId="0" applyFont="1" applyFill="1" applyBorder="1" applyAlignment="1" applyProtection="1">
      <alignment horizontal="right" wrapText="1"/>
    </xf>
    <xf numFmtId="0" fontId="51" fillId="29" borderId="0" xfId="0" quotePrefix="1" applyFont="1" applyFill="1" applyBorder="1" applyAlignment="1" applyProtection="1">
      <alignment horizontal="left"/>
    </xf>
    <xf numFmtId="0" fontId="51" fillId="29" borderId="0" xfId="0" applyFont="1" applyFill="1" applyBorder="1" applyAlignment="1" applyProtection="1">
      <alignment horizontal="left"/>
    </xf>
    <xf numFmtId="0" fontId="44" fillId="0" borderId="0" xfId="0" quotePrefix="1" applyFont="1" applyAlignment="1">
      <alignment horizontal="center" wrapText="1"/>
    </xf>
    <xf numFmtId="0" fontId="44" fillId="0" borderId="0" xfId="0" applyFont="1" applyAlignment="1">
      <alignment horizontal="center" wrapText="1"/>
    </xf>
    <xf numFmtId="0" fontId="44" fillId="0" borderId="0" xfId="0" applyFont="1" applyBorder="1" applyAlignment="1">
      <alignment horizontal="center" wrapText="1"/>
    </xf>
    <xf numFmtId="0" fontId="63" fillId="32" borderId="42" xfId="0" applyFont="1" applyFill="1" applyBorder="1" applyAlignment="1" applyProtection="1">
      <alignment horizontal="center" vertical="center" wrapText="1"/>
      <protection locked="0"/>
    </xf>
    <xf numFmtId="0" fontId="63" fillId="32" borderId="0" xfId="0" applyFont="1" applyFill="1" applyBorder="1" applyAlignment="1" applyProtection="1">
      <alignment horizontal="center" vertical="center" wrapText="1"/>
      <protection locked="0"/>
    </xf>
    <xf numFmtId="0" fontId="63" fillId="32" borderId="36" xfId="0" applyFont="1" applyFill="1" applyBorder="1" applyAlignment="1" applyProtection="1">
      <alignment horizontal="center" vertical="center" wrapText="1"/>
      <protection locked="0"/>
    </xf>
    <xf numFmtId="0" fontId="51" fillId="32" borderId="0" xfId="0" applyFont="1" applyFill="1" applyBorder="1" applyAlignment="1" applyProtection="1">
      <alignment horizontal="left" wrapText="1"/>
    </xf>
    <xf numFmtId="0" fontId="51" fillId="32" borderId="36" xfId="0" applyFont="1" applyFill="1" applyBorder="1" applyAlignment="1" applyProtection="1">
      <alignment horizontal="left" wrapText="1"/>
    </xf>
    <xf numFmtId="0" fontId="51" fillId="32" borderId="0" xfId="0" applyFont="1" applyFill="1" applyBorder="1" applyAlignment="1" applyProtection="1">
      <alignment horizontal="center" wrapText="1"/>
    </xf>
    <xf numFmtId="0" fontId="51" fillId="32" borderId="36" xfId="0" applyFont="1" applyFill="1" applyBorder="1" applyAlignment="1" applyProtection="1">
      <alignment horizontal="center" wrapText="1"/>
    </xf>
    <xf numFmtId="0" fontId="51" fillId="32" borderId="0" xfId="0" applyFont="1" applyFill="1" applyBorder="1" applyAlignment="1" applyProtection="1">
      <alignment horizontal="center"/>
    </xf>
    <xf numFmtId="0" fontId="51" fillId="32" borderId="36" xfId="0" applyFont="1" applyFill="1" applyBorder="1" applyAlignment="1" applyProtection="1">
      <alignment horizontal="center"/>
    </xf>
    <xf numFmtId="0" fontId="49" fillId="32" borderId="0" xfId="0" applyFont="1" applyFill="1" applyBorder="1" applyAlignment="1" applyProtection="1">
      <alignment horizontal="right" wrapText="1"/>
    </xf>
    <xf numFmtId="0" fontId="49" fillId="32" borderId="36" xfId="0" applyFont="1" applyFill="1" applyBorder="1" applyAlignment="1" applyProtection="1">
      <alignment horizontal="right" wrapText="1"/>
    </xf>
    <xf numFmtId="0" fontId="44" fillId="0" borderId="35" xfId="0" applyFont="1" applyBorder="1" applyAlignment="1">
      <alignment horizontal="center" wrapText="1"/>
    </xf>
    <xf numFmtId="0" fontId="48" fillId="29" borderId="40" xfId="0" applyFont="1" applyFill="1" applyBorder="1" applyAlignment="1">
      <alignment horizontal="center"/>
    </xf>
    <xf numFmtId="0" fontId="48" fillId="29" borderId="33" xfId="0" applyFont="1" applyFill="1" applyBorder="1" applyAlignment="1">
      <alignment horizontal="center"/>
    </xf>
    <xf numFmtId="0" fontId="48" fillId="29" borderId="53" xfId="0" applyFont="1" applyFill="1" applyBorder="1" applyAlignment="1">
      <alignment horizontal="center"/>
    </xf>
    <xf numFmtId="0" fontId="49" fillId="29" borderId="42" xfId="0" applyFont="1" applyFill="1" applyBorder="1" applyAlignment="1" applyProtection="1">
      <alignment horizontal="center" vertical="center"/>
    </xf>
    <xf numFmtId="0" fontId="49" fillId="29" borderId="36" xfId="0" applyFont="1" applyFill="1" applyBorder="1" applyAlignment="1" applyProtection="1">
      <alignment horizontal="center" vertical="center"/>
    </xf>
    <xf numFmtId="0" fontId="49" fillId="29" borderId="34" xfId="0" applyFont="1" applyFill="1" applyBorder="1" applyAlignment="1">
      <alignment horizontal="center" wrapText="1"/>
    </xf>
    <xf numFmtId="0" fontId="49" fillId="29" borderId="29" xfId="0" applyFont="1" applyFill="1" applyBorder="1" applyAlignment="1">
      <alignment horizontal="center" wrapText="1"/>
    </xf>
    <xf numFmtId="0" fontId="49" fillId="33" borderId="42" xfId="0" applyFont="1" applyFill="1" applyBorder="1" applyAlignment="1">
      <alignment horizontal="center" wrapText="1"/>
    </xf>
    <xf numFmtId="0" fontId="49" fillId="33" borderId="36" xfId="0" applyFont="1" applyFill="1" applyBorder="1" applyAlignment="1">
      <alignment horizontal="center" wrapText="1"/>
    </xf>
    <xf numFmtId="0" fontId="49" fillId="32" borderId="41" xfId="0" applyFont="1" applyFill="1" applyBorder="1" applyAlignment="1">
      <alignment horizontal="center" wrapText="1"/>
    </xf>
    <xf numFmtId="0" fontId="49" fillId="32" borderId="32" xfId="0" applyFont="1" applyFill="1" applyBorder="1" applyAlignment="1">
      <alignment horizontal="center" wrapText="1"/>
    </xf>
    <xf numFmtId="0" fontId="48" fillId="29" borderId="40" xfId="0" applyFont="1" applyFill="1" applyBorder="1" applyAlignment="1">
      <alignment horizontal="left"/>
    </xf>
    <xf numFmtId="0" fontId="48" fillId="29" borderId="53" xfId="0" applyFont="1" applyFill="1" applyBorder="1" applyAlignment="1">
      <alignment horizontal="left"/>
    </xf>
    <xf numFmtId="0" fontId="52" fillId="29" borderId="42" xfId="0" applyFont="1" applyFill="1" applyBorder="1" applyAlignment="1" applyProtection="1">
      <alignment horizontal="center" wrapText="1"/>
    </xf>
    <xf numFmtId="0" fontId="52" fillId="29" borderId="36" xfId="0" applyFont="1" applyFill="1" applyBorder="1" applyAlignment="1" applyProtection="1">
      <alignment horizontal="center" wrapText="1"/>
    </xf>
    <xf numFmtId="0" fontId="47" fillId="29" borderId="42" xfId="0" applyFont="1" applyFill="1" applyBorder="1" applyAlignment="1" applyProtection="1">
      <alignment horizontal="center" wrapText="1"/>
    </xf>
    <xf numFmtId="0" fontId="47" fillId="29" borderId="36" xfId="0" applyFont="1" applyFill="1" applyBorder="1" applyAlignment="1" applyProtection="1">
      <alignment horizontal="center" wrapText="1"/>
    </xf>
    <xf numFmtId="0" fontId="57" fillId="29" borderId="0" xfId="0" applyFont="1" applyFill="1" applyAlignment="1" applyProtection="1">
      <alignment horizontal="left" wrapText="1"/>
      <protection locked="0"/>
    </xf>
    <xf numFmtId="0" fontId="49" fillId="29" borderId="42" xfId="0" applyFont="1" applyFill="1" applyBorder="1" applyAlignment="1" applyProtection="1">
      <alignment horizontal="left" wrapText="1"/>
    </xf>
    <xf numFmtId="0" fontId="49" fillId="29" borderId="36" xfId="0" applyFont="1" applyFill="1" applyBorder="1" applyAlignment="1" applyProtection="1">
      <alignment horizontal="left" wrapText="1"/>
    </xf>
    <xf numFmtId="0" fontId="49" fillId="29" borderId="42" xfId="0" applyFont="1" applyFill="1" applyBorder="1" applyAlignment="1" applyProtection="1">
      <alignment horizontal="center"/>
    </xf>
    <xf numFmtId="0" fontId="49" fillId="29" borderId="36" xfId="0" applyFont="1" applyFill="1" applyBorder="1" applyAlignment="1" applyProtection="1">
      <alignment horizontal="center"/>
    </xf>
    <xf numFmtId="0" fontId="52" fillId="29" borderId="34" xfId="0" applyFont="1" applyFill="1" applyBorder="1" applyAlignment="1" applyProtection="1">
      <alignment horizontal="center" wrapText="1"/>
    </xf>
    <xf numFmtId="0" fontId="52" fillId="29" borderId="29" xfId="0" applyFont="1" applyFill="1" applyBorder="1" applyAlignment="1" applyProtection="1">
      <alignment horizontal="center" wrapText="1"/>
    </xf>
    <xf numFmtId="0" fontId="49" fillId="29" borderId="42" xfId="0" applyFont="1" applyFill="1" applyBorder="1" applyAlignment="1">
      <alignment horizontal="center"/>
    </xf>
    <xf numFmtId="0" fontId="49" fillId="29" borderId="0" xfId="0" applyFont="1" applyFill="1" applyAlignment="1">
      <alignment horizontal="center"/>
    </xf>
    <xf numFmtId="0" fontId="52" fillId="0" borderId="42" xfId="33022" applyFont="1" applyFill="1" applyBorder="1" applyAlignment="1" applyProtection="1">
      <alignment horizontal="center" wrapText="1"/>
    </xf>
    <xf numFmtId="0" fontId="52" fillId="0" borderId="36" xfId="33022" applyFont="1" applyFill="1" applyBorder="1" applyAlignment="1" applyProtection="1">
      <alignment horizontal="center" wrapText="1"/>
    </xf>
    <xf numFmtId="43" fontId="52" fillId="0" borderId="42" xfId="4" applyFont="1" applyFill="1" applyBorder="1" applyAlignment="1" applyProtection="1">
      <alignment horizontal="center" wrapText="1"/>
    </xf>
    <xf numFmtId="43" fontId="52" fillId="0" borderId="36" xfId="4" applyFont="1" applyFill="1" applyBorder="1" applyAlignment="1" applyProtection="1">
      <alignment horizontal="center" wrapText="1"/>
    </xf>
    <xf numFmtId="43" fontId="47" fillId="0" borderId="42" xfId="4" applyFont="1" applyFill="1" applyBorder="1" applyAlignment="1" applyProtection="1">
      <alignment horizontal="center" wrapText="1"/>
    </xf>
    <xf numFmtId="43" fontId="47" fillId="0" borderId="36" xfId="4" applyFont="1" applyFill="1" applyBorder="1" applyAlignment="1" applyProtection="1">
      <alignment horizontal="center" wrapText="1"/>
    </xf>
    <xf numFmtId="0" fontId="52" fillId="0" borderId="42" xfId="33022" applyFont="1" applyFill="1" applyBorder="1" applyAlignment="1" applyProtection="1">
      <alignment horizontal="center" vertical="center" wrapText="1"/>
    </xf>
    <xf numFmtId="0" fontId="52" fillId="0" borderId="36" xfId="33022" applyFont="1" applyFill="1" applyBorder="1" applyAlignment="1" applyProtection="1">
      <alignment horizontal="center" vertical="center" wrapText="1"/>
    </xf>
    <xf numFmtId="0" fontId="51" fillId="29" borderId="42" xfId="33022" applyFont="1" applyFill="1" applyBorder="1" applyAlignment="1" applyProtection="1">
      <alignment horizontal="center" wrapText="1"/>
    </xf>
    <xf numFmtId="0" fontId="51" fillId="29" borderId="0" xfId="33022" applyFont="1" applyFill="1" applyBorder="1" applyAlignment="1" applyProtection="1">
      <alignment horizontal="center" wrapText="1"/>
    </xf>
    <xf numFmtId="0" fontId="51" fillId="29" borderId="36" xfId="33022" applyFont="1" applyFill="1" applyBorder="1" applyAlignment="1" applyProtection="1">
      <alignment horizontal="center" wrapText="1"/>
    </xf>
    <xf numFmtId="43" fontId="51" fillId="29" borderId="42" xfId="4" applyFont="1" applyFill="1" applyBorder="1" applyAlignment="1" applyProtection="1">
      <alignment horizontal="center" wrapText="1"/>
    </xf>
    <xf numFmtId="43" fontId="51" fillId="29" borderId="0" xfId="4" applyFont="1" applyFill="1" applyBorder="1" applyAlignment="1" applyProtection="1">
      <alignment horizontal="center" wrapText="1"/>
    </xf>
    <xf numFmtId="43" fontId="51" fillId="29" borderId="36" xfId="4" applyFont="1" applyFill="1" applyBorder="1" applyAlignment="1" applyProtection="1">
      <alignment horizontal="center" wrapText="1"/>
    </xf>
    <xf numFmtId="43" fontId="49" fillId="29" borderId="42" xfId="4" applyFont="1" applyFill="1" applyBorder="1" applyAlignment="1" applyProtection="1">
      <alignment horizontal="center" wrapText="1"/>
    </xf>
    <xf numFmtId="43" fontId="49" fillId="29" borderId="0" xfId="4" applyFont="1" applyFill="1" applyBorder="1" applyAlignment="1" applyProtection="1">
      <alignment horizontal="center" wrapText="1"/>
    </xf>
    <xf numFmtId="43" fontId="49" fillId="29" borderId="36" xfId="4" applyFont="1" applyFill="1" applyBorder="1" applyAlignment="1" applyProtection="1">
      <alignment horizontal="center" wrapText="1"/>
    </xf>
    <xf numFmtId="0" fontId="51" fillId="29" borderId="42" xfId="33022" applyFont="1" applyFill="1" applyBorder="1" applyAlignment="1" applyProtection="1">
      <alignment horizontal="center" vertical="center" wrapText="1"/>
    </xf>
    <xf numFmtId="0" fontId="51" fillId="29" borderId="0" xfId="33022" applyFont="1" applyFill="1" applyBorder="1" applyAlignment="1" applyProtection="1">
      <alignment horizontal="center" vertical="center" wrapText="1"/>
    </xf>
    <xf numFmtId="0" fontId="51" fillId="29" borderId="36" xfId="33022" applyFont="1" applyFill="1" applyBorder="1" applyAlignment="1" applyProtection="1">
      <alignment horizontal="center" vertical="center" wrapText="1"/>
    </xf>
    <xf numFmtId="0" fontId="49" fillId="29" borderId="0" xfId="0" applyFont="1" applyFill="1" applyAlignment="1">
      <alignment horizontal="center" wrapText="1"/>
    </xf>
    <xf numFmtId="43" fontId="51" fillId="29" borderId="0" xfId="4" applyFont="1" applyFill="1" applyBorder="1" applyAlignment="1" applyProtection="1">
      <alignment horizontal="left" wrapText="1"/>
    </xf>
    <xf numFmtId="43" fontId="51" fillId="29" borderId="36" xfId="4" applyFont="1" applyFill="1" applyBorder="1" applyAlignment="1" applyProtection="1">
      <alignment horizontal="left" wrapText="1"/>
    </xf>
    <xf numFmtId="43" fontId="51" fillId="29" borderId="0" xfId="4" applyFont="1" applyFill="1" applyBorder="1" applyAlignment="1" applyProtection="1">
      <alignment horizontal="center"/>
    </xf>
    <xf numFmtId="43" fontId="51" fillId="29" borderId="36" xfId="4" applyFont="1" applyFill="1" applyBorder="1" applyAlignment="1" applyProtection="1">
      <alignment horizontal="center"/>
    </xf>
    <xf numFmtId="0" fontId="51" fillId="29" borderId="0" xfId="33022" applyFont="1" applyFill="1" applyBorder="1" applyAlignment="1" applyProtection="1">
      <alignment horizontal="center"/>
    </xf>
    <xf numFmtId="0" fontId="51" fillId="29" borderId="36" xfId="33022" applyFont="1" applyFill="1" applyBorder="1" applyAlignment="1" applyProtection="1">
      <alignment horizontal="center"/>
    </xf>
    <xf numFmtId="0" fontId="52" fillId="0" borderId="42" xfId="0" applyFont="1" applyFill="1" applyBorder="1" applyAlignment="1" applyProtection="1">
      <alignment horizontal="center" wrapText="1"/>
    </xf>
    <xf numFmtId="0" fontId="52" fillId="0" borderId="36" xfId="0" applyFont="1" applyFill="1" applyBorder="1" applyAlignment="1" applyProtection="1">
      <alignment horizontal="center" wrapText="1"/>
    </xf>
    <xf numFmtId="0" fontId="48" fillId="0" borderId="40" xfId="0" applyFont="1" applyFill="1" applyBorder="1" applyAlignment="1">
      <alignment horizontal="left"/>
    </xf>
    <xf numFmtId="0" fontId="52" fillId="0" borderId="0" xfId="0" quotePrefix="1" applyFont="1" applyFill="1" applyBorder="1" applyAlignment="1" applyProtection="1">
      <alignment horizontal="center"/>
      <protection locked="0"/>
    </xf>
    <xf numFmtId="0" fontId="52" fillId="0" borderId="36" xfId="0" quotePrefix="1" applyFont="1" applyFill="1" applyBorder="1" applyAlignment="1" applyProtection="1">
      <alignment horizontal="center"/>
      <protection locked="0"/>
    </xf>
    <xf numFmtId="0" fontId="52" fillId="0" borderId="0" xfId="0" applyFont="1" applyFill="1" applyBorder="1" applyAlignment="1" applyProtection="1">
      <alignment horizontal="center" wrapText="1"/>
    </xf>
    <xf numFmtId="0" fontId="74" fillId="0" borderId="40" xfId="0" applyFont="1" applyFill="1" applyBorder="1" applyAlignment="1" applyProtection="1">
      <alignment horizontal="left"/>
    </xf>
    <xf numFmtId="0" fontId="47" fillId="0" borderId="42" xfId="0" applyFont="1" applyFill="1" applyBorder="1" applyAlignment="1" applyProtection="1">
      <alignment horizontal="center"/>
      <protection locked="0"/>
    </xf>
    <xf numFmtId="0" fontId="47" fillId="0" borderId="36" xfId="0" applyFont="1" applyFill="1" applyBorder="1" applyAlignment="1" applyProtection="1">
      <alignment horizontal="center"/>
      <protection locked="0"/>
    </xf>
    <xf numFmtId="0" fontId="47" fillId="0" borderId="42" xfId="0" applyFont="1" applyFill="1" applyBorder="1" applyAlignment="1" applyProtection="1">
      <alignment horizontal="center"/>
    </xf>
    <xf numFmtId="0" fontId="47" fillId="0" borderId="36" xfId="0" applyFont="1" applyFill="1" applyBorder="1" applyAlignment="1" applyProtection="1">
      <alignment horizontal="center"/>
    </xf>
    <xf numFmtId="0" fontId="49" fillId="29" borderId="40" xfId="0" quotePrefix="1" applyFont="1" applyFill="1" applyBorder="1" applyAlignment="1" applyProtection="1">
      <alignment horizontal="left"/>
      <protection locked="0"/>
    </xf>
    <xf numFmtId="0" fontId="49" fillId="29" borderId="36" xfId="0" quotePrefix="1" applyFont="1" applyFill="1" applyBorder="1" applyAlignment="1" applyProtection="1">
      <alignment horizontal="left"/>
      <protection locked="0"/>
    </xf>
    <xf numFmtId="0" fontId="0" fillId="0" borderId="0" xfId="0" applyAlignment="1">
      <alignment horizontal="center"/>
    </xf>
    <xf numFmtId="0" fontId="56" fillId="31" borderId="36" xfId="0" applyFont="1" applyFill="1" applyBorder="1" applyAlignment="1" applyProtection="1">
      <alignment horizontal="left"/>
      <protection locked="0"/>
    </xf>
    <xf numFmtId="0" fontId="0" fillId="0" borderId="0" xfId="0" applyBorder="1" applyAlignment="1">
      <alignment horizontal="center"/>
    </xf>
    <xf numFmtId="0" fontId="0" fillId="0" borderId="35" xfId="0" applyBorder="1" applyAlignment="1">
      <alignment horizontal="center"/>
    </xf>
    <xf numFmtId="0" fontId="49" fillId="29" borderId="0" xfId="0" applyFont="1" applyFill="1" applyAlignment="1">
      <alignment horizontal="left" wrapText="1"/>
    </xf>
    <xf numFmtId="0" fontId="49" fillId="29" borderId="0" xfId="0" applyFont="1" applyFill="1" applyAlignment="1">
      <alignment horizontal="left"/>
    </xf>
    <xf numFmtId="0" fontId="49" fillId="29" borderId="40" xfId="0" applyFont="1" applyFill="1" applyBorder="1" applyAlignment="1" applyProtection="1">
      <alignment horizontal="center" vertical="center" wrapText="1"/>
    </xf>
    <xf numFmtId="0" fontId="0" fillId="0" borderId="34" xfId="0" applyBorder="1" applyAlignment="1">
      <alignment horizontal="center"/>
    </xf>
    <xf numFmtId="0" fontId="0" fillId="0" borderId="41" xfId="0" applyBorder="1" applyAlignment="1">
      <alignment horizontal="center"/>
    </xf>
    <xf numFmtId="0" fontId="49" fillId="29" borderId="0" xfId="0" applyFont="1" applyFill="1" applyBorder="1" applyAlignment="1" applyProtection="1">
      <alignment horizontal="left"/>
    </xf>
    <xf numFmtId="0" fontId="49" fillId="29" borderId="36" xfId="0" applyFont="1" applyFill="1" applyBorder="1" applyAlignment="1" applyProtection="1">
      <alignment horizontal="left"/>
    </xf>
    <xf numFmtId="0" fontId="0" fillId="0" borderId="40" xfId="0" applyBorder="1" applyAlignment="1">
      <alignment horizontal="center"/>
    </xf>
    <xf numFmtId="0" fontId="42" fillId="0" borderId="36" xfId="0" applyFont="1" applyBorder="1" applyAlignment="1">
      <alignment horizontal="left"/>
    </xf>
    <xf numFmtId="0" fontId="0" fillId="0" borderId="39" xfId="0" applyBorder="1" applyAlignment="1">
      <alignment horizontal="center"/>
    </xf>
    <xf numFmtId="0" fontId="0" fillId="0" borderId="43" xfId="0" applyBorder="1" applyAlignment="1">
      <alignment horizontal="center"/>
    </xf>
    <xf numFmtId="0" fontId="0" fillId="0" borderId="2" xfId="0" applyBorder="1" applyAlignment="1">
      <alignment horizontal="center"/>
    </xf>
    <xf numFmtId="0" fontId="44" fillId="0" borderId="41" xfId="0" applyFont="1" applyBorder="1" applyAlignment="1">
      <alignment horizontal="center" wrapText="1"/>
    </xf>
    <xf numFmtId="0" fontId="44" fillId="0" borderId="32" xfId="0" applyFont="1" applyBorder="1" applyAlignment="1">
      <alignment horizontal="center" wrapText="1"/>
    </xf>
    <xf numFmtId="0" fontId="0" fillId="0" borderId="42" xfId="0" applyBorder="1" applyAlignment="1">
      <alignment horizontal="center" wrapText="1"/>
    </xf>
    <xf numFmtId="0" fontId="0" fillId="0" borderId="0" xfId="0" applyBorder="1" applyAlignment="1">
      <alignment horizontal="center" wrapText="1"/>
    </xf>
    <xf numFmtId="0" fontId="0" fillId="0" borderId="36" xfId="0" applyBorder="1" applyAlignment="1">
      <alignment horizontal="center" wrapText="1"/>
    </xf>
    <xf numFmtId="0" fontId="44" fillId="0" borderId="42" xfId="0" applyFont="1" applyBorder="1" applyAlignment="1">
      <alignment horizontal="center" wrapText="1"/>
    </xf>
    <xf numFmtId="0" fontId="44" fillId="0" borderId="36" xfId="0" applyFont="1" applyBorder="1" applyAlignment="1">
      <alignment horizontal="center" wrapText="1"/>
    </xf>
    <xf numFmtId="0" fontId="0" fillId="0" borderId="41" xfId="0" applyBorder="1" applyAlignment="1">
      <alignment horizontal="center" wrapText="1"/>
    </xf>
    <xf numFmtId="0" fontId="0" fillId="0" borderId="32" xfId="0" applyBorder="1" applyAlignment="1">
      <alignment horizontal="center" wrapText="1"/>
    </xf>
  </cellXfs>
  <cellStyles count="33025">
    <cellStyle name="20% - Accent1 10" xfId="9" xr:uid="{00000000-0005-0000-0000-000000000000}"/>
    <cellStyle name="20% - Accent1 2" xfId="10" xr:uid="{00000000-0005-0000-0000-000001000000}"/>
    <cellStyle name="20% - Accent1 2 10" xfId="11" xr:uid="{00000000-0005-0000-0000-000002000000}"/>
    <cellStyle name="20% - Accent1 2 2" xfId="12" xr:uid="{00000000-0005-0000-0000-000003000000}"/>
    <cellStyle name="20% - Accent1 2 2 2" xfId="13" xr:uid="{00000000-0005-0000-0000-000004000000}"/>
    <cellStyle name="20% - Accent1 2 2 2 2" xfId="14" xr:uid="{00000000-0005-0000-0000-000005000000}"/>
    <cellStyle name="20% - Accent1 2 2 3" xfId="15" xr:uid="{00000000-0005-0000-0000-000006000000}"/>
    <cellStyle name="20% - Accent1 2 3" xfId="16" xr:uid="{00000000-0005-0000-0000-000007000000}"/>
    <cellStyle name="20% - Accent1 2 3 2" xfId="17" xr:uid="{00000000-0005-0000-0000-000008000000}"/>
    <cellStyle name="20% - Accent1 2 3 2 2" xfId="18" xr:uid="{00000000-0005-0000-0000-000009000000}"/>
    <cellStyle name="20% - Accent1 2 3 3" xfId="19" xr:uid="{00000000-0005-0000-0000-00000A000000}"/>
    <cellStyle name="20% - Accent1 2 4" xfId="20" xr:uid="{00000000-0005-0000-0000-00000B000000}"/>
    <cellStyle name="20% - Accent1 2 4 2" xfId="21" xr:uid="{00000000-0005-0000-0000-00000C000000}"/>
    <cellStyle name="20% - Accent1 2 4 2 2" xfId="22" xr:uid="{00000000-0005-0000-0000-00000D000000}"/>
    <cellStyle name="20% - Accent1 2 4 3" xfId="23" xr:uid="{00000000-0005-0000-0000-00000E000000}"/>
    <cellStyle name="20% - Accent1 2 5" xfId="24" xr:uid="{00000000-0005-0000-0000-00000F000000}"/>
    <cellStyle name="20% - Accent1 2 5 2" xfId="25" xr:uid="{00000000-0005-0000-0000-000010000000}"/>
    <cellStyle name="20% - Accent1 2 5 2 2" xfId="26" xr:uid="{00000000-0005-0000-0000-000011000000}"/>
    <cellStyle name="20% - Accent1 2 5 3" xfId="27" xr:uid="{00000000-0005-0000-0000-000012000000}"/>
    <cellStyle name="20% - Accent1 2 6" xfId="28" xr:uid="{00000000-0005-0000-0000-000013000000}"/>
    <cellStyle name="20% - Accent1 2 6 2" xfId="29" xr:uid="{00000000-0005-0000-0000-000014000000}"/>
    <cellStyle name="20% - Accent1 2 6 2 2" xfId="30" xr:uid="{00000000-0005-0000-0000-000015000000}"/>
    <cellStyle name="20% - Accent1 2 6 3" xfId="31" xr:uid="{00000000-0005-0000-0000-000016000000}"/>
    <cellStyle name="20% - Accent1 2 7" xfId="32" xr:uid="{00000000-0005-0000-0000-000017000000}"/>
    <cellStyle name="20% - Accent1 2 7 2" xfId="33" xr:uid="{00000000-0005-0000-0000-000018000000}"/>
    <cellStyle name="20% - Accent1 2 7 2 2" xfId="34" xr:uid="{00000000-0005-0000-0000-000019000000}"/>
    <cellStyle name="20% - Accent1 2 7 3" xfId="35" xr:uid="{00000000-0005-0000-0000-00001A000000}"/>
    <cellStyle name="20% - Accent1 2 8" xfId="36" xr:uid="{00000000-0005-0000-0000-00001B000000}"/>
    <cellStyle name="20% - Accent1 2 8 2" xfId="37" xr:uid="{00000000-0005-0000-0000-00001C000000}"/>
    <cellStyle name="20% - Accent1 2 8 2 2" xfId="38" xr:uid="{00000000-0005-0000-0000-00001D000000}"/>
    <cellStyle name="20% - Accent1 2 8 3" xfId="39" xr:uid="{00000000-0005-0000-0000-00001E000000}"/>
    <cellStyle name="20% - Accent1 2 9" xfId="40" xr:uid="{00000000-0005-0000-0000-00001F000000}"/>
    <cellStyle name="20% - Accent1 2 9 2" xfId="41" xr:uid="{00000000-0005-0000-0000-000020000000}"/>
    <cellStyle name="20% - Accent1 3" xfId="42" xr:uid="{00000000-0005-0000-0000-000021000000}"/>
    <cellStyle name="20% - Accent1 3 2" xfId="43" xr:uid="{00000000-0005-0000-0000-000022000000}"/>
    <cellStyle name="20% - Accent1 3 2 2" xfId="44" xr:uid="{00000000-0005-0000-0000-000023000000}"/>
    <cellStyle name="20% - Accent1 3 3" xfId="45" xr:uid="{00000000-0005-0000-0000-000024000000}"/>
    <cellStyle name="20% - Accent1 4" xfId="46" xr:uid="{00000000-0005-0000-0000-000025000000}"/>
    <cellStyle name="20% - Accent1 4 2" xfId="47" xr:uid="{00000000-0005-0000-0000-000026000000}"/>
    <cellStyle name="20% - Accent1 4 2 2" xfId="48" xr:uid="{00000000-0005-0000-0000-000027000000}"/>
    <cellStyle name="20% - Accent1 4 3" xfId="49" xr:uid="{00000000-0005-0000-0000-000028000000}"/>
    <cellStyle name="20% - Accent1 5" xfId="50" xr:uid="{00000000-0005-0000-0000-000029000000}"/>
    <cellStyle name="20% - Accent1 5 2" xfId="51" xr:uid="{00000000-0005-0000-0000-00002A000000}"/>
    <cellStyle name="20% - Accent1 5 2 2" xfId="52" xr:uid="{00000000-0005-0000-0000-00002B000000}"/>
    <cellStyle name="20% - Accent1 5 3" xfId="53" xr:uid="{00000000-0005-0000-0000-00002C000000}"/>
    <cellStyle name="20% - Accent1 6" xfId="54" xr:uid="{00000000-0005-0000-0000-00002D000000}"/>
    <cellStyle name="20% - Accent1 6 2" xfId="55" xr:uid="{00000000-0005-0000-0000-00002E000000}"/>
    <cellStyle name="20% - Accent1 6 2 2" xfId="56" xr:uid="{00000000-0005-0000-0000-00002F000000}"/>
    <cellStyle name="20% - Accent1 6 3" xfId="57" xr:uid="{00000000-0005-0000-0000-000030000000}"/>
    <cellStyle name="20% - Accent1 7" xfId="58" xr:uid="{00000000-0005-0000-0000-000031000000}"/>
    <cellStyle name="20% - Accent1 7 2" xfId="59" xr:uid="{00000000-0005-0000-0000-000032000000}"/>
    <cellStyle name="20% - Accent1 7 2 2" xfId="60" xr:uid="{00000000-0005-0000-0000-000033000000}"/>
    <cellStyle name="20% - Accent1 7 3" xfId="61" xr:uid="{00000000-0005-0000-0000-000034000000}"/>
    <cellStyle name="20% - Accent1 8" xfId="62" xr:uid="{00000000-0005-0000-0000-000035000000}"/>
    <cellStyle name="20% - Accent1 8 2" xfId="63" xr:uid="{00000000-0005-0000-0000-000036000000}"/>
    <cellStyle name="20% - Accent1 8 2 2" xfId="64" xr:uid="{00000000-0005-0000-0000-000037000000}"/>
    <cellStyle name="20% - Accent1 8 3" xfId="65" xr:uid="{00000000-0005-0000-0000-000038000000}"/>
    <cellStyle name="20% - Accent1 9" xfId="66" xr:uid="{00000000-0005-0000-0000-000039000000}"/>
    <cellStyle name="20% - Accent2 10" xfId="67" xr:uid="{00000000-0005-0000-0000-00003A000000}"/>
    <cellStyle name="20% - Accent2 2" xfId="68" xr:uid="{00000000-0005-0000-0000-00003B000000}"/>
    <cellStyle name="20% - Accent2 2 10" xfId="69" xr:uid="{00000000-0005-0000-0000-00003C000000}"/>
    <cellStyle name="20% - Accent2 2 2" xfId="70" xr:uid="{00000000-0005-0000-0000-00003D000000}"/>
    <cellStyle name="20% - Accent2 2 2 2" xfId="71" xr:uid="{00000000-0005-0000-0000-00003E000000}"/>
    <cellStyle name="20% - Accent2 2 2 2 2" xfId="72" xr:uid="{00000000-0005-0000-0000-00003F000000}"/>
    <cellStyle name="20% - Accent2 2 2 3" xfId="73" xr:uid="{00000000-0005-0000-0000-000040000000}"/>
    <cellStyle name="20% - Accent2 2 3" xfId="74" xr:uid="{00000000-0005-0000-0000-000041000000}"/>
    <cellStyle name="20% - Accent2 2 3 2" xfId="75" xr:uid="{00000000-0005-0000-0000-000042000000}"/>
    <cellStyle name="20% - Accent2 2 3 2 2" xfId="76" xr:uid="{00000000-0005-0000-0000-000043000000}"/>
    <cellStyle name="20% - Accent2 2 3 3" xfId="77" xr:uid="{00000000-0005-0000-0000-000044000000}"/>
    <cellStyle name="20% - Accent2 2 4" xfId="78" xr:uid="{00000000-0005-0000-0000-000045000000}"/>
    <cellStyle name="20% - Accent2 2 4 2" xfId="79" xr:uid="{00000000-0005-0000-0000-000046000000}"/>
    <cellStyle name="20% - Accent2 2 4 2 2" xfId="80" xr:uid="{00000000-0005-0000-0000-000047000000}"/>
    <cellStyle name="20% - Accent2 2 4 3" xfId="81" xr:uid="{00000000-0005-0000-0000-000048000000}"/>
    <cellStyle name="20% - Accent2 2 5" xfId="82" xr:uid="{00000000-0005-0000-0000-000049000000}"/>
    <cellStyle name="20% - Accent2 2 5 2" xfId="83" xr:uid="{00000000-0005-0000-0000-00004A000000}"/>
    <cellStyle name="20% - Accent2 2 5 2 2" xfId="84" xr:uid="{00000000-0005-0000-0000-00004B000000}"/>
    <cellStyle name="20% - Accent2 2 5 3" xfId="85" xr:uid="{00000000-0005-0000-0000-00004C000000}"/>
    <cellStyle name="20% - Accent2 2 6" xfId="86" xr:uid="{00000000-0005-0000-0000-00004D000000}"/>
    <cellStyle name="20% - Accent2 2 6 2" xfId="87" xr:uid="{00000000-0005-0000-0000-00004E000000}"/>
    <cellStyle name="20% - Accent2 2 6 2 2" xfId="88" xr:uid="{00000000-0005-0000-0000-00004F000000}"/>
    <cellStyle name="20% - Accent2 2 6 3" xfId="89" xr:uid="{00000000-0005-0000-0000-000050000000}"/>
    <cellStyle name="20% - Accent2 2 7" xfId="90" xr:uid="{00000000-0005-0000-0000-000051000000}"/>
    <cellStyle name="20% - Accent2 2 7 2" xfId="91" xr:uid="{00000000-0005-0000-0000-000052000000}"/>
    <cellStyle name="20% - Accent2 2 7 2 2" xfId="92" xr:uid="{00000000-0005-0000-0000-000053000000}"/>
    <cellStyle name="20% - Accent2 2 7 3" xfId="93" xr:uid="{00000000-0005-0000-0000-000054000000}"/>
    <cellStyle name="20% - Accent2 2 8" xfId="94" xr:uid="{00000000-0005-0000-0000-000055000000}"/>
    <cellStyle name="20% - Accent2 2 8 2" xfId="95" xr:uid="{00000000-0005-0000-0000-000056000000}"/>
    <cellStyle name="20% - Accent2 2 8 2 2" xfId="96" xr:uid="{00000000-0005-0000-0000-000057000000}"/>
    <cellStyle name="20% - Accent2 2 8 3" xfId="97" xr:uid="{00000000-0005-0000-0000-000058000000}"/>
    <cellStyle name="20% - Accent2 2 9" xfId="98" xr:uid="{00000000-0005-0000-0000-000059000000}"/>
    <cellStyle name="20% - Accent2 2 9 2" xfId="99" xr:uid="{00000000-0005-0000-0000-00005A000000}"/>
    <cellStyle name="20% - Accent2 3" xfId="100" xr:uid="{00000000-0005-0000-0000-00005B000000}"/>
    <cellStyle name="20% - Accent2 3 2" xfId="101" xr:uid="{00000000-0005-0000-0000-00005C000000}"/>
    <cellStyle name="20% - Accent2 3 2 2" xfId="102" xr:uid="{00000000-0005-0000-0000-00005D000000}"/>
    <cellStyle name="20% - Accent2 3 3" xfId="103" xr:uid="{00000000-0005-0000-0000-00005E000000}"/>
    <cellStyle name="20% - Accent2 4" xfId="104" xr:uid="{00000000-0005-0000-0000-00005F000000}"/>
    <cellStyle name="20% - Accent2 4 2" xfId="105" xr:uid="{00000000-0005-0000-0000-000060000000}"/>
    <cellStyle name="20% - Accent2 4 2 2" xfId="106" xr:uid="{00000000-0005-0000-0000-000061000000}"/>
    <cellStyle name="20% - Accent2 4 3" xfId="107" xr:uid="{00000000-0005-0000-0000-000062000000}"/>
    <cellStyle name="20% - Accent2 5" xfId="108" xr:uid="{00000000-0005-0000-0000-000063000000}"/>
    <cellStyle name="20% - Accent2 5 2" xfId="109" xr:uid="{00000000-0005-0000-0000-000064000000}"/>
    <cellStyle name="20% - Accent2 5 2 2" xfId="110" xr:uid="{00000000-0005-0000-0000-000065000000}"/>
    <cellStyle name="20% - Accent2 5 3" xfId="111" xr:uid="{00000000-0005-0000-0000-000066000000}"/>
    <cellStyle name="20% - Accent2 6" xfId="112" xr:uid="{00000000-0005-0000-0000-000067000000}"/>
    <cellStyle name="20% - Accent2 6 2" xfId="113" xr:uid="{00000000-0005-0000-0000-000068000000}"/>
    <cellStyle name="20% - Accent2 6 2 2" xfId="114" xr:uid="{00000000-0005-0000-0000-000069000000}"/>
    <cellStyle name="20% - Accent2 6 3" xfId="115" xr:uid="{00000000-0005-0000-0000-00006A000000}"/>
    <cellStyle name="20% - Accent2 7" xfId="116" xr:uid="{00000000-0005-0000-0000-00006B000000}"/>
    <cellStyle name="20% - Accent2 7 2" xfId="117" xr:uid="{00000000-0005-0000-0000-00006C000000}"/>
    <cellStyle name="20% - Accent2 7 2 2" xfId="118" xr:uid="{00000000-0005-0000-0000-00006D000000}"/>
    <cellStyle name="20% - Accent2 7 3" xfId="119" xr:uid="{00000000-0005-0000-0000-00006E000000}"/>
    <cellStyle name="20% - Accent2 8" xfId="120" xr:uid="{00000000-0005-0000-0000-00006F000000}"/>
    <cellStyle name="20% - Accent2 8 2" xfId="121" xr:uid="{00000000-0005-0000-0000-000070000000}"/>
    <cellStyle name="20% - Accent2 8 2 2" xfId="122" xr:uid="{00000000-0005-0000-0000-000071000000}"/>
    <cellStyle name="20% - Accent2 8 3" xfId="123" xr:uid="{00000000-0005-0000-0000-000072000000}"/>
    <cellStyle name="20% - Accent2 9" xfId="124" xr:uid="{00000000-0005-0000-0000-000073000000}"/>
    <cellStyle name="20% - Accent3 10" xfId="125" xr:uid="{00000000-0005-0000-0000-000074000000}"/>
    <cellStyle name="20% - Accent3 2" xfId="126" xr:uid="{00000000-0005-0000-0000-000075000000}"/>
    <cellStyle name="20% - Accent3 2 10" xfId="127" xr:uid="{00000000-0005-0000-0000-000076000000}"/>
    <cellStyle name="20% - Accent3 2 2" xfId="128" xr:uid="{00000000-0005-0000-0000-000077000000}"/>
    <cellStyle name="20% - Accent3 2 2 2" xfId="129" xr:uid="{00000000-0005-0000-0000-000078000000}"/>
    <cellStyle name="20% - Accent3 2 2 2 2" xfId="130" xr:uid="{00000000-0005-0000-0000-000079000000}"/>
    <cellStyle name="20% - Accent3 2 2 3" xfId="131" xr:uid="{00000000-0005-0000-0000-00007A000000}"/>
    <cellStyle name="20% - Accent3 2 3" xfId="132" xr:uid="{00000000-0005-0000-0000-00007B000000}"/>
    <cellStyle name="20% - Accent3 2 3 2" xfId="133" xr:uid="{00000000-0005-0000-0000-00007C000000}"/>
    <cellStyle name="20% - Accent3 2 3 2 2" xfId="134" xr:uid="{00000000-0005-0000-0000-00007D000000}"/>
    <cellStyle name="20% - Accent3 2 3 3" xfId="135" xr:uid="{00000000-0005-0000-0000-00007E000000}"/>
    <cellStyle name="20% - Accent3 2 4" xfId="136" xr:uid="{00000000-0005-0000-0000-00007F000000}"/>
    <cellStyle name="20% - Accent3 2 4 2" xfId="137" xr:uid="{00000000-0005-0000-0000-000080000000}"/>
    <cellStyle name="20% - Accent3 2 4 2 2" xfId="138" xr:uid="{00000000-0005-0000-0000-000081000000}"/>
    <cellStyle name="20% - Accent3 2 4 3" xfId="139" xr:uid="{00000000-0005-0000-0000-000082000000}"/>
    <cellStyle name="20% - Accent3 2 5" xfId="140" xr:uid="{00000000-0005-0000-0000-000083000000}"/>
    <cellStyle name="20% - Accent3 2 5 2" xfId="141" xr:uid="{00000000-0005-0000-0000-000084000000}"/>
    <cellStyle name="20% - Accent3 2 5 2 2" xfId="142" xr:uid="{00000000-0005-0000-0000-000085000000}"/>
    <cellStyle name="20% - Accent3 2 5 3" xfId="143" xr:uid="{00000000-0005-0000-0000-000086000000}"/>
    <cellStyle name="20% - Accent3 2 6" xfId="144" xr:uid="{00000000-0005-0000-0000-000087000000}"/>
    <cellStyle name="20% - Accent3 2 6 2" xfId="145" xr:uid="{00000000-0005-0000-0000-000088000000}"/>
    <cellStyle name="20% - Accent3 2 6 2 2" xfId="146" xr:uid="{00000000-0005-0000-0000-000089000000}"/>
    <cellStyle name="20% - Accent3 2 6 3" xfId="147" xr:uid="{00000000-0005-0000-0000-00008A000000}"/>
    <cellStyle name="20% - Accent3 2 7" xfId="148" xr:uid="{00000000-0005-0000-0000-00008B000000}"/>
    <cellStyle name="20% - Accent3 2 7 2" xfId="149" xr:uid="{00000000-0005-0000-0000-00008C000000}"/>
    <cellStyle name="20% - Accent3 2 7 2 2" xfId="150" xr:uid="{00000000-0005-0000-0000-00008D000000}"/>
    <cellStyle name="20% - Accent3 2 7 3" xfId="151" xr:uid="{00000000-0005-0000-0000-00008E000000}"/>
    <cellStyle name="20% - Accent3 2 8" xfId="152" xr:uid="{00000000-0005-0000-0000-00008F000000}"/>
    <cellStyle name="20% - Accent3 2 8 2" xfId="153" xr:uid="{00000000-0005-0000-0000-000090000000}"/>
    <cellStyle name="20% - Accent3 2 8 2 2" xfId="154" xr:uid="{00000000-0005-0000-0000-000091000000}"/>
    <cellStyle name="20% - Accent3 2 8 3" xfId="155" xr:uid="{00000000-0005-0000-0000-000092000000}"/>
    <cellStyle name="20% - Accent3 2 9" xfId="156" xr:uid="{00000000-0005-0000-0000-000093000000}"/>
    <cellStyle name="20% - Accent3 2 9 2" xfId="157" xr:uid="{00000000-0005-0000-0000-000094000000}"/>
    <cellStyle name="20% - Accent3 3" xfId="158" xr:uid="{00000000-0005-0000-0000-000095000000}"/>
    <cellStyle name="20% - Accent3 3 2" xfId="159" xr:uid="{00000000-0005-0000-0000-000096000000}"/>
    <cellStyle name="20% - Accent3 3 2 2" xfId="160" xr:uid="{00000000-0005-0000-0000-000097000000}"/>
    <cellStyle name="20% - Accent3 3 3" xfId="161" xr:uid="{00000000-0005-0000-0000-000098000000}"/>
    <cellStyle name="20% - Accent3 4" xfId="162" xr:uid="{00000000-0005-0000-0000-000099000000}"/>
    <cellStyle name="20% - Accent3 4 2" xfId="163" xr:uid="{00000000-0005-0000-0000-00009A000000}"/>
    <cellStyle name="20% - Accent3 4 2 2" xfId="164" xr:uid="{00000000-0005-0000-0000-00009B000000}"/>
    <cellStyle name="20% - Accent3 4 3" xfId="165" xr:uid="{00000000-0005-0000-0000-00009C000000}"/>
    <cellStyle name="20% - Accent3 5" xfId="166" xr:uid="{00000000-0005-0000-0000-00009D000000}"/>
    <cellStyle name="20% - Accent3 5 2" xfId="167" xr:uid="{00000000-0005-0000-0000-00009E000000}"/>
    <cellStyle name="20% - Accent3 5 2 2" xfId="168" xr:uid="{00000000-0005-0000-0000-00009F000000}"/>
    <cellStyle name="20% - Accent3 5 3" xfId="169" xr:uid="{00000000-0005-0000-0000-0000A0000000}"/>
    <cellStyle name="20% - Accent3 6" xfId="170" xr:uid="{00000000-0005-0000-0000-0000A1000000}"/>
    <cellStyle name="20% - Accent3 6 2" xfId="171" xr:uid="{00000000-0005-0000-0000-0000A2000000}"/>
    <cellStyle name="20% - Accent3 6 2 2" xfId="172" xr:uid="{00000000-0005-0000-0000-0000A3000000}"/>
    <cellStyle name="20% - Accent3 6 3" xfId="173" xr:uid="{00000000-0005-0000-0000-0000A4000000}"/>
    <cellStyle name="20% - Accent3 7" xfId="174" xr:uid="{00000000-0005-0000-0000-0000A5000000}"/>
    <cellStyle name="20% - Accent3 7 2" xfId="175" xr:uid="{00000000-0005-0000-0000-0000A6000000}"/>
    <cellStyle name="20% - Accent3 7 2 2" xfId="176" xr:uid="{00000000-0005-0000-0000-0000A7000000}"/>
    <cellStyle name="20% - Accent3 7 3" xfId="177" xr:uid="{00000000-0005-0000-0000-0000A8000000}"/>
    <cellStyle name="20% - Accent3 8" xfId="178" xr:uid="{00000000-0005-0000-0000-0000A9000000}"/>
    <cellStyle name="20% - Accent3 8 2" xfId="179" xr:uid="{00000000-0005-0000-0000-0000AA000000}"/>
    <cellStyle name="20% - Accent3 8 2 2" xfId="180" xr:uid="{00000000-0005-0000-0000-0000AB000000}"/>
    <cellStyle name="20% - Accent3 8 3" xfId="181" xr:uid="{00000000-0005-0000-0000-0000AC000000}"/>
    <cellStyle name="20% - Accent3 9" xfId="182" xr:uid="{00000000-0005-0000-0000-0000AD000000}"/>
    <cellStyle name="20% - Accent4 10" xfId="183" xr:uid="{00000000-0005-0000-0000-0000AE000000}"/>
    <cellStyle name="20% - Accent4 2" xfId="184" xr:uid="{00000000-0005-0000-0000-0000AF000000}"/>
    <cellStyle name="20% - Accent4 2 10" xfId="185" xr:uid="{00000000-0005-0000-0000-0000B0000000}"/>
    <cellStyle name="20% - Accent4 2 2" xfId="186" xr:uid="{00000000-0005-0000-0000-0000B1000000}"/>
    <cellStyle name="20% - Accent4 2 2 2" xfId="187" xr:uid="{00000000-0005-0000-0000-0000B2000000}"/>
    <cellStyle name="20% - Accent4 2 2 2 2" xfId="188" xr:uid="{00000000-0005-0000-0000-0000B3000000}"/>
    <cellStyle name="20% - Accent4 2 2 3" xfId="189" xr:uid="{00000000-0005-0000-0000-0000B4000000}"/>
    <cellStyle name="20% - Accent4 2 3" xfId="190" xr:uid="{00000000-0005-0000-0000-0000B5000000}"/>
    <cellStyle name="20% - Accent4 2 3 2" xfId="191" xr:uid="{00000000-0005-0000-0000-0000B6000000}"/>
    <cellStyle name="20% - Accent4 2 3 2 2" xfId="192" xr:uid="{00000000-0005-0000-0000-0000B7000000}"/>
    <cellStyle name="20% - Accent4 2 3 3" xfId="193" xr:uid="{00000000-0005-0000-0000-0000B8000000}"/>
    <cellStyle name="20% - Accent4 2 4" xfId="194" xr:uid="{00000000-0005-0000-0000-0000B9000000}"/>
    <cellStyle name="20% - Accent4 2 4 2" xfId="195" xr:uid="{00000000-0005-0000-0000-0000BA000000}"/>
    <cellStyle name="20% - Accent4 2 4 2 2" xfId="196" xr:uid="{00000000-0005-0000-0000-0000BB000000}"/>
    <cellStyle name="20% - Accent4 2 4 3" xfId="197" xr:uid="{00000000-0005-0000-0000-0000BC000000}"/>
    <cellStyle name="20% - Accent4 2 5" xfId="198" xr:uid="{00000000-0005-0000-0000-0000BD000000}"/>
    <cellStyle name="20% - Accent4 2 5 2" xfId="199" xr:uid="{00000000-0005-0000-0000-0000BE000000}"/>
    <cellStyle name="20% - Accent4 2 5 2 2" xfId="200" xr:uid="{00000000-0005-0000-0000-0000BF000000}"/>
    <cellStyle name="20% - Accent4 2 5 3" xfId="201" xr:uid="{00000000-0005-0000-0000-0000C0000000}"/>
    <cellStyle name="20% - Accent4 2 6" xfId="202" xr:uid="{00000000-0005-0000-0000-0000C1000000}"/>
    <cellStyle name="20% - Accent4 2 6 2" xfId="203" xr:uid="{00000000-0005-0000-0000-0000C2000000}"/>
    <cellStyle name="20% - Accent4 2 6 2 2" xfId="204" xr:uid="{00000000-0005-0000-0000-0000C3000000}"/>
    <cellStyle name="20% - Accent4 2 6 3" xfId="205" xr:uid="{00000000-0005-0000-0000-0000C4000000}"/>
    <cellStyle name="20% - Accent4 2 7" xfId="206" xr:uid="{00000000-0005-0000-0000-0000C5000000}"/>
    <cellStyle name="20% - Accent4 2 7 2" xfId="207" xr:uid="{00000000-0005-0000-0000-0000C6000000}"/>
    <cellStyle name="20% - Accent4 2 7 2 2" xfId="208" xr:uid="{00000000-0005-0000-0000-0000C7000000}"/>
    <cellStyle name="20% - Accent4 2 7 3" xfId="209" xr:uid="{00000000-0005-0000-0000-0000C8000000}"/>
    <cellStyle name="20% - Accent4 2 8" xfId="210" xr:uid="{00000000-0005-0000-0000-0000C9000000}"/>
    <cellStyle name="20% - Accent4 2 8 2" xfId="211" xr:uid="{00000000-0005-0000-0000-0000CA000000}"/>
    <cellStyle name="20% - Accent4 2 8 2 2" xfId="212" xr:uid="{00000000-0005-0000-0000-0000CB000000}"/>
    <cellStyle name="20% - Accent4 2 8 3" xfId="213" xr:uid="{00000000-0005-0000-0000-0000CC000000}"/>
    <cellStyle name="20% - Accent4 2 9" xfId="214" xr:uid="{00000000-0005-0000-0000-0000CD000000}"/>
    <cellStyle name="20% - Accent4 2 9 2" xfId="215" xr:uid="{00000000-0005-0000-0000-0000CE000000}"/>
    <cellStyle name="20% - Accent4 3" xfId="216" xr:uid="{00000000-0005-0000-0000-0000CF000000}"/>
    <cellStyle name="20% - Accent4 3 2" xfId="217" xr:uid="{00000000-0005-0000-0000-0000D0000000}"/>
    <cellStyle name="20% - Accent4 3 2 2" xfId="218" xr:uid="{00000000-0005-0000-0000-0000D1000000}"/>
    <cellStyle name="20% - Accent4 3 3" xfId="219" xr:uid="{00000000-0005-0000-0000-0000D2000000}"/>
    <cellStyle name="20% - Accent4 4" xfId="220" xr:uid="{00000000-0005-0000-0000-0000D3000000}"/>
    <cellStyle name="20% - Accent4 4 2" xfId="221" xr:uid="{00000000-0005-0000-0000-0000D4000000}"/>
    <cellStyle name="20% - Accent4 4 2 2" xfId="222" xr:uid="{00000000-0005-0000-0000-0000D5000000}"/>
    <cellStyle name="20% - Accent4 4 3" xfId="223" xr:uid="{00000000-0005-0000-0000-0000D6000000}"/>
    <cellStyle name="20% - Accent4 5" xfId="224" xr:uid="{00000000-0005-0000-0000-0000D7000000}"/>
    <cellStyle name="20% - Accent4 5 2" xfId="225" xr:uid="{00000000-0005-0000-0000-0000D8000000}"/>
    <cellStyle name="20% - Accent4 5 2 2" xfId="226" xr:uid="{00000000-0005-0000-0000-0000D9000000}"/>
    <cellStyle name="20% - Accent4 5 3" xfId="227" xr:uid="{00000000-0005-0000-0000-0000DA000000}"/>
    <cellStyle name="20% - Accent4 6" xfId="228" xr:uid="{00000000-0005-0000-0000-0000DB000000}"/>
    <cellStyle name="20% - Accent4 6 2" xfId="229" xr:uid="{00000000-0005-0000-0000-0000DC000000}"/>
    <cellStyle name="20% - Accent4 6 2 2" xfId="230" xr:uid="{00000000-0005-0000-0000-0000DD000000}"/>
    <cellStyle name="20% - Accent4 6 3" xfId="231" xr:uid="{00000000-0005-0000-0000-0000DE000000}"/>
    <cellStyle name="20% - Accent4 7" xfId="232" xr:uid="{00000000-0005-0000-0000-0000DF000000}"/>
    <cellStyle name="20% - Accent4 7 2" xfId="233" xr:uid="{00000000-0005-0000-0000-0000E0000000}"/>
    <cellStyle name="20% - Accent4 7 2 2" xfId="234" xr:uid="{00000000-0005-0000-0000-0000E1000000}"/>
    <cellStyle name="20% - Accent4 7 3" xfId="235" xr:uid="{00000000-0005-0000-0000-0000E2000000}"/>
    <cellStyle name="20% - Accent4 8" xfId="236" xr:uid="{00000000-0005-0000-0000-0000E3000000}"/>
    <cellStyle name="20% - Accent4 8 2" xfId="237" xr:uid="{00000000-0005-0000-0000-0000E4000000}"/>
    <cellStyle name="20% - Accent4 8 2 2" xfId="238" xr:uid="{00000000-0005-0000-0000-0000E5000000}"/>
    <cellStyle name="20% - Accent4 8 3" xfId="239" xr:uid="{00000000-0005-0000-0000-0000E6000000}"/>
    <cellStyle name="20% - Accent4 9" xfId="240" xr:uid="{00000000-0005-0000-0000-0000E7000000}"/>
    <cellStyle name="20% - Accent5 10" xfId="241" xr:uid="{00000000-0005-0000-0000-0000E8000000}"/>
    <cellStyle name="20% - Accent5 2" xfId="242" xr:uid="{00000000-0005-0000-0000-0000E9000000}"/>
    <cellStyle name="20% - Accent5 2 10" xfId="243" xr:uid="{00000000-0005-0000-0000-0000EA000000}"/>
    <cellStyle name="20% - Accent5 2 2" xfId="244" xr:uid="{00000000-0005-0000-0000-0000EB000000}"/>
    <cellStyle name="20% - Accent5 2 2 2" xfId="245" xr:uid="{00000000-0005-0000-0000-0000EC000000}"/>
    <cellStyle name="20% - Accent5 2 2 2 2" xfId="246" xr:uid="{00000000-0005-0000-0000-0000ED000000}"/>
    <cellStyle name="20% - Accent5 2 2 3" xfId="247" xr:uid="{00000000-0005-0000-0000-0000EE000000}"/>
    <cellStyle name="20% - Accent5 2 3" xfId="248" xr:uid="{00000000-0005-0000-0000-0000EF000000}"/>
    <cellStyle name="20% - Accent5 2 3 2" xfId="249" xr:uid="{00000000-0005-0000-0000-0000F0000000}"/>
    <cellStyle name="20% - Accent5 2 3 2 2" xfId="250" xr:uid="{00000000-0005-0000-0000-0000F1000000}"/>
    <cellStyle name="20% - Accent5 2 3 3" xfId="251" xr:uid="{00000000-0005-0000-0000-0000F2000000}"/>
    <cellStyle name="20% - Accent5 2 4" xfId="252" xr:uid="{00000000-0005-0000-0000-0000F3000000}"/>
    <cellStyle name="20% - Accent5 2 4 2" xfId="253" xr:uid="{00000000-0005-0000-0000-0000F4000000}"/>
    <cellStyle name="20% - Accent5 2 4 2 2" xfId="254" xr:uid="{00000000-0005-0000-0000-0000F5000000}"/>
    <cellStyle name="20% - Accent5 2 4 3" xfId="255" xr:uid="{00000000-0005-0000-0000-0000F6000000}"/>
    <cellStyle name="20% - Accent5 2 5" xfId="256" xr:uid="{00000000-0005-0000-0000-0000F7000000}"/>
    <cellStyle name="20% - Accent5 2 5 2" xfId="257" xr:uid="{00000000-0005-0000-0000-0000F8000000}"/>
    <cellStyle name="20% - Accent5 2 5 2 2" xfId="258" xr:uid="{00000000-0005-0000-0000-0000F9000000}"/>
    <cellStyle name="20% - Accent5 2 5 3" xfId="259" xr:uid="{00000000-0005-0000-0000-0000FA000000}"/>
    <cellStyle name="20% - Accent5 2 6" xfId="260" xr:uid="{00000000-0005-0000-0000-0000FB000000}"/>
    <cellStyle name="20% - Accent5 2 6 2" xfId="261" xr:uid="{00000000-0005-0000-0000-0000FC000000}"/>
    <cellStyle name="20% - Accent5 2 6 2 2" xfId="262" xr:uid="{00000000-0005-0000-0000-0000FD000000}"/>
    <cellStyle name="20% - Accent5 2 6 3" xfId="263" xr:uid="{00000000-0005-0000-0000-0000FE000000}"/>
    <cellStyle name="20% - Accent5 2 7" xfId="264" xr:uid="{00000000-0005-0000-0000-0000FF000000}"/>
    <cellStyle name="20% - Accent5 2 7 2" xfId="265" xr:uid="{00000000-0005-0000-0000-000000010000}"/>
    <cellStyle name="20% - Accent5 2 7 2 2" xfId="266" xr:uid="{00000000-0005-0000-0000-000001010000}"/>
    <cellStyle name="20% - Accent5 2 7 3" xfId="267" xr:uid="{00000000-0005-0000-0000-000002010000}"/>
    <cellStyle name="20% - Accent5 2 8" xfId="268" xr:uid="{00000000-0005-0000-0000-000003010000}"/>
    <cellStyle name="20% - Accent5 2 8 2" xfId="269" xr:uid="{00000000-0005-0000-0000-000004010000}"/>
    <cellStyle name="20% - Accent5 2 8 2 2" xfId="270" xr:uid="{00000000-0005-0000-0000-000005010000}"/>
    <cellStyle name="20% - Accent5 2 8 3" xfId="271" xr:uid="{00000000-0005-0000-0000-000006010000}"/>
    <cellStyle name="20% - Accent5 2 9" xfId="272" xr:uid="{00000000-0005-0000-0000-000007010000}"/>
    <cellStyle name="20% - Accent5 2 9 2" xfId="273" xr:uid="{00000000-0005-0000-0000-000008010000}"/>
    <cellStyle name="20% - Accent5 3" xfId="274" xr:uid="{00000000-0005-0000-0000-000009010000}"/>
    <cellStyle name="20% - Accent5 3 2" xfId="275" xr:uid="{00000000-0005-0000-0000-00000A010000}"/>
    <cellStyle name="20% - Accent5 3 2 2" xfId="276" xr:uid="{00000000-0005-0000-0000-00000B010000}"/>
    <cellStyle name="20% - Accent5 3 3" xfId="277" xr:uid="{00000000-0005-0000-0000-00000C010000}"/>
    <cellStyle name="20% - Accent5 4" xfId="278" xr:uid="{00000000-0005-0000-0000-00000D010000}"/>
    <cellStyle name="20% - Accent5 4 2" xfId="279" xr:uid="{00000000-0005-0000-0000-00000E010000}"/>
    <cellStyle name="20% - Accent5 4 2 2" xfId="280" xr:uid="{00000000-0005-0000-0000-00000F010000}"/>
    <cellStyle name="20% - Accent5 4 3" xfId="281" xr:uid="{00000000-0005-0000-0000-000010010000}"/>
    <cellStyle name="20% - Accent5 5" xfId="282" xr:uid="{00000000-0005-0000-0000-000011010000}"/>
    <cellStyle name="20% - Accent5 5 2" xfId="283" xr:uid="{00000000-0005-0000-0000-000012010000}"/>
    <cellStyle name="20% - Accent5 5 2 2" xfId="284" xr:uid="{00000000-0005-0000-0000-000013010000}"/>
    <cellStyle name="20% - Accent5 5 3" xfId="285" xr:uid="{00000000-0005-0000-0000-000014010000}"/>
    <cellStyle name="20% - Accent5 6" xfId="286" xr:uid="{00000000-0005-0000-0000-000015010000}"/>
    <cellStyle name="20% - Accent5 6 2" xfId="287" xr:uid="{00000000-0005-0000-0000-000016010000}"/>
    <cellStyle name="20% - Accent5 6 2 2" xfId="288" xr:uid="{00000000-0005-0000-0000-000017010000}"/>
    <cellStyle name="20% - Accent5 6 3" xfId="289" xr:uid="{00000000-0005-0000-0000-000018010000}"/>
    <cellStyle name="20% - Accent5 7" xfId="290" xr:uid="{00000000-0005-0000-0000-000019010000}"/>
    <cellStyle name="20% - Accent5 7 2" xfId="291" xr:uid="{00000000-0005-0000-0000-00001A010000}"/>
    <cellStyle name="20% - Accent5 7 2 2" xfId="292" xr:uid="{00000000-0005-0000-0000-00001B010000}"/>
    <cellStyle name="20% - Accent5 7 3" xfId="293" xr:uid="{00000000-0005-0000-0000-00001C010000}"/>
    <cellStyle name="20% - Accent5 8" xfId="294" xr:uid="{00000000-0005-0000-0000-00001D010000}"/>
    <cellStyle name="20% - Accent5 8 2" xfId="295" xr:uid="{00000000-0005-0000-0000-00001E010000}"/>
    <cellStyle name="20% - Accent5 8 2 2" xfId="296" xr:uid="{00000000-0005-0000-0000-00001F010000}"/>
    <cellStyle name="20% - Accent5 8 3" xfId="297" xr:uid="{00000000-0005-0000-0000-000020010000}"/>
    <cellStyle name="20% - Accent5 9" xfId="298" xr:uid="{00000000-0005-0000-0000-000021010000}"/>
    <cellStyle name="20% - Accent6 10" xfId="299" xr:uid="{00000000-0005-0000-0000-000022010000}"/>
    <cellStyle name="20% - Accent6 2" xfId="300" xr:uid="{00000000-0005-0000-0000-000023010000}"/>
    <cellStyle name="20% - Accent6 2 10" xfId="301" xr:uid="{00000000-0005-0000-0000-000024010000}"/>
    <cellStyle name="20% - Accent6 2 2" xfId="302" xr:uid="{00000000-0005-0000-0000-000025010000}"/>
    <cellStyle name="20% - Accent6 2 2 2" xfId="303" xr:uid="{00000000-0005-0000-0000-000026010000}"/>
    <cellStyle name="20% - Accent6 2 2 2 2" xfId="304" xr:uid="{00000000-0005-0000-0000-000027010000}"/>
    <cellStyle name="20% - Accent6 2 2 3" xfId="305" xr:uid="{00000000-0005-0000-0000-000028010000}"/>
    <cellStyle name="20% - Accent6 2 3" xfId="306" xr:uid="{00000000-0005-0000-0000-000029010000}"/>
    <cellStyle name="20% - Accent6 2 3 2" xfId="307" xr:uid="{00000000-0005-0000-0000-00002A010000}"/>
    <cellStyle name="20% - Accent6 2 3 2 2" xfId="308" xr:uid="{00000000-0005-0000-0000-00002B010000}"/>
    <cellStyle name="20% - Accent6 2 3 3" xfId="309" xr:uid="{00000000-0005-0000-0000-00002C010000}"/>
    <cellStyle name="20% - Accent6 2 4" xfId="310" xr:uid="{00000000-0005-0000-0000-00002D010000}"/>
    <cellStyle name="20% - Accent6 2 4 2" xfId="311" xr:uid="{00000000-0005-0000-0000-00002E010000}"/>
    <cellStyle name="20% - Accent6 2 4 2 2" xfId="312" xr:uid="{00000000-0005-0000-0000-00002F010000}"/>
    <cellStyle name="20% - Accent6 2 4 3" xfId="313" xr:uid="{00000000-0005-0000-0000-000030010000}"/>
    <cellStyle name="20% - Accent6 2 5" xfId="314" xr:uid="{00000000-0005-0000-0000-000031010000}"/>
    <cellStyle name="20% - Accent6 2 5 2" xfId="315" xr:uid="{00000000-0005-0000-0000-000032010000}"/>
    <cellStyle name="20% - Accent6 2 5 2 2" xfId="316" xr:uid="{00000000-0005-0000-0000-000033010000}"/>
    <cellStyle name="20% - Accent6 2 5 3" xfId="317" xr:uid="{00000000-0005-0000-0000-000034010000}"/>
    <cellStyle name="20% - Accent6 2 6" xfId="318" xr:uid="{00000000-0005-0000-0000-000035010000}"/>
    <cellStyle name="20% - Accent6 2 6 2" xfId="319" xr:uid="{00000000-0005-0000-0000-000036010000}"/>
    <cellStyle name="20% - Accent6 2 6 2 2" xfId="320" xr:uid="{00000000-0005-0000-0000-000037010000}"/>
    <cellStyle name="20% - Accent6 2 6 3" xfId="321" xr:uid="{00000000-0005-0000-0000-000038010000}"/>
    <cellStyle name="20% - Accent6 2 7" xfId="322" xr:uid="{00000000-0005-0000-0000-000039010000}"/>
    <cellStyle name="20% - Accent6 2 7 2" xfId="323" xr:uid="{00000000-0005-0000-0000-00003A010000}"/>
    <cellStyle name="20% - Accent6 2 7 2 2" xfId="324" xr:uid="{00000000-0005-0000-0000-00003B010000}"/>
    <cellStyle name="20% - Accent6 2 7 3" xfId="325" xr:uid="{00000000-0005-0000-0000-00003C010000}"/>
    <cellStyle name="20% - Accent6 2 8" xfId="326" xr:uid="{00000000-0005-0000-0000-00003D010000}"/>
    <cellStyle name="20% - Accent6 2 8 2" xfId="327" xr:uid="{00000000-0005-0000-0000-00003E010000}"/>
    <cellStyle name="20% - Accent6 2 8 2 2" xfId="328" xr:uid="{00000000-0005-0000-0000-00003F010000}"/>
    <cellStyle name="20% - Accent6 2 8 3" xfId="329" xr:uid="{00000000-0005-0000-0000-000040010000}"/>
    <cellStyle name="20% - Accent6 2 9" xfId="330" xr:uid="{00000000-0005-0000-0000-000041010000}"/>
    <cellStyle name="20% - Accent6 2 9 2" xfId="331" xr:uid="{00000000-0005-0000-0000-000042010000}"/>
    <cellStyle name="20% - Accent6 3" xfId="332" xr:uid="{00000000-0005-0000-0000-000043010000}"/>
    <cellStyle name="20% - Accent6 3 2" xfId="333" xr:uid="{00000000-0005-0000-0000-000044010000}"/>
    <cellStyle name="20% - Accent6 3 2 2" xfId="334" xr:uid="{00000000-0005-0000-0000-000045010000}"/>
    <cellStyle name="20% - Accent6 3 3" xfId="335" xr:uid="{00000000-0005-0000-0000-000046010000}"/>
    <cellStyle name="20% - Accent6 4" xfId="336" xr:uid="{00000000-0005-0000-0000-000047010000}"/>
    <cellStyle name="20% - Accent6 4 2" xfId="337" xr:uid="{00000000-0005-0000-0000-000048010000}"/>
    <cellStyle name="20% - Accent6 4 2 2" xfId="338" xr:uid="{00000000-0005-0000-0000-000049010000}"/>
    <cellStyle name="20% - Accent6 4 3" xfId="339" xr:uid="{00000000-0005-0000-0000-00004A010000}"/>
    <cellStyle name="20% - Accent6 5" xfId="340" xr:uid="{00000000-0005-0000-0000-00004B010000}"/>
    <cellStyle name="20% - Accent6 5 2" xfId="341" xr:uid="{00000000-0005-0000-0000-00004C010000}"/>
    <cellStyle name="20% - Accent6 5 2 2" xfId="342" xr:uid="{00000000-0005-0000-0000-00004D010000}"/>
    <cellStyle name="20% - Accent6 5 3" xfId="343" xr:uid="{00000000-0005-0000-0000-00004E010000}"/>
    <cellStyle name="20% - Accent6 6" xfId="344" xr:uid="{00000000-0005-0000-0000-00004F010000}"/>
    <cellStyle name="20% - Accent6 6 2" xfId="345" xr:uid="{00000000-0005-0000-0000-000050010000}"/>
    <cellStyle name="20% - Accent6 6 2 2" xfId="346" xr:uid="{00000000-0005-0000-0000-000051010000}"/>
    <cellStyle name="20% - Accent6 6 3" xfId="347" xr:uid="{00000000-0005-0000-0000-000052010000}"/>
    <cellStyle name="20% - Accent6 7" xfId="348" xr:uid="{00000000-0005-0000-0000-000053010000}"/>
    <cellStyle name="20% - Accent6 7 2" xfId="349" xr:uid="{00000000-0005-0000-0000-000054010000}"/>
    <cellStyle name="20% - Accent6 7 2 2" xfId="350" xr:uid="{00000000-0005-0000-0000-000055010000}"/>
    <cellStyle name="20% - Accent6 7 3" xfId="351" xr:uid="{00000000-0005-0000-0000-000056010000}"/>
    <cellStyle name="20% - Accent6 8" xfId="352" xr:uid="{00000000-0005-0000-0000-000057010000}"/>
    <cellStyle name="20% - Accent6 8 2" xfId="353" xr:uid="{00000000-0005-0000-0000-000058010000}"/>
    <cellStyle name="20% - Accent6 8 2 2" xfId="354" xr:uid="{00000000-0005-0000-0000-000059010000}"/>
    <cellStyle name="20% - Accent6 8 3" xfId="355" xr:uid="{00000000-0005-0000-0000-00005A010000}"/>
    <cellStyle name="20% - Accent6 9" xfId="356" xr:uid="{00000000-0005-0000-0000-00005B010000}"/>
    <cellStyle name="2x indented GHG Textfiels" xfId="357" xr:uid="{00000000-0005-0000-0000-00005C010000}"/>
    <cellStyle name="2x indented GHG Textfiels 2" xfId="1297" xr:uid="{00000000-0005-0000-0000-00005D010000}"/>
    <cellStyle name="2x indented GHG Textfiels 2 10" xfId="1688" xr:uid="{00000000-0005-0000-0000-00005E010000}"/>
    <cellStyle name="2x indented GHG Textfiels 2 10 2" xfId="5820" xr:uid="{00000000-0005-0000-0000-00005F010000}"/>
    <cellStyle name="2x indented GHG Textfiels 2 10 2 2" xfId="22417" xr:uid="{00000000-0005-0000-0000-000060010000}"/>
    <cellStyle name="2x indented GHG Textfiels 2 10 3" xfId="12082" xr:uid="{00000000-0005-0000-0000-000061010000}"/>
    <cellStyle name="2x indented GHG Textfiels 2 10 3 2" xfId="26914" xr:uid="{00000000-0005-0000-0000-000062010000}"/>
    <cellStyle name="2x indented GHG Textfiels 2 11" xfId="5475" xr:uid="{00000000-0005-0000-0000-000063010000}"/>
    <cellStyle name="2x indented GHG Textfiels 2 11 2" xfId="15710" xr:uid="{00000000-0005-0000-0000-000064010000}"/>
    <cellStyle name="2x indented GHG Textfiels 2 11 2 2" xfId="30542" xr:uid="{00000000-0005-0000-0000-000065010000}"/>
    <cellStyle name="2x indented GHG Textfiels 2 11 3" xfId="22203" xr:uid="{00000000-0005-0000-0000-000066010000}"/>
    <cellStyle name="2x indented GHG Textfiels 2 2" xfId="1381" xr:uid="{00000000-0005-0000-0000-000067010000}"/>
    <cellStyle name="2x indented GHG Textfiels 2 2 2" xfId="1677" xr:uid="{00000000-0005-0000-0000-000068010000}"/>
    <cellStyle name="2x indented GHG Textfiels 2 2 2 2" xfId="2260" xr:uid="{00000000-0005-0000-0000-000069010000}"/>
    <cellStyle name="2x indented GHG Textfiels 2 2 2 2 2" xfId="4364" xr:uid="{00000000-0005-0000-0000-00006A010000}"/>
    <cellStyle name="2x indented GHG Textfiels 2 2 2 2 2 2" xfId="8403" xr:uid="{00000000-0005-0000-0000-00006B010000}"/>
    <cellStyle name="2x indented GHG Textfiels 2 2 2 2 2 2 2" xfId="24061" xr:uid="{00000000-0005-0000-0000-00006C010000}"/>
    <cellStyle name="2x indented GHG Textfiels 2 2 2 2 2 3" xfId="14693" xr:uid="{00000000-0005-0000-0000-00006D010000}"/>
    <cellStyle name="2x indented GHG Textfiels 2 2 2 2 2 3 2" xfId="29525" xr:uid="{00000000-0005-0000-0000-00006E010000}"/>
    <cellStyle name="2x indented GHG Textfiels 2 2 2 2 3" xfId="5228" xr:uid="{00000000-0005-0000-0000-00006F010000}"/>
    <cellStyle name="2x indented GHG Textfiels 2 2 2 2 3 2" xfId="9267" xr:uid="{00000000-0005-0000-0000-000070010000}"/>
    <cellStyle name="2x indented GHG Textfiels 2 2 2 2 3 2 2" xfId="24605" xr:uid="{00000000-0005-0000-0000-000071010000}"/>
    <cellStyle name="2x indented GHG Textfiels 2 2 2 2 3 3" xfId="15544" xr:uid="{00000000-0005-0000-0000-000072010000}"/>
    <cellStyle name="2x indented GHG Textfiels 2 2 2 2 3 3 2" xfId="30376" xr:uid="{00000000-0005-0000-0000-000073010000}"/>
    <cellStyle name="2x indented GHG Textfiels 2 2 2 2 4" xfId="4258" xr:uid="{00000000-0005-0000-0000-000074010000}"/>
    <cellStyle name="2x indented GHG Textfiels 2 2 2 2 4 2" xfId="8297" xr:uid="{00000000-0005-0000-0000-000075010000}"/>
    <cellStyle name="2x indented GHG Textfiels 2 2 2 2 4 2 2" xfId="23992" xr:uid="{00000000-0005-0000-0000-000076010000}"/>
    <cellStyle name="2x indented GHG Textfiels 2 2 2 2 4 3" xfId="14590" xr:uid="{00000000-0005-0000-0000-000077010000}"/>
    <cellStyle name="2x indented GHG Textfiels 2 2 2 2 4 3 2" xfId="29422" xr:uid="{00000000-0005-0000-0000-000078010000}"/>
    <cellStyle name="2x indented GHG Textfiels 2 2 2 2 5" xfId="6372" xr:uid="{00000000-0005-0000-0000-000079010000}"/>
    <cellStyle name="2x indented GHG Textfiels 2 2 2 2 5 2" xfId="22774" xr:uid="{00000000-0005-0000-0000-00007A010000}"/>
    <cellStyle name="2x indented GHG Textfiels 2 2 2 3" xfId="3965" xr:uid="{00000000-0005-0000-0000-00007B010000}"/>
    <cellStyle name="2x indented GHG Textfiels 2 2 2 3 2" xfId="8015" xr:uid="{00000000-0005-0000-0000-00007C010000}"/>
    <cellStyle name="2x indented GHG Textfiels 2 2 2 3 2 2" xfId="23808" xr:uid="{00000000-0005-0000-0000-00007D010000}"/>
    <cellStyle name="2x indented GHG Textfiels 2 2 2 3 3" xfId="14298" xr:uid="{00000000-0005-0000-0000-00007E010000}"/>
    <cellStyle name="2x indented GHG Textfiels 2 2 2 3 3 2" xfId="29130" xr:uid="{00000000-0005-0000-0000-00007F010000}"/>
    <cellStyle name="2x indented GHG Textfiels 2 2 2 4" xfId="4274" xr:uid="{00000000-0005-0000-0000-000080010000}"/>
    <cellStyle name="2x indented GHG Textfiels 2 2 2 4 2" xfId="8313" xr:uid="{00000000-0005-0000-0000-000081010000}"/>
    <cellStyle name="2x indented GHG Textfiels 2 2 2 4 2 2" xfId="24007" xr:uid="{00000000-0005-0000-0000-000082010000}"/>
    <cellStyle name="2x indented GHG Textfiels 2 2 2 4 3" xfId="14606" xr:uid="{00000000-0005-0000-0000-000083010000}"/>
    <cellStyle name="2x indented GHG Textfiels 2 2 2 4 3 2" xfId="29438" xr:uid="{00000000-0005-0000-0000-000084010000}"/>
    <cellStyle name="2x indented GHG Textfiels 2 2 2 5" xfId="4863" xr:uid="{00000000-0005-0000-0000-000085010000}"/>
    <cellStyle name="2x indented GHG Textfiels 2 2 2 5 2" xfId="8902" xr:uid="{00000000-0005-0000-0000-000086010000}"/>
    <cellStyle name="2x indented GHG Textfiels 2 2 2 5 2 2" xfId="24368" xr:uid="{00000000-0005-0000-0000-000087010000}"/>
    <cellStyle name="2x indented GHG Textfiels 2 2 2 5 3" xfId="15187" xr:uid="{00000000-0005-0000-0000-000088010000}"/>
    <cellStyle name="2x indented GHG Textfiels 2 2 2 5 3 2" xfId="30019" xr:uid="{00000000-0005-0000-0000-000089010000}"/>
    <cellStyle name="2x indented GHG Textfiels 2 2 2 6" xfId="2853" xr:uid="{00000000-0005-0000-0000-00008A010000}"/>
    <cellStyle name="2x indented GHG Textfiels 2 2 2 6 2" xfId="13191" xr:uid="{00000000-0005-0000-0000-00008B010000}"/>
    <cellStyle name="2x indented GHG Textfiels 2 2 2 6 2 2" xfId="28023" xr:uid="{00000000-0005-0000-0000-00008C010000}"/>
    <cellStyle name="2x indented GHG Textfiels 2 2 2 6 3" xfId="20779" xr:uid="{00000000-0005-0000-0000-00008D010000}"/>
    <cellStyle name="2x indented GHG Textfiels 2 2 2 7" xfId="1885" xr:uid="{00000000-0005-0000-0000-00008E010000}"/>
    <cellStyle name="2x indented GHG Textfiels 2 2 2 7 2" xfId="6017" xr:uid="{00000000-0005-0000-0000-00008F010000}"/>
    <cellStyle name="2x indented GHG Textfiels 2 2 2 7 2 2" xfId="22550" xr:uid="{00000000-0005-0000-0000-000090010000}"/>
    <cellStyle name="2x indented GHG Textfiels 2 2 2 8" xfId="12072" xr:uid="{00000000-0005-0000-0000-000091010000}"/>
    <cellStyle name="2x indented GHG Textfiels 2 2 2 8 2" xfId="26904" xr:uid="{00000000-0005-0000-0000-000092010000}"/>
    <cellStyle name="2x indented GHG Textfiels 2 2 3" xfId="3664" xr:uid="{00000000-0005-0000-0000-000093010000}"/>
    <cellStyle name="2x indented GHG Textfiels 2 2 3 2" xfId="7723" xr:uid="{00000000-0005-0000-0000-000094010000}"/>
    <cellStyle name="2x indented GHG Textfiels 2 2 3 2 2" xfId="23619" xr:uid="{00000000-0005-0000-0000-000095010000}"/>
    <cellStyle name="2x indented GHG Textfiels 2 2 3 3" xfId="13999" xr:uid="{00000000-0005-0000-0000-000096010000}"/>
    <cellStyle name="2x indented GHG Textfiels 2 2 3 3 2" xfId="28831" xr:uid="{00000000-0005-0000-0000-000097010000}"/>
    <cellStyle name="2x indented GHG Textfiels 2 2 4" xfId="4443" xr:uid="{00000000-0005-0000-0000-000098010000}"/>
    <cellStyle name="2x indented GHG Textfiels 2 2 4 2" xfId="8482" xr:uid="{00000000-0005-0000-0000-000099010000}"/>
    <cellStyle name="2x indented GHG Textfiels 2 2 4 2 2" xfId="24108" xr:uid="{00000000-0005-0000-0000-00009A010000}"/>
    <cellStyle name="2x indented GHG Textfiels 2 2 4 3" xfId="14772" xr:uid="{00000000-0005-0000-0000-00009B010000}"/>
    <cellStyle name="2x indented GHG Textfiels 2 2 4 3 2" xfId="29604" xr:uid="{00000000-0005-0000-0000-00009C010000}"/>
    <cellStyle name="2x indented GHG Textfiels 2 2 5" xfId="2433" xr:uid="{00000000-0005-0000-0000-00009D010000}"/>
    <cellStyle name="2x indented GHG Textfiels 2 2 5 2" xfId="12772" xr:uid="{00000000-0005-0000-0000-00009E010000}"/>
    <cellStyle name="2x indented GHG Textfiels 2 2 5 2 2" xfId="27604" xr:uid="{00000000-0005-0000-0000-00009F010000}"/>
    <cellStyle name="2x indented GHG Textfiels 2 2 5 3" xfId="20525" xr:uid="{00000000-0005-0000-0000-0000A0010000}"/>
    <cellStyle name="2x indented GHG Textfiels 2 2 6" xfId="5558" xr:uid="{00000000-0005-0000-0000-0000A1010000}"/>
    <cellStyle name="2x indented GHG Textfiels 2 2 6 2" xfId="15793" xr:uid="{00000000-0005-0000-0000-0000A2010000}"/>
    <cellStyle name="2x indented GHG Textfiels 2 2 6 2 2" xfId="30625" xr:uid="{00000000-0005-0000-0000-0000A3010000}"/>
    <cellStyle name="2x indented GHG Textfiels 2 2 6 3" xfId="22254" xr:uid="{00000000-0005-0000-0000-0000A4010000}"/>
    <cellStyle name="2x indented GHG Textfiels 2 3" xfId="1553" xr:uid="{00000000-0005-0000-0000-0000A5010000}"/>
    <cellStyle name="2x indented GHG Textfiels 2 3 2" xfId="2050" xr:uid="{00000000-0005-0000-0000-0000A6010000}"/>
    <cellStyle name="2x indented GHG Textfiels 2 3 2 2" xfId="4073" xr:uid="{00000000-0005-0000-0000-0000A7010000}"/>
    <cellStyle name="2x indented GHG Textfiels 2 3 2 2 2" xfId="8120" xr:uid="{00000000-0005-0000-0000-0000A8010000}"/>
    <cellStyle name="2x indented GHG Textfiels 2 3 2 2 2 2" xfId="23871" xr:uid="{00000000-0005-0000-0000-0000A9010000}"/>
    <cellStyle name="2x indented GHG Textfiels 2 3 2 2 3" xfId="14405" xr:uid="{00000000-0005-0000-0000-0000AA010000}"/>
    <cellStyle name="2x indented GHG Textfiels 2 3 2 2 3 2" xfId="29237" xr:uid="{00000000-0005-0000-0000-0000AB010000}"/>
    <cellStyle name="2x indented GHG Textfiels 2 3 2 3" xfId="3450" xr:uid="{00000000-0005-0000-0000-0000AC010000}"/>
    <cellStyle name="2x indented GHG Textfiels 2 3 2 3 2" xfId="7513" xr:uid="{00000000-0005-0000-0000-0000AD010000}"/>
    <cellStyle name="2x indented GHG Textfiels 2 3 2 3 2 2" xfId="23484" xr:uid="{00000000-0005-0000-0000-0000AE010000}"/>
    <cellStyle name="2x indented GHG Textfiels 2 3 2 3 3" xfId="13787" xr:uid="{00000000-0005-0000-0000-0000AF010000}"/>
    <cellStyle name="2x indented GHG Textfiels 2 3 2 3 3 2" xfId="28619" xr:uid="{00000000-0005-0000-0000-0000B0010000}"/>
    <cellStyle name="2x indented GHG Textfiels 2 3 2 4" xfId="5018" xr:uid="{00000000-0005-0000-0000-0000B1010000}"/>
    <cellStyle name="2x indented GHG Textfiels 2 3 2 4 2" xfId="9057" xr:uid="{00000000-0005-0000-0000-0000B2010000}"/>
    <cellStyle name="2x indented GHG Textfiels 2 3 2 4 2 2" xfId="24491" xr:uid="{00000000-0005-0000-0000-0000B3010000}"/>
    <cellStyle name="2x indented GHG Textfiels 2 3 2 4 3" xfId="15340" xr:uid="{00000000-0005-0000-0000-0000B4010000}"/>
    <cellStyle name="2x indented GHG Textfiels 2 3 2 4 3 2" xfId="30172" xr:uid="{00000000-0005-0000-0000-0000B5010000}"/>
    <cellStyle name="2x indented GHG Textfiels 2 3 2 5" xfId="3008" xr:uid="{00000000-0005-0000-0000-0000B6010000}"/>
    <cellStyle name="2x indented GHG Textfiels 2 3 2 5 2" xfId="13346" xr:uid="{00000000-0005-0000-0000-0000B7010000}"/>
    <cellStyle name="2x indented GHG Textfiels 2 3 2 5 2 2" xfId="28178" xr:uid="{00000000-0005-0000-0000-0000B8010000}"/>
    <cellStyle name="2x indented GHG Textfiels 2 3 2 5 3" xfId="20902" xr:uid="{00000000-0005-0000-0000-0000B9010000}"/>
    <cellStyle name="2x indented GHG Textfiels 2 3 3" xfId="3775" xr:uid="{00000000-0005-0000-0000-0000BA010000}"/>
    <cellStyle name="2x indented GHG Textfiels 2 3 3 2" xfId="7831" xr:uid="{00000000-0005-0000-0000-0000BB010000}"/>
    <cellStyle name="2x indented GHG Textfiels 2 3 3 2 2" xfId="23687" xr:uid="{00000000-0005-0000-0000-0000BC010000}"/>
    <cellStyle name="2x indented GHG Textfiels 2 3 3 3" xfId="14110" xr:uid="{00000000-0005-0000-0000-0000BD010000}"/>
    <cellStyle name="2x indented GHG Textfiels 2 3 3 3 2" xfId="28942" xr:uid="{00000000-0005-0000-0000-0000BE010000}"/>
    <cellStyle name="2x indented GHG Textfiels 2 3 4" xfId="4598" xr:uid="{00000000-0005-0000-0000-0000BF010000}"/>
    <cellStyle name="2x indented GHG Textfiels 2 3 4 2" xfId="8637" xr:uid="{00000000-0005-0000-0000-0000C0010000}"/>
    <cellStyle name="2x indented GHG Textfiels 2 3 4 2 2" xfId="24231" xr:uid="{00000000-0005-0000-0000-0000C1010000}"/>
    <cellStyle name="2x indented GHG Textfiels 2 3 4 3" xfId="14925" xr:uid="{00000000-0005-0000-0000-0000C2010000}"/>
    <cellStyle name="2x indented GHG Textfiels 2 3 4 3 2" xfId="29757" xr:uid="{00000000-0005-0000-0000-0000C3010000}"/>
    <cellStyle name="2x indented GHG Textfiels 2 3 5" xfId="2588" xr:uid="{00000000-0005-0000-0000-0000C4010000}"/>
    <cellStyle name="2x indented GHG Textfiels 2 3 5 2" xfId="12926" xr:uid="{00000000-0005-0000-0000-0000C5010000}"/>
    <cellStyle name="2x indented GHG Textfiels 2 3 5 2 2" xfId="27758" xr:uid="{00000000-0005-0000-0000-0000C6010000}"/>
    <cellStyle name="2x indented GHG Textfiels 2 3 5 3" xfId="20642" xr:uid="{00000000-0005-0000-0000-0000C7010000}"/>
    <cellStyle name="2x indented GHG Textfiels 2 3 6" xfId="1699" xr:uid="{00000000-0005-0000-0000-0000C8010000}"/>
    <cellStyle name="2x indented GHG Textfiels 2 3 6 2" xfId="5831" xr:uid="{00000000-0005-0000-0000-0000C9010000}"/>
    <cellStyle name="2x indented GHG Textfiels 2 3 6 2 2" xfId="22428" xr:uid="{00000000-0005-0000-0000-0000CA010000}"/>
    <cellStyle name="2x indented GHG Textfiels 2 3 6 3" xfId="12093" xr:uid="{00000000-0005-0000-0000-0000CB010000}"/>
    <cellStyle name="2x indented GHG Textfiels 2 3 6 3 2" xfId="26925" xr:uid="{00000000-0005-0000-0000-0000CC010000}"/>
    <cellStyle name="2x indented GHG Textfiels 2 4" xfId="1606" xr:uid="{00000000-0005-0000-0000-0000CD010000}"/>
    <cellStyle name="2x indented GHG Textfiels 2 4 2" xfId="2103" xr:uid="{00000000-0005-0000-0000-0000CE010000}"/>
    <cellStyle name="2x indented GHG Textfiels 2 4 2 2" xfId="4113" xr:uid="{00000000-0005-0000-0000-0000CF010000}"/>
    <cellStyle name="2x indented GHG Textfiels 2 4 2 2 2" xfId="8159" xr:uid="{00000000-0005-0000-0000-0000D0010000}"/>
    <cellStyle name="2x indented GHG Textfiels 2 4 2 2 2 2" xfId="23897" xr:uid="{00000000-0005-0000-0000-0000D1010000}"/>
    <cellStyle name="2x indented GHG Textfiels 2 4 2 2 3" xfId="14445" xr:uid="{00000000-0005-0000-0000-0000D2010000}"/>
    <cellStyle name="2x indented GHG Textfiels 2 4 2 2 3 2" xfId="29277" xr:uid="{00000000-0005-0000-0000-0000D3010000}"/>
    <cellStyle name="2x indented GHG Textfiels 2 4 2 3" xfId="3643" xr:uid="{00000000-0005-0000-0000-0000D4010000}"/>
    <cellStyle name="2x indented GHG Textfiels 2 4 2 3 2" xfId="7702" xr:uid="{00000000-0005-0000-0000-0000D5010000}"/>
    <cellStyle name="2x indented GHG Textfiels 2 4 2 3 2 2" xfId="23602" xr:uid="{00000000-0005-0000-0000-0000D6010000}"/>
    <cellStyle name="2x indented GHG Textfiels 2 4 2 3 3" xfId="13978" xr:uid="{00000000-0005-0000-0000-0000D7010000}"/>
    <cellStyle name="2x indented GHG Textfiels 2 4 2 3 3 2" xfId="28810" xr:uid="{00000000-0005-0000-0000-0000D8010000}"/>
    <cellStyle name="2x indented GHG Textfiels 2 4 2 4" xfId="5071" xr:uid="{00000000-0005-0000-0000-0000D9010000}"/>
    <cellStyle name="2x indented GHG Textfiels 2 4 2 4 2" xfId="9110" xr:uid="{00000000-0005-0000-0000-0000DA010000}"/>
    <cellStyle name="2x indented GHG Textfiels 2 4 2 4 2 2" xfId="24512" xr:uid="{00000000-0005-0000-0000-0000DB010000}"/>
    <cellStyle name="2x indented GHG Textfiels 2 4 2 4 3" xfId="15392" xr:uid="{00000000-0005-0000-0000-0000DC010000}"/>
    <cellStyle name="2x indented GHG Textfiels 2 4 2 4 3 2" xfId="30224" xr:uid="{00000000-0005-0000-0000-0000DD010000}"/>
    <cellStyle name="2x indented GHG Textfiels 2 4 2 5" xfId="3061" xr:uid="{00000000-0005-0000-0000-0000DE010000}"/>
    <cellStyle name="2x indented GHG Textfiels 2 4 2 5 2" xfId="13399" xr:uid="{00000000-0005-0000-0000-0000DF010000}"/>
    <cellStyle name="2x indented GHG Textfiels 2 4 2 5 2 2" xfId="28231" xr:uid="{00000000-0005-0000-0000-0000E0010000}"/>
    <cellStyle name="2x indented GHG Textfiels 2 4 2 5 3" xfId="20923" xr:uid="{00000000-0005-0000-0000-0000E1010000}"/>
    <cellStyle name="2x indented GHG Textfiels 2 4 3" xfId="3813" xr:uid="{00000000-0005-0000-0000-0000E2010000}"/>
    <cellStyle name="2x indented GHG Textfiels 2 4 3 2" xfId="7867" xr:uid="{00000000-0005-0000-0000-0000E3010000}"/>
    <cellStyle name="2x indented GHG Textfiels 2 4 3 2 2" xfId="23714" xr:uid="{00000000-0005-0000-0000-0000E4010000}"/>
    <cellStyle name="2x indented GHG Textfiels 2 4 3 3" xfId="14148" xr:uid="{00000000-0005-0000-0000-0000E5010000}"/>
    <cellStyle name="2x indented GHG Textfiels 2 4 3 3 2" xfId="28980" xr:uid="{00000000-0005-0000-0000-0000E6010000}"/>
    <cellStyle name="2x indented GHG Textfiels 2 4 4" xfId="4651" xr:uid="{00000000-0005-0000-0000-0000E7010000}"/>
    <cellStyle name="2x indented GHG Textfiels 2 4 4 2" xfId="8690" xr:uid="{00000000-0005-0000-0000-0000E8010000}"/>
    <cellStyle name="2x indented GHG Textfiels 2 4 4 2 2" xfId="24252" xr:uid="{00000000-0005-0000-0000-0000E9010000}"/>
    <cellStyle name="2x indented GHG Textfiels 2 4 4 3" xfId="14977" xr:uid="{00000000-0005-0000-0000-0000EA010000}"/>
    <cellStyle name="2x indented GHG Textfiels 2 4 4 3 2" xfId="29809" xr:uid="{00000000-0005-0000-0000-0000EB010000}"/>
    <cellStyle name="2x indented GHG Textfiels 2 4 5" xfId="2641" xr:uid="{00000000-0005-0000-0000-0000EC010000}"/>
    <cellStyle name="2x indented GHG Textfiels 2 4 5 2" xfId="12979" xr:uid="{00000000-0005-0000-0000-0000ED010000}"/>
    <cellStyle name="2x indented GHG Textfiels 2 4 5 2 2" xfId="27811" xr:uid="{00000000-0005-0000-0000-0000EE010000}"/>
    <cellStyle name="2x indented GHG Textfiels 2 4 5 3" xfId="20663" xr:uid="{00000000-0005-0000-0000-0000EF010000}"/>
    <cellStyle name="2x indented GHG Textfiels 2 4 6" xfId="1704" xr:uid="{00000000-0005-0000-0000-0000F0010000}"/>
    <cellStyle name="2x indented GHG Textfiels 2 4 6 2" xfId="5836" xr:uid="{00000000-0005-0000-0000-0000F1010000}"/>
    <cellStyle name="2x indented GHG Textfiels 2 4 6 2 2" xfId="22433" xr:uid="{00000000-0005-0000-0000-0000F2010000}"/>
    <cellStyle name="2x indented GHG Textfiels 2 4 6 3" xfId="12098" xr:uid="{00000000-0005-0000-0000-0000F3010000}"/>
    <cellStyle name="2x indented GHG Textfiels 2 4 6 3 2" xfId="26930" xr:uid="{00000000-0005-0000-0000-0000F4010000}"/>
    <cellStyle name="2x indented GHG Textfiels 2 5" xfId="1656" xr:uid="{00000000-0005-0000-0000-0000F5010000}"/>
    <cellStyle name="2x indented GHG Textfiels 2 5 2" xfId="2153" xr:uid="{00000000-0005-0000-0000-0000F6010000}"/>
    <cellStyle name="2x indented GHG Textfiels 2 5 2 2" xfId="4151" xr:uid="{00000000-0005-0000-0000-0000F7010000}"/>
    <cellStyle name="2x indented GHG Textfiels 2 5 2 2 2" xfId="8194" xr:uid="{00000000-0005-0000-0000-0000F8010000}"/>
    <cellStyle name="2x indented GHG Textfiels 2 5 2 2 2 2" xfId="23921" xr:uid="{00000000-0005-0000-0000-0000F9010000}"/>
    <cellStyle name="2x indented GHG Textfiels 2 5 2 2 3" xfId="14483" xr:uid="{00000000-0005-0000-0000-0000FA010000}"/>
    <cellStyle name="2x indented GHG Textfiels 2 5 2 2 3 2" xfId="29315" xr:uid="{00000000-0005-0000-0000-0000FB010000}"/>
    <cellStyle name="2x indented GHG Textfiels 2 5 2 3" xfId="3657" xr:uid="{00000000-0005-0000-0000-0000FC010000}"/>
    <cellStyle name="2x indented GHG Textfiels 2 5 2 3 2" xfId="7716" xr:uid="{00000000-0005-0000-0000-0000FD010000}"/>
    <cellStyle name="2x indented GHG Textfiels 2 5 2 3 2 2" xfId="23613" xr:uid="{00000000-0005-0000-0000-0000FE010000}"/>
    <cellStyle name="2x indented GHG Textfiels 2 5 2 3 3" xfId="13992" xr:uid="{00000000-0005-0000-0000-0000FF010000}"/>
    <cellStyle name="2x indented GHG Textfiels 2 5 2 3 3 2" xfId="28824" xr:uid="{00000000-0005-0000-0000-000000020000}"/>
    <cellStyle name="2x indented GHG Textfiels 2 5 2 4" xfId="5121" xr:uid="{00000000-0005-0000-0000-000001020000}"/>
    <cellStyle name="2x indented GHG Textfiels 2 5 2 4 2" xfId="9160" xr:uid="{00000000-0005-0000-0000-000002020000}"/>
    <cellStyle name="2x indented GHG Textfiels 2 5 2 4 2 2" xfId="24530" xr:uid="{00000000-0005-0000-0000-000003020000}"/>
    <cellStyle name="2x indented GHG Textfiels 2 5 2 4 3" xfId="15441" xr:uid="{00000000-0005-0000-0000-000004020000}"/>
    <cellStyle name="2x indented GHG Textfiels 2 5 2 4 3 2" xfId="30273" xr:uid="{00000000-0005-0000-0000-000005020000}"/>
    <cellStyle name="2x indented GHG Textfiels 2 5 2 5" xfId="3111" xr:uid="{00000000-0005-0000-0000-000006020000}"/>
    <cellStyle name="2x indented GHG Textfiels 2 5 2 5 2" xfId="13449" xr:uid="{00000000-0005-0000-0000-000007020000}"/>
    <cellStyle name="2x indented GHG Textfiels 2 5 2 5 2 2" xfId="28281" xr:uid="{00000000-0005-0000-0000-000008020000}"/>
    <cellStyle name="2x indented GHG Textfiels 2 5 2 5 3" xfId="20941" xr:uid="{00000000-0005-0000-0000-000009020000}"/>
    <cellStyle name="2x indented GHG Textfiels 2 5 3" xfId="3851" xr:uid="{00000000-0005-0000-0000-00000A020000}"/>
    <cellStyle name="2x indented GHG Textfiels 2 5 3 2" xfId="7904" xr:uid="{00000000-0005-0000-0000-00000B020000}"/>
    <cellStyle name="2x indented GHG Textfiels 2 5 3 2 2" xfId="23740" xr:uid="{00000000-0005-0000-0000-00000C020000}"/>
    <cellStyle name="2x indented GHG Textfiels 2 5 3 3" xfId="14186" xr:uid="{00000000-0005-0000-0000-00000D020000}"/>
    <cellStyle name="2x indented GHG Textfiels 2 5 3 3 2" xfId="29018" xr:uid="{00000000-0005-0000-0000-00000E020000}"/>
    <cellStyle name="2x indented GHG Textfiels 2 5 4" xfId="4701" xr:uid="{00000000-0005-0000-0000-00000F020000}"/>
    <cellStyle name="2x indented GHG Textfiels 2 5 4 2" xfId="8740" xr:uid="{00000000-0005-0000-0000-000010020000}"/>
    <cellStyle name="2x indented GHG Textfiels 2 5 4 2 2" xfId="24270" xr:uid="{00000000-0005-0000-0000-000011020000}"/>
    <cellStyle name="2x indented GHG Textfiels 2 5 4 3" xfId="15026" xr:uid="{00000000-0005-0000-0000-000012020000}"/>
    <cellStyle name="2x indented GHG Textfiels 2 5 4 3 2" xfId="29858" xr:uid="{00000000-0005-0000-0000-000013020000}"/>
    <cellStyle name="2x indented GHG Textfiels 2 5 5" xfId="2691" xr:uid="{00000000-0005-0000-0000-000014020000}"/>
    <cellStyle name="2x indented GHG Textfiels 2 5 5 2" xfId="13029" xr:uid="{00000000-0005-0000-0000-000015020000}"/>
    <cellStyle name="2x indented GHG Textfiels 2 5 5 2 2" xfId="27861" xr:uid="{00000000-0005-0000-0000-000016020000}"/>
    <cellStyle name="2x indented GHG Textfiels 2 5 5 3" xfId="20681" xr:uid="{00000000-0005-0000-0000-000017020000}"/>
    <cellStyle name="2x indented GHG Textfiels 2 5 6" xfId="1709" xr:uid="{00000000-0005-0000-0000-000018020000}"/>
    <cellStyle name="2x indented GHG Textfiels 2 5 6 2" xfId="5841" xr:uid="{00000000-0005-0000-0000-000019020000}"/>
    <cellStyle name="2x indented GHG Textfiels 2 5 6 2 2" xfId="22438" xr:uid="{00000000-0005-0000-0000-00001A020000}"/>
    <cellStyle name="2x indented GHG Textfiels 2 5 6 3" xfId="12103" xr:uid="{00000000-0005-0000-0000-00001B020000}"/>
    <cellStyle name="2x indented GHG Textfiels 2 5 6 3 2" xfId="26935" xr:uid="{00000000-0005-0000-0000-00001C020000}"/>
    <cellStyle name="2x indented GHG Textfiels 2 6" xfId="1667" xr:uid="{00000000-0005-0000-0000-00001D020000}"/>
    <cellStyle name="2x indented GHG Textfiels 2 6 2" xfId="4354" xr:uid="{00000000-0005-0000-0000-00001E020000}"/>
    <cellStyle name="2x indented GHG Textfiels 2 6 2 2" xfId="8393" xr:uid="{00000000-0005-0000-0000-00001F020000}"/>
    <cellStyle name="2x indented GHG Textfiels 2 6 2 2 2" xfId="24051" xr:uid="{00000000-0005-0000-0000-000020020000}"/>
    <cellStyle name="2x indented GHG Textfiels 2 6 2 3" xfId="14683" xr:uid="{00000000-0005-0000-0000-000021020000}"/>
    <cellStyle name="2x indented GHG Textfiels 2 6 2 3 2" xfId="29515" xr:uid="{00000000-0005-0000-0000-000022020000}"/>
    <cellStyle name="2x indented GHG Textfiels 2 6 3" xfId="5218" xr:uid="{00000000-0005-0000-0000-000023020000}"/>
    <cellStyle name="2x indented GHG Textfiels 2 6 3 2" xfId="9257" xr:uid="{00000000-0005-0000-0000-000024020000}"/>
    <cellStyle name="2x indented GHG Textfiels 2 6 3 2 2" xfId="24595" xr:uid="{00000000-0005-0000-0000-000025020000}"/>
    <cellStyle name="2x indented GHG Textfiels 2 6 3 3" xfId="15534" xr:uid="{00000000-0005-0000-0000-000026020000}"/>
    <cellStyle name="2x indented GHG Textfiels 2 6 3 3 2" xfId="30366" xr:uid="{00000000-0005-0000-0000-000027020000}"/>
    <cellStyle name="2x indented GHG Textfiels 2 6 4" xfId="4248" xr:uid="{00000000-0005-0000-0000-000028020000}"/>
    <cellStyle name="2x indented GHG Textfiels 2 6 4 2" xfId="8287" xr:uid="{00000000-0005-0000-0000-000029020000}"/>
    <cellStyle name="2x indented GHG Textfiels 2 6 4 2 2" xfId="23982" xr:uid="{00000000-0005-0000-0000-00002A020000}"/>
    <cellStyle name="2x indented GHG Textfiels 2 6 4 3" xfId="14580" xr:uid="{00000000-0005-0000-0000-00002B020000}"/>
    <cellStyle name="2x indented GHG Textfiels 2 6 4 3 2" xfId="29412" xr:uid="{00000000-0005-0000-0000-00002C020000}"/>
    <cellStyle name="2x indented GHG Textfiels 2 6 5" xfId="2250" xr:uid="{00000000-0005-0000-0000-00002D020000}"/>
    <cellStyle name="2x indented GHG Textfiels 2 6 5 2" xfId="6362" xr:uid="{00000000-0005-0000-0000-00002E020000}"/>
    <cellStyle name="2x indented GHG Textfiels 2 6 5 2 2" xfId="22764" xr:uid="{00000000-0005-0000-0000-00002F020000}"/>
    <cellStyle name="2x indented GHG Textfiels 2 6 6" xfId="5809" xr:uid="{00000000-0005-0000-0000-000030020000}"/>
    <cellStyle name="2x indented GHG Textfiels 2 6 6 2" xfId="22407" xr:uid="{00000000-0005-0000-0000-000031020000}"/>
    <cellStyle name="2x indented GHG Textfiels 2 6 7" xfId="12062" xr:uid="{00000000-0005-0000-0000-000032020000}"/>
    <cellStyle name="2x indented GHG Textfiels 2 6 7 2" xfId="26894" xr:uid="{00000000-0005-0000-0000-000033020000}"/>
    <cellStyle name="2x indented GHG Textfiels 2 7" xfId="3613" xr:uid="{00000000-0005-0000-0000-000034020000}"/>
    <cellStyle name="2x indented GHG Textfiels 2 7 2" xfId="7674" xr:uid="{00000000-0005-0000-0000-000035020000}"/>
    <cellStyle name="2x indented GHG Textfiels 2 7 2 2" xfId="23584" xr:uid="{00000000-0005-0000-0000-000036020000}"/>
    <cellStyle name="2x indented GHG Textfiels 2 7 3" xfId="13948" xr:uid="{00000000-0005-0000-0000-000037020000}"/>
    <cellStyle name="2x indented GHG Textfiels 2 7 3 2" xfId="28780" xr:uid="{00000000-0005-0000-0000-000038020000}"/>
    <cellStyle name="2x indented GHG Textfiels 2 8" xfId="4264" xr:uid="{00000000-0005-0000-0000-000039020000}"/>
    <cellStyle name="2x indented GHG Textfiels 2 8 2" xfId="8303" xr:uid="{00000000-0005-0000-0000-00003A020000}"/>
    <cellStyle name="2x indented GHG Textfiels 2 8 2 2" xfId="23998" xr:uid="{00000000-0005-0000-0000-00003B020000}"/>
    <cellStyle name="2x indented GHG Textfiels 2 8 3" xfId="14596" xr:uid="{00000000-0005-0000-0000-00003C020000}"/>
    <cellStyle name="2x indented GHG Textfiels 2 8 3 2" xfId="29428" xr:uid="{00000000-0005-0000-0000-00003D020000}"/>
    <cellStyle name="2x indented GHG Textfiels 2 9" xfId="2349" xr:uid="{00000000-0005-0000-0000-00003E020000}"/>
    <cellStyle name="2x indented GHG Textfiels 2 9 2" xfId="6461" xr:uid="{00000000-0005-0000-0000-00003F020000}"/>
    <cellStyle name="2x indented GHG Textfiels 2 9 2 2" xfId="22831" xr:uid="{00000000-0005-0000-0000-000040020000}"/>
    <cellStyle name="2x indented GHG Textfiels 2 9 3" xfId="12689" xr:uid="{00000000-0005-0000-0000-000041020000}"/>
    <cellStyle name="2x indented GHG Textfiels 2 9 3 2" xfId="27521" xr:uid="{00000000-0005-0000-0000-000042020000}"/>
    <cellStyle name="2x indented GHG Textfiels 3" xfId="1420" xr:uid="{00000000-0005-0000-0000-000043020000}"/>
    <cellStyle name="2x indented GHG Textfiels 3 2" xfId="1672" xr:uid="{00000000-0005-0000-0000-000044020000}"/>
    <cellStyle name="2x indented GHG Textfiels 3 2 2" xfId="2255" xr:uid="{00000000-0005-0000-0000-000045020000}"/>
    <cellStyle name="2x indented GHG Textfiels 3 2 2 2" xfId="4359" xr:uid="{00000000-0005-0000-0000-000046020000}"/>
    <cellStyle name="2x indented GHG Textfiels 3 2 2 2 2" xfId="8398" xr:uid="{00000000-0005-0000-0000-000047020000}"/>
    <cellStyle name="2x indented GHG Textfiels 3 2 2 2 2 2" xfId="24056" xr:uid="{00000000-0005-0000-0000-000048020000}"/>
    <cellStyle name="2x indented GHG Textfiels 3 2 2 2 3" xfId="14688" xr:uid="{00000000-0005-0000-0000-000049020000}"/>
    <cellStyle name="2x indented GHG Textfiels 3 2 2 2 3 2" xfId="29520" xr:uid="{00000000-0005-0000-0000-00004A020000}"/>
    <cellStyle name="2x indented GHG Textfiels 3 2 2 3" xfId="5223" xr:uid="{00000000-0005-0000-0000-00004B020000}"/>
    <cellStyle name="2x indented GHG Textfiels 3 2 2 3 2" xfId="9262" xr:uid="{00000000-0005-0000-0000-00004C020000}"/>
    <cellStyle name="2x indented GHG Textfiels 3 2 2 3 2 2" xfId="24600" xr:uid="{00000000-0005-0000-0000-00004D020000}"/>
    <cellStyle name="2x indented GHG Textfiels 3 2 2 3 3" xfId="15539" xr:uid="{00000000-0005-0000-0000-00004E020000}"/>
    <cellStyle name="2x indented GHG Textfiels 3 2 2 3 3 2" xfId="30371" xr:uid="{00000000-0005-0000-0000-00004F020000}"/>
    <cellStyle name="2x indented GHG Textfiels 3 2 2 4" xfId="4253" xr:uid="{00000000-0005-0000-0000-000050020000}"/>
    <cellStyle name="2x indented GHG Textfiels 3 2 2 4 2" xfId="8292" xr:uid="{00000000-0005-0000-0000-000051020000}"/>
    <cellStyle name="2x indented GHG Textfiels 3 2 2 4 2 2" xfId="23987" xr:uid="{00000000-0005-0000-0000-000052020000}"/>
    <cellStyle name="2x indented GHG Textfiels 3 2 2 4 3" xfId="14585" xr:uid="{00000000-0005-0000-0000-000053020000}"/>
    <cellStyle name="2x indented GHG Textfiels 3 2 2 4 3 2" xfId="29417" xr:uid="{00000000-0005-0000-0000-000054020000}"/>
    <cellStyle name="2x indented GHG Textfiels 3 2 2 5" xfId="6367" xr:uid="{00000000-0005-0000-0000-000055020000}"/>
    <cellStyle name="2x indented GHG Textfiels 3 2 2 5 2" xfId="22769" xr:uid="{00000000-0005-0000-0000-000056020000}"/>
    <cellStyle name="2x indented GHG Textfiels 3 2 3" xfId="3989" xr:uid="{00000000-0005-0000-0000-000057020000}"/>
    <cellStyle name="2x indented GHG Textfiels 3 2 3 2" xfId="8037" xr:uid="{00000000-0005-0000-0000-000058020000}"/>
    <cellStyle name="2x indented GHG Textfiels 3 2 3 2 2" xfId="23824" xr:uid="{00000000-0005-0000-0000-000059020000}"/>
    <cellStyle name="2x indented GHG Textfiels 3 2 3 3" xfId="14322" xr:uid="{00000000-0005-0000-0000-00005A020000}"/>
    <cellStyle name="2x indented GHG Textfiels 3 2 3 3 2" xfId="29154" xr:uid="{00000000-0005-0000-0000-00005B020000}"/>
    <cellStyle name="2x indented GHG Textfiels 3 2 4" xfId="3638" xr:uid="{00000000-0005-0000-0000-00005C020000}"/>
    <cellStyle name="2x indented GHG Textfiels 3 2 4 2" xfId="13973" xr:uid="{00000000-0005-0000-0000-00005D020000}"/>
    <cellStyle name="2x indented GHG Textfiels 3 2 4 2 2" xfId="28805" xr:uid="{00000000-0005-0000-0000-00005E020000}"/>
    <cellStyle name="2x indented GHG Textfiels 3 2 4 3" xfId="21264" xr:uid="{00000000-0005-0000-0000-00005F020000}"/>
    <cellStyle name="2x indented GHG Textfiels 3 2 5" xfId="4900" xr:uid="{00000000-0005-0000-0000-000060020000}"/>
    <cellStyle name="2x indented GHG Textfiels 3 2 5 2" xfId="8939" xr:uid="{00000000-0005-0000-0000-000061020000}"/>
    <cellStyle name="2x indented GHG Textfiels 3 2 5 2 2" xfId="24405" xr:uid="{00000000-0005-0000-0000-000062020000}"/>
    <cellStyle name="2x indented GHG Textfiels 3 2 5 3" xfId="15223" xr:uid="{00000000-0005-0000-0000-000063020000}"/>
    <cellStyle name="2x indented GHG Textfiels 3 2 5 3 2" xfId="30055" xr:uid="{00000000-0005-0000-0000-000064020000}"/>
    <cellStyle name="2x indented GHG Textfiels 3 2 6" xfId="2890" xr:uid="{00000000-0005-0000-0000-000065020000}"/>
    <cellStyle name="2x indented GHG Textfiels 3 2 6 2" xfId="13228" xr:uid="{00000000-0005-0000-0000-000066020000}"/>
    <cellStyle name="2x indented GHG Textfiels 3 2 6 2 2" xfId="28060" xr:uid="{00000000-0005-0000-0000-000067020000}"/>
    <cellStyle name="2x indented GHG Textfiels 3 2 6 3" xfId="20816" xr:uid="{00000000-0005-0000-0000-000068020000}"/>
    <cellStyle name="2x indented GHG Textfiels 3 2 7" xfId="12067" xr:uid="{00000000-0005-0000-0000-000069020000}"/>
    <cellStyle name="2x indented GHG Textfiels 3 2 7 2" xfId="26899" xr:uid="{00000000-0005-0000-0000-00006A020000}"/>
    <cellStyle name="2x indented GHG Textfiels 3 3" xfId="2239" xr:uid="{00000000-0005-0000-0000-00006B020000}"/>
    <cellStyle name="2x indented GHG Textfiels 3 3 2" xfId="4343" xr:uid="{00000000-0005-0000-0000-00006C020000}"/>
    <cellStyle name="2x indented GHG Textfiels 3 3 2 2" xfId="8382" xr:uid="{00000000-0005-0000-0000-00006D020000}"/>
    <cellStyle name="2x indented GHG Textfiels 3 3 2 2 2" xfId="24040" xr:uid="{00000000-0005-0000-0000-00006E020000}"/>
    <cellStyle name="2x indented GHG Textfiels 3 3 2 3" xfId="14673" xr:uid="{00000000-0005-0000-0000-00006F020000}"/>
    <cellStyle name="2x indented GHG Textfiels 3 3 2 3 2" xfId="29505" xr:uid="{00000000-0005-0000-0000-000070020000}"/>
    <cellStyle name="2x indented GHG Textfiels 3 3 3" xfId="5207" xr:uid="{00000000-0005-0000-0000-000071020000}"/>
    <cellStyle name="2x indented GHG Textfiels 3 3 3 2" xfId="9246" xr:uid="{00000000-0005-0000-0000-000072020000}"/>
    <cellStyle name="2x indented GHG Textfiels 3 3 3 2 2" xfId="24584" xr:uid="{00000000-0005-0000-0000-000073020000}"/>
    <cellStyle name="2x indented GHG Textfiels 3 3 3 3" xfId="15524" xr:uid="{00000000-0005-0000-0000-000074020000}"/>
    <cellStyle name="2x indented GHG Textfiels 3 3 3 3 2" xfId="30356" xr:uid="{00000000-0005-0000-0000-000075020000}"/>
    <cellStyle name="2x indented GHG Textfiels 3 3 4" xfId="4237" xr:uid="{00000000-0005-0000-0000-000076020000}"/>
    <cellStyle name="2x indented GHG Textfiels 3 3 4 2" xfId="8277" xr:uid="{00000000-0005-0000-0000-000077020000}"/>
    <cellStyle name="2x indented GHG Textfiels 3 3 4 2 2" xfId="23972" xr:uid="{00000000-0005-0000-0000-000078020000}"/>
    <cellStyle name="2x indented GHG Textfiels 3 3 4 3" xfId="14569" xr:uid="{00000000-0005-0000-0000-000079020000}"/>
    <cellStyle name="2x indented GHG Textfiels 3 3 4 3 2" xfId="29401" xr:uid="{00000000-0005-0000-0000-00007A020000}"/>
    <cellStyle name="2x indented GHG Textfiels 3 3 5" xfId="6352" xr:uid="{00000000-0005-0000-0000-00007B020000}"/>
    <cellStyle name="2x indented GHG Textfiels 3 3 5 2" xfId="22754" xr:uid="{00000000-0005-0000-0000-00007C020000}"/>
    <cellStyle name="2x indented GHG Textfiels 3 4" xfId="3689" xr:uid="{00000000-0005-0000-0000-00007D020000}"/>
    <cellStyle name="2x indented GHG Textfiels 3 4 2" xfId="7746" xr:uid="{00000000-0005-0000-0000-00007E020000}"/>
    <cellStyle name="2x indented GHG Textfiels 3 4 2 2" xfId="23633" xr:uid="{00000000-0005-0000-0000-00007F020000}"/>
    <cellStyle name="2x indented GHG Textfiels 3 4 3" xfId="14024" xr:uid="{00000000-0005-0000-0000-000080020000}"/>
    <cellStyle name="2x indented GHG Textfiels 3 4 3 2" xfId="28856" xr:uid="{00000000-0005-0000-0000-000081020000}"/>
    <cellStyle name="2x indented GHG Textfiels 3 5" xfId="3683" xr:uid="{00000000-0005-0000-0000-000082020000}"/>
    <cellStyle name="2x indented GHG Textfiels 3 5 2" xfId="14018" xr:uid="{00000000-0005-0000-0000-000083020000}"/>
    <cellStyle name="2x indented GHG Textfiels 3 5 2 2" xfId="28850" xr:uid="{00000000-0005-0000-0000-000084020000}"/>
    <cellStyle name="2x indented GHG Textfiels 3 5 3" xfId="21291" xr:uid="{00000000-0005-0000-0000-000085020000}"/>
    <cellStyle name="2x indented GHG Textfiels 3 6" xfId="4480" xr:uid="{00000000-0005-0000-0000-000086020000}"/>
    <cellStyle name="2x indented GHG Textfiels 3 6 2" xfId="8519" xr:uid="{00000000-0005-0000-0000-000087020000}"/>
    <cellStyle name="2x indented GHG Textfiels 3 6 2 2" xfId="24145" xr:uid="{00000000-0005-0000-0000-000088020000}"/>
    <cellStyle name="2x indented GHG Textfiels 3 6 3" xfId="14808" xr:uid="{00000000-0005-0000-0000-000089020000}"/>
    <cellStyle name="2x indented GHG Textfiels 3 6 3 2" xfId="29640" xr:uid="{00000000-0005-0000-0000-00008A020000}"/>
    <cellStyle name="2x indented GHG Textfiels 3 7" xfId="2470" xr:uid="{00000000-0005-0000-0000-00008B020000}"/>
    <cellStyle name="2x indented GHG Textfiels 3 7 2" xfId="6576" xr:uid="{00000000-0005-0000-0000-00008C020000}"/>
    <cellStyle name="2x indented GHG Textfiels 3 7 2 2" xfId="22914" xr:uid="{00000000-0005-0000-0000-00008D020000}"/>
    <cellStyle name="2x indented GHG Textfiels 3 7 3" xfId="12809" xr:uid="{00000000-0005-0000-0000-00008E020000}"/>
    <cellStyle name="2x indented GHG Textfiels 3 7 3 2" xfId="27641" xr:uid="{00000000-0005-0000-0000-00008F020000}"/>
    <cellStyle name="2x indented GHG Textfiels 3 8" xfId="1693" xr:uid="{00000000-0005-0000-0000-000090020000}"/>
    <cellStyle name="2x indented GHG Textfiels 3 8 2" xfId="5825" xr:uid="{00000000-0005-0000-0000-000091020000}"/>
    <cellStyle name="2x indented GHG Textfiels 3 8 2 2" xfId="22422" xr:uid="{00000000-0005-0000-0000-000092020000}"/>
    <cellStyle name="2x indented GHG Textfiels 3 8 3" xfId="12087" xr:uid="{00000000-0005-0000-0000-000093020000}"/>
    <cellStyle name="2x indented GHG Textfiels 3 8 3 2" xfId="26919" xr:uid="{00000000-0005-0000-0000-000094020000}"/>
    <cellStyle name="2x indented GHG Textfiels 3 9" xfId="5594" xr:uid="{00000000-0005-0000-0000-000095020000}"/>
    <cellStyle name="2x indented GHG Textfiels 3 9 2" xfId="15829" xr:uid="{00000000-0005-0000-0000-000096020000}"/>
    <cellStyle name="2x indented GHG Textfiels 3 9 2 2" xfId="30661" xr:uid="{00000000-0005-0000-0000-000097020000}"/>
    <cellStyle name="2x indented GHG Textfiels 3 9 3" xfId="22290" xr:uid="{00000000-0005-0000-0000-000098020000}"/>
    <cellStyle name="2x indented GHG Textfiels 4" xfId="1662" xr:uid="{00000000-0005-0000-0000-000099020000}"/>
    <cellStyle name="2x indented GHG Textfiels 4 2" xfId="4349" xr:uid="{00000000-0005-0000-0000-00009A020000}"/>
    <cellStyle name="2x indented GHG Textfiels 4 2 2" xfId="8388" xr:uid="{00000000-0005-0000-0000-00009B020000}"/>
    <cellStyle name="2x indented GHG Textfiels 4 2 2 2" xfId="24046" xr:uid="{00000000-0005-0000-0000-00009C020000}"/>
    <cellStyle name="2x indented GHG Textfiels 4 2 3" xfId="14678" xr:uid="{00000000-0005-0000-0000-00009D020000}"/>
    <cellStyle name="2x indented GHG Textfiels 4 2 3 2" xfId="29510" xr:uid="{00000000-0005-0000-0000-00009E020000}"/>
    <cellStyle name="2x indented GHG Textfiels 4 3" xfId="5213" xr:uid="{00000000-0005-0000-0000-00009F020000}"/>
    <cellStyle name="2x indented GHG Textfiels 4 3 2" xfId="9252" xr:uid="{00000000-0005-0000-0000-0000A0020000}"/>
    <cellStyle name="2x indented GHG Textfiels 4 3 2 2" xfId="24590" xr:uid="{00000000-0005-0000-0000-0000A1020000}"/>
    <cellStyle name="2x indented GHG Textfiels 4 3 3" xfId="15529" xr:uid="{00000000-0005-0000-0000-0000A2020000}"/>
    <cellStyle name="2x indented GHG Textfiels 4 3 3 2" xfId="30361" xr:uid="{00000000-0005-0000-0000-0000A3020000}"/>
    <cellStyle name="2x indented GHG Textfiels 4 4" xfId="4243" xr:uid="{00000000-0005-0000-0000-0000A4020000}"/>
    <cellStyle name="2x indented GHG Textfiels 4 4 2" xfId="8282" xr:uid="{00000000-0005-0000-0000-0000A5020000}"/>
    <cellStyle name="2x indented GHG Textfiels 4 4 2 2" xfId="23977" xr:uid="{00000000-0005-0000-0000-0000A6020000}"/>
    <cellStyle name="2x indented GHG Textfiels 4 4 3" xfId="14575" xr:uid="{00000000-0005-0000-0000-0000A7020000}"/>
    <cellStyle name="2x indented GHG Textfiels 4 4 3 2" xfId="29407" xr:uid="{00000000-0005-0000-0000-0000A8020000}"/>
    <cellStyle name="2x indented GHG Textfiels 4 5" xfId="2245" xr:uid="{00000000-0005-0000-0000-0000A9020000}"/>
    <cellStyle name="2x indented GHG Textfiels 4 5 2" xfId="6357" xr:uid="{00000000-0005-0000-0000-0000AA020000}"/>
    <cellStyle name="2x indented GHG Textfiels 4 5 2 2" xfId="22759" xr:uid="{00000000-0005-0000-0000-0000AB020000}"/>
    <cellStyle name="2x indented GHG Textfiels 4 6" xfId="5804" xr:uid="{00000000-0005-0000-0000-0000AC020000}"/>
    <cellStyle name="2x indented GHG Textfiels 4 6 2" xfId="22402" xr:uid="{00000000-0005-0000-0000-0000AD020000}"/>
    <cellStyle name="2x indented GHG Textfiels 4 7" xfId="12057" xr:uid="{00000000-0005-0000-0000-0000AE020000}"/>
    <cellStyle name="2x indented GHG Textfiels 4 7 2" xfId="26889" xr:uid="{00000000-0005-0000-0000-0000AF020000}"/>
    <cellStyle name="2x indented GHG Textfiels 5" xfId="3215" xr:uid="{00000000-0005-0000-0000-0000B0020000}"/>
    <cellStyle name="2x indented GHG Textfiels 5 2" xfId="7279" xr:uid="{00000000-0005-0000-0000-0000B1020000}"/>
    <cellStyle name="2x indented GHG Textfiels 5 2 2" xfId="23324" xr:uid="{00000000-0005-0000-0000-0000B2020000}"/>
    <cellStyle name="2x indented GHG Textfiels 5 3" xfId="13553" xr:uid="{00000000-0005-0000-0000-0000B3020000}"/>
    <cellStyle name="2x indented GHG Textfiels 5 3 2" xfId="28385" xr:uid="{00000000-0005-0000-0000-0000B4020000}"/>
    <cellStyle name="2x indented GHG Textfiels 6" xfId="3427" xr:uid="{00000000-0005-0000-0000-0000B5020000}"/>
    <cellStyle name="2x indented GHG Textfiels 6 2" xfId="7490" xr:uid="{00000000-0005-0000-0000-0000B6020000}"/>
    <cellStyle name="2x indented GHG Textfiels 6 2 2" xfId="23468" xr:uid="{00000000-0005-0000-0000-0000B7020000}"/>
    <cellStyle name="2x indented GHG Textfiels 6 3" xfId="13764" xr:uid="{00000000-0005-0000-0000-0000B8020000}"/>
    <cellStyle name="2x indented GHG Textfiels 6 3 2" xfId="28596" xr:uid="{00000000-0005-0000-0000-0000B9020000}"/>
    <cellStyle name="2x indented GHG Textfiels 7" xfId="2265" xr:uid="{00000000-0005-0000-0000-0000BA020000}"/>
    <cellStyle name="2x indented GHG Textfiels 7 2" xfId="6377" xr:uid="{00000000-0005-0000-0000-0000BB020000}"/>
    <cellStyle name="2x indented GHG Textfiels 7 2 2" xfId="22779" xr:uid="{00000000-0005-0000-0000-0000BC020000}"/>
    <cellStyle name="2x indented GHG Textfiels 7 3" xfId="12606" xr:uid="{00000000-0005-0000-0000-0000BD020000}"/>
    <cellStyle name="2x indented GHG Textfiels 7 3 2" xfId="27438" xr:uid="{00000000-0005-0000-0000-0000BE020000}"/>
    <cellStyle name="2x indented GHG Textfiels 8" xfId="1683" xr:uid="{00000000-0005-0000-0000-0000BF020000}"/>
    <cellStyle name="2x indented GHG Textfiels 8 2" xfId="5815" xr:uid="{00000000-0005-0000-0000-0000C0020000}"/>
    <cellStyle name="2x indented GHG Textfiels 8 2 2" xfId="22412" xr:uid="{00000000-0005-0000-0000-0000C1020000}"/>
    <cellStyle name="2x indented GHG Textfiels 8 3" xfId="12077" xr:uid="{00000000-0005-0000-0000-0000C2020000}"/>
    <cellStyle name="2x indented GHG Textfiels 8 3 2" xfId="26909" xr:uid="{00000000-0005-0000-0000-0000C3020000}"/>
    <cellStyle name="2x indented GHG Textfiels 9" xfId="5470" xr:uid="{00000000-0005-0000-0000-0000C4020000}"/>
    <cellStyle name="2x indented GHG Textfiels 9 2" xfId="15705" xr:uid="{00000000-0005-0000-0000-0000C5020000}"/>
    <cellStyle name="2x indented GHG Textfiels 9 2 2" xfId="30537" xr:uid="{00000000-0005-0000-0000-0000C6020000}"/>
    <cellStyle name="2x indented GHG Textfiels 9 3" xfId="22198" xr:uid="{00000000-0005-0000-0000-0000C7020000}"/>
    <cellStyle name="40% - Accent1 10" xfId="358" xr:uid="{00000000-0005-0000-0000-0000C8020000}"/>
    <cellStyle name="40% - Accent1 2" xfId="359" xr:uid="{00000000-0005-0000-0000-0000C9020000}"/>
    <cellStyle name="40% - Accent1 2 10" xfId="360" xr:uid="{00000000-0005-0000-0000-0000CA020000}"/>
    <cellStyle name="40% - Accent1 2 2" xfId="361" xr:uid="{00000000-0005-0000-0000-0000CB020000}"/>
    <cellStyle name="40% - Accent1 2 2 2" xfId="362" xr:uid="{00000000-0005-0000-0000-0000CC020000}"/>
    <cellStyle name="40% - Accent1 2 2 2 2" xfId="363" xr:uid="{00000000-0005-0000-0000-0000CD020000}"/>
    <cellStyle name="40% - Accent1 2 2 3" xfId="364" xr:uid="{00000000-0005-0000-0000-0000CE020000}"/>
    <cellStyle name="40% - Accent1 2 3" xfId="365" xr:uid="{00000000-0005-0000-0000-0000CF020000}"/>
    <cellStyle name="40% - Accent1 2 3 2" xfId="366" xr:uid="{00000000-0005-0000-0000-0000D0020000}"/>
    <cellStyle name="40% - Accent1 2 3 2 2" xfId="367" xr:uid="{00000000-0005-0000-0000-0000D1020000}"/>
    <cellStyle name="40% - Accent1 2 3 3" xfId="368" xr:uid="{00000000-0005-0000-0000-0000D2020000}"/>
    <cellStyle name="40% - Accent1 2 4" xfId="369" xr:uid="{00000000-0005-0000-0000-0000D3020000}"/>
    <cellStyle name="40% - Accent1 2 4 2" xfId="370" xr:uid="{00000000-0005-0000-0000-0000D4020000}"/>
    <cellStyle name="40% - Accent1 2 4 2 2" xfId="371" xr:uid="{00000000-0005-0000-0000-0000D5020000}"/>
    <cellStyle name="40% - Accent1 2 4 3" xfId="372" xr:uid="{00000000-0005-0000-0000-0000D6020000}"/>
    <cellStyle name="40% - Accent1 2 5" xfId="373" xr:uid="{00000000-0005-0000-0000-0000D7020000}"/>
    <cellStyle name="40% - Accent1 2 5 2" xfId="374" xr:uid="{00000000-0005-0000-0000-0000D8020000}"/>
    <cellStyle name="40% - Accent1 2 5 2 2" xfId="375" xr:uid="{00000000-0005-0000-0000-0000D9020000}"/>
    <cellStyle name="40% - Accent1 2 5 3" xfId="376" xr:uid="{00000000-0005-0000-0000-0000DA020000}"/>
    <cellStyle name="40% - Accent1 2 6" xfId="377" xr:uid="{00000000-0005-0000-0000-0000DB020000}"/>
    <cellStyle name="40% - Accent1 2 6 2" xfId="378" xr:uid="{00000000-0005-0000-0000-0000DC020000}"/>
    <cellStyle name="40% - Accent1 2 6 2 2" xfId="379" xr:uid="{00000000-0005-0000-0000-0000DD020000}"/>
    <cellStyle name="40% - Accent1 2 6 3" xfId="380" xr:uid="{00000000-0005-0000-0000-0000DE020000}"/>
    <cellStyle name="40% - Accent1 2 7" xfId="381" xr:uid="{00000000-0005-0000-0000-0000DF020000}"/>
    <cellStyle name="40% - Accent1 2 7 2" xfId="382" xr:uid="{00000000-0005-0000-0000-0000E0020000}"/>
    <cellStyle name="40% - Accent1 2 7 2 2" xfId="383" xr:uid="{00000000-0005-0000-0000-0000E1020000}"/>
    <cellStyle name="40% - Accent1 2 7 3" xfId="384" xr:uid="{00000000-0005-0000-0000-0000E2020000}"/>
    <cellStyle name="40% - Accent1 2 8" xfId="385" xr:uid="{00000000-0005-0000-0000-0000E3020000}"/>
    <cellStyle name="40% - Accent1 2 8 2" xfId="386" xr:uid="{00000000-0005-0000-0000-0000E4020000}"/>
    <cellStyle name="40% - Accent1 2 8 2 2" xfId="387" xr:uid="{00000000-0005-0000-0000-0000E5020000}"/>
    <cellStyle name="40% - Accent1 2 8 3" xfId="388" xr:uid="{00000000-0005-0000-0000-0000E6020000}"/>
    <cellStyle name="40% - Accent1 2 9" xfId="389" xr:uid="{00000000-0005-0000-0000-0000E7020000}"/>
    <cellStyle name="40% - Accent1 2 9 2" xfId="390" xr:uid="{00000000-0005-0000-0000-0000E8020000}"/>
    <cellStyle name="40% - Accent1 3" xfId="391" xr:uid="{00000000-0005-0000-0000-0000E9020000}"/>
    <cellStyle name="40% - Accent1 3 2" xfId="392" xr:uid="{00000000-0005-0000-0000-0000EA020000}"/>
    <cellStyle name="40% - Accent1 3 2 2" xfId="393" xr:uid="{00000000-0005-0000-0000-0000EB020000}"/>
    <cellStyle name="40% - Accent1 3 3" xfId="394" xr:uid="{00000000-0005-0000-0000-0000EC020000}"/>
    <cellStyle name="40% - Accent1 4" xfId="395" xr:uid="{00000000-0005-0000-0000-0000ED020000}"/>
    <cellStyle name="40% - Accent1 4 2" xfId="396" xr:uid="{00000000-0005-0000-0000-0000EE020000}"/>
    <cellStyle name="40% - Accent1 4 2 2" xfId="397" xr:uid="{00000000-0005-0000-0000-0000EF020000}"/>
    <cellStyle name="40% - Accent1 4 3" xfId="398" xr:uid="{00000000-0005-0000-0000-0000F0020000}"/>
    <cellStyle name="40% - Accent1 5" xfId="399" xr:uid="{00000000-0005-0000-0000-0000F1020000}"/>
    <cellStyle name="40% - Accent1 5 2" xfId="400" xr:uid="{00000000-0005-0000-0000-0000F2020000}"/>
    <cellStyle name="40% - Accent1 5 2 2" xfId="401" xr:uid="{00000000-0005-0000-0000-0000F3020000}"/>
    <cellStyle name="40% - Accent1 5 3" xfId="402" xr:uid="{00000000-0005-0000-0000-0000F4020000}"/>
    <cellStyle name="40% - Accent1 6" xfId="403" xr:uid="{00000000-0005-0000-0000-0000F5020000}"/>
    <cellStyle name="40% - Accent1 6 2" xfId="404" xr:uid="{00000000-0005-0000-0000-0000F6020000}"/>
    <cellStyle name="40% - Accent1 6 2 2" xfId="405" xr:uid="{00000000-0005-0000-0000-0000F7020000}"/>
    <cellStyle name="40% - Accent1 6 3" xfId="406" xr:uid="{00000000-0005-0000-0000-0000F8020000}"/>
    <cellStyle name="40% - Accent1 7" xfId="407" xr:uid="{00000000-0005-0000-0000-0000F9020000}"/>
    <cellStyle name="40% - Accent1 7 2" xfId="408" xr:uid="{00000000-0005-0000-0000-0000FA020000}"/>
    <cellStyle name="40% - Accent1 7 2 2" xfId="409" xr:uid="{00000000-0005-0000-0000-0000FB020000}"/>
    <cellStyle name="40% - Accent1 7 3" xfId="410" xr:uid="{00000000-0005-0000-0000-0000FC020000}"/>
    <cellStyle name="40% - Accent1 8" xfId="411" xr:uid="{00000000-0005-0000-0000-0000FD020000}"/>
    <cellStyle name="40% - Accent1 8 2" xfId="412" xr:uid="{00000000-0005-0000-0000-0000FE020000}"/>
    <cellStyle name="40% - Accent1 8 2 2" xfId="413" xr:uid="{00000000-0005-0000-0000-0000FF020000}"/>
    <cellStyle name="40% - Accent1 8 3" xfId="414" xr:uid="{00000000-0005-0000-0000-000000030000}"/>
    <cellStyle name="40% - Accent1 9" xfId="415" xr:uid="{00000000-0005-0000-0000-000001030000}"/>
    <cellStyle name="40% - Accent2 10" xfId="416" xr:uid="{00000000-0005-0000-0000-000002030000}"/>
    <cellStyle name="40% - Accent2 2" xfId="417" xr:uid="{00000000-0005-0000-0000-000003030000}"/>
    <cellStyle name="40% - Accent2 2 10" xfId="418" xr:uid="{00000000-0005-0000-0000-000004030000}"/>
    <cellStyle name="40% - Accent2 2 2" xfId="419" xr:uid="{00000000-0005-0000-0000-000005030000}"/>
    <cellStyle name="40% - Accent2 2 2 2" xfId="420" xr:uid="{00000000-0005-0000-0000-000006030000}"/>
    <cellStyle name="40% - Accent2 2 2 2 2" xfId="421" xr:uid="{00000000-0005-0000-0000-000007030000}"/>
    <cellStyle name="40% - Accent2 2 2 3" xfId="422" xr:uid="{00000000-0005-0000-0000-000008030000}"/>
    <cellStyle name="40% - Accent2 2 3" xfId="423" xr:uid="{00000000-0005-0000-0000-000009030000}"/>
    <cellStyle name="40% - Accent2 2 3 2" xfId="424" xr:uid="{00000000-0005-0000-0000-00000A030000}"/>
    <cellStyle name="40% - Accent2 2 3 2 2" xfId="425" xr:uid="{00000000-0005-0000-0000-00000B030000}"/>
    <cellStyle name="40% - Accent2 2 3 3" xfId="426" xr:uid="{00000000-0005-0000-0000-00000C030000}"/>
    <cellStyle name="40% - Accent2 2 4" xfId="427" xr:uid="{00000000-0005-0000-0000-00000D030000}"/>
    <cellStyle name="40% - Accent2 2 4 2" xfId="428" xr:uid="{00000000-0005-0000-0000-00000E030000}"/>
    <cellStyle name="40% - Accent2 2 4 2 2" xfId="429" xr:uid="{00000000-0005-0000-0000-00000F030000}"/>
    <cellStyle name="40% - Accent2 2 4 3" xfId="430" xr:uid="{00000000-0005-0000-0000-000010030000}"/>
    <cellStyle name="40% - Accent2 2 5" xfId="431" xr:uid="{00000000-0005-0000-0000-000011030000}"/>
    <cellStyle name="40% - Accent2 2 5 2" xfId="432" xr:uid="{00000000-0005-0000-0000-000012030000}"/>
    <cellStyle name="40% - Accent2 2 5 2 2" xfId="433" xr:uid="{00000000-0005-0000-0000-000013030000}"/>
    <cellStyle name="40% - Accent2 2 5 3" xfId="434" xr:uid="{00000000-0005-0000-0000-000014030000}"/>
    <cellStyle name="40% - Accent2 2 6" xfId="435" xr:uid="{00000000-0005-0000-0000-000015030000}"/>
    <cellStyle name="40% - Accent2 2 6 2" xfId="436" xr:uid="{00000000-0005-0000-0000-000016030000}"/>
    <cellStyle name="40% - Accent2 2 6 2 2" xfId="437" xr:uid="{00000000-0005-0000-0000-000017030000}"/>
    <cellStyle name="40% - Accent2 2 6 3" xfId="438" xr:uid="{00000000-0005-0000-0000-000018030000}"/>
    <cellStyle name="40% - Accent2 2 7" xfId="439" xr:uid="{00000000-0005-0000-0000-000019030000}"/>
    <cellStyle name="40% - Accent2 2 7 2" xfId="440" xr:uid="{00000000-0005-0000-0000-00001A030000}"/>
    <cellStyle name="40% - Accent2 2 7 2 2" xfId="441" xr:uid="{00000000-0005-0000-0000-00001B030000}"/>
    <cellStyle name="40% - Accent2 2 7 3" xfId="442" xr:uid="{00000000-0005-0000-0000-00001C030000}"/>
    <cellStyle name="40% - Accent2 2 8" xfId="443" xr:uid="{00000000-0005-0000-0000-00001D030000}"/>
    <cellStyle name="40% - Accent2 2 8 2" xfId="444" xr:uid="{00000000-0005-0000-0000-00001E030000}"/>
    <cellStyle name="40% - Accent2 2 8 2 2" xfId="445" xr:uid="{00000000-0005-0000-0000-00001F030000}"/>
    <cellStyle name="40% - Accent2 2 8 3" xfId="446" xr:uid="{00000000-0005-0000-0000-000020030000}"/>
    <cellStyle name="40% - Accent2 2 9" xfId="447" xr:uid="{00000000-0005-0000-0000-000021030000}"/>
    <cellStyle name="40% - Accent2 2 9 2" xfId="448" xr:uid="{00000000-0005-0000-0000-000022030000}"/>
    <cellStyle name="40% - Accent2 3" xfId="449" xr:uid="{00000000-0005-0000-0000-000023030000}"/>
    <cellStyle name="40% - Accent2 3 2" xfId="450" xr:uid="{00000000-0005-0000-0000-000024030000}"/>
    <cellStyle name="40% - Accent2 3 2 2" xfId="451" xr:uid="{00000000-0005-0000-0000-000025030000}"/>
    <cellStyle name="40% - Accent2 3 3" xfId="452" xr:uid="{00000000-0005-0000-0000-000026030000}"/>
    <cellStyle name="40% - Accent2 4" xfId="453" xr:uid="{00000000-0005-0000-0000-000027030000}"/>
    <cellStyle name="40% - Accent2 4 2" xfId="454" xr:uid="{00000000-0005-0000-0000-000028030000}"/>
    <cellStyle name="40% - Accent2 4 2 2" xfId="455" xr:uid="{00000000-0005-0000-0000-000029030000}"/>
    <cellStyle name="40% - Accent2 4 3" xfId="456" xr:uid="{00000000-0005-0000-0000-00002A030000}"/>
    <cellStyle name="40% - Accent2 5" xfId="457" xr:uid="{00000000-0005-0000-0000-00002B030000}"/>
    <cellStyle name="40% - Accent2 5 2" xfId="458" xr:uid="{00000000-0005-0000-0000-00002C030000}"/>
    <cellStyle name="40% - Accent2 5 2 2" xfId="459" xr:uid="{00000000-0005-0000-0000-00002D030000}"/>
    <cellStyle name="40% - Accent2 5 3" xfId="460" xr:uid="{00000000-0005-0000-0000-00002E030000}"/>
    <cellStyle name="40% - Accent2 6" xfId="461" xr:uid="{00000000-0005-0000-0000-00002F030000}"/>
    <cellStyle name="40% - Accent2 6 2" xfId="462" xr:uid="{00000000-0005-0000-0000-000030030000}"/>
    <cellStyle name="40% - Accent2 6 2 2" xfId="463" xr:uid="{00000000-0005-0000-0000-000031030000}"/>
    <cellStyle name="40% - Accent2 6 3" xfId="464" xr:uid="{00000000-0005-0000-0000-000032030000}"/>
    <cellStyle name="40% - Accent2 7" xfId="465" xr:uid="{00000000-0005-0000-0000-000033030000}"/>
    <cellStyle name="40% - Accent2 7 2" xfId="466" xr:uid="{00000000-0005-0000-0000-000034030000}"/>
    <cellStyle name="40% - Accent2 7 2 2" xfId="467" xr:uid="{00000000-0005-0000-0000-000035030000}"/>
    <cellStyle name="40% - Accent2 7 3" xfId="468" xr:uid="{00000000-0005-0000-0000-000036030000}"/>
    <cellStyle name="40% - Accent2 8" xfId="469" xr:uid="{00000000-0005-0000-0000-000037030000}"/>
    <cellStyle name="40% - Accent2 8 2" xfId="470" xr:uid="{00000000-0005-0000-0000-000038030000}"/>
    <cellStyle name="40% - Accent2 8 2 2" xfId="471" xr:uid="{00000000-0005-0000-0000-000039030000}"/>
    <cellStyle name="40% - Accent2 8 3" xfId="472" xr:uid="{00000000-0005-0000-0000-00003A030000}"/>
    <cellStyle name="40% - Accent2 9" xfId="473" xr:uid="{00000000-0005-0000-0000-00003B030000}"/>
    <cellStyle name="40% - Accent3 10" xfId="474" xr:uid="{00000000-0005-0000-0000-00003C030000}"/>
    <cellStyle name="40% - Accent3 2" xfId="475" xr:uid="{00000000-0005-0000-0000-00003D030000}"/>
    <cellStyle name="40% - Accent3 2 10" xfId="476" xr:uid="{00000000-0005-0000-0000-00003E030000}"/>
    <cellStyle name="40% - Accent3 2 2" xfId="477" xr:uid="{00000000-0005-0000-0000-00003F030000}"/>
    <cellStyle name="40% - Accent3 2 2 2" xfId="478" xr:uid="{00000000-0005-0000-0000-000040030000}"/>
    <cellStyle name="40% - Accent3 2 2 2 2" xfId="479" xr:uid="{00000000-0005-0000-0000-000041030000}"/>
    <cellStyle name="40% - Accent3 2 2 3" xfId="480" xr:uid="{00000000-0005-0000-0000-000042030000}"/>
    <cellStyle name="40% - Accent3 2 3" xfId="481" xr:uid="{00000000-0005-0000-0000-000043030000}"/>
    <cellStyle name="40% - Accent3 2 3 2" xfId="482" xr:uid="{00000000-0005-0000-0000-000044030000}"/>
    <cellStyle name="40% - Accent3 2 3 2 2" xfId="483" xr:uid="{00000000-0005-0000-0000-000045030000}"/>
    <cellStyle name="40% - Accent3 2 3 3" xfId="484" xr:uid="{00000000-0005-0000-0000-000046030000}"/>
    <cellStyle name="40% - Accent3 2 4" xfId="485" xr:uid="{00000000-0005-0000-0000-000047030000}"/>
    <cellStyle name="40% - Accent3 2 4 2" xfId="486" xr:uid="{00000000-0005-0000-0000-000048030000}"/>
    <cellStyle name="40% - Accent3 2 4 2 2" xfId="487" xr:uid="{00000000-0005-0000-0000-000049030000}"/>
    <cellStyle name="40% - Accent3 2 4 3" xfId="488" xr:uid="{00000000-0005-0000-0000-00004A030000}"/>
    <cellStyle name="40% - Accent3 2 5" xfId="489" xr:uid="{00000000-0005-0000-0000-00004B030000}"/>
    <cellStyle name="40% - Accent3 2 5 2" xfId="490" xr:uid="{00000000-0005-0000-0000-00004C030000}"/>
    <cellStyle name="40% - Accent3 2 5 2 2" xfId="491" xr:uid="{00000000-0005-0000-0000-00004D030000}"/>
    <cellStyle name="40% - Accent3 2 5 3" xfId="492" xr:uid="{00000000-0005-0000-0000-00004E030000}"/>
    <cellStyle name="40% - Accent3 2 6" xfId="493" xr:uid="{00000000-0005-0000-0000-00004F030000}"/>
    <cellStyle name="40% - Accent3 2 6 2" xfId="494" xr:uid="{00000000-0005-0000-0000-000050030000}"/>
    <cellStyle name="40% - Accent3 2 6 2 2" xfId="495" xr:uid="{00000000-0005-0000-0000-000051030000}"/>
    <cellStyle name="40% - Accent3 2 6 3" xfId="496" xr:uid="{00000000-0005-0000-0000-000052030000}"/>
    <cellStyle name="40% - Accent3 2 7" xfId="497" xr:uid="{00000000-0005-0000-0000-000053030000}"/>
    <cellStyle name="40% - Accent3 2 7 2" xfId="498" xr:uid="{00000000-0005-0000-0000-000054030000}"/>
    <cellStyle name="40% - Accent3 2 7 2 2" xfId="499" xr:uid="{00000000-0005-0000-0000-000055030000}"/>
    <cellStyle name="40% - Accent3 2 7 3" xfId="500" xr:uid="{00000000-0005-0000-0000-000056030000}"/>
    <cellStyle name="40% - Accent3 2 8" xfId="501" xr:uid="{00000000-0005-0000-0000-000057030000}"/>
    <cellStyle name="40% - Accent3 2 8 2" xfId="502" xr:uid="{00000000-0005-0000-0000-000058030000}"/>
    <cellStyle name="40% - Accent3 2 8 2 2" xfId="503" xr:uid="{00000000-0005-0000-0000-000059030000}"/>
    <cellStyle name="40% - Accent3 2 8 3" xfId="504" xr:uid="{00000000-0005-0000-0000-00005A030000}"/>
    <cellStyle name="40% - Accent3 2 9" xfId="505" xr:uid="{00000000-0005-0000-0000-00005B030000}"/>
    <cellStyle name="40% - Accent3 2 9 2" xfId="506" xr:uid="{00000000-0005-0000-0000-00005C030000}"/>
    <cellStyle name="40% - Accent3 3" xfId="507" xr:uid="{00000000-0005-0000-0000-00005D030000}"/>
    <cellStyle name="40% - Accent3 3 2" xfId="508" xr:uid="{00000000-0005-0000-0000-00005E030000}"/>
    <cellStyle name="40% - Accent3 3 2 2" xfId="509" xr:uid="{00000000-0005-0000-0000-00005F030000}"/>
    <cellStyle name="40% - Accent3 3 3" xfId="510" xr:uid="{00000000-0005-0000-0000-000060030000}"/>
    <cellStyle name="40% - Accent3 4" xfId="511" xr:uid="{00000000-0005-0000-0000-000061030000}"/>
    <cellStyle name="40% - Accent3 4 2" xfId="512" xr:uid="{00000000-0005-0000-0000-000062030000}"/>
    <cellStyle name="40% - Accent3 4 2 2" xfId="513" xr:uid="{00000000-0005-0000-0000-000063030000}"/>
    <cellStyle name="40% - Accent3 4 3" xfId="514" xr:uid="{00000000-0005-0000-0000-000064030000}"/>
    <cellStyle name="40% - Accent3 5" xfId="515" xr:uid="{00000000-0005-0000-0000-000065030000}"/>
    <cellStyle name="40% - Accent3 5 2" xfId="516" xr:uid="{00000000-0005-0000-0000-000066030000}"/>
    <cellStyle name="40% - Accent3 5 2 2" xfId="517" xr:uid="{00000000-0005-0000-0000-000067030000}"/>
    <cellStyle name="40% - Accent3 5 3" xfId="518" xr:uid="{00000000-0005-0000-0000-000068030000}"/>
    <cellStyle name="40% - Accent3 6" xfId="519" xr:uid="{00000000-0005-0000-0000-000069030000}"/>
    <cellStyle name="40% - Accent3 6 2" xfId="520" xr:uid="{00000000-0005-0000-0000-00006A030000}"/>
    <cellStyle name="40% - Accent3 6 2 2" xfId="521" xr:uid="{00000000-0005-0000-0000-00006B030000}"/>
    <cellStyle name="40% - Accent3 6 3" xfId="522" xr:uid="{00000000-0005-0000-0000-00006C030000}"/>
    <cellStyle name="40% - Accent3 7" xfId="523" xr:uid="{00000000-0005-0000-0000-00006D030000}"/>
    <cellStyle name="40% - Accent3 7 2" xfId="524" xr:uid="{00000000-0005-0000-0000-00006E030000}"/>
    <cellStyle name="40% - Accent3 7 2 2" xfId="525" xr:uid="{00000000-0005-0000-0000-00006F030000}"/>
    <cellStyle name="40% - Accent3 7 3" xfId="526" xr:uid="{00000000-0005-0000-0000-000070030000}"/>
    <cellStyle name="40% - Accent3 8" xfId="527" xr:uid="{00000000-0005-0000-0000-000071030000}"/>
    <cellStyle name="40% - Accent3 8 2" xfId="528" xr:uid="{00000000-0005-0000-0000-000072030000}"/>
    <cellStyle name="40% - Accent3 8 2 2" xfId="529" xr:uid="{00000000-0005-0000-0000-000073030000}"/>
    <cellStyle name="40% - Accent3 8 3" xfId="530" xr:uid="{00000000-0005-0000-0000-000074030000}"/>
    <cellStyle name="40% - Accent3 9" xfId="531" xr:uid="{00000000-0005-0000-0000-000075030000}"/>
    <cellStyle name="40% - Accent4 10" xfId="532" xr:uid="{00000000-0005-0000-0000-000076030000}"/>
    <cellStyle name="40% - Accent4 2" xfId="533" xr:uid="{00000000-0005-0000-0000-000077030000}"/>
    <cellStyle name="40% - Accent4 2 10" xfId="534" xr:uid="{00000000-0005-0000-0000-000078030000}"/>
    <cellStyle name="40% - Accent4 2 2" xfId="535" xr:uid="{00000000-0005-0000-0000-000079030000}"/>
    <cellStyle name="40% - Accent4 2 2 2" xfId="536" xr:uid="{00000000-0005-0000-0000-00007A030000}"/>
    <cellStyle name="40% - Accent4 2 2 2 2" xfId="537" xr:uid="{00000000-0005-0000-0000-00007B030000}"/>
    <cellStyle name="40% - Accent4 2 2 3" xfId="538" xr:uid="{00000000-0005-0000-0000-00007C030000}"/>
    <cellStyle name="40% - Accent4 2 3" xfId="539" xr:uid="{00000000-0005-0000-0000-00007D030000}"/>
    <cellStyle name="40% - Accent4 2 3 2" xfId="540" xr:uid="{00000000-0005-0000-0000-00007E030000}"/>
    <cellStyle name="40% - Accent4 2 3 2 2" xfId="541" xr:uid="{00000000-0005-0000-0000-00007F030000}"/>
    <cellStyle name="40% - Accent4 2 3 3" xfId="542" xr:uid="{00000000-0005-0000-0000-000080030000}"/>
    <cellStyle name="40% - Accent4 2 4" xfId="543" xr:uid="{00000000-0005-0000-0000-000081030000}"/>
    <cellStyle name="40% - Accent4 2 4 2" xfId="544" xr:uid="{00000000-0005-0000-0000-000082030000}"/>
    <cellStyle name="40% - Accent4 2 4 2 2" xfId="545" xr:uid="{00000000-0005-0000-0000-000083030000}"/>
    <cellStyle name="40% - Accent4 2 4 3" xfId="546" xr:uid="{00000000-0005-0000-0000-000084030000}"/>
    <cellStyle name="40% - Accent4 2 5" xfId="547" xr:uid="{00000000-0005-0000-0000-000085030000}"/>
    <cellStyle name="40% - Accent4 2 5 2" xfId="548" xr:uid="{00000000-0005-0000-0000-000086030000}"/>
    <cellStyle name="40% - Accent4 2 5 2 2" xfId="549" xr:uid="{00000000-0005-0000-0000-000087030000}"/>
    <cellStyle name="40% - Accent4 2 5 3" xfId="550" xr:uid="{00000000-0005-0000-0000-000088030000}"/>
    <cellStyle name="40% - Accent4 2 6" xfId="551" xr:uid="{00000000-0005-0000-0000-000089030000}"/>
    <cellStyle name="40% - Accent4 2 6 2" xfId="552" xr:uid="{00000000-0005-0000-0000-00008A030000}"/>
    <cellStyle name="40% - Accent4 2 6 2 2" xfId="553" xr:uid="{00000000-0005-0000-0000-00008B030000}"/>
    <cellStyle name="40% - Accent4 2 6 3" xfId="554" xr:uid="{00000000-0005-0000-0000-00008C030000}"/>
    <cellStyle name="40% - Accent4 2 7" xfId="555" xr:uid="{00000000-0005-0000-0000-00008D030000}"/>
    <cellStyle name="40% - Accent4 2 7 2" xfId="556" xr:uid="{00000000-0005-0000-0000-00008E030000}"/>
    <cellStyle name="40% - Accent4 2 7 2 2" xfId="557" xr:uid="{00000000-0005-0000-0000-00008F030000}"/>
    <cellStyle name="40% - Accent4 2 7 3" xfId="558" xr:uid="{00000000-0005-0000-0000-000090030000}"/>
    <cellStyle name="40% - Accent4 2 8" xfId="559" xr:uid="{00000000-0005-0000-0000-000091030000}"/>
    <cellStyle name="40% - Accent4 2 8 2" xfId="560" xr:uid="{00000000-0005-0000-0000-000092030000}"/>
    <cellStyle name="40% - Accent4 2 8 2 2" xfId="561" xr:uid="{00000000-0005-0000-0000-000093030000}"/>
    <cellStyle name="40% - Accent4 2 8 3" xfId="562" xr:uid="{00000000-0005-0000-0000-000094030000}"/>
    <cellStyle name="40% - Accent4 2 9" xfId="563" xr:uid="{00000000-0005-0000-0000-000095030000}"/>
    <cellStyle name="40% - Accent4 2 9 2" xfId="564" xr:uid="{00000000-0005-0000-0000-000096030000}"/>
    <cellStyle name="40% - Accent4 3" xfId="565" xr:uid="{00000000-0005-0000-0000-000097030000}"/>
    <cellStyle name="40% - Accent4 3 2" xfId="566" xr:uid="{00000000-0005-0000-0000-000098030000}"/>
    <cellStyle name="40% - Accent4 3 2 2" xfId="567" xr:uid="{00000000-0005-0000-0000-000099030000}"/>
    <cellStyle name="40% - Accent4 3 3" xfId="568" xr:uid="{00000000-0005-0000-0000-00009A030000}"/>
    <cellStyle name="40% - Accent4 4" xfId="569" xr:uid="{00000000-0005-0000-0000-00009B030000}"/>
    <cellStyle name="40% - Accent4 4 2" xfId="570" xr:uid="{00000000-0005-0000-0000-00009C030000}"/>
    <cellStyle name="40% - Accent4 4 2 2" xfId="571" xr:uid="{00000000-0005-0000-0000-00009D030000}"/>
    <cellStyle name="40% - Accent4 4 3" xfId="572" xr:uid="{00000000-0005-0000-0000-00009E030000}"/>
    <cellStyle name="40% - Accent4 5" xfId="573" xr:uid="{00000000-0005-0000-0000-00009F030000}"/>
    <cellStyle name="40% - Accent4 5 2" xfId="574" xr:uid="{00000000-0005-0000-0000-0000A0030000}"/>
    <cellStyle name="40% - Accent4 5 2 2" xfId="575" xr:uid="{00000000-0005-0000-0000-0000A1030000}"/>
    <cellStyle name="40% - Accent4 5 3" xfId="576" xr:uid="{00000000-0005-0000-0000-0000A2030000}"/>
    <cellStyle name="40% - Accent4 6" xfId="577" xr:uid="{00000000-0005-0000-0000-0000A3030000}"/>
    <cellStyle name="40% - Accent4 6 2" xfId="578" xr:uid="{00000000-0005-0000-0000-0000A4030000}"/>
    <cellStyle name="40% - Accent4 6 2 2" xfId="579" xr:uid="{00000000-0005-0000-0000-0000A5030000}"/>
    <cellStyle name="40% - Accent4 6 3" xfId="580" xr:uid="{00000000-0005-0000-0000-0000A6030000}"/>
    <cellStyle name="40% - Accent4 7" xfId="581" xr:uid="{00000000-0005-0000-0000-0000A7030000}"/>
    <cellStyle name="40% - Accent4 7 2" xfId="582" xr:uid="{00000000-0005-0000-0000-0000A8030000}"/>
    <cellStyle name="40% - Accent4 7 2 2" xfId="583" xr:uid="{00000000-0005-0000-0000-0000A9030000}"/>
    <cellStyle name="40% - Accent4 7 3" xfId="584" xr:uid="{00000000-0005-0000-0000-0000AA030000}"/>
    <cellStyle name="40% - Accent4 8" xfId="585" xr:uid="{00000000-0005-0000-0000-0000AB030000}"/>
    <cellStyle name="40% - Accent4 8 2" xfId="586" xr:uid="{00000000-0005-0000-0000-0000AC030000}"/>
    <cellStyle name="40% - Accent4 8 2 2" xfId="587" xr:uid="{00000000-0005-0000-0000-0000AD030000}"/>
    <cellStyle name="40% - Accent4 8 3" xfId="588" xr:uid="{00000000-0005-0000-0000-0000AE030000}"/>
    <cellStyle name="40% - Accent4 9" xfId="589" xr:uid="{00000000-0005-0000-0000-0000AF030000}"/>
    <cellStyle name="40% - Accent5 10" xfId="590" xr:uid="{00000000-0005-0000-0000-0000B0030000}"/>
    <cellStyle name="40% - Accent5 2" xfId="591" xr:uid="{00000000-0005-0000-0000-0000B1030000}"/>
    <cellStyle name="40% - Accent5 2 10" xfId="592" xr:uid="{00000000-0005-0000-0000-0000B2030000}"/>
    <cellStyle name="40% - Accent5 2 2" xfId="593" xr:uid="{00000000-0005-0000-0000-0000B3030000}"/>
    <cellStyle name="40% - Accent5 2 2 2" xfId="594" xr:uid="{00000000-0005-0000-0000-0000B4030000}"/>
    <cellStyle name="40% - Accent5 2 2 2 2" xfId="595" xr:uid="{00000000-0005-0000-0000-0000B5030000}"/>
    <cellStyle name="40% - Accent5 2 2 3" xfId="596" xr:uid="{00000000-0005-0000-0000-0000B6030000}"/>
    <cellStyle name="40% - Accent5 2 3" xfId="597" xr:uid="{00000000-0005-0000-0000-0000B7030000}"/>
    <cellStyle name="40% - Accent5 2 3 2" xfId="598" xr:uid="{00000000-0005-0000-0000-0000B8030000}"/>
    <cellStyle name="40% - Accent5 2 3 2 2" xfId="599" xr:uid="{00000000-0005-0000-0000-0000B9030000}"/>
    <cellStyle name="40% - Accent5 2 3 3" xfId="600" xr:uid="{00000000-0005-0000-0000-0000BA030000}"/>
    <cellStyle name="40% - Accent5 2 4" xfId="601" xr:uid="{00000000-0005-0000-0000-0000BB030000}"/>
    <cellStyle name="40% - Accent5 2 4 2" xfId="602" xr:uid="{00000000-0005-0000-0000-0000BC030000}"/>
    <cellStyle name="40% - Accent5 2 4 2 2" xfId="603" xr:uid="{00000000-0005-0000-0000-0000BD030000}"/>
    <cellStyle name="40% - Accent5 2 4 3" xfId="604" xr:uid="{00000000-0005-0000-0000-0000BE030000}"/>
    <cellStyle name="40% - Accent5 2 5" xfId="605" xr:uid="{00000000-0005-0000-0000-0000BF030000}"/>
    <cellStyle name="40% - Accent5 2 5 2" xfId="606" xr:uid="{00000000-0005-0000-0000-0000C0030000}"/>
    <cellStyle name="40% - Accent5 2 5 2 2" xfId="607" xr:uid="{00000000-0005-0000-0000-0000C1030000}"/>
    <cellStyle name="40% - Accent5 2 5 3" xfId="608" xr:uid="{00000000-0005-0000-0000-0000C2030000}"/>
    <cellStyle name="40% - Accent5 2 6" xfId="609" xr:uid="{00000000-0005-0000-0000-0000C3030000}"/>
    <cellStyle name="40% - Accent5 2 6 2" xfId="610" xr:uid="{00000000-0005-0000-0000-0000C4030000}"/>
    <cellStyle name="40% - Accent5 2 6 2 2" xfId="611" xr:uid="{00000000-0005-0000-0000-0000C5030000}"/>
    <cellStyle name="40% - Accent5 2 6 3" xfId="612" xr:uid="{00000000-0005-0000-0000-0000C6030000}"/>
    <cellStyle name="40% - Accent5 2 7" xfId="613" xr:uid="{00000000-0005-0000-0000-0000C7030000}"/>
    <cellStyle name="40% - Accent5 2 7 2" xfId="614" xr:uid="{00000000-0005-0000-0000-0000C8030000}"/>
    <cellStyle name="40% - Accent5 2 7 2 2" xfId="615" xr:uid="{00000000-0005-0000-0000-0000C9030000}"/>
    <cellStyle name="40% - Accent5 2 7 3" xfId="616" xr:uid="{00000000-0005-0000-0000-0000CA030000}"/>
    <cellStyle name="40% - Accent5 2 8" xfId="617" xr:uid="{00000000-0005-0000-0000-0000CB030000}"/>
    <cellStyle name="40% - Accent5 2 8 2" xfId="618" xr:uid="{00000000-0005-0000-0000-0000CC030000}"/>
    <cellStyle name="40% - Accent5 2 8 2 2" xfId="619" xr:uid="{00000000-0005-0000-0000-0000CD030000}"/>
    <cellStyle name="40% - Accent5 2 8 3" xfId="620" xr:uid="{00000000-0005-0000-0000-0000CE030000}"/>
    <cellStyle name="40% - Accent5 2 9" xfId="621" xr:uid="{00000000-0005-0000-0000-0000CF030000}"/>
    <cellStyle name="40% - Accent5 2 9 2" xfId="622" xr:uid="{00000000-0005-0000-0000-0000D0030000}"/>
    <cellStyle name="40% - Accent5 3" xfId="623" xr:uid="{00000000-0005-0000-0000-0000D1030000}"/>
    <cellStyle name="40% - Accent5 3 2" xfId="624" xr:uid="{00000000-0005-0000-0000-0000D2030000}"/>
    <cellStyle name="40% - Accent5 3 2 2" xfId="625" xr:uid="{00000000-0005-0000-0000-0000D3030000}"/>
    <cellStyle name="40% - Accent5 3 3" xfId="626" xr:uid="{00000000-0005-0000-0000-0000D4030000}"/>
    <cellStyle name="40% - Accent5 4" xfId="627" xr:uid="{00000000-0005-0000-0000-0000D5030000}"/>
    <cellStyle name="40% - Accent5 4 2" xfId="628" xr:uid="{00000000-0005-0000-0000-0000D6030000}"/>
    <cellStyle name="40% - Accent5 4 2 2" xfId="629" xr:uid="{00000000-0005-0000-0000-0000D7030000}"/>
    <cellStyle name="40% - Accent5 4 3" xfId="630" xr:uid="{00000000-0005-0000-0000-0000D8030000}"/>
    <cellStyle name="40% - Accent5 5" xfId="631" xr:uid="{00000000-0005-0000-0000-0000D9030000}"/>
    <cellStyle name="40% - Accent5 5 2" xfId="632" xr:uid="{00000000-0005-0000-0000-0000DA030000}"/>
    <cellStyle name="40% - Accent5 5 2 2" xfId="633" xr:uid="{00000000-0005-0000-0000-0000DB030000}"/>
    <cellStyle name="40% - Accent5 5 3" xfId="634" xr:uid="{00000000-0005-0000-0000-0000DC030000}"/>
    <cellStyle name="40% - Accent5 6" xfId="635" xr:uid="{00000000-0005-0000-0000-0000DD030000}"/>
    <cellStyle name="40% - Accent5 6 2" xfId="636" xr:uid="{00000000-0005-0000-0000-0000DE030000}"/>
    <cellStyle name="40% - Accent5 6 2 2" xfId="637" xr:uid="{00000000-0005-0000-0000-0000DF030000}"/>
    <cellStyle name="40% - Accent5 6 3" xfId="638" xr:uid="{00000000-0005-0000-0000-0000E0030000}"/>
    <cellStyle name="40% - Accent5 7" xfId="639" xr:uid="{00000000-0005-0000-0000-0000E1030000}"/>
    <cellStyle name="40% - Accent5 7 2" xfId="640" xr:uid="{00000000-0005-0000-0000-0000E2030000}"/>
    <cellStyle name="40% - Accent5 7 2 2" xfId="641" xr:uid="{00000000-0005-0000-0000-0000E3030000}"/>
    <cellStyle name="40% - Accent5 7 3" xfId="642" xr:uid="{00000000-0005-0000-0000-0000E4030000}"/>
    <cellStyle name="40% - Accent5 8" xfId="643" xr:uid="{00000000-0005-0000-0000-0000E5030000}"/>
    <cellStyle name="40% - Accent5 8 2" xfId="644" xr:uid="{00000000-0005-0000-0000-0000E6030000}"/>
    <cellStyle name="40% - Accent5 8 2 2" xfId="645" xr:uid="{00000000-0005-0000-0000-0000E7030000}"/>
    <cellStyle name="40% - Accent5 8 3" xfId="646" xr:uid="{00000000-0005-0000-0000-0000E8030000}"/>
    <cellStyle name="40% - Accent5 9" xfId="647" xr:uid="{00000000-0005-0000-0000-0000E9030000}"/>
    <cellStyle name="40% - Accent6 10" xfId="648" xr:uid="{00000000-0005-0000-0000-0000EA030000}"/>
    <cellStyle name="40% - Accent6 2" xfId="649" xr:uid="{00000000-0005-0000-0000-0000EB030000}"/>
    <cellStyle name="40% - Accent6 2 10" xfId="650" xr:uid="{00000000-0005-0000-0000-0000EC030000}"/>
    <cellStyle name="40% - Accent6 2 2" xfId="651" xr:uid="{00000000-0005-0000-0000-0000ED030000}"/>
    <cellStyle name="40% - Accent6 2 2 2" xfId="652" xr:uid="{00000000-0005-0000-0000-0000EE030000}"/>
    <cellStyle name="40% - Accent6 2 2 2 2" xfId="653" xr:uid="{00000000-0005-0000-0000-0000EF030000}"/>
    <cellStyle name="40% - Accent6 2 2 3" xfId="654" xr:uid="{00000000-0005-0000-0000-0000F0030000}"/>
    <cellStyle name="40% - Accent6 2 3" xfId="655" xr:uid="{00000000-0005-0000-0000-0000F1030000}"/>
    <cellStyle name="40% - Accent6 2 3 2" xfId="656" xr:uid="{00000000-0005-0000-0000-0000F2030000}"/>
    <cellStyle name="40% - Accent6 2 3 2 2" xfId="657" xr:uid="{00000000-0005-0000-0000-0000F3030000}"/>
    <cellStyle name="40% - Accent6 2 3 3" xfId="658" xr:uid="{00000000-0005-0000-0000-0000F4030000}"/>
    <cellStyle name="40% - Accent6 2 4" xfId="659" xr:uid="{00000000-0005-0000-0000-0000F5030000}"/>
    <cellStyle name="40% - Accent6 2 4 2" xfId="660" xr:uid="{00000000-0005-0000-0000-0000F6030000}"/>
    <cellStyle name="40% - Accent6 2 4 2 2" xfId="661" xr:uid="{00000000-0005-0000-0000-0000F7030000}"/>
    <cellStyle name="40% - Accent6 2 4 3" xfId="662" xr:uid="{00000000-0005-0000-0000-0000F8030000}"/>
    <cellStyle name="40% - Accent6 2 5" xfId="663" xr:uid="{00000000-0005-0000-0000-0000F9030000}"/>
    <cellStyle name="40% - Accent6 2 5 2" xfId="664" xr:uid="{00000000-0005-0000-0000-0000FA030000}"/>
    <cellStyle name="40% - Accent6 2 5 2 2" xfId="665" xr:uid="{00000000-0005-0000-0000-0000FB030000}"/>
    <cellStyle name="40% - Accent6 2 5 3" xfId="666" xr:uid="{00000000-0005-0000-0000-0000FC030000}"/>
    <cellStyle name="40% - Accent6 2 6" xfId="667" xr:uid="{00000000-0005-0000-0000-0000FD030000}"/>
    <cellStyle name="40% - Accent6 2 6 2" xfId="668" xr:uid="{00000000-0005-0000-0000-0000FE030000}"/>
    <cellStyle name="40% - Accent6 2 6 2 2" xfId="669" xr:uid="{00000000-0005-0000-0000-0000FF030000}"/>
    <cellStyle name="40% - Accent6 2 6 3" xfId="670" xr:uid="{00000000-0005-0000-0000-000000040000}"/>
    <cellStyle name="40% - Accent6 2 7" xfId="671" xr:uid="{00000000-0005-0000-0000-000001040000}"/>
    <cellStyle name="40% - Accent6 2 7 2" xfId="672" xr:uid="{00000000-0005-0000-0000-000002040000}"/>
    <cellStyle name="40% - Accent6 2 7 2 2" xfId="673" xr:uid="{00000000-0005-0000-0000-000003040000}"/>
    <cellStyle name="40% - Accent6 2 7 3" xfId="674" xr:uid="{00000000-0005-0000-0000-000004040000}"/>
    <cellStyle name="40% - Accent6 2 8" xfId="675" xr:uid="{00000000-0005-0000-0000-000005040000}"/>
    <cellStyle name="40% - Accent6 2 8 2" xfId="676" xr:uid="{00000000-0005-0000-0000-000006040000}"/>
    <cellStyle name="40% - Accent6 2 8 2 2" xfId="677" xr:uid="{00000000-0005-0000-0000-000007040000}"/>
    <cellStyle name="40% - Accent6 2 8 3" xfId="678" xr:uid="{00000000-0005-0000-0000-000008040000}"/>
    <cellStyle name="40% - Accent6 2 9" xfId="679" xr:uid="{00000000-0005-0000-0000-000009040000}"/>
    <cellStyle name="40% - Accent6 2 9 2" xfId="680" xr:uid="{00000000-0005-0000-0000-00000A040000}"/>
    <cellStyle name="40% - Accent6 3" xfId="681" xr:uid="{00000000-0005-0000-0000-00000B040000}"/>
    <cellStyle name="40% - Accent6 3 2" xfId="682" xr:uid="{00000000-0005-0000-0000-00000C040000}"/>
    <cellStyle name="40% - Accent6 3 2 2" xfId="683" xr:uid="{00000000-0005-0000-0000-00000D040000}"/>
    <cellStyle name="40% - Accent6 3 3" xfId="684" xr:uid="{00000000-0005-0000-0000-00000E040000}"/>
    <cellStyle name="40% - Accent6 4" xfId="685" xr:uid="{00000000-0005-0000-0000-00000F040000}"/>
    <cellStyle name="40% - Accent6 4 2" xfId="686" xr:uid="{00000000-0005-0000-0000-000010040000}"/>
    <cellStyle name="40% - Accent6 4 2 2" xfId="687" xr:uid="{00000000-0005-0000-0000-000011040000}"/>
    <cellStyle name="40% - Accent6 4 3" xfId="688" xr:uid="{00000000-0005-0000-0000-000012040000}"/>
    <cellStyle name="40% - Accent6 5" xfId="689" xr:uid="{00000000-0005-0000-0000-000013040000}"/>
    <cellStyle name="40% - Accent6 5 2" xfId="690" xr:uid="{00000000-0005-0000-0000-000014040000}"/>
    <cellStyle name="40% - Accent6 5 2 2" xfId="691" xr:uid="{00000000-0005-0000-0000-000015040000}"/>
    <cellStyle name="40% - Accent6 5 3" xfId="692" xr:uid="{00000000-0005-0000-0000-000016040000}"/>
    <cellStyle name="40% - Accent6 6" xfId="693" xr:uid="{00000000-0005-0000-0000-000017040000}"/>
    <cellStyle name="40% - Accent6 6 2" xfId="694" xr:uid="{00000000-0005-0000-0000-000018040000}"/>
    <cellStyle name="40% - Accent6 6 2 2" xfId="695" xr:uid="{00000000-0005-0000-0000-000019040000}"/>
    <cellStyle name="40% - Accent6 6 3" xfId="696" xr:uid="{00000000-0005-0000-0000-00001A040000}"/>
    <cellStyle name="40% - Accent6 7" xfId="697" xr:uid="{00000000-0005-0000-0000-00001B040000}"/>
    <cellStyle name="40% - Accent6 7 2" xfId="698" xr:uid="{00000000-0005-0000-0000-00001C040000}"/>
    <cellStyle name="40% - Accent6 7 2 2" xfId="699" xr:uid="{00000000-0005-0000-0000-00001D040000}"/>
    <cellStyle name="40% - Accent6 7 3" xfId="700" xr:uid="{00000000-0005-0000-0000-00001E040000}"/>
    <cellStyle name="40% - Accent6 8" xfId="701" xr:uid="{00000000-0005-0000-0000-00001F040000}"/>
    <cellStyle name="40% - Accent6 8 2" xfId="702" xr:uid="{00000000-0005-0000-0000-000020040000}"/>
    <cellStyle name="40% - Accent6 8 2 2" xfId="703" xr:uid="{00000000-0005-0000-0000-000021040000}"/>
    <cellStyle name="40% - Accent6 8 3" xfId="704" xr:uid="{00000000-0005-0000-0000-000022040000}"/>
    <cellStyle name="40% - Accent6 9" xfId="705" xr:uid="{00000000-0005-0000-0000-000023040000}"/>
    <cellStyle name="5x indented GHG Textfiels" xfId="706" xr:uid="{00000000-0005-0000-0000-000024040000}"/>
    <cellStyle name="5x indented GHG Textfiels 2" xfId="1298" xr:uid="{00000000-0005-0000-0000-000025040000}"/>
    <cellStyle name="5x indented GHG Textfiels 2 10" xfId="5311" xr:uid="{00000000-0005-0000-0000-000026040000}"/>
    <cellStyle name="5x indented GHG Textfiels 2 2" xfId="1382" xr:uid="{00000000-0005-0000-0000-000027040000}"/>
    <cellStyle name="5x indented GHG Textfiels 2 2 2" xfId="1886" xr:uid="{00000000-0005-0000-0000-000028040000}"/>
    <cellStyle name="5x indented GHG Textfiels 2 2 2 2" xfId="3966" xr:uid="{00000000-0005-0000-0000-000029040000}"/>
    <cellStyle name="5x indented GHG Textfiels 2 2 2 2 2" xfId="14299" xr:uid="{00000000-0005-0000-0000-00002A040000}"/>
    <cellStyle name="5x indented GHG Textfiels 2 2 2 2 2 2" xfId="20216" xr:uid="{00000000-0005-0000-0000-00002B040000}"/>
    <cellStyle name="5x indented GHG Textfiels 2 2 2 2 2 3" xfId="29131" xr:uid="{00000000-0005-0000-0000-00002C040000}"/>
    <cellStyle name="5x indented GHG Textfiels 2 2 2 2 3" xfId="11068" xr:uid="{00000000-0005-0000-0000-00002D040000}"/>
    <cellStyle name="5x indented GHG Textfiels 2 2 2 2 3 2" xfId="20189" xr:uid="{00000000-0005-0000-0000-00002E040000}"/>
    <cellStyle name="5x indented GHG Textfiels 2 2 2 2 3 3" xfId="25900" xr:uid="{00000000-0005-0000-0000-00002F040000}"/>
    <cellStyle name="5x indented GHG Textfiels 2 2 2 2 4" xfId="21450" xr:uid="{00000000-0005-0000-0000-000030040000}"/>
    <cellStyle name="5x indented GHG Textfiels 2 2 2 3" xfId="4292" xr:uid="{00000000-0005-0000-0000-000031040000}"/>
    <cellStyle name="5x indented GHG Textfiels 2 2 2 3 2" xfId="8331" xr:uid="{00000000-0005-0000-0000-000032040000}"/>
    <cellStyle name="5x indented GHG Textfiels 2 2 2 3 2 2" xfId="17612" xr:uid="{00000000-0005-0000-0000-000033040000}"/>
    <cellStyle name="5x indented GHG Textfiels 2 2 2 3 2 2 2" xfId="20235" xr:uid="{00000000-0005-0000-0000-000034040000}"/>
    <cellStyle name="5x indented GHG Textfiels 2 2 2 3 2 2 3" xfId="32444" xr:uid="{00000000-0005-0000-0000-000035040000}"/>
    <cellStyle name="5x indented GHG Textfiels 2 2 2 3 2 3" xfId="24019" xr:uid="{00000000-0005-0000-0000-000036040000}"/>
    <cellStyle name="5x indented GHG Textfiels 2 2 2 4" xfId="4864" xr:uid="{00000000-0005-0000-0000-000037040000}"/>
    <cellStyle name="5x indented GHG Textfiels 2 2 2 4 2" xfId="8903" xr:uid="{00000000-0005-0000-0000-000038040000}"/>
    <cellStyle name="5x indented GHG Textfiels 2 2 2 4 2 2" xfId="17943" xr:uid="{00000000-0005-0000-0000-000039040000}"/>
    <cellStyle name="5x indented GHG Textfiels 2 2 2 4 2 2 2" xfId="20243" xr:uid="{00000000-0005-0000-0000-00003A040000}"/>
    <cellStyle name="5x indented GHG Textfiels 2 2 2 4 2 2 3" xfId="32775" xr:uid="{00000000-0005-0000-0000-00003B040000}"/>
    <cellStyle name="5x indented GHG Textfiels 2 2 2 4 2 3" xfId="24369" xr:uid="{00000000-0005-0000-0000-00003C040000}"/>
    <cellStyle name="5x indented GHG Textfiels 2 2 2 5" xfId="2854" xr:uid="{00000000-0005-0000-0000-00003D040000}"/>
    <cellStyle name="5x indented GHG Textfiels 2 2 2 5 2" xfId="13192" xr:uid="{00000000-0005-0000-0000-00003E040000}"/>
    <cellStyle name="5x indented GHG Textfiels 2 2 2 5 2 2" xfId="20203" xr:uid="{00000000-0005-0000-0000-00003F040000}"/>
    <cellStyle name="5x indented GHG Textfiels 2 2 2 5 2 3" xfId="28024" xr:uid="{00000000-0005-0000-0000-000040040000}"/>
    <cellStyle name="5x indented GHG Textfiels 2 2 2 5 3" xfId="10490" xr:uid="{00000000-0005-0000-0000-000041040000}"/>
    <cellStyle name="5x indented GHG Textfiels 2 2 2 5 3 2" xfId="20176" xr:uid="{00000000-0005-0000-0000-000042040000}"/>
    <cellStyle name="5x indented GHG Textfiels 2 2 2 5 3 3" xfId="25322" xr:uid="{00000000-0005-0000-0000-000043040000}"/>
    <cellStyle name="5x indented GHG Textfiels 2 2 2 5 4" xfId="20780" xr:uid="{00000000-0005-0000-0000-000044040000}"/>
    <cellStyle name="5x indented GHG Textfiels 2 2 3" xfId="3665" xr:uid="{00000000-0005-0000-0000-000045040000}"/>
    <cellStyle name="5x indented GHG Textfiels 2 2 3 2" xfId="14000" xr:uid="{00000000-0005-0000-0000-000046040000}"/>
    <cellStyle name="5x indented GHG Textfiels 2 2 3 2 2" xfId="20210" xr:uid="{00000000-0005-0000-0000-000047040000}"/>
    <cellStyle name="5x indented GHG Textfiels 2 2 3 2 3" xfId="28832" xr:uid="{00000000-0005-0000-0000-000048040000}"/>
    <cellStyle name="5x indented GHG Textfiels 2 2 3 3" xfId="10923" xr:uid="{00000000-0005-0000-0000-000049040000}"/>
    <cellStyle name="5x indented GHG Textfiels 2 2 3 3 2" xfId="20183" xr:uid="{00000000-0005-0000-0000-00004A040000}"/>
    <cellStyle name="5x indented GHG Textfiels 2 2 3 3 3" xfId="25755" xr:uid="{00000000-0005-0000-0000-00004B040000}"/>
    <cellStyle name="5x indented GHG Textfiels 2 2 3 4" xfId="21283" xr:uid="{00000000-0005-0000-0000-00004C040000}"/>
    <cellStyle name="5x indented GHG Textfiels 2 2 4" xfId="4444" xr:uid="{00000000-0005-0000-0000-00004D040000}"/>
    <cellStyle name="5x indented GHG Textfiels 2 2 4 2" xfId="8483" xr:uid="{00000000-0005-0000-0000-00004E040000}"/>
    <cellStyle name="5x indented GHG Textfiels 2 2 4 2 2" xfId="17703" xr:uid="{00000000-0005-0000-0000-00004F040000}"/>
    <cellStyle name="5x indented GHG Textfiels 2 2 4 2 2 2" xfId="20238" xr:uid="{00000000-0005-0000-0000-000050040000}"/>
    <cellStyle name="5x indented GHG Textfiels 2 2 4 2 2 3" xfId="32535" xr:uid="{00000000-0005-0000-0000-000051040000}"/>
    <cellStyle name="5x indented GHG Textfiels 2 2 4 2 3" xfId="24109" xr:uid="{00000000-0005-0000-0000-000052040000}"/>
    <cellStyle name="5x indented GHG Textfiels 2 2 5" xfId="2434" xr:uid="{00000000-0005-0000-0000-000053040000}"/>
    <cellStyle name="5x indented GHG Textfiels 2 2 5 2" xfId="12773" xr:uid="{00000000-0005-0000-0000-000054040000}"/>
    <cellStyle name="5x indented GHG Textfiels 2 2 5 2 2" xfId="20199" xr:uid="{00000000-0005-0000-0000-000055040000}"/>
    <cellStyle name="5x indented GHG Textfiels 2 2 5 2 3" xfId="27605" xr:uid="{00000000-0005-0000-0000-000056040000}"/>
    <cellStyle name="5x indented GHG Textfiels 2 2 5 3" xfId="10251" xr:uid="{00000000-0005-0000-0000-000057040000}"/>
    <cellStyle name="5x indented GHG Textfiels 2 2 5 3 2" xfId="20172" xr:uid="{00000000-0005-0000-0000-000058040000}"/>
    <cellStyle name="5x indented GHG Textfiels 2 2 5 3 3" xfId="25083" xr:uid="{00000000-0005-0000-0000-000059040000}"/>
    <cellStyle name="5x indented GHG Textfiels 2 2 5 4" xfId="20526" xr:uid="{00000000-0005-0000-0000-00005A040000}"/>
    <cellStyle name="5x indented GHG Textfiels 2 2 6" xfId="9479" xr:uid="{00000000-0005-0000-0000-00005B040000}"/>
    <cellStyle name="5x indented GHG Textfiels 2 3" xfId="1554" xr:uid="{00000000-0005-0000-0000-00005C040000}"/>
    <cellStyle name="5x indented GHG Textfiels 2 3 2" xfId="2051" xr:uid="{00000000-0005-0000-0000-00005D040000}"/>
    <cellStyle name="5x indented GHG Textfiels 2 3 2 2" xfId="4074" xr:uid="{00000000-0005-0000-0000-00005E040000}"/>
    <cellStyle name="5x indented GHG Textfiels 2 3 2 2 2" xfId="14406" xr:uid="{00000000-0005-0000-0000-00005F040000}"/>
    <cellStyle name="5x indented GHG Textfiels 2 3 2 2 2 2" xfId="20219" xr:uid="{00000000-0005-0000-0000-000060040000}"/>
    <cellStyle name="5x indented GHG Textfiels 2 3 2 2 2 3" xfId="29238" xr:uid="{00000000-0005-0000-0000-000061040000}"/>
    <cellStyle name="5x indented GHG Textfiels 2 3 2 2 3" xfId="11124" xr:uid="{00000000-0005-0000-0000-000062040000}"/>
    <cellStyle name="5x indented GHG Textfiels 2 3 2 2 3 2" xfId="20192" xr:uid="{00000000-0005-0000-0000-000063040000}"/>
    <cellStyle name="5x indented GHG Textfiels 2 3 2 2 3 3" xfId="25956" xr:uid="{00000000-0005-0000-0000-000064040000}"/>
    <cellStyle name="5x indented GHG Textfiels 2 3 2 2 4" xfId="21505" xr:uid="{00000000-0005-0000-0000-000065040000}"/>
    <cellStyle name="5x indented GHG Textfiels 2 3 2 3" xfId="3233" xr:uid="{00000000-0005-0000-0000-000066040000}"/>
    <cellStyle name="5x indented GHG Textfiels 2 3 2 3 2" xfId="7297" xr:uid="{00000000-0005-0000-0000-000067040000}"/>
    <cellStyle name="5x indented GHG Textfiels 2 3 2 3 2 2" xfId="17057" xr:uid="{00000000-0005-0000-0000-000068040000}"/>
    <cellStyle name="5x indented GHG Textfiels 2 3 2 3 2 2 2" xfId="20229" xr:uid="{00000000-0005-0000-0000-000069040000}"/>
    <cellStyle name="5x indented GHG Textfiels 2 3 2 3 2 2 3" xfId="31889" xr:uid="{00000000-0005-0000-0000-00006A040000}"/>
    <cellStyle name="5x indented GHG Textfiels 2 3 2 3 2 3" xfId="23337" xr:uid="{00000000-0005-0000-0000-00006B040000}"/>
    <cellStyle name="5x indented GHG Textfiels 2 3 2 4" xfId="5019" xr:uid="{00000000-0005-0000-0000-00006C040000}"/>
    <cellStyle name="5x indented GHG Textfiels 2 3 2 4 2" xfId="9058" xr:uid="{00000000-0005-0000-0000-00006D040000}"/>
    <cellStyle name="5x indented GHG Textfiels 2 3 2 4 2 2" xfId="17995" xr:uid="{00000000-0005-0000-0000-00006E040000}"/>
    <cellStyle name="5x indented GHG Textfiels 2 3 2 4 2 2 2" xfId="20245" xr:uid="{00000000-0005-0000-0000-00006F040000}"/>
    <cellStyle name="5x indented GHG Textfiels 2 3 2 4 2 2 3" xfId="32827" xr:uid="{00000000-0005-0000-0000-000070040000}"/>
    <cellStyle name="5x indented GHG Textfiels 2 3 2 4 2 3" xfId="24492" xr:uid="{00000000-0005-0000-0000-000071040000}"/>
    <cellStyle name="5x indented GHG Textfiels 2 3 2 5" xfId="3009" xr:uid="{00000000-0005-0000-0000-000072040000}"/>
    <cellStyle name="5x indented GHG Textfiels 2 3 2 5 2" xfId="13347" xr:uid="{00000000-0005-0000-0000-000073040000}"/>
    <cellStyle name="5x indented GHG Textfiels 2 3 2 5 2 2" xfId="20205" xr:uid="{00000000-0005-0000-0000-000074040000}"/>
    <cellStyle name="5x indented GHG Textfiels 2 3 2 5 2 3" xfId="28179" xr:uid="{00000000-0005-0000-0000-000075040000}"/>
    <cellStyle name="5x indented GHG Textfiels 2 3 2 5 3" xfId="10542" xr:uid="{00000000-0005-0000-0000-000076040000}"/>
    <cellStyle name="5x indented GHG Textfiels 2 3 2 5 3 2" xfId="20178" xr:uid="{00000000-0005-0000-0000-000077040000}"/>
    <cellStyle name="5x indented GHG Textfiels 2 3 2 5 3 3" xfId="25374" xr:uid="{00000000-0005-0000-0000-000078040000}"/>
    <cellStyle name="5x indented GHG Textfiels 2 3 2 5 4" xfId="20903" xr:uid="{00000000-0005-0000-0000-000079040000}"/>
    <cellStyle name="5x indented GHG Textfiels 2 3 3" xfId="3776" xr:uid="{00000000-0005-0000-0000-00007A040000}"/>
    <cellStyle name="5x indented GHG Textfiels 2 3 3 2" xfId="14111" xr:uid="{00000000-0005-0000-0000-00007B040000}"/>
    <cellStyle name="5x indented GHG Textfiels 2 3 3 2 2" xfId="20212" xr:uid="{00000000-0005-0000-0000-00007C040000}"/>
    <cellStyle name="5x indented GHG Textfiels 2 3 3 2 3" xfId="28943" xr:uid="{00000000-0005-0000-0000-00007D040000}"/>
    <cellStyle name="5x indented GHG Textfiels 2 3 3 3" xfId="10978" xr:uid="{00000000-0005-0000-0000-00007E040000}"/>
    <cellStyle name="5x indented GHG Textfiels 2 3 3 3 2" xfId="20185" xr:uid="{00000000-0005-0000-0000-00007F040000}"/>
    <cellStyle name="5x indented GHG Textfiels 2 3 3 3 3" xfId="25810" xr:uid="{00000000-0005-0000-0000-000080040000}"/>
    <cellStyle name="5x indented GHG Textfiels 2 3 3 4" xfId="21343" xr:uid="{00000000-0005-0000-0000-000081040000}"/>
    <cellStyle name="5x indented GHG Textfiels 2 3 4" xfId="4599" xr:uid="{00000000-0005-0000-0000-000082040000}"/>
    <cellStyle name="5x indented GHG Textfiels 2 3 4 2" xfId="8638" xr:uid="{00000000-0005-0000-0000-000083040000}"/>
    <cellStyle name="5x indented GHG Textfiels 2 3 4 2 2" xfId="17755" xr:uid="{00000000-0005-0000-0000-000084040000}"/>
    <cellStyle name="5x indented GHG Textfiels 2 3 4 2 2 2" xfId="20240" xr:uid="{00000000-0005-0000-0000-000085040000}"/>
    <cellStyle name="5x indented GHG Textfiels 2 3 4 2 2 3" xfId="32587" xr:uid="{00000000-0005-0000-0000-000086040000}"/>
    <cellStyle name="5x indented GHG Textfiels 2 3 4 2 3" xfId="24232" xr:uid="{00000000-0005-0000-0000-000087040000}"/>
    <cellStyle name="5x indented GHG Textfiels 2 3 5" xfId="2589" xr:uid="{00000000-0005-0000-0000-000088040000}"/>
    <cellStyle name="5x indented GHG Textfiels 2 3 5 2" xfId="12927" xr:uid="{00000000-0005-0000-0000-000089040000}"/>
    <cellStyle name="5x indented GHG Textfiels 2 3 5 2 2" xfId="20200" xr:uid="{00000000-0005-0000-0000-00008A040000}"/>
    <cellStyle name="5x indented GHG Textfiels 2 3 5 2 3" xfId="27759" xr:uid="{00000000-0005-0000-0000-00008B040000}"/>
    <cellStyle name="5x indented GHG Textfiels 2 3 5 3" xfId="10302" xr:uid="{00000000-0005-0000-0000-00008C040000}"/>
    <cellStyle name="5x indented GHG Textfiels 2 3 5 3 2" xfId="20173" xr:uid="{00000000-0005-0000-0000-00008D040000}"/>
    <cellStyle name="5x indented GHG Textfiels 2 3 5 3 3" xfId="25134" xr:uid="{00000000-0005-0000-0000-00008E040000}"/>
    <cellStyle name="5x indented GHG Textfiels 2 3 5 4" xfId="20643" xr:uid="{00000000-0005-0000-0000-00008F040000}"/>
    <cellStyle name="5x indented GHG Textfiels 2 3 6" xfId="9624" xr:uid="{00000000-0005-0000-0000-000090040000}"/>
    <cellStyle name="5x indented GHG Textfiels 2 4" xfId="1607" xr:uid="{00000000-0005-0000-0000-000091040000}"/>
    <cellStyle name="5x indented GHG Textfiels 2 4 2" xfId="2104" xr:uid="{00000000-0005-0000-0000-000092040000}"/>
    <cellStyle name="5x indented GHG Textfiels 2 4 2 2" xfId="4114" xr:uid="{00000000-0005-0000-0000-000093040000}"/>
    <cellStyle name="5x indented GHG Textfiels 2 4 2 2 2" xfId="14446" xr:uid="{00000000-0005-0000-0000-000094040000}"/>
    <cellStyle name="5x indented GHG Textfiels 2 4 2 2 2 2" xfId="20220" xr:uid="{00000000-0005-0000-0000-000095040000}"/>
    <cellStyle name="5x indented GHG Textfiels 2 4 2 2 2 3" xfId="29278" xr:uid="{00000000-0005-0000-0000-000096040000}"/>
    <cellStyle name="5x indented GHG Textfiels 2 4 2 2 3" xfId="11144" xr:uid="{00000000-0005-0000-0000-000097040000}"/>
    <cellStyle name="5x indented GHG Textfiels 2 4 2 2 3 2" xfId="20193" xr:uid="{00000000-0005-0000-0000-000098040000}"/>
    <cellStyle name="5x indented GHG Textfiels 2 4 2 2 3 3" xfId="25976" xr:uid="{00000000-0005-0000-0000-000099040000}"/>
    <cellStyle name="5x indented GHG Textfiels 2 4 2 2 4" xfId="21527" xr:uid="{00000000-0005-0000-0000-00009A040000}"/>
    <cellStyle name="5x indented GHG Textfiels 2 4 2 3" xfId="3881" xr:uid="{00000000-0005-0000-0000-00009B040000}"/>
    <cellStyle name="5x indented GHG Textfiels 2 4 2 3 2" xfId="7932" xr:uid="{00000000-0005-0000-0000-00009C040000}"/>
    <cellStyle name="5x indented GHG Textfiels 2 4 2 3 2 2" xfId="17408" xr:uid="{00000000-0005-0000-0000-00009D040000}"/>
    <cellStyle name="5x indented GHG Textfiels 2 4 2 3 2 2 2" xfId="20232" xr:uid="{00000000-0005-0000-0000-00009E040000}"/>
    <cellStyle name="5x indented GHG Textfiels 2 4 2 3 2 2 3" xfId="32240" xr:uid="{00000000-0005-0000-0000-00009F040000}"/>
    <cellStyle name="5x indented GHG Textfiels 2 4 2 3 2 3" xfId="23758" xr:uid="{00000000-0005-0000-0000-0000A0040000}"/>
    <cellStyle name="5x indented GHG Textfiels 2 4 2 4" xfId="5072" xr:uid="{00000000-0005-0000-0000-0000A1040000}"/>
    <cellStyle name="5x indented GHG Textfiels 2 4 2 4 2" xfId="9111" xr:uid="{00000000-0005-0000-0000-0000A2040000}"/>
    <cellStyle name="5x indented GHG Textfiels 2 4 2 4 2 2" xfId="18043" xr:uid="{00000000-0005-0000-0000-0000A3040000}"/>
    <cellStyle name="5x indented GHG Textfiels 2 4 2 4 2 2 2" xfId="20246" xr:uid="{00000000-0005-0000-0000-0000A4040000}"/>
    <cellStyle name="5x indented GHG Textfiels 2 4 2 4 2 2 3" xfId="32875" xr:uid="{00000000-0005-0000-0000-0000A5040000}"/>
    <cellStyle name="5x indented GHG Textfiels 2 4 2 4 2 3" xfId="24513" xr:uid="{00000000-0005-0000-0000-0000A6040000}"/>
    <cellStyle name="5x indented GHG Textfiels 2 4 2 5" xfId="3062" xr:uid="{00000000-0005-0000-0000-0000A7040000}"/>
    <cellStyle name="5x indented GHG Textfiels 2 4 2 5 2" xfId="13400" xr:uid="{00000000-0005-0000-0000-0000A8040000}"/>
    <cellStyle name="5x indented GHG Textfiels 2 4 2 5 2 2" xfId="20206" xr:uid="{00000000-0005-0000-0000-0000A9040000}"/>
    <cellStyle name="5x indented GHG Textfiels 2 4 2 5 2 3" xfId="28232" xr:uid="{00000000-0005-0000-0000-0000AA040000}"/>
    <cellStyle name="5x indented GHG Textfiels 2 4 2 5 3" xfId="10590" xr:uid="{00000000-0005-0000-0000-0000AB040000}"/>
    <cellStyle name="5x indented GHG Textfiels 2 4 2 5 3 2" xfId="20179" xr:uid="{00000000-0005-0000-0000-0000AC040000}"/>
    <cellStyle name="5x indented GHG Textfiels 2 4 2 5 3 3" xfId="25422" xr:uid="{00000000-0005-0000-0000-0000AD040000}"/>
    <cellStyle name="5x indented GHG Textfiels 2 4 2 5 4" xfId="20924" xr:uid="{00000000-0005-0000-0000-0000AE040000}"/>
    <cellStyle name="5x indented GHG Textfiels 2 4 3" xfId="3814" xr:uid="{00000000-0005-0000-0000-0000AF040000}"/>
    <cellStyle name="5x indented GHG Textfiels 2 4 3 2" xfId="14149" xr:uid="{00000000-0005-0000-0000-0000B0040000}"/>
    <cellStyle name="5x indented GHG Textfiels 2 4 3 2 2" xfId="20214" xr:uid="{00000000-0005-0000-0000-0000B1040000}"/>
    <cellStyle name="5x indented GHG Textfiels 2 4 3 2 3" xfId="28981" xr:uid="{00000000-0005-0000-0000-0000B2040000}"/>
    <cellStyle name="5x indented GHG Textfiels 2 4 3 3" xfId="10998" xr:uid="{00000000-0005-0000-0000-0000B3040000}"/>
    <cellStyle name="5x indented GHG Textfiels 2 4 3 3 2" xfId="20187" xr:uid="{00000000-0005-0000-0000-0000B4040000}"/>
    <cellStyle name="5x indented GHG Textfiels 2 4 3 3 3" xfId="25830" xr:uid="{00000000-0005-0000-0000-0000B5040000}"/>
    <cellStyle name="5x indented GHG Textfiels 2 4 3 4" xfId="21366" xr:uid="{00000000-0005-0000-0000-0000B6040000}"/>
    <cellStyle name="5x indented GHG Textfiels 2 4 4" xfId="4652" xr:uid="{00000000-0005-0000-0000-0000B7040000}"/>
    <cellStyle name="5x indented GHG Textfiels 2 4 4 2" xfId="8691" xr:uid="{00000000-0005-0000-0000-0000B8040000}"/>
    <cellStyle name="5x indented GHG Textfiels 2 4 4 2 2" xfId="17803" xr:uid="{00000000-0005-0000-0000-0000B9040000}"/>
    <cellStyle name="5x indented GHG Textfiels 2 4 4 2 2 2" xfId="20241" xr:uid="{00000000-0005-0000-0000-0000BA040000}"/>
    <cellStyle name="5x indented GHG Textfiels 2 4 4 2 2 3" xfId="32635" xr:uid="{00000000-0005-0000-0000-0000BB040000}"/>
    <cellStyle name="5x indented GHG Textfiels 2 4 4 2 3" xfId="24253" xr:uid="{00000000-0005-0000-0000-0000BC040000}"/>
    <cellStyle name="5x indented GHG Textfiels 2 4 5" xfId="2642" xr:uid="{00000000-0005-0000-0000-0000BD040000}"/>
    <cellStyle name="5x indented GHG Textfiels 2 4 5 2" xfId="12980" xr:uid="{00000000-0005-0000-0000-0000BE040000}"/>
    <cellStyle name="5x indented GHG Textfiels 2 4 5 2 2" xfId="20201" xr:uid="{00000000-0005-0000-0000-0000BF040000}"/>
    <cellStyle name="5x indented GHG Textfiels 2 4 5 2 3" xfId="27812" xr:uid="{00000000-0005-0000-0000-0000C0040000}"/>
    <cellStyle name="5x indented GHG Textfiels 2 4 5 3" xfId="10350" xr:uid="{00000000-0005-0000-0000-0000C1040000}"/>
    <cellStyle name="5x indented GHG Textfiels 2 4 5 3 2" xfId="20174" xr:uid="{00000000-0005-0000-0000-0000C2040000}"/>
    <cellStyle name="5x indented GHG Textfiels 2 4 5 3 3" xfId="25182" xr:uid="{00000000-0005-0000-0000-0000C3040000}"/>
    <cellStyle name="5x indented GHG Textfiels 2 4 5 4" xfId="20664" xr:uid="{00000000-0005-0000-0000-0000C4040000}"/>
    <cellStyle name="5x indented GHG Textfiels 2 4 6" xfId="9672" xr:uid="{00000000-0005-0000-0000-0000C5040000}"/>
    <cellStyle name="5x indented GHG Textfiels 2 5" xfId="1657" xr:uid="{00000000-0005-0000-0000-0000C6040000}"/>
    <cellStyle name="5x indented GHG Textfiels 2 5 2" xfId="2154" xr:uid="{00000000-0005-0000-0000-0000C7040000}"/>
    <cellStyle name="5x indented GHG Textfiels 2 5 2 2" xfId="4152" xr:uid="{00000000-0005-0000-0000-0000C8040000}"/>
    <cellStyle name="5x indented GHG Textfiels 2 5 2 2 2" xfId="14484" xr:uid="{00000000-0005-0000-0000-0000C9040000}"/>
    <cellStyle name="5x indented GHG Textfiels 2 5 2 2 2 2" xfId="20221" xr:uid="{00000000-0005-0000-0000-0000CA040000}"/>
    <cellStyle name="5x indented GHG Textfiels 2 5 2 2 2 3" xfId="29316" xr:uid="{00000000-0005-0000-0000-0000CB040000}"/>
    <cellStyle name="5x indented GHG Textfiels 2 5 2 2 3" xfId="11164" xr:uid="{00000000-0005-0000-0000-0000CC040000}"/>
    <cellStyle name="5x indented GHG Textfiels 2 5 2 2 3 2" xfId="20194" xr:uid="{00000000-0005-0000-0000-0000CD040000}"/>
    <cellStyle name="5x indented GHG Textfiels 2 5 2 2 3 3" xfId="25996" xr:uid="{00000000-0005-0000-0000-0000CE040000}"/>
    <cellStyle name="5x indented GHG Textfiels 2 5 2 2 4" xfId="21549" xr:uid="{00000000-0005-0000-0000-0000CF040000}"/>
    <cellStyle name="5x indented GHG Textfiels 2 5 2 3" xfId="3891" xr:uid="{00000000-0005-0000-0000-0000D0040000}"/>
    <cellStyle name="5x indented GHG Textfiels 2 5 2 3 2" xfId="7942" xr:uid="{00000000-0005-0000-0000-0000D1040000}"/>
    <cellStyle name="5x indented GHG Textfiels 2 5 2 3 2 2" xfId="17415" xr:uid="{00000000-0005-0000-0000-0000D2040000}"/>
    <cellStyle name="5x indented GHG Textfiels 2 5 2 3 2 2 2" xfId="20233" xr:uid="{00000000-0005-0000-0000-0000D3040000}"/>
    <cellStyle name="5x indented GHG Textfiels 2 5 2 3 2 2 3" xfId="32247" xr:uid="{00000000-0005-0000-0000-0000D4040000}"/>
    <cellStyle name="5x indented GHG Textfiels 2 5 2 3 2 3" xfId="23764" xr:uid="{00000000-0005-0000-0000-0000D5040000}"/>
    <cellStyle name="5x indented GHG Textfiels 2 5 2 4" xfId="5122" xr:uid="{00000000-0005-0000-0000-0000D6040000}"/>
    <cellStyle name="5x indented GHG Textfiels 2 5 2 4 2" xfId="9161" xr:uid="{00000000-0005-0000-0000-0000D7040000}"/>
    <cellStyle name="5x indented GHG Textfiels 2 5 2 4 2 2" xfId="18088" xr:uid="{00000000-0005-0000-0000-0000D8040000}"/>
    <cellStyle name="5x indented GHG Textfiels 2 5 2 4 2 2 2" xfId="20247" xr:uid="{00000000-0005-0000-0000-0000D9040000}"/>
    <cellStyle name="5x indented GHG Textfiels 2 5 2 4 2 2 3" xfId="32920" xr:uid="{00000000-0005-0000-0000-0000DA040000}"/>
    <cellStyle name="5x indented GHG Textfiels 2 5 2 4 2 3" xfId="24531" xr:uid="{00000000-0005-0000-0000-0000DB040000}"/>
    <cellStyle name="5x indented GHG Textfiels 2 5 2 5" xfId="3112" xr:uid="{00000000-0005-0000-0000-0000DC040000}"/>
    <cellStyle name="5x indented GHG Textfiels 2 5 2 5 2" xfId="13450" xr:uid="{00000000-0005-0000-0000-0000DD040000}"/>
    <cellStyle name="5x indented GHG Textfiels 2 5 2 5 2 2" xfId="20207" xr:uid="{00000000-0005-0000-0000-0000DE040000}"/>
    <cellStyle name="5x indented GHG Textfiels 2 5 2 5 2 3" xfId="28282" xr:uid="{00000000-0005-0000-0000-0000DF040000}"/>
    <cellStyle name="5x indented GHG Textfiels 2 5 2 5 3" xfId="10635" xr:uid="{00000000-0005-0000-0000-0000E0040000}"/>
    <cellStyle name="5x indented GHG Textfiels 2 5 2 5 3 2" xfId="20180" xr:uid="{00000000-0005-0000-0000-0000E1040000}"/>
    <cellStyle name="5x indented GHG Textfiels 2 5 2 5 3 3" xfId="25467" xr:uid="{00000000-0005-0000-0000-0000E2040000}"/>
    <cellStyle name="5x indented GHG Textfiels 2 5 2 5 4" xfId="20942" xr:uid="{00000000-0005-0000-0000-0000E3040000}"/>
    <cellStyle name="5x indented GHG Textfiels 2 5 3" xfId="3852" xr:uid="{00000000-0005-0000-0000-0000E4040000}"/>
    <cellStyle name="5x indented GHG Textfiels 2 5 3 2" xfId="14187" xr:uid="{00000000-0005-0000-0000-0000E5040000}"/>
    <cellStyle name="5x indented GHG Textfiels 2 5 3 2 2" xfId="20215" xr:uid="{00000000-0005-0000-0000-0000E6040000}"/>
    <cellStyle name="5x indented GHG Textfiels 2 5 3 2 3" xfId="29019" xr:uid="{00000000-0005-0000-0000-0000E7040000}"/>
    <cellStyle name="5x indented GHG Textfiels 2 5 3 3" xfId="11014" xr:uid="{00000000-0005-0000-0000-0000E8040000}"/>
    <cellStyle name="5x indented GHG Textfiels 2 5 3 3 2" xfId="20188" xr:uid="{00000000-0005-0000-0000-0000E9040000}"/>
    <cellStyle name="5x indented GHG Textfiels 2 5 3 3 3" xfId="25846" xr:uid="{00000000-0005-0000-0000-0000EA040000}"/>
    <cellStyle name="5x indented GHG Textfiels 2 5 3 4" xfId="21386" xr:uid="{00000000-0005-0000-0000-0000EB040000}"/>
    <cellStyle name="5x indented GHG Textfiels 2 5 4" xfId="4702" xr:uid="{00000000-0005-0000-0000-0000EC040000}"/>
    <cellStyle name="5x indented GHG Textfiels 2 5 4 2" xfId="8741" xr:uid="{00000000-0005-0000-0000-0000ED040000}"/>
    <cellStyle name="5x indented GHG Textfiels 2 5 4 2 2" xfId="17848" xr:uid="{00000000-0005-0000-0000-0000EE040000}"/>
    <cellStyle name="5x indented GHG Textfiels 2 5 4 2 2 2" xfId="20242" xr:uid="{00000000-0005-0000-0000-0000EF040000}"/>
    <cellStyle name="5x indented GHG Textfiels 2 5 4 2 2 3" xfId="32680" xr:uid="{00000000-0005-0000-0000-0000F0040000}"/>
    <cellStyle name="5x indented GHG Textfiels 2 5 4 2 3" xfId="24271" xr:uid="{00000000-0005-0000-0000-0000F1040000}"/>
    <cellStyle name="5x indented GHG Textfiels 2 5 5" xfId="2692" xr:uid="{00000000-0005-0000-0000-0000F2040000}"/>
    <cellStyle name="5x indented GHG Textfiels 2 5 5 2" xfId="13030" xr:uid="{00000000-0005-0000-0000-0000F3040000}"/>
    <cellStyle name="5x indented GHG Textfiels 2 5 5 2 2" xfId="20202" xr:uid="{00000000-0005-0000-0000-0000F4040000}"/>
    <cellStyle name="5x indented GHG Textfiels 2 5 5 2 3" xfId="27862" xr:uid="{00000000-0005-0000-0000-0000F5040000}"/>
    <cellStyle name="5x indented GHG Textfiels 2 5 5 3" xfId="10395" xr:uid="{00000000-0005-0000-0000-0000F6040000}"/>
    <cellStyle name="5x indented GHG Textfiels 2 5 5 3 2" xfId="20175" xr:uid="{00000000-0005-0000-0000-0000F7040000}"/>
    <cellStyle name="5x indented GHG Textfiels 2 5 5 3 3" xfId="25227" xr:uid="{00000000-0005-0000-0000-0000F8040000}"/>
    <cellStyle name="5x indented GHG Textfiels 2 5 5 4" xfId="20682" xr:uid="{00000000-0005-0000-0000-0000F9040000}"/>
    <cellStyle name="5x indented GHG Textfiels 2 5 6" xfId="9717" xr:uid="{00000000-0005-0000-0000-0000FA040000}"/>
    <cellStyle name="5x indented GHG Textfiels 2 6" xfId="2159" xr:uid="{00000000-0005-0000-0000-0000FB040000}"/>
    <cellStyle name="5x indented GHG Textfiels 2 6 2" xfId="3538" xr:uid="{00000000-0005-0000-0000-0000FC040000}"/>
    <cellStyle name="5x indented GHG Textfiels 2 6 2 2" xfId="7600" xr:uid="{00000000-0005-0000-0000-0000FD040000}"/>
    <cellStyle name="5x indented GHG Textfiels 2 6 2 2 2" xfId="17244" xr:uid="{00000000-0005-0000-0000-0000FE040000}"/>
    <cellStyle name="5x indented GHG Textfiels 2 6 2 2 2 2" xfId="20230" xr:uid="{00000000-0005-0000-0000-0000FF040000}"/>
    <cellStyle name="5x indented GHG Textfiels 2 6 2 2 2 3" xfId="32076" xr:uid="{00000000-0005-0000-0000-000000050000}"/>
    <cellStyle name="5x indented GHG Textfiels 2 6 2 2 3" xfId="23540" xr:uid="{00000000-0005-0000-0000-000001050000}"/>
    <cellStyle name="5x indented GHG Textfiels 2 6 3" xfId="5127" xr:uid="{00000000-0005-0000-0000-000002050000}"/>
    <cellStyle name="5x indented GHG Textfiels 2 6 3 2" xfId="9166" xr:uid="{00000000-0005-0000-0000-000003050000}"/>
    <cellStyle name="5x indented GHG Textfiels 2 6 3 2 2" xfId="18089" xr:uid="{00000000-0005-0000-0000-000004050000}"/>
    <cellStyle name="5x indented GHG Textfiels 2 6 3 2 2 2" xfId="20248" xr:uid="{00000000-0005-0000-0000-000005050000}"/>
    <cellStyle name="5x indented GHG Textfiels 2 6 3 2 2 3" xfId="32921" xr:uid="{00000000-0005-0000-0000-000006050000}"/>
    <cellStyle name="5x indented GHG Textfiels 2 6 3 2 3" xfId="24536" xr:uid="{00000000-0005-0000-0000-000007050000}"/>
    <cellStyle name="5x indented GHG Textfiels 2 6 4" xfId="4157" xr:uid="{00000000-0005-0000-0000-000008050000}"/>
    <cellStyle name="5x indented GHG Textfiels 2 6 4 2" xfId="14489" xr:uid="{00000000-0005-0000-0000-000009050000}"/>
    <cellStyle name="5x indented GHG Textfiels 2 6 4 2 2" xfId="20222" xr:uid="{00000000-0005-0000-0000-00000A050000}"/>
    <cellStyle name="5x indented GHG Textfiels 2 6 4 2 3" xfId="29321" xr:uid="{00000000-0005-0000-0000-00000B050000}"/>
    <cellStyle name="5x indented GHG Textfiels 2 6 4 3" xfId="11165" xr:uid="{00000000-0005-0000-0000-00000C050000}"/>
    <cellStyle name="5x indented GHG Textfiels 2 6 4 3 2" xfId="20195" xr:uid="{00000000-0005-0000-0000-00000D050000}"/>
    <cellStyle name="5x indented GHG Textfiels 2 6 4 3 3" xfId="25997" xr:uid="{00000000-0005-0000-0000-00000E050000}"/>
    <cellStyle name="5x indented GHG Textfiels 2 6 4 4" xfId="21550" xr:uid="{00000000-0005-0000-0000-00000F050000}"/>
    <cellStyle name="5x indented GHG Textfiels 2 7" xfId="3614" xr:uid="{00000000-0005-0000-0000-000010050000}"/>
    <cellStyle name="5x indented GHG Textfiels 2 7 2" xfId="13949" xr:uid="{00000000-0005-0000-0000-000011050000}"/>
    <cellStyle name="5x indented GHG Textfiels 2 7 2 2" xfId="20209" xr:uid="{00000000-0005-0000-0000-000012050000}"/>
    <cellStyle name="5x indented GHG Textfiels 2 7 2 3" xfId="28781" xr:uid="{00000000-0005-0000-0000-000013050000}"/>
    <cellStyle name="5x indented GHG Textfiels 2 7 3" xfId="10899" xr:uid="{00000000-0005-0000-0000-000014050000}"/>
    <cellStyle name="5x indented GHG Textfiels 2 7 3 2" xfId="20182" xr:uid="{00000000-0005-0000-0000-000015050000}"/>
    <cellStyle name="5x indented GHG Textfiels 2 7 3 3" xfId="25731" xr:uid="{00000000-0005-0000-0000-000016050000}"/>
    <cellStyle name="5x indented GHG Textfiels 2 7 4" xfId="21252" xr:uid="{00000000-0005-0000-0000-000017050000}"/>
    <cellStyle name="5x indented GHG Textfiels 2 8" xfId="3997" xr:uid="{00000000-0005-0000-0000-000018050000}"/>
    <cellStyle name="5x indented GHG Textfiels 2 8 2" xfId="8044" xr:uid="{00000000-0005-0000-0000-000019050000}"/>
    <cellStyle name="5x indented GHG Textfiels 2 8 2 2" xfId="17465" xr:uid="{00000000-0005-0000-0000-00001A050000}"/>
    <cellStyle name="5x indented GHG Textfiels 2 8 2 2 2" xfId="20234" xr:uid="{00000000-0005-0000-0000-00001B050000}"/>
    <cellStyle name="5x indented GHG Textfiels 2 8 2 2 3" xfId="32297" xr:uid="{00000000-0005-0000-0000-00001C050000}"/>
    <cellStyle name="5x indented GHG Textfiels 2 8 2 3" xfId="23827" xr:uid="{00000000-0005-0000-0000-00001D050000}"/>
    <cellStyle name="5x indented GHG Textfiels 2 9" xfId="2350" xr:uid="{00000000-0005-0000-0000-00001E050000}"/>
    <cellStyle name="5x indented GHG Textfiels 2 9 2" xfId="6462" xr:uid="{00000000-0005-0000-0000-00001F050000}"/>
    <cellStyle name="5x indented GHG Textfiels 2 9 2 2" xfId="16553" xr:uid="{00000000-0005-0000-0000-000020050000}"/>
    <cellStyle name="5x indented GHG Textfiels 2 9 2 2 2" xfId="20227" xr:uid="{00000000-0005-0000-0000-000021050000}"/>
    <cellStyle name="5x indented GHG Textfiels 2 9 2 2 3" xfId="31385" xr:uid="{00000000-0005-0000-0000-000022050000}"/>
    <cellStyle name="5x indented GHG Textfiels 2 9 2 3" xfId="22832" xr:uid="{00000000-0005-0000-0000-000023050000}"/>
    <cellStyle name="5x indented GHG Textfiels 3" xfId="1421" xr:uid="{00000000-0005-0000-0000-000024050000}"/>
    <cellStyle name="5x indented GHG Textfiels 3 2" xfId="1922" xr:uid="{00000000-0005-0000-0000-000025050000}"/>
    <cellStyle name="5x indented GHG Textfiels 3 2 2" xfId="3990" xr:uid="{00000000-0005-0000-0000-000026050000}"/>
    <cellStyle name="5x indented GHG Textfiels 3 2 2 2" xfId="14323" xr:uid="{00000000-0005-0000-0000-000027050000}"/>
    <cellStyle name="5x indented GHG Textfiels 3 2 2 2 2" xfId="20218" xr:uid="{00000000-0005-0000-0000-000028050000}"/>
    <cellStyle name="5x indented GHG Textfiels 3 2 2 2 3" xfId="29155" xr:uid="{00000000-0005-0000-0000-000029050000}"/>
    <cellStyle name="5x indented GHG Textfiels 3 2 2 3" xfId="11078" xr:uid="{00000000-0005-0000-0000-00002A050000}"/>
    <cellStyle name="5x indented GHG Textfiels 3 2 2 3 2" xfId="20191" xr:uid="{00000000-0005-0000-0000-00002B050000}"/>
    <cellStyle name="5x indented GHG Textfiels 3 2 2 3 3" xfId="25910" xr:uid="{00000000-0005-0000-0000-00002C050000}"/>
    <cellStyle name="5x indented GHG Textfiels 3 2 2 4" xfId="21463" xr:uid="{00000000-0005-0000-0000-00002D050000}"/>
    <cellStyle name="5x indented GHG Textfiels 3 2 3" xfId="3809" xr:uid="{00000000-0005-0000-0000-00002E050000}"/>
    <cellStyle name="5x indented GHG Textfiels 3 2 3 2" xfId="14144" xr:uid="{00000000-0005-0000-0000-00002F050000}"/>
    <cellStyle name="5x indented GHG Textfiels 3 2 3 2 2" xfId="20213" xr:uid="{00000000-0005-0000-0000-000030050000}"/>
    <cellStyle name="5x indented GHG Textfiels 3 2 3 2 3" xfId="28976" xr:uid="{00000000-0005-0000-0000-000031050000}"/>
    <cellStyle name="5x indented GHG Textfiels 3 2 3 3" xfId="10994" xr:uid="{00000000-0005-0000-0000-000032050000}"/>
    <cellStyle name="5x indented GHG Textfiels 3 2 3 3 2" xfId="20186" xr:uid="{00000000-0005-0000-0000-000033050000}"/>
    <cellStyle name="5x indented GHG Textfiels 3 2 3 3 3" xfId="25826" xr:uid="{00000000-0005-0000-0000-000034050000}"/>
    <cellStyle name="5x indented GHG Textfiels 3 2 3 4" xfId="21364" xr:uid="{00000000-0005-0000-0000-000035050000}"/>
    <cellStyle name="5x indented GHG Textfiels 3 2 4" xfId="4901" xr:uid="{00000000-0005-0000-0000-000036050000}"/>
    <cellStyle name="5x indented GHG Textfiels 3 2 4 2" xfId="8940" xr:uid="{00000000-0005-0000-0000-000037050000}"/>
    <cellStyle name="5x indented GHG Textfiels 3 2 4 2 2" xfId="17945" xr:uid="{00000000-0005-0000-0000-000038050000}"/>
    <cellStyle name="5x indented GHG Textfiels 3 2 4 2 2 2" xfId="20244" xr:uid="{00000000-0005-0000-0000-000039050000}"/>
    <cellStyle name="5x indented GHG Textfiels 3 2 4 2 2 3" xfId="32777" xr:uid="{00000000-0005-0000-0000-00003A050000}"/>
    <cellStyle name="5x indented GHG Textfiels 3 2 4 2 3" xfId="24406" xr:uid="{00000000-0005-0000-0000-00003B050000}"/>
    <cellStyle name="5x indented GHG Textfiels 3 2 5" xfId="2891" xr:uid="{00000000-0005-0000-0000-00003C050000}"/>
    <cellStyle name="5x indented GHG Textfiels 3 2 5 2" xfId="13229" xr:uid="{00000000-0005-0000-0000-00003D050000}"/>
    <cellStyle name="5x indented GHG Textfiels 3 2 5 2 2" xfId="20204" xr:uid="{00000000-0005-0000-0000-00003E050000}"/>
    <cellStyle name="5x indented GHG Textfiels 3 2 5 2 3" xfId="28061" xr:uid="{00000000-0005-0000-0000-00003F050000}"/>
    <cellStyle name="5x indented GHG Textfiels 3 2 5 3" xfId="10492" xr:uid="{00000000-0005-0000-0000-000040050000}"/>
    <cellStyle name="5x indented GHG Textfiels 3 2 5 3 2" xfId="20177" xr:uid="{00000000-0005-0000-0000-000041050000}"/>
    <cellStyle name="5x indented GHG Textfiels 3 2 5 3 3" xfId="25324" xr:uid="{00000000-0005-0000-0000-000042050000}"/>
    <cellStyle name="5x indented GHG Textfiels 3 2 5 4" xfId="20817" xr:uid="{00000000-0005-0000-0000-000043050000}"/>
    <cellStyle name="5x indented GHG Textfiels 3 2 6" xfId="9906" xr:uid="{00000000-0005-0000-0000-000044050000}"/>
    <cellStyle name="5x indented GHG Textfiels 3 3" xfId="2240" xr:uid="{00000000-0005-0000-0000-000045050000}"/>
    <cellStyle name="5x indented GHG Textfiels 3 3 2" xfId="4344" xr:uid="{00000000-0005-0000-0000-000046050000}"/>
    <cellStyle name="5x indented GHG Textfiels 3 3 2 2" xfId="8383" xr:uid="{00000000-0005-0000-0000-000047050000}"/>
    <cellStyle name="5x indented GHG Textfiels 3 3 2 2 2" xfId="17655" xr:uid="{00000000-0005-0000-0000-000048050000}"/>
    <cellStyle name="5x indented GHG Textfiels 3 3 2 2 2 2" xfId="20237" xr:uid="{00000000-0005-0000-0000-000049050000}"/>
    <cellStyle name="5x indented GHG Textfiels 3 3 2 2 2 3" xfId="32487" xr:uid="{00000000-0005-0000-0000-00004A050000}"/>
    <cellStyle name="5x indented GHG Textfiels 3 3 2 2 3" xfId="24041" xr:uid="{00000000-0005-0000-0000-00004B050000}"/>
    <cellStyle name="5x indented GHG Textfiels 3 3 3" xfId="5208" xr:uid="{00000000-0005-0000-0000-00004C050000}"/>
    <cellStyle name="5x indented GHG Textfiels 3 3 3 2" xfId="9247" xr:uid="{00000000-0005-0000-0000-00004D050000}"/>
    <cellStyle name="5x indented GHG Textfiels 3 3 3 2 2" xfId="18138" xr:uid="{00000000-0005-0000-0000-00004E050000}"/>
    <cellStyle name="5x indented GHG Textfiels 3 3 3 2 2 2" xfId="20250" xr:uid="{00000000-0005-0000-0000-00004F050000}"/>
    <cellStyle name="5x indented GHG Textfiels 3 3 3 2 2 3" xfId="32970" xr:uid="{00000000-0005-0000-0000-000050050000}"/>
    <cellStyle name="5x indented GHG Textfiels 3 3 3 2 3" xfId="24585" xr:uid="{00000000-0005-0000-0000-000051050000}"/>
    <cellStyle name="5x indented GHG Textfiels 3 3 4" xfId="4238" xr:uid="{00000000-0005-0000-0000-000052050000}"/>
    <cellStyle name="5x indented GHG Textfiels 3 3 4 2" xfId="14570" xr:uid="{00000000-0005-0000-0000-000053050000}"/>
    <cellStyle name="5x indented GHG Textfiels 3 3 4 2 2" xfId="20224" xr:uid="{00000000-0005-0000-0000-000054050000}"/>
    <cellStyle name="5x indented GHG Textfiels 3 3 4 2 3" xfId="29402" xr:uid="{00000000-0005-0000-0000-000055050000}"/>
    <cellStyle name="5x indented GHG Textfiels 3 3 4 3" xfId="11214" xr:uid="{00000000-0005-0000-0000-000056050000}"/>
    <cellStyle name="5x indented GHG Textfiels 3 3 4 3 2" xfId="20197" xr:uid="{00000000-0005-0000-0000-000057050000}"/>
    <cellStyle name="5x indented GHG Textfiels 3 3 4 3 3" xfId="26046" xr:uid="{00000000-0005-0000-0000-000058050000}"/>
    <cellStyle name="5x indented GHG Textfiels 3 3 4 4" xfId="21598" xr:uid="{00000000-0005-0000-0000-000059050000}"/>
    <cellStyle name="5x indented GHG Textfiels 3 4" xfId="3690" xr:uid="{00000000-0005-0000-0000-00005A050000}"/>
    <cellStyle name="5x indented GHG Textfiels 3 4 2" xfId="14025" xr:uid="{00000000-0005-0000-0000-00005B050000}"/>
    <cellStyle name="5x indented GHG Textfiels 3 4 2 2" xfId="20211" xr:uid="{00000000-0005-0000-0000-00005C050000}"/>
    <cellStyle name="5x indented GHG Textfiels 3 4 2 3" xfId="28857" xr:uid="{00000000-0005-0000-0000-00005D050000}"/>
    <cellStyle name="5x indented GHG Textfiels 3 4 3" xfId="10934" xr:uid="{00000000-0005-0000-0000-00005E050000}"/>
    <cellStyle name="5x indented GHG Textfiels 3 4 3 2" xfId="20184" xr:uid="{00000000-0005-0000-0000-00005F050000}"/>
    <cellStyle name="5x indented GHG Textfiels 3 4 3 3" xfId="25766" xr:uid="{00000000-0005-0000-0000-000060050000}"/>
    <cellStyle name="5x indented GHG Textfiels 3 4 4" xfId="21294" xr:uid="{00000000-0005-0000-0000-000061050000}"/>
    <cellStyle name="5x indented GHG Textfiels 3 5" xfId="3983" xr:uid="{00000000-0005-0000-0000-000062050000}"/>
    <cellStyle name="5x indented GHG Textfiels 3 5 2" xfId="14316" xr:uid="{00000000-0005-0000-0000-000063050000}"/>
    <cellStyle name="5x indented GHG Textfiels 3 5 2 2" xfId="20217" xr:uid="{00000000-0005-0000-0000-000064050000}"/>
    <cellStyle name="5x indented GHG Textfiels 3 5 2 3" xfId="29148" xr:uid="{00000000-0005-0000-0000-000065050000}"/>
    <cellStyle name="5x indented GHG Textfiels 3 5 3" xfId="11073" xr:uid="{00000000-0005-0000-0000-000066050000}"/>
    <cellStyle name="5x indented GHG Textfiels 3 5 3 2" xfId="20190" xr:uid="{00000000-0005-0000-0000-000067050000}"/>
    <cellStyle name="5x indented GHG Textfiels 3 5 3 3" xfId="25905" xr:uid="{00000000-0005-0000-0000-000068050000}"/>
    <cellStyle name="5x indented GHG Textfiels 3 5 4" xfId="21460" xr:uid="{00000000-0005-0000-0000-000069050000}"/>
    <cellStyle name="5x indented GHG Textfiels 3 6" xfId="4481" xr:uid="{00000000-0005-0000-0000-00006A050000}"/>
    <cellStyle name="5x indented GHG Textfiels 3 6 2" xfId="8520" xr:uid="{00000000-0005-0000-0000-00006B050000}"/>
    <cellStyle name="5x indented GHG Textfiels 3 6 2 2" xfId="17705" xr:uid="{00000000-0005-0000-0000-00006C050000}"/>
    <cellStyle name="5x indented GHG Textfiels 3 6 2 2 2" xfId="20239" xr:uid="{00000000-0005-0000-0000-00006D050000}"/>
    <cellStyle name="5x indented GHG Textfiels 3 6 2 2 3" xfId="32537" xr:uid="{00000000-0005-0000-0000-00006E050000}"/>
    <cellStyle name="5x indented GHG Textfiels 3 6 2 3" xfId="24146" xr:uid="{00000000-0005-0000-0000-00006F050000}"/>
    <cellStyle name="5x indented GHG Textfiels 3 7" xfId="2471" xr:uid="{00000000-0005-0000-0000-000070050000}"/>
    <cellStyle name="5x indented GHG Textfiels 3 7 2" xfId="6577" xr:uid="{00000000-0005-0000-0000-000071050000}"/>
    <cellStyle name="5x indented GHG Textfiels 3 7 2 2" xfId="16602" xr:uid="{00000000-0005-0000-0000-000072050000}"/>
    <cellStyle name="5x indented GHG Textfiels 3 7 2 2 2" xfId="20228" xr:uid="{00000000-0005-0000-0000-000073050000}"/>
    <cellStyle name="5x indented GHG Textfiels 3 7 2 2 3" xfId="31434" xr:uid="{00000000-0005-0000-0000-000074050000}"/>
    <cellStyle name="5x indented GHG Textfiels 3 7 2 3" xfId="22915" xr:uid="{00000000-0005-0000-0000-000075050000}"/>
    <cellStyle name="5x indented GHG Textfiels 3 8" xfId="1694" xr:uid="{00000000-0005-0000-0000-000076050000}"/>
    <cellStyle name="5x indented GHG Textfiels 3 8 2" xfId="5826" xr:uid="{00000000-0005-0000-0000-000077050000}"/>
    <cellStyle name="5x indented GHG Textfiels 3 8 2 2" xfId="16037" xr:uid="{00000000-0005-0000-0000-000078050000}"/>
    <cellStyle name="5x indented GHG Textfiels 3 8 2 2 2" xfId="20225" xr:uid="{00000000-0005-0000-0000-000079050000}"/>
    <cellStyle name="5x indented GHG Textfiels 3 8 2 2 3" xfId="30869" xr:uid="{00000000-0005-0000-0000-00007A050000}"/>
    <cellStyle name="5x indented GHG Textfiels 3 8 2 3" xfId="22423" xr:uid="{00000000-0005-0000-0000-00007B050000}"/>
    <cellStyle name="5x indented GHG Textfiels 3 8 3" xfId="12088" xr:uid="{00000000-0005-0000-0000-00007C050000}"/>
    <cellStyle name="5x indented GHG Textfiels 3 8 3 2" xfId="20198" xr:uid="{00000000-0005-0000-0000-00007D050000}"/>
    <cellStyle name="5x indented GHG Textfiels 3 8 3 3" xfId="26920" xr:uid="{00000000-0005-0000-0000-00007E050000}"/>
    <cellStyle name="5x indented GHG Textfiels 3 8 4" xfId="9718" xr:uid="{00000000-0005-0000-0000-00007F050000}"/>
    <cellStyle name="5x indented GHG Textfiels 3 9" xfId="9511" xr:uid="{00000000-0005-0000-0000-000080050000}"/>
    <cellStyle name="5x indented GHG Textfiels 4" xfId="2238" xr:uid="{00000000-0005-0000-0000-000081050000}"/>
    <cellStyle name="5x indented GHG Textfiels 4 2" xfId="4342" xr:uid="{00000000-0005-0000-0000-000082050000}"/>
    <cellStyle name="5x indented GHG Textfiels 4 2 2" xfId="8381" xr:uid="{00000000-0005-0000-0000-000083050000}"/>
    <cellStyle name="5x indented GHG Textfiels 4 2 2 2" xfId="17654" xr:uid="{00000000-0005-0000-0000-000084050000}"/>
    <cellStyle name="5x indented GHG Textfiels 4 2 2 2 2" xfId="20236" xr:uid="{00000000-0005-0000-0000-000085050000}"/>
    <cellStyle name="5x indented GHG Textfiels 4 2 2 2 3" xfId="32486" xr:uid="{00000000-0005-0000-0000-000086050000}"/>
    <cellStyle name="5x indented GHG Textfiels 4 2 2 3" xfId="24039" xr:uid="{00000000-0005-0000-0000-000087050000}"/>
    <cellStyle name="5x indented GHG Textfiels 4 3" xfId="5206" xr:uid="{00000000-0005-0000-0000-000088050000}"/>
    <cellStyle name="5x indented GHG Textfiels 4 3 2" xfId="9245" xr:uid="{00000000-0005-0000-0000-000089050000}"/>
    <cellStyle name="5x indented GHG Textfiels 4 3 2 2" xfId="18137" xr:uid="{00000000-0005-0000-0000-00008A050000}"/>
    <cellStyle name="5x indented GHG Textfiels 4 3 2 2 2" xfId="20249" xr:uid="{00000000-0005-0000-0000-00008B050000}"/>
    <cellStyle name="5x indented GHG Textfiels 4 3 2 2 3" xfId="32969" xr:uid="{00000000-0005-0000-0000-00008C050000}"/>
    <cellStyle name="5x indented GHG Textfiels 4 3 2 3" xfId="24583" xr:uid="{00000000-0005-0000-0000-00008D050000}"/>
    <cellStyle name="5x indented GHG Textfiels 4 4" xfId="4236" xr:uid="{00000000-0005-0000-0000-00008E050000}"/>
    <cellStyle name="5x indented GHG Textfiels 4 4 2" xfId="14568" xr:uid="{00000000-0005-0000-0000-00008F050000}"/>
    <cellStyle name="5x indented GHG Textfiels 4 4 2 2" xfId="20223" xr:uid="{00000000-0005-0000-0000-000090050000}"/>
    <cellStyle name="5x indented GHG Textfiels 4 4 2 3" xfId="29400" xr:uid="{00000000-0005-0000-0000-000091050000}"/>
    <cellStyle name="5x indented GHG Textfiels 4 4 3" xfId="11213" xr:uid="{00000000-0005-0000-0000-000092050000}"/>
    <cellStyle name="5x indented GHG Textfiels 4 4 3 2" xfId="20196" xr:uid="{00000000-0005-0000-0000-000093050000}"/>
    <cellStyle name="5x indented GHG Textfiels 4 4 3 3" xfId="26045" xr:uid="{00000000-0005-0000-0000-000094050000}"/>
    <cellStyle name="5x indented GHG Textfiels 4 4 4" xfId="21597" xr:uid="{00000000-0005-0000-0000-000095050000}"/>
    <cellStyle name="5x indented GHG Textfiels 5" xfId="3312" xr:uid="{00000000-0005-0000-0000-000096050000}"/>
    <cellStyle name="5x indented GHG Textfiels 5 2" xfId="13649" xr:uid="{00000000-0005-0000-0000-000097050000}"/>
    <cellStyle name="5x indented GHG Textfiels 5 2 2" xfId="20208" xr:uid="{00000000-0005-0000-0000-000098050000}"/>
    <cellStyle name="5x indented GHG Textfiels 5 2 3" xfId="28481" xr:uid="{00000000-0005-0000-0000-000099050000}"/>
    <cellStyle name="5x indented GHG Textfiels 5 3" xfId="10733" xr:uid="{00000000-0005-0000-0000-00009A050000}"/>
    <cellStyle name="5x indented GHG Textfiels 5 3 2" xfId="20181" xr:uid="{00000000-0005-0000-0000-00009B050000}"/>
    <cellStyle name="5x indented GHG Textfiels 5 3 3" xfId="25565" xr:uid="{00000000-0005-0000-0000-00009C050000}"/>
    <cellStyle name="5x indented GHG Textfiels 5 4" xfId="21081" xr:uid="{00000000-0005-0000-0000-00009D050000}"/>
    <cellStyle name="5x indented GHG Textfiels 6" xfId="3611" xr:uid="{00000000-0005-0000-0000-00009E050000}"/>
    <cellStyle name="5x indented GHG Textfiels 6 2" xfId="7672" xr:uid="{00000000-0005-0000-0000-00009F050000}"/>
    <cellStyle name="5x indented GHG Textfiels 6 2 2" xfId="17282" xr:uid="{00000000-0005-0000-0000-0000A0050000}"/>
    <cellStyle name="5x indented GHG Textfiels 6 2 2 2" xfId="20231" xr:uid="{00000000-0005-0000-0000-0000A1050000}"/>
    <cellStyle name="5x indented GHG Textfiels 6 2 2 3" xfId="32114" xr:uid="{00000000-0005-0000-0000-0000A2050000}"/>
    <cellStyle name="5x indented GHG Textfiels 6 2 3" xfId="23582" xr:uid="{00000000-0005-0000-0000-0000A3050000}"/>
    <cellStyle name="5x indented GHG Textfiels 7" xfId="2266" xr:uid="{00000000-0005-0000-0000-0000A4050000}"/>
    <cellStyle name="5x indented GHG Textfiels 7 2" xfId="6378" xr:uid="{00000000-0005-0000-0000-0000A5050000}"/>
    <cellStyle name="5x indented GHG Textfiels 7 2 2" xfId="16505" xr:uid="{00000000-0005-0000-0000-0000A6050000}"/>
    <cellStyle name="5x indented GHG Textfiels 7 2 2 2" xfId="20226" xr:uid="{00000000-0005-0000-0000-0000A7050000}"/>
    <cellStyle name="5x indented GHG Textfiels 7 2 2 3" xfId="31337" xr:uid="{00000000-0005-0000-0000-0000A8050000}"/>
    <cellStyle name="5x indented GHG Textfiels 7 2 3" xfId="22780" xr:uid="{00000000-0005-0000-0000-0000A9050000}"/>
    <cellStyle name="5x indented GHG Textfiels 8" xfId="5390" xr:uid="{00000000-0005-0000-0000-0000AA050000}"/>
    <cellStyle name="5x indented GHG Textfiels 8 2" xfId="18249" xr:uid="{00000000-0005-0000-0000-0000AB050000}"/>
    <cellStyle name="5x indented GHG Textfiels 8 3" xfId="22151" xr:uid="{00000000-0005-0000-0000-0000AC050000}"/>
    <cellStyle name="60% - Accent1 10" xfId="707" xr:uid="{00000000-0005-0000-0000-0000AD050000}"/>
    <cellStyle name="60% - Accent1 2" xfId="708" xr:uid="{00000000-0005-0000-0000-0000AE050000}"/>
    <cellStyle name="60% - Accent1 2 2" xfId="709" xr:uid="{00000000-0005-0000-0000-0000AF050000}"/>
    <cellStyle name="60% - Accent1 2 3" xfId="710" xr:uid="{00000000-0005-0000-0000-0000B0050000}"/>
    <cellStyle name="60% - Accent1 2 4" xfId="711" xr:uid="{00000000-0005-0000-0000-0000B1050000}"/>
    <cellStyle name="60% - Accent1 2 5" xfId="712" xr:uid="{00000000-0005-0000-0000-0000B2050000}"/>
    <cellStyle name="60% - Accent1 2 6" xfId="713" xr:uid="{00000000-0005-0000-0000-0000B3050000}"/>
    <cellStyle name="60% - Accent1 2 7" xfId="714" xr:uid="{00000000-0005-0000-0000-0000B4050000}"/>
    <cellStyle name="60% - Accent1 2 8" xfId="715" xr:uid="{00000000-0005-0000-0000-0000B5050000}"/>
    <cellStyle name="60% - Accent1 3" xfId="716" xr:uid="{00000000-0005-0000-0000-0000B6050000}"/>
    <cellStyle name="60% - Accent1 3 2" xfId="717" xr:uid="{00000000-0005-0000-0000-0000B7050000}"/>
    <cellStyle name="60% - Accent1 4" xfId="718" xr:uid="{00000000-0005-0000-0000-0000B8050000}"/>
    <cellStyle name="60% - Accent1 4 2" xfId="719" xr:uid="{00000000-0005-0000-0000-0000B9050000}"/>
    <cellStyle name="60% - Accent1 5" xfId="720" xr:uid="{00000000-0005-0000-0000-0000BA050000}"/>
    <cellStyle name="60% - Accent1 5 2" xfId="721" xr:uid="{00000000-0005-0000-0000-0000BB050000}"/>
    <cellStyle name="60% - Accent1 6" xfId="722" xr:uid="{00000000-0005-0000-0000-0000BC050000}"/>
    <cellStyle name="60% - Accent1 6 2" xfId="723" xr:uid="{00000000-0005-0000-0000-0000BD050000}"/>
    <cellStyle name="60% - Accent1 7" xfId="724" xr:uid="{00000000-0005-0000-0000-0000BE050000}"/>
    <cellStyle name="60% - Accent1 7 2" xfId="725" xr:uid="{00000000-0005-0000-0000-0000BF050000}"/>
    <cellStyle name="60% - Accent1 8" xfId="726" xr:uid="{00000000-0005-0000-0000-0000C0050000}"/>
    <cellStyle name="60% - Accent1 8 2" xfId="727" xr:uid="{00000000-0005-0000-0000-0000C1050000}"/>
    <cellStyle name="60% - Accent1 9" xfId="728" xr:uid="{00000000-0005-0000-0000-0000C2050000}"/>
    <cellStyle name="60% - Accent2 10" xfId="729" xr:uid="{00000000-0005-0000-0000-0000C3050000}"/>
    <cellStyle name="60% - Accent2 2" xfId="730" xr:uid="{00000000-0005-0000-0000-0000C4050000}"/>
    <cellStyle name="60% - Accent2 2 2" xfId="731" xr:uid="{00000000-0005-0000-0000-0000C5050000}"/>
    <cellStyle name="60% - Accent2 2 3" xfId="732" xr:uid="{00000000-0005-0000-0000-0000C6050000}"/>
    <cellStyle name="60% - Accent2 2 4" xfId="733" xr:uid="{00000000-0005-0000-0000-0000C7050000}"/>
    <cellStyle name="60% - Accent2 2 5" xfId="734" xr:uid="{00000000-0005-0000-0000-0000C8050000}"/>
    <cellStyle name="60% - Accent2 2 6" xfId="735" xr:uid="{00000000-0005-0000-0000-0000C9050000}"/>
    <cellStyle name="60% - Accent2 2 7" xfId="736" xr:uid="{00000000-0005-0000-0000-0000CA050000}"/>
    <cellStyle name="60% - Accent2 2 8" xfId="737" xr:uid="{00000000-0005-0000-0000-0000CB050000}"/>
    <cellStyle name="60% - Accent2 3" xfId="738" xr:uid="{00000000-0005-0000-0000-0000CC050000}"/>
    <cellStyle name="60% - Accent2 3 2" xfId="739" xr:uid="{00000000-0005-0000-0000-0000CD050000}"/>
    <cellStyle name="60% - Accent2 4" xfId="740" xr:uid="{00000000-0005-0000-0000-0000CE050000}"/>
    <cellStyle name="60% - Accent2 4 2" xfId="741" xr:uid="{00000000-0005-0000-0000-0000CF050000}"/>
    <cellStyle name="60% - Accent2 5" xfId="742" xr:uid="{00000000-0005-0000-0000-0000D0050000}"/>
    <cellStyle name="60% - Accent2 5 2" xfId="743" xr:uid="{00000000-0005-0000-0000-0000D1050000}"/>
    <cellStyle name="60% - Accent2 6" xfId="744" xr:uid="{00000000-0005-0000-0000-0000D2050000}"/>
    <cellStyle name="60% - Accent2 6 2" xfId="745" xr:uid="{00000000-0005-0000-0000-0000D3050000}"/>
    <cellStyle name="60% - Accent2 7" xfId="746" xr:uid="{00000000-0005-0000-0000-0000D4050000}"/>
    <cellStyle name="60% - Accent2 7 2" xfId="747" xr:uid="{00000000-0005-0000-0000-0000D5050000}"/>
    <cellStyle name="60% - Accent2 8" xfId="748" xr:uid="{00000000-0005-0000-0000-0000D6050000}"/>
    <cellStyle name="60% - Accent2 8 2" xfId="749" xr:uid="{00000000-0005-0000-0000-0000D7050000}"/>
    <cellStyle name="60% - Accent2 9" xfId="750" xr:uid="{00000000-0005-0000-0000-0000D8050000}"/>
    <cellStyle name="60% - Accent3 10" xfId="751" xr:uid="{00000000-0005-0000-0000-0000D9050000}"/>
    <cellStyle name="60% - Accent3 2" xfId="752" xr:uid="{00000000-0005-0000-0000-0000DA050000}"/>
    <cellStyle name="60% - Accent3 2 2" xfId="753" xr:uid="{00000000-0005-0000-0000-0000DB050000}"/>
    <cellStyle name="60% - Accent3 2 3" xfId="754" xr:uid="{00000000-0005-0000-0000-0000DC050000}"/>
    <cellStyle name="60% - Accent3 2 4" xfId="755" xr:uid="{00000000-0005-0000-0000-0000DD050000}"/>
    <cellStyle name="60% - Accent3 2 5" xfId="756" xr:uid="{00000000-0005-0000-0000-0000DE050000}"/>
    <cellStyle name="60% - Accent3 2 6" xfId="757" xr:uid="{00000000-0005-0000-0000-0000DF050000}"/>
    <cellStyle name="60% - Accent3 2 7" xfId="758" xr:uid="{00000000-0005-0000-0000-0000E0050000}"/>
    <cellStyle name="60% - Accent3 2 8" xfId="759" xr:uid="{00000000-0005-0000-0000-0000E1050000}"/>
    <cellStyle name="60% - Accent3 3" xfId="760" xr:uid="{00000000-0005-0000-0000-0000E2050000}"/>
    <cellStyle name="60% - Accent3 3 2" xfId="761" xr:uid="{00000000-0005-0000-0000-0000E3050000}"/>
    <cellStyle name="60% - Accent3 4" xfId="762" xr:uid="{00000000-0005-0000-0000-0000E4050000}"/>
    <cellStyle name="60% - Accent3 4 2" xfId="763" xr:uid="{00000000-0005-0000-0000-0000E5050000}"/>
    <cellStyle name="60% - Accent3 5" xfId="764" xr:uid="{00000000-0005-0000-0000-0000E6050000}"/>
    <cellStyle name="60% - Accent3 5 2" xfId="765" xr:uid="{00000000-0005-0000-0000-0000E7050000}"/>
    <cellStyle name="60% - Accent3 6" xfId="766" xr:uid="{00000000-0005-0000-0000-0000E8050000}"/>
    <cellStyle name="60% - Accent3 6 2" xfId="767" xr:uid="{00000000-0005-0000-0000-0000E9050000}"/>
    <cellStyle name="60% - Accent3 7" xfId="768" xr:uid="{00000000-0005-0000-0000-0000EA050000}"/>
    <cellStyle name="60% - Accent3 7 2" xfId="769" xr:uid="{00000000-0005-0000-0000-0000EB050000}"/>
    <cellStyle name="60% - Accent3 8" xfId="770" xr:uid="{00000000-0005-0000-0000-0000EC050000}"/>
    <cellStyle name="60% - Accent3 8 2" xfId="771" xr:uid="{00000000-0005-0000-0000-0000ED050000}"/>
    <cellStyle name="60% - Accent3 9" xfId="772" xr:uid="{00000000-0005-0000-0000-0000EE050000}"/>
    <cellStyle name="60% - Accent4 10" xfId="773" xr:uid="{00000000-0005-0000-0000-0000EF050000}"/>
    <cellStyle name="60% - Accent4 2" xfId="774" xr:uid="{00000000-0005-0000-0000-0000F0050000}"/>
    <cellStyle name="60% - Accent4 2 2" xfId="775" xr:uid="{00000000-0005-0000-0000-0000F1050000}"/>
    <cellStyle name="60% - Accent4 2 3" xfId="776" xr:uid="{00000000-0005-0000-0000-0000F2050000}"/>
    <cellStyle name="60% - Accent4 2 4" xfId="777" xr:uid="{00000000-0005-0000-0000-0000F3050000}"/>
    <cellStyle name="60% - Accent4 2 5" xfId="778" xr:uid="{00000000-0005-0000-0000-0000F4050000}"/>
    <cellStyle name="60% - Accent4 2 6" xfId="779" xr:uid="{00000000-0005-0000-0000-0000F5050000}"/>
    <cellStyle name="60% - Accent4 2 7" xfId="780" xr:uid="{00000000-0005-0000-0000-0000F6050000}"/>
    <cellStyle name="60% - Accent4 2 8" xfId="781" xr:uid="{00000000-0005-0000-0000-0000F7050000}"/>
    <cellStyle name="60% - Accent4 3" xfId="782" xr:uid="{00000000-0005-0000-0000-0000F8050000}"/>
    <cellStyle name="60% - Accent4 3 2" xfId="783" xr:uid="{00000000-0005-0000-0000-0000F9050000}"/>
    <cellStyle name="60% - Accent4 4" xfId="784" xr:uid="{00000000-0005-0000-0000-0000FA050000}"/>
    <cellStyle name="60% - Accent4 4 2" xfId="785" xr:uid="{00000000-0005-0000-0000-0000FB050000}"/>
    <cellStyle name="60% - Accent4 5" xfId="786" xr:uid="{00000000-0005-0000-0000-0000FC050000}"/>
    <cellStyle name="60% - Accent4 5 2" xfId="787" xr:uid="{00000000-0005-0000-0000-0000FD050000}"/>
    <cellStyle name="60% - Accent4 6" xfId="788" xr:uid="{00000000-0005-0000-0000-0000FE050000}"/>
    <cellStyle name="60% - Accent4 6 2" xfId="789" xr:uid="{00000000-0005-0000-0000-0000FF050000}"/>
    <cellStyle name="60% - Accent4 7" xfId="790" xr:uid="{00000000-0005-0000-0000-000000060000}"/>
    <cellStyle name="60% - Accent4 7 2" xfId="791" xr:uid="{00000000-0005-0000-0000-000001060000}"/>
    <cellStyle name="60% - Accent4 8" xfId="792" xr:uid="{00000000-0005-0000-0000-000002060000}"/>
    <cellStyle name="60% - Accent4 8 2" xfId="793" xr:uid="{00000000-0005-0000-0000-000003060000}"/>
    <cellStyle name="60% - Accent4 9" xfId="794" xr:uid="{00000000-0005-0000-0000-000004060000}"/>
    <cellStyle name="60% - Accent5 10" xfId="795" xr:uid="{00000000-0005-0000-0000-000005060000}"/>
    <cellStyle name="60% - Accent5 2" xfId="796" xr:uid="{00000000-0005-0000-0000-000006060000}"/>
    <cellStyle name="60% - Accent5 2 2" xfId="797" xr:uid="{00000000-0005-0000-0000-000007060000}"/>
    <cellStyle name="60% - Accent5 2 3" xfId="798" xr:uid="{00000000-0005-0000-0000-000008060000}"/>
    <cellStyle name="60% - Accent5 2 4" xfId="799" xr:uid="{00000000-0005-0000-0000-000009060000}"/>
    <cellStyle name="60% - Accent5 2 5" xfId="800" xr:uid="{00000000-0005-0000-0000-00000A060000}"/>
    <cellStyle name="60% - Accent5 2 6" xfId="801" xr:uid="{00000000-0005-0000-0000-00000B060000}"/>
    <cellStyle name="60% - Accent5 2 7" xfId="802" xr:uid="{00000000-0005-0000-0000-00000C060000}"/>
    <cellStyle name="60% - Accent5 2 8" xfId="803" xr:uid="{00000000-0005-0000-0000-00000D060000}"/>
    <cellStyle name="60% - Accent5 3" xfId="804" xr:uid="{00000000-0005-0000-0000-00000E060000}"/>
    <cellStyle name="60% - Accent5 3 2" xfId="805" xr:uid="{00000000-0005-0000-0000-00000F060000}"/>
    <cellStyle name="60% - Accent5 4" xfId="806" xr:uid="{00000000-0005-0000-0000-000010060000}"/>
    <cellStyle name="60% - Accent5 4 2" xfId="807" xr:uid="{00000000-0005-0000-0000-000011060000}"/>
    <cellStyle name="60% - Accent5 5" xfId="808" xr:uid="{00000000-0005-0000-0000-000012060000}"/>
    <cellStyle name="60% - Accent5 5 2" xfId="809" xr:uid="{00000000-0005-0000-0000-000013060000}"/>
    <cellStyle name="60% - Accent5 6" xfId="810" xr:uid="{00000000-0005-0000-0000-000014060000}"/>
    <cellStyle name="60% - Accent5 6 2" xfId="811" xr:uid="{00000000-0005-0000-0000-000015060000}"/>
    <cellStyle name="60% - Accent5 7" xfId="812" xr:uid="{00000000-0005-0000-0000-000016060000}"/>
    <cellStyle name="60% - Accent5 7 2" xfId="813" xr:uid="{00000000-0005-0000-0000-000017060000}"/>
    <cellStyle name="60% - Accent5 8" xfId="814" xr:uid="{00000000-0005-0000-0000-000018060000}"/>
    <cellStyle name="60% - Accent5 8 2" xfId="815" xr:uid="{00000000-0005-0000-0000-000019060000}"/>
    <cellStyle name="60% - Accent5 9" xfId="816" xr:uid="{00000000-0005-0000-0000-00001A060000}"/>
    <cellStyle name="60% - Accent6 10" xfId="817" xr:uid="{00000000-0005-0000-0000-00001B060000}"/>
    <cellStyle name="60% - Accent6 2" xfId="818" xr:uid="{00000000-0005-0000-0000-00001C060000}"/>
    <cellStyle name="60% - Accent6 2 2" xfId="819" xr:uid="{00000000-0005-0000-0000-00001D060000}"/>
    <cellStyle name="60% - Accent6 2 3" xfId="820" xr:uid="{00000000-0005-0000-0000-00001E060000}"/>
    <cellStyle name="60% - Accent6 2 4" xfId="821" xr:uid="{00000000-0005-0000-0000-00001F060000}"/>
    <cellStyle name="60% - Accent6 2 5" xfId="822" xr:uid="{00000000-0005-0000-0000-000020060000}"/>
    <cellStyle name="60% - Accent6 2 6" xfId="823" xr:uid="{00000000-0005-0000-0000-000021060000}"/>
    <cellStyle name="60% - Accent6 2 7" xfId="824" xr:uid="{00000000-0005-0000-0000-000022060000}"/>
    <cellStyle name="60% - Accent6 2 8" xfId="825" xr:uid="{00000000-0005-0000-0000-000023060000}"/>
    <cellStyle name="60% - Accent6 3" xfId="826" xr:uid="{00000000-0005-0000-0000-000024060000}"/>
    <cellStyle name="60% - Accent6 3 2" xfId="827" xr:uid="{00000000-0005-0000-0000-000025060000}"/>
    <cellStyle name="60% - Accent6 4" xfId="828" xr:uid="{00000000-0005-0000-0000-000026060000}"/>
    <cellStyle name="60% - Accent6 4 2" xfId="829" xr:uid="{00000000-0005-0000-0000-000027060000}"/>
    <cellStyle name="60% - Accent6 5" xfId="830" xr:uid="{00000000-0005-0000-0000-000028060000}"/>
    <cellStyle name="60% - Accent6 5 2" xfId="831" xr:uid="{00000000-0005-0000-0000-000029060000}"/>
    <cellStyle name="60% - Accent6 6" xfId="832" xr:uid="{00000000-0005-0000-0000-00002A060000}"/>
    <cellStyle name="60% - Accent6 6 2" xfId="833" xr:uid="{00000000-0005-0000-0000-00002B060000}"/>
    <cellStyle name="60% - Accent6 7" xfId="834" xr:uid="{00000000-0005-0000-0000-00002C060000}"/>
    <cellStyle name="60% - Accent6 7 2" xfId="835" xr:uid="{00000000-0005-0000-0000-00002D060000}"/>
    <cellStyle name="60% - Accent6 8" xfId="836" xr:uid="{00000000-0005-0000-0000-00002E060000}"/>
    <cellStyle name="60% - Accent6 8 2" xfId="837" xr:uid="{00000000-0005-0000-0000-00002F060000}"/>
    <cellStyle name="60% - Accent6 9" xfId="838" xr:uid="{00000000-0005-0000-0000-000030060000}"/>
    <cellStyle name="Accent1 10" xfId="839" xr:uid="{00000000-0005-0000-0000-000031060000}"/>
    <cellStyle name="Accent1 2" xfId="840" xr:uid="{00000000-0005-0000-0000-000032060000}"/>
    <cellStyle name="Accent1 2 2" xfId="841" xr:uid="{00000000-0005-0000-0000-000033060000}"/>
    <cellStyle name="Accent1 2 3" xfId="842" xr:uid="{00000000-0005-0000-0000-000034060000}"/>
    <cellStyle name="Accent1 2 4" xfId="843" xr:uid="{00000000-0005-0000-0000-000035060000}"/>
    <cellStyle name="Accent1 2 5" xfId="844" xr:uid="{00000000-0005-0000-0000-000036060000}"/>
    <cellStyle name="Accent1 2 6" xfId="845" xr:uid="{00000000-0005-0000-0000-000037060000}"/>
    <cellStyle name="Accent1 2 7" xfId="846" xr:uid="{00000000-0005-0000-0000-000038060000}"/>
    <cellStyle name="Accent1 2 8" xfId="847" xr:uid="{00000000-0005-0000-0000-000039060000}"/>
    <cellStyle name="Accent1 3" xfId="848" xr:uid="{00000000-0005-0000-0000-00003A060000}"/>
    <cellStyle name="Accent1 3 2" xfId="849" xr:uid="{00000000-0005-0000-0000-00003B060000}"/>
    <cellStyle name="Accent1 4" xfId="850" xr:uid="{00000000-0005-0000-0000-00003C060000}"/>
    <cellStyle name="Accent1 4 2" xfId="851" xr:uid="{00000000-0005-0000-0000-00003D060000}"/>
    <cellStyle name="Accent1 5" xfId="852" xr:uid="{00000000-0005-0000-0000-00003E060000}"/>
    <cellStyle name="Accent1 5 2" xfId="853" xr:uid="{00000000-0005-0000-0000-00003F060000}"/>
    <cellStyle name="Accent1 6" xfId="854" xr:uid="{00000000-0005-0000-0000-000040060000}"/>
    <cellStyle name="Accent1 6 2" xfId="855" xr:uid="{00000000-0005-0000-0000-000041060000}"/>
    <cellStyle name="Accent1 7" xfId="856" xr:uid="{00000000-0005-0000-0000-000042060000}"/>
    <cellStyle name="Accent1 7 2" xfId="857" xr:uid="{00000000-0005-0000-0000-000043060000}"/>
    <cellStyle name="Accent1 8" xfId="858" xr:uid="{00000000-0005-0000-0000-000044060000}"/>
    <cellStyle name="Accent1 8 2" xfId="859" xr:uid="{00000000-0005-0000-0000-000045060000}"/>
    <cellStyle name="Accent1 9" xfId="860" xr:uid="{00000000-0005-0000-0000-000046060000}"/>
    <cellStyle name="Accent2 10" xfId="861" xr:uid="{00000000-0005-0000-0000-000047060000}"/>
    <cellStyle name="Accent2 2" xfId="862" xr:uid="{00000000-0005-0000-0000-000048060000}"/>
    <cellStyle name="Accent2 2 2" xfId="863" xr:uid="{00000000-0005-0000-0000-000049060000}"/>
    <cellStyle name="Accent2 2 3" xfId="864" xr:uid="{00000000-0005-0000-0000-00004A060000}"/>
    <cellStyle name="Accent2 2 4" xfId="865" xr:uid="{00000000-0005-0000-0000-00004B060000}"/>
    <cellStyle name="Accent2 2 5" xfId="866" xr:uid="{00000000-0005-0000-0000-00004C060000}"/>
    <cellStyle name="Accent2 2 6" xfId="867" xr:uid="{00000000-0005-0000-0000-00004D060000}"/>
    <cellStyle name="Accent2 2 7" xfId="868" xr:uid="{00000000-0005-0000-0000-00004E060000}"/>
    <cellStyle name="Accent2 2 8" xfId="869" xr:uid="{00000000-0005-0000-0000-00004F060000}"/>
    <cellStyle name="Accent2 3" xfId="870" xr:uid="{00000000-0005-0000-0000-000050060000}"/>
    <cellStyle name="Accent2 3 2" xfId="871" xr:uid="{00000000-0005-0000-0000-000051060000}"/>
    <cellStyle name="Accent2 4" xfId="872" xr:uid="{00000000-0005-0000-0000-000052060000}"/>
    <cellStyle name="Accent2 4 2" xfId="873" xr:uid="{00000000-0005-0000-0000-000053060000}"/>
    <cellStyle name="Accent2 5" xfId="874" xr:uid="{00000000-0005-0000-0000-000054060000}"/>
    <cellStyle name="Accent2 5 2" xfId="875" xr:uid="{00000000-0005-0000-0000-000055060000}"/>
    <cellStyle name="Accent2 6" xfId="876" xr:uid="{00000000-0005-0000-0000-000056060000}"/>
    <cellStyle name="Accent2 6 2" xfId="877" xr:uid="{00000000-0005-0000-0000-000057060000}"/>
    <cellStyle name="Accent2 7" xfId="878" xr:uid="{00000000-0005-0000-0000-000058060000}"/>
    <cellStyle name="Accent2 8" xfId="879" xr:uid="{00000000-0005-0000-0000-000059060000}"/>
    <cellStyle name="Accent2 9" xfId="880" xr:uid="{00000000-0005-0000-0000-00005A060000}"/>
    <cellStyle name="Accent3 10" xfId="881" xr:uid="{00000000-0005-0000-0000-00005B060000}"/>
    <cellStyle name="Accent3 2" xfId="882" xr:uid="{00000000-0005-0000-0000-00005C060000}"/>
    <cellStyle name="Accent3 2 2" xfId="883" xr:uid="{00000000-0005-0000-0000-00005D060000}"/>
    <cellStyle name="Accent3 2 3" xfId="884" xr:uid="{00000000-0005-0000-0000-00005E060000}"/>
    <cellStyle name="Accent3 2 4" xfId="885" xr:uid="{00000000-0005-0000-0000-00005F060000}"/>
    <cellStyle name="Accent3 2 5" xfId="886" xr:uid="{00000000-0005-0000-0000-000060060000}"/>
    <cellStyle name="Accent3 2 6" xfId="887" xr:uid="{00000000-0005-0000-0000-000061060000}"/>
    <cellStyle name="Accent3 2 7" xfId="888" xr:uid="{00000000-0005-0000-0000-000062060000}"/>
    <cellStyle name="Accent3 2 8" xfId="889" xr:uid="{00000000-0005-0000-0000-000063060000}"/>
    <cellStyle name="Accent3 3" xfId="890" xr:uid="{00000000-0005-0000-0000-000064060000}"/>
    <cellStyle name="Accent3 4" xfId="891" xr:uid="{00000000-0005-0000-0000-000065060000}"/>
    <cellStyle name="Accent3 5" xfId="892" xr:uid="{00000000-0005-0000-0000-000066060000}"/>
    <cellStyle name="Accent3 6" xfId="893" xr:uid="{00000000-0005-0000-0000-000067060000}"/>
    <cellStyle name="Accent3 7" xfId="894" xr:uid="{00000000-0005-0000-0000-000068060000}"/>
    <cellStyle name="Accent3 8" xfId="895" xr:uid="{00000000-0005-0000-0000-000069060000}"/>
    <cellStyle name="Accent3 9" xfId="896" xr:uid="{00000000-0005-0000-0000-00006A060000}"/>
    <cellStyle name="Accent4 10" xfId="897" xr:uid="{00000000-0005-0000-0000-00006B060000}"/>
    <cellStyle name="Accent4 2" xfId="898" xr:uid="{00000000-0005-0000-0000-00006C060000}"/>
    <cellStyle name="Accent4 2 2" xfId="899" xr:uid="{00000000-0005-0000-0000-00006D060000}"/>
    <cellStyle name="Accent4 2 3" xfId="900" xr:uid="{00000000-0005-0000-0000-00006E060000}"/>
    <cellStyle name="Accent4 2 4" xfId="901" xr:uid="{00000000-0005-0000-0000-00006F060000}"/>
    <cellStyle name="Accent4 2 5" xfId="902" xr:uid="{00000000-0005-0000-0000-000070060000}"/>
    <cellStyle name="Accent4 2 6" xfId="903" xr:uid="{00000000-0005-0000-0000-000071060000}"/>
    <cellStyle name="Accent4 2 7" xfId="904" xr:uid="{00000000-0005-0000-0000-000072060000}"/>
    <cellStyle name="Accent4 2 8" xfId="905" xr:uid="{00000000-0005-0000-0000-000073060000}"/>
    <cellStyle name="Accent4 3" xfId="906" xr:uid="{00000000-0005-0000-0000-000074060000}"/>
    <cellStyle name="Accent4 4" xfId="907" xr:uid="{00000000-0005-0000-0000-000075060000}"/>
    <cellStyle name="Accent4 5" xfId="908" xr:uid="{00000000-0005-0000-0000-000076060000}"/>
    <cellStyle name="Accent4 6" xfId="909" xr:uid="{00000000-0005-0000-0000-000077060000}"/>
    <cellStyle name="Accent4 7" xfId="910" xr:uid="{00000000-0005-0000-0000-000078060000}"/>
    <cellStyle name="Accent4 8" xfId="911" xr:uid="{00000000-0005-0000-0000-000079060000}"/>
    <cellStyle name="Accent4 9" xfId="912" xr:uid="{00000000-0005-0000-0000-00007A060000}"/>
    <cellStyle name="Accent5 2" xfId="914" xr:uid="{00000000-0005-0000-0000-00007B060000}"/>
    <cellStyle name="Accent5 2 2" xfId="915" xr:uid="{00000000-0005-0000-0000-00007C060000}"/>
    <cellStyle name="Accent5 2 3" xfId="916" xr:uid="{00000000-0005-0000-0000-00007D060000}"/>
    <cellStyle name="Accent5 2 4" xfId="917" xr:uid="{00000000-0005-0000-0000-00007E060000}"/>
    <cellStyle name="Accent5 2 5" xfId="918" xr:uid="{00000000-0005-0000-0000-00007F060000}"/>
    <cellStyle name="Accent5 2 6" xfId="919" xr:uid="{00000000-0005-0000-0000-000080060000}"/>
    <cellStyle name="Accent5 2 7" xfId="920" xr:uid="{00000000-0005-0000-0000-000081060000}"/>
    <cellStyle name="Accent5 2 8" xfId="921" xr:uid="{00000000-0005-0000-0000-000082060000}"/>
    <cellStyle name="Accent5 3" xfId="922" xr:uid="{00000000-0005-0000-0000-000083060000}"/>
    <cellStyle name="Accent5 4" xfId="923" xr:uid="{00000000-0005-0000-0000-000084060000}"/>
    <cellStyle name="Accent5 5" xfId="924" xr:uid="{00000000-0005-0000-0000-000085060000}"/>
    <cellStyle name="Accent5 6" xfId="925" xr:uid="{00000000-0005-0000-0000-000086060000}"/>
    <cellStyle name="Accent5 7" xfId="926" xr:uid="{00000000-0005-0000-0000-000087060000}"/>
    <cellStyle name="Accent5 8" xfId="927" xr:uid="{00000000-0005-0000-0000-000088060000}"/>
    <cellStyle name="Accent5 9" xfId="913" xr:uid="{00000000-0005-0000-0000-000089060000}"/>
    <cellStyle name="Accent6 10" xfId="928" xr:uid="{00000000-0005-0000-0000-00008A060000}"/>
    <cellStyle name="Accent6 2" xfId="929" xr:uid="{00000000-0005-0000-0000-00008B060000}"/>
    <cellStyle name="Accent6 2 2" xfId="930" xr:uid="{00000000-0005-0000-0000-00008C060000}"/>
    <cellStyle name="Accent6 2 3" xfId="931" xr:uid="{00000000-0005-0000-0000-00008D060000}"/>
    <cellStyle name="Accent6 2 4" xfId="932" xr:uid="{00000000-0005-0000-0000-00008E060000}"/>
    <cellStyle name="Accent6 2 5" xfId="933" xr:uid="{00000000-0005-0000-0000-00008F060000}"/>
    <cellStyle name="Accent6 2 6" xfId="934" xr:uid="{00000000-0005-0000-0000-000090060000}"/>
    <cellStyle name="Accent6 2 7" xfId="935" xr:uid="{00000000-0005-0000-0000-000091060000}"/>
    <cellStyle name="Accent6 2 8" xfId="936" xr:uid="{00000000-0005-0000-0000-000092060000}"/>
    <cellStyle name="Accent6 3" xfId="937" xr:uid="{00000000-0005-0000-0000-000093060000}"/>
    <cellStyle name="Accent6 4" xfId="938" xr:uid="{00000000-0005-0000-0000-000094060000}"/>
    <cellStyle name="Accent6 5" xfId="939" xr:uid="{00000000-0005-0000-0000-000095060000}"/>
    <cellStyle name="Accent6 6" xfId="940" xr:uid="{00000000-0005-0000-0000-000096060000}"/>
    <cellStyle name="Accent6 7" xfId="941" xr:uid="{00000000-0005-0000-0000-000097060000}"/>
    <cellStyle name="Accent6 8" xfId="942" xr:uid="{00000000-0005-0000-0000-000098060000}"/>
    <cellStyle name="Accent6 9" xfId="943" xr:uid="{00000000-0005-0000-0000-000099060000}"/>
    <cellStyle name="Bad 10" xfId="944" xr:uid="{00000000-0005-0000-0000-00009A060000}"/>
    <cellStyle name="Bad 2" xfId="945" xr:uid="{00000000-0005-0000-0000-00009B060000}"/>
    <cellStyle name="Bad 2 2" xfId="946" xr:uid="{00000000-0005-0000-0000-00009C060000}"/>
    <cellStyle name="Bad 2 3" xfId="947" xr:uid="{00000000-0005-0000-0000-00009D060000}"/>
    <cellStyle name="Bad 2 4" xfId="948" xr:uid="{00000000-0005-0000-0000-00009E060000}"/>
    <cellStyle name="Bad 2 5" xfId="949" xr:uid="{00000000-0005-0000-0000-00009F060000}"/>
    <cellStyle name="Bad 2 6" xfId="950" xr:uid="{00000000-0005-0000-0000-0000A0060000}"/>
    <cellStyle name="Bad 2 7" xfId="951" xr:uid="{00000000-0005-0000-0000-0000A1060000}"/>
    <cellStyle name="Bad 2 8" xfId="952" xr:uid="{00000000-0005-0000-0000-0000A2060000}"/>
    <cellStyle name="Bad 3" xfId="953" xr:uid="{00000000-0005-0000-0000-0000A3060000}"/>
    <cellStyle name="Bad 4" xfId="954" xr:uid="{00000000-0005-0000-0000-0000A4060000}"/>
    <cellStyle name="Bad 5" xfId="955" xr:uid="{00000000-0005-0000-0000-0000A5060000}"/>
    <cellStyle name="Bad 6" xfId="956" xr:uid="{00000000-0005-0000-0000-0000A6060000}"/>
    <cellStyle name="Bad 7" xfId="957" xr:uid="{00000000-0005-0000-0000-0000A7060000}"/>
    <cellStyle name="Bad 8" xfId="958" xr:uid="{00000000-0005-0000-0000-0000A8060000}"/>
    <cellStyle name="Bad 9" xfId="959" xr:uid="{00000000-0005-0000-0000-0000A9060000}"/>
    <cellStyle name="Bold GHG Numbers (0.00)" xfId="960" xr:uid="{00000000-0005-0000-0000-0000AA060000}"/>
    <cellStyle name="Calculation 2" xfId="962" xr:uid="{00000000-0005-0000-0000-0000AB060000}"/>
    <cellStyle name="Calculation 2 10" xfId="1438" xr:uid="{00000000-0005-0000-0000-0000AC060000}"/>
    <cellStyle name="Calculation 2 10 2" xfId="1939" xr:uid="{00000000-0005-0000-0000-0000AD060000}"/>
    <cellStyle name="Calculation 2 10 2 2" xfId="3479" xr:uid="{00000000-0005-0000-0000-0000AE060000}"/>
    <cellStyle name="Calculation 2 10 2 2 2" xfId="7541" xr:uid="{00000000-0005-0000-0000-0000AF060000}"/>
    <cellStyle name="Calculation 2 10 2 2 2 2" xfId="23505" xr:uid="{00000000-0005-0000-0000-0000B0060000}"/>
    <cellStyle name="Calculation 2 10 2 2 3" xfId="13816" xr:uid="{00000000-0005-0000-0000-0000B1060000}"/>
    <cellStyle name="Calculation 2 10 2 2 3 2" xfId="28648" xr:uid="{00000000-0005-0000-0000-0000B2060000}"/>
    <cellStyle name="Calculation 2 10 2 2 4" xfId="21181" xr:uid="{00000000-0005-0000-0000-0000B3060000}"/>
    <cellStyle name="Calculation 2 10 2 3" xfId="4918" xr:uid="{00000000-0005-0000-0000-0000B4060000}"/>
    <cellStyle name="Calculation 2 10 2 3 2" xfId="8957" xr:uid="{00000000-0005-0000-0000-0000B5060000}"/>
    <cellStyle name="Calculation 2 10 2 3 2 2" xfId="24423" xr:uid="{00000000-0005-0000-0000-0000B6060000}"/>
    <cellStyle name="Calculation 2 10 2 3 3" xfId="15240" xr:uid="{00000000-0005-0000-0000-0000B7060000}"/>
    <cellStyle name="Calculation 2 10 2 3 3 2" xfId="30072" xr:uid="{00000000-0005-0000-0000-0000B8060000}"/>
    <cellStyle name="Calculation 2 10 2 3 4" xfId="21953" xr:uid="{00000000-0005-0000-0000-0000B9060000}"/>
    <cellStyle name="Calculation 2 10 2 4" xfId="2908" xr:uid="{00000000-0005-0000-0000-0000BA060000}"/>
    <cellStyle name="Calculation 2 10 2 4 2" xfId="6992" xr:uid="{00000000-0005-0000-0000-0000BB060000}"/>
    <cellStyle name="Calculation 2 10 2 4 2 2" xfId="23166" xr:uid="{00000000-0005-0000-0000-0000BC060000}"/>
    <cellStyle name="Calculation 2 10 2 4 3" xfId="13246" xr:uid="{00000000-0005-0000-0000-0000BD060000}"/>
    <cellStyle name="Calculation 2 10 2 4 3 2" xfId="28078" xr:uid="{00000000-0005-0000-0000-0000BE060000}"/>
    <cellStyle name="Calculation 2 10 2 4 4" xfId="20834" xr:uid="{00000000-0005-0000-0000-0000BF060000}"/>
    <cellStyle name="Calculation 2 10 2 5" xfId="6069" xr:uid="{00000000-0005-0000-0000-0000C0060000}"/>
    <cellStyle name="Calculation 2 10 2 5 2" xfId="16256" xr:uid="{00000000-0005-0000-0000-0000C1060000}"/>
    <cellStyle name="Calculation 2 10 2 5 2 2" xfId="31088" xr:uid="{00000000-0005-0000-0000-0000C2060000}"/>
    <cellStyle name="Calculation 2 10 2 5 3" xfId="22602" xr:uid="{00000000-0005-0000-0000-0000C3060000}"/>
    <cellStyle name="Calculation 2 10 2 6" xfId="12326" xr:uid="{00000000-0005-0000-0000-0000C4060000}"/>
    <cellStyle name="Calculation 2 10 2 6 2" xfId="27158" xr:uid="{00000000-0005-0000-0000-0000C5060000}"/>
    <cellStyle name="Calculation 2 10 2 7" xfId="9923" xr:uid="{00000000-0005-0000-0000-0000C6060000}"/>
    <cellStyle name="Calculation 2 10 2 7 2" xfId="20125" xr:uid="{00000000-0005-0000-0000-0000C7060000}"/>
    <cellStyle name="Calculation 2 10 3" xfId="3896" xr:uid="{00000000-0005-0000-0000-0000C8060000}"/>
    <cellStyle name="Calculation 2 10 3 2" xfId="7947" xr:uid="{00000000-0005-0000-0000-0000C9060000}"/>
    <cellStyle name="Calculation 2 10 3 2 2" xfId="23767" xr:uid="{00000000-0005-0000-0000-0000CA060000}"/>
    <cellStyle name="Calculation 2 10 3 3" xfId="14229" xr:uid="{00000000-0005-0000-0000-0000CB060000}"/>
    <cellStyle name="Calculation 2 10 3 3 2" xfId="29061" xr:uid="{00000000-0005-0000-0000-0000CC060000}"/>
    <cellStyle name="Calculation 2 10 3 4" xfId="21408" xr:uid="{00000000-0005-0000-0000-0000CD060000}"/>
    <cellStyle name="Calculation 2 10 4" xfId="4498" xr:uid="{00000000-0005-0000-0000-0000CE060000}"/>
    <cellStyle name="Calculation 2 10 4 2" xfId="8537" xr:uid="{00000000-0005-0000-0000-0000CF060000}"/>
    <cellStyle name="Calculation 2 10 4 2 2" xfId="24163" xr:uid="{00000000-0005-0000-0000-0000D0060000}"/>
    <cellStyle name="Calculation 2 10 4 3" xfId="14825" xr:uid="{00000000-0005-0000-0000-0000D1060000}"/>
    <cellStyle name="Calculation 2 10 4 3 2" xfId="29657" xr:uid="{00000000-0005-0000-0000-0000D2060000}"/>
    <cellStyle name="Calculation 2 10 4 4" xfId="21723" xr:uid="{00000000-0005-0000-0000-0000D3060000}"/>
    <cellStyle name="Calculation 2 10 5" xfId="2488" xr:uid="{00000000-0005-0000-0000-0000D4060000}"/>
    <cellStyle name="Calculation 2 10 5 2" xfId="6594" xr:uid="{00000000-0005-0000-0000-0000D5060000}"/>
    <cellStyle name="Calculation 2 10 5 2 2" xfId="22932" xr:uid="{00000000-0005-0000-0000-0000D6060000}"/>
    <cellStyle name="Calculation 2 10 5 3" xfId="12826" xr:uid="{00000000-0005-0000-0000-0000D7060000}"/>
    <cellStyle name="Calculation 2 10 5 3 2" xfId="27658" xr:uid="{00000000-0005-0000-0000-0000D8060000}"/>
    <cellStyle name="Calculation 2 10 5 4" xfId="20578" xr:uid="{00000000-0005-0000-0000-0000D9060000}"/>
    <cellStyle name="Calculation 2 10 6" xfId="5611" xr:uid="{00000000-0005-0000-0000-0000DA060000}"/>
    <cellStyle name="Calculation 2 10 6 2" xfId="15846" xr:uid="{00000000-0005-0000-0000-0000DB060000}"/>
    <cellStyle name="Calculation 2 10 6 2 2" xfId="30678" xr:uid="{00000000-0005-0000-0000-0000DC060000}"/>
    <cellStyle name="Calculation 2 10 6 3" xfId="22307" xr:uid="{00000000-0005-0000-0000-0000DD060000}"/>
    <cellStyle name="Calculation 2 10 7" xfId="11855" xr:uid="{00000000-0005-0000-0000-0000DE060000}"/>
    <cellStyle name="Calculation 2 10 7 2" xfId="26687" xr:uid="{00000000-0005-0000-0000-0000DF060000}"/>
    <cellStyle name="Calculation 2 10 8" xfId="9528" xr:uid="{00000000-0005-0000-0000-0000E0060000}"/>
    <cellStyle name="Calculation 2 10 8 2" xfId="19830" xr:uid="{00000000-0005-0000-0000-0000E1060000}"/>
    <cellStyle name="Calculation 2 11" xfId="1416" xr:uid="{00000000-0005-0000-0000-0000E2060000}"/>
    <cellStyle name="Calculation 2 11 2" xfId="1918" xr:uid="{00000000-0005-0000-0000-0000E3060000}"/>
    <cellStyle name="Calculation 2 11 2 2" xfId="4029" xr:uid="{00000000-0005-0000-0000-0000E4060000}"/>
    <cellStyle name="Calculation 2 11 2 2 2" xfId="8076" xr:uid="{00000000-0005-0000-0000-0000E5060000}"/>
    <cellStyle name="Calculation 2 11 2 2 2 2" xfId="23845" xr:uid="{00000000-0005-0000-0000-0000E6060000}"/>
    <cellStyle name="Calculation 2 11 2 2 3" xfId="14361" xr:uid="{00000000-0005-0000-0000-0000E7060000}"/>
    <cellStyle name="Calculation 2 11 2 2 3 2" xfId="29193" xr:uid="{00000000-0005-0000-0000-0000E8060000}"/>
    <cellStyle name="Calculation 2 11 2 2 4" xfId="21483" xr:uid="{00000000-0005-0000-0000-0000E9060000}"/>
    <cellStyle name="Calculation 2 11 2 3" xfId="4896" xr:uid="{00000000-0005-0000-0000-0000EA060000}"/>
    <cellStyle name="Calculation 2 11 2 3 2" xfId="8935" xr:uid="{00000000-0005-0000-0000-0000EB060000}"/>
    <cellStyle name="Calculation 2 11 2 3 2 2" xfId="24401" xr:uid="{00000000-0005-0000-0000-0000EC060000}"/>
    <cellStyle name="Calculation 2 11 2 3 3" xfId="15219" xr:uid="{00000000-0005-0000-0000-0000ED060000}"/>
    <cellStyle name="Calculation 2 11 2 3 3 2" xfId="30051" xr:uid="{00000000-0005-0000-0000-0000EE060000}"/>
    <cellStyle name="Calculation 2 11 2 3 4" xfId="21933" xr:uid="{00000000-0005-0000-0000-0000EF060000}"/>
    <cellStyle name="Calculation 2 11 2 4" xfId="2886" xr:uid="{00000000-0005-0000-0000-0000F0060000}"/>
    <cellStyle name="Calculation 2 11 2 4 2" xfId="6971" xr:uid="{00000000-0005-0000-0000-0000F1060000}"/>
    <cellStyle name="Calculation 2 11 2 4 2 2" xfId="23146" xr:uid="{00000000-0005-0000-0000-0000F2060000}"/>
    <cellStyle name="Calculation 2 11 2 4 3" xfId="13224" xr:uid="{00000000-0005-0000-0000-0000F3060000}"/>
    <cellStyle name="Calculation 2 11 2 4 3 2" xfId="28056" xr:uid="{00000000-0005-0000-0000-0000F4060000}"/>
    <cellStyle name="Calculation 2 11 2 4 4" xfId="20812" xr:uid="{00000000-0005-0000-0000-0000F5060000}"/>
    <cellStyle name="Calculation 2 11 2 5" xfId="6049" xr:uid="{00000000-0005-0000-0000-0000F6060000}"/>
    <cellStyle name="Calculation 2 11 2 5 2" xfId="16236" xr:uid="{00000000-0005-0000-0000-0000F7060000}"/>
    <cellStyle name="Calculation 2 11 2 5 2 2" xfId="31068" xr:uid="{00000000-0005-0000-0000-0000F8060000}"/>
    <cellStyle name="Calculation 2 11 2 5 3" xfId="22582" xr:uid="{00000000-0005-0000-0000-0000F9060000}"/>
    <cellStyle name="Calculation 2 11 2 6" xfId="12306" xr:uid="{00000000-0005-0000-0000-0000FA060000}"/>
    <cellStyle name="Calculation 2 11 2 6 2" xfId="27138" xr:uid="{00000000-0005-0000-0000-0000FB060000}"/>
    <cellStyle name="Calculation 2 11 2 7" xfId="9902" xr:uid="{00000000-0005-0000-0000-0000FC060000}"/>
    <cellStyle name="Calculation 2 11 2 7 2" xfId="20105" xr:uid="{00000000-0005-0000-0000-0000FD060000}"/>
    <cellStyle name="Calculation 2 11 3" xfId="4128" xr:uid="{00000000-0005-0000-0000-0000FE060000}"/>
    <cellStyle name="Calculation 2 11 3 2" xfId="8172" xr:uid="{00000000-0005-0000-0000-0000FF060000}"/>
    <cellStyle name="Calculation 2 11 3 2 2" xfId="23906" xr:uid="{00000000-0005-0000-0000-000000070000}"/>
    <cellStyle name="Calculation 2 11 3 3" xfId="14460" xr:uid="{00000000-0005-0000-0000-000001070000}"/>
    <cellStyle name="Calculation 2 11 3 3 2" xfId="29292" xr:uid="{00000000-0005-0000-0000-000002070000}"/>
    <cellStyle name="Calculation 2 11 3 4" xfId="21533" xr:uid="{00000000-0005-0000-0000-000003070000}"/>
    <cellStyle name="Calculation 2 11 4" xfId="4476" xr:uid="{00000000-0005-0000-0000-000004070000}"/>
    <cellStyle name="Calculation 2 11 4 2" xfId="8515" xr:uid="{00000000-0005-0000-0000-000005070000}"/>
    <cellStyle name="Calculation 2 11 4 2 2" xfId="24141" xr:uid="{00000000-0005-0000-0000-000006070000}"/>
    <cellStyle name="Calculation 2 11 4 3" xfId="14804" xr:uid="{00000000-0005-0000-0000-000007070000}"/>
    <cellStyle name="Calculation 2 11 4 3 2" xfId="29636" xr:uid="{00000000-0005-0000-0000-000008070000}"/>
    <cellStyle name="Calculation 2 11 4 4" xfId="21703" xr:uid="{00000000-0005-0000-0000-000009070000}"/>
    <cellStyle name="Calculation 2 11 5" xfId="2466" xr:uid="{00000000-0005-0000-0000-00000A070000}"/>
    <cellStyle name="Calculation 2 11 5 2" xfId="6572" xr:uid="{00000000-0005-0000-0000-00000B070000}"/>
    <cellStyle name="Calculation 2 11 5 2 2" xfId="22910" xr:uid="{00000000-0005-0000-0000-00000C070000}"/>
    <cellStyle name="Calculation 2 11 5 3" xfId="12805" xr:uid="{00000000-0005-0000-0000-00000D070000}"/>
    <cellStyle name="Calculation 2 11 5 3 2" xfId="27637" xr:uid="{00000000-0005-0000-0000-00000E070000}"/>
    <cellStyle name="Calculation 2 11 5 4" xfId="20558" xr:uid="{00000000-0005-0000-0000-00000F070000}"/>
    <cellStyle name="Calculation 2 11 6" xfId="5590" xr:uid="{00000000-0005-0000-0000-000010070000}"/>
    <cellStyle name="Calculation 2 11 6 2" xfId="15825" xr:uid="{00000000-0005-0000-0000-000011070000}"/>
    <cellStyle name="Calculation 2 11 6 2 2" xfId="30657" xr:uid="{00000000-0005-0000-0000-000012070000}"/>
    <cellStyle name="Calculation 2 11 6 3" xfId="22286" xr:uid="{00000000-0005-0000-0000-000013070000}"/>
    <cellStyle name="Calculation 2 11 7" xfId="11835" xr:uid="{00000000-0005-0000-0000-000014070000}"/>
    <cellStyle name="Calculation 2 11 7 2" xfId="26667" xr:uid="{00000000-0005-0000-0000-000015070000}"/>
    <cellStyle name="Calculation 2 11 8" xfId="9507" xr:uid="{00000000-0005-0000-0000-000016070000}"/>
    <cellStyle name="Calculation 2 11 8 2" xfId="19810" xr:uid="{00000000-0005-0000-0000-000017070000}"/>
    <cellStyle name="Calculation 2 12" xfId="1424" xr:uid="{00000000-0005-0000-0000-000018070000}"/>
    <cellStyle name="Calculation 2 12 2" xfId="1925" xr:uid="{00000000-0005-0000-0000-000019070000}"/>
    <cellStyle name="Calculation 2 12 2 2" xfId="4127" xr:uid="{00000000-0005-0000-0000-00001A070000}"/>
    <cellStyle name="Calculation 2 12 2 2 2" xfId="8171" xr:uid="{00000000-0005-0000-0000-00001B070000}"/>
    <cellStyle name="Calculation 2 12 2 2 2 2" xfId="23905" xr:uid="{00000000-0005-0000-0000-00001C070000}"/>
    <cellStyle name="Calculation 2 12 2 2 3" xfId="14459" xr:uid="{00000000-0005-0000-0000-00001D070000}"/>
    <cellStyle name="Calculation 2 12 2 2 3 2" xfId="29291" xr:uid="{00000000-0005-0000-0000-00001E070000}"/>
    <cellStyle name="Calculation 2 12 2 2 4" xfId="21532" xr:uid="{00000000-0005-0000-0000-00001F070000}"/>
    <cellStyle name="Calculation 2 12 2 3" xfId="4904" xr:uid="{00000000-0005-0000-0000-000020070000}"/>
    <cellStyle name="Calculation 2 12 2 3 2" xfId="8943" xr:uid="{00000000-0005-0000-0000-000021070000}"/>
    <cellStyle name="Calculation 2 12 2 3 2 2" xfId="24409" xr:uid="{00000000-0005-0000-0000-000022070000}"/>
    <cellStyle name="Calculation 2 12 2 3 3" xfId="15226" xr:uid="{00000000-0005-0000-0000-000023070000}"/>
    <cellStyle name="Calculation 2 12 2 3 3 2" xfId="30058" xr:uid="{00000000-0005-0000-0000-000024070000}"/>
    <cellStyle name="Calculation 2 12 2 3 4" xfId="21939" xr:uid="{00000000-0005-0000-0000-000025070000}"/>
    <cellStyle name="Calculation 2 12 2 4" xfId="2894" xr:uid="{00000000-0005-0000-0000-000026070000}"/>
    <cellStyle name="Calculation 2 12 2 4 2" xfId="6978" xr:uid="{00000000-0005-0000-0000-000027070000}"/>
    <cellStyle name="Calculation 2 12 2 4 2 2" xfId="23152" xr:uid="{00000000-0005-0000-0000-000028070000}"/>
    <cellStyle name="Calculation 2 12 2 4 3" xfId="13232" xr:uid="{00000000-0005-0000-0000-000029070000}"/>
    <cellStyle name="Calculation 2 12 2 4 3 2" xfId="28064" xr:uid="{00000000-0005-0000-0000-00002A070000}"/>
    <cellStyle name="Calculation 2 12 2 4 4" xfId="20820" xr:uid="{00000000-0005-0000-0000-00002B070000}"/>
    <cellStyle name="Calculation 2 12 2 5" xfId="6055" xr:uid="{00000000-0005-0000-0000-00002C070000}"/>
    <cellStyle name="Calculation 2 12 2 5 2" xfId="16242" xr:uid="{00000000-0005-0000-0000-00002D070000}"/>
    <cellStyle name="Calculation 2 12 2 5 2 2" xfId="31074" xr:uid="{00000000-0005-0000-0000-00002E070000}"/>
    <cellStyle name="Calculation 2 12 2 5 3" xfId="22588" xr:uid="{00000000-0005-0000-0000-00002F070000}"/>
    <cellStyle name="Calculation 2 12 2 6" xfId="12312" xr:uid="{00000000-0005-0000-0000-000030070000}"/>
    <cellStyle name="Calculation 2 12 2 6 2" xfId="27144" xr:uid="{00000000-0005-0000-0000-000031070000}"/>
    <cellStyle name="Calculation 2 12 2 7" xfId="9909" xr:uid="{00000000-0005-0000-0000-000032070000}"/>
    <cellStyle name="Calculation 2 12 2 7 2" xfId="20111" xr:uid="{00000000-0005-0000-0000-000033070000}"/>
    <cellStyle name="Calculation 2 12 3" xfId="4013" xr:uid="{00000000-0005-0000-0000-000034070000}"/>
    <cellStyle name="Calculation 2 12 3 2" xfId="8060" xr:uid="{00000000-0005-0000-0000-000035070000}"/>
    <cellStyle name="Calculation 2 12 3 2 2" xfId="23837" xr:uid="{00000000-0005-0000-0000-000036070000}"/>
    <cellStyle name="Calculation 2 12 3 3" xfId="14345" xr:uid="{00000000-0005-0000-0000-000037070000}"/>
    <cellStyle name="Calculation 2 12 3 3 2" xfId="29177" xr:uid="{00000000-0005-0000-0000-000038070000}"/>
    <cellStyle name="Calculation 2 12 3 4" xfId="21475" xr:uid="{00000000-0005-0000-0000-000039070000}"/>
    <cellStyle name="Calculation 2 12 4" xfId="4484" xr:uid="{00000000-0005-0000-0000-00003A070000}"/>
    <cellStyle name="Calculation 2 12 4 2" xfId="8523" xr:uid="{00000000-0005-0000-0000-00003B070000}"/>
    <cellStyle name="Calculation 2 12 4 2 2" xfId="24149" xr:uid="{00000000-0005-0000-0000-00003C070000}"/>
    <cellStyle name="Calculation 2 12 4 3" xfId="14811" xr:uid="{00000000-0005-0000-0000-00003D070000}"/>
    <cellStyle name="Calculation 2 12 4 3 2" xfId="29643" xr:uid="{00000000-0005-0000-0000-00003E070000}"/>
    <cellStyle name="Calculation 2 12 4 4" xfId="21709" xr:uid="{00000000-0005-0000-0000-00003F070000}"/>
    <cellStyle name="Calculation 2 12 5" xfId="2474" xr:uid="{00000000-0005-0000-0000-000040070000}"/>
    <cellStyle name="Calculation 2 12 5 2" xfId="6580" xr:uid="{00000000-0005-0000-0000-000041070000}"/>
    <cellStyle name="Calculation 2 12 5 2 2" xfId="22918" xr:uid="{00000000-0005-0000-0000-000042070000}"/>
    <cellStyle name="Calculation 2 12 5 3" xfId="12812" xr:uid="{00000000-0005-0000-0000-000043070000}"/>
    <cellStyle name="Calculation 2 12 5 3 2" xfId="27644" xr:uid="{00000000-0005-0000-0000-000044070000}"/>
    <cellStyle name="Calculation 2 12 5 4" xfId="20564" xr:uid="{00000000-0005-0000-0000-000045070000}"/>
    <cellStyle name="Calculation 2 12 6" xfId="5597" xr:uid="{00000000-0005-0000-0000-000046070000}"/>
    <cellStyle name="Calculation 2 12 6 2" xfId="15832" xr:uid="{00000000-0005-0000-0000-000047070000}"/>
    <cellStyle name="Calculation 2 12 6 2 2" xfId="30664" xr:uid="{00000000-0005-0000-0000-000048070000}"/>
    <cellStyle name="Calculation 2 12 6 3" xfId="22293" xr:uid="{00000000-0005-0000-0000-000049070000}"/>
    <cellStyle name="Calculation 2 12 7" xfId="11841" xr:uid="{00000000-0005-0000-0000-00004A070000}"/>
    <cellStyle name="Calculation 2 12 7 2" xfId="26673" xr:uid="{00000000-0005-0000-0000-00004B070000}"/>
    <cellStyle name="Calculation 2 12 8" xfId="9514" xr:uid="{00000000-0005-0000-0000-00004C070000}"/>
    <cellStyle name="Calculation 2 12 8 2" xfId="19816" xr:uid="{00000000-0005-0000-0000-00004D070000}"/>
    <cellStyle name="Calculation 2 13" xfId="1715" xr:uid="{00000000-0005-0000-0000-00004E070000}"/>
    <cellStyle name="Calculation 2 13 2" xfId="3928" xr:uid="{00000000-0005-0000-0000-00004F070000}"/>
    <cellStyle name="Calculation 2 13 2 2" xfId="7978" xr:uid="{00000000-0005-0000-0000-000050070000}"/>
    <cellStyle name="Calculation 2 13 2 2 2" xfId="23784" xr:uid="{00000000-0005-0000-0000-000051070000}"/>
    <cellStyle name="Calculation 2 13 2 3" xfId="14261" xr:uid="{00000000-0005-0000-0000-000052070000}"/>
    <cellStyle name="Calculation 2 13 2 3 2" xfId="29093" xr:uid="{00000000-0005-0000-0000-000053070000}"/>
    <cellStyle name="Calculation 2 13 2 4" xfId="21426" xr:uid="{00000000-0005-0000-0000-000054070000}"/>
    <cellStyle name="Calculation 2 13 3" xfId="4708" xr:uid="{00000000-0005-0000-0000-000055070000}"/>
    <cellStyle name="Calculation 2 13 3 2" xfId="8747" xr:uid="{00000000-0005-0000-0000-000056070000}"/>
    <cellStyle name="Calculation 2 13 3 2 2" xfId="24277" xr:uid="{00000000-0005-0000-0000-000057070000}"/>
    <cellStyle name="Calculation 2 13 3 3" xfId="15032" xr:uid="{00000000-0005-0000-0000-000058070000}"/>
    <cellStyle name="Calculation 2 13 3 3 2" xfId="29864" xr:uid="{00000000-0005-0000-0000-000059070000}"/>
    <cellStyle name="Calculation 2 13 3 4" xfId="21815" xr:uid="{00000000-0005-0000-0000-00005A070000}"/>
    <cellStyle name="Calculation 2 13 4" xfId="2698" xr:uid="{00000000-0005-0000-0000-00005B070000}"/>
    <cellStyle name="Calculation 2 13 4 2" xfId="6789" xr:uid="{00000000-0005-0000-0000-00005C070000}"/>
    <cellStyle name="Calculation 2 13 4 2 2" xfId="23028" xr:uid="{00000000-0005-0000-0000-00005D070000}"/>
    <cellStyle name="Calculation 2 13 4 3" xfId="13036" xr:uid="{00000000-0005-0000-0000-00005E070000}"/>
    <cellStyle name="Calculation 2 13 4 3 2" xfId="27868" xr:uid="{00000000-0005-0000-0000-00005F070000}"/>
    <cellStyle name="Calculation 2 13 4 4" xfId="20688" xr:uid="{00000000-0005-0000-0000-000060070000}"/>
    <cellStyle name="Calculation 2 13 5" xfId="5847" xr:uid="{00000000-0005-0000-0000-000061070000}"/>
    <cellStyle name="Calculation 2 13 5 2" xfId="16039" xr:uid="{00000000-0005-0000-0000-000062070000}"/>
    <cellStyle name="Calculation 2 13 5 2 2" xfId="30871" xr:uid="{00000000-0005-0000-0000-000063070000}"/>
    <cellStyle name="Calculation 2 13 5 3" xfId="22444" xr:uid="{00000000-0005-0000-0000-000064070000}"/>
    <cellStyle name="Calculation 2 13 6" xfId="12109" xr:uid="{00000000-0005-0000-0000-000065070000}"/>
    <cellStyle name="Calculation 2 13 6 2" xfId="26941" xr:uid="{00000000-0005-0000-0000-000066070000}"/>
    <cellStyle name="Calculation 2 13 7" xfId="9720" xr:uid="{00000000-0005-0000-0000-000067070000}"/>
    <cellStyle name="Calculation 2 13 7 2" xfId="20018" xr:uid="{00000000-0005-0000-0000-000068070000}"/>
    <cellStyle name="Calculation 2 14" xfId="2236" xr:uid="{00000000-0005-0000-0000-000069070000}"/>
    <cellStyle name="Calculation 2 14 2" xfId="3502" xr:uid="{00000000-0005-0000-0000-00006A070000}"/>
    <cellStyle name="Calculation 2 14 2 2" xfId="7564" xr:uid="{00000000-0005-0000-0000-00006B070000}"/>
    <cellStyle name="Calculation 2 14 2 2 2" xfId="23518" xr:uid="{00000000-0005-0000-0000-00006C070000}"/>
    <cellStyle name="Calculation 2 14 2 3" xfId="13839" xr:uid="{00000000-0005-0000-0000-00006D070000}"/>
    <cellStyle name="Calculation 2 14 2 3 2" xfId="28671" xr:uid="{00000000-0005-0000-0000-00006E070000}"/>
    <cellStyle name="Calculation 2 14 2 4" xfId="21193" xr:uid="{00000000-0005-0000-0000-00006F070000}"/>
    <cellStyle name="Calculation 2 14 3" xfId="5204" xr:uid="{00000000-0005-0000-0000-000070070000}"/>
    <cellStyle name="Calculation 2 14 3 2" xfId="9243" xr:uid="{00000000-0005-0000-0000-000071070000}"/>
    <cellStyle name="Calculation 2 14 3 2 2" xfId="24581" xr:uid="{00000000-0005-0000-0000-000072070000}"/>
    <cellStyle name="Calculation 2 14 3 3" xfId="15522" xr:uid="{00000000-0005-0000-0000-000073070000}"/>
    <cellStyle name="Calculation 2 14 3 3 2" xfId="30354" xr:uid="{00000000-0005-0000-0000-000074070000}"/>
    <cellStyle name="Calculation 2 14 3 4" xfId="22088" xr:uid="{00000000-0005-0000-0000-000075070000}"/>
    <cellStyle name="Calculation 2 14 4" xfId="4234" xr:uid="{00000000-0005-0000-0000-000076070000}"/>
    <cellStyle name="Calculation 2 14 4 2" xfId="8275" xr:uid="{00000000-0005-0000-0000-000077070000}"/>
    <cellStyle name="Calculation 2 14 4 2 2" xfId="23970" xr:uid="{00000000-0005-0000-0000-000078070000}"/>
    <cellStyle name="Calculation 2 14 4 3" xfId="14566" xr:uid="{00000000-0005-0000-0000-000079070000}"/>
    <cellStyle name="Calculation 2 14 4 3 2" xfId="29398" xr:uid="{00000000-0005-0000-0000-00007A070000}"/>
    <cellStyle name="Calculation 2 14 4 4" xfId="21595" xr:uid="{00000000-0005-0000-0000-00007B070000}"/>
    <cellStyle name="Calculation 2 14 5" xfId="6350" xr:uid="{00000000-0005-0000-0000-00007C070000}"/>
    <cellStyle name="Calculation 2 14 5 2" xfId="22752" xr:uid="{00000000-0005-0000-0000-00007D070000}"/>
    <cellStyle name="Calculation 2 14 6" xfId="12604" xr:uid="{00000000-0005-0000-0000-00007E070000}"/>
    <cellStyle name="Calculation 2 14 6 2" xfId="27436" xr:uid="{00000000-0005-0000-0000-00007F070000}"/>
    <cellStyle name="Calculation 2 14 7" xfId="20431" xr:uid="{00000000-0005-0000-0000-000080070000}"/>
    <cellStyle name="Calculation 2 15" xfId="3679" xr:uid="{00000000-0005-0000-0000-000081070000}"/>
    <cellStyle name="Calculation 2 15 2" xfId="7737" xr:uid="{00000000-0005-0000-0000-000082070000}"/>
    <cellStyle name="Calculation 2 15 2 2" xfId="23627" xr:uid="{00000000-0005-0000-0000-000083070000}"/>
    <cellStyle name="Calculation 2 15 3" xfId="14014" xr:uid="{00000000-0005-0000-0000-000084070000}"/>
    <cellStyle name="Calculation 2 15 3 2" xfId="28846" xr:uid="{00000000-0005-0000-0000-000085070000}"/>
    <cellStyle name="Calculation 2 15 4" xfId="21287" xr:uid="{00000000-0005-0000-0000-000086070000}"/>
    <cellStyle name="Calculation 2 16" xfId="3355" xr:uid="{00000000-0005-0000-0000-000087070000}"/>
    <cellStyle name="Calculation 2 16 2" xfId="7418" xr:uid="{00000000-0005-0000-0000-000088070000}"/>
    <cellStyle name="Calculation 2 16 2 2" xfId="23420" xr:uid="{00000000-0005-0000-0000-000089070000}"/>
    <cellStyle name="Calculation 2 16 3" xfId="13692" xr:uid="{00000000-0005-0000-0000-00008A070000}"/>
    <cellStyle name="Calculation 2 16 3 2" xfId="28524" xr:uid="{00000000-0005-0000-0000-00008B070000}"/>
    <cellStyle name="Calculation 2 16 4" xfId="21105" xr:uid="{00000000-0005-0000-0000-00008C070000}"/>
    <cellStyle name="Calculation 2 17" xfId="2268" xr:uid="{00000000-0005-0000-0000-00008D070000}"/>
    <cellStyle name="Calculation 2 17 2" xfId="6380" xr:uid="{00000000-0005-0000-0000-00008E070000}"/>
    <cellStyle name="Calculation 2 17 2 2" xfId="22782" xr:uid="{00000000-0005-0000-0000-00008F070000}"/>
    <cellStyle name="Calculation 2 17 3" xfId="12608" xr:uid="{00000000-0005-0000-0000-000090070000}"/>
    <cellStyle name="Calculation 2 17 3 2" xfId="27440" xr:uid="{00000000-0005-0000-0000-000091070000}"/>
    <cellStyle name="Calculation 2 17 4" xfId="20434" xr:uid="{00000000-0005-0000-0000-000092070000}"/>
    <cellStyle name="Calculation 2 18" xfId="5234" xr:uid="{00000000-0005-0000-0000-000093070000}"/>
    <cellStyle name="Calculation 2 18 2" xfId="15550" xr:uid="{00000000-0005-0000-0000-000094070000}"/>
    <cellStyle name="Calculation 2 18 2 2" xfId="30382" xr:uid="{00000000-0005-0000-0000-000095070000}"/>
    <cellStyle name="Calculation 2 18 3" xfId="22091" xr:uid="{00000000-0005-0000-0000-000096070000}"/>
    <cellStyle name="Calculation 2 19" xfId="5392" xr:uid="{00000000-0005-0000-0000-000097070000}"/>
    <cellStyle name="Calculation 2 19 2" xfId="15628" xr:uid="{00000000-0005-0000-0000-000098070000}"/>
    <cellStyle name="Calculation 2 19 2 2" xfId="30460" xr:uid="{00000000-0005-0000-0000-000099070000}"/>
    <cellStyle name="Calculation 2 19 3" xfId="22153" xr:uid="{00000000-0005-0000-0000-00009A070000}"/>
    <cellStyle name="Calculation 2 2" xfId="963" xr:uid="{00000000-0005-0000-0000-00009B070000}"/>
    <cellStyle name="Calculation 2 2 10" xfId="2269" xr:uid="{00000000-0005-0000-0000-00009C070000}"/>
    <cellStyle name="Calculation 2 2 10 2" xfId="6381" xr:uid="{00000000-0005-0000-0000-00009D070000}"/>
    <cellStyle name="Calculation 2 2 10 2 2" xfId="22783" xr:uid="{00000000-0005-0000-0000-00009E070000}"/>
    <cellStyle name="Calculation 2 2 10 3" xfId="12609" xr:uid="{00000000-0005-0000-0000-00009F070000}"/>
    <cellStyle name="Calculation 2 2 10 3 2" xfId="27441" xr:uid="{00000000-0005-0000-0000-0000A0070000}"/>
    <cellStyle name="Calculation 2 2 10 4" xfId="20435" xr:uid="{00000000-0005-0000-0000-0000A1070000}"/>
    <cellStyle name="Calculation 2 2 11" xfId="5235" xr:uid="{00000000-0005-0000-0000-0000A2070000}"/>
    <cellStyle name="Calculation 2 2 11 2" xfId="15551" xr:uid="{00000000-0005-0000-0000-0000A3070000}"/>
    <cellStyle name="Calculation 2 2 11 2 2" xfId="30383" xr:uid="{00000000-0005-0000-0000-0000A4070000}"/>
    <cellStyle name="Calculation 2 2 11 3" xfId="22092" xr:uid="{00000000-0005-0000-0000-0000A5070000}"/>
    <cellStyle name="Calculation 2 2 12" xfId="5393" xr:uid="{00000000-0005-0000-0000-0000A6070000}"/>
    <cellStyle name="Calculation 2 2 12 2" xfId="15629" xr:uid="{00000000-0005-0000-0000-0000A7070000}"/>
    <cellStyle name="Calculation 2 2 12 2 2" xfId="30461" xr:uid="{00000000-0005-0000-0000-0000A8070000}"/>
    <cellStyle name="Calculation 2 2 12 3" xfId="22154" xr:uid="{00000000-0005-0000-0000-0000A9070000}"/>
    <cellStyle name="Calculation 2 2 13" xfId="9398" xr:uid="{00000000-0005-0000-0000-0000AA070000}"/>
    <cellStyle name="Calculation 2 2 13 2" xfId="24704" xr:uid="{00000000-0005-0000-0000-0000AB070000}"/>
    <cellStyle name="Calculation 2 2 14" xfId="5814" xr:uid="{00000000-0005-0000-0000-0000AC070000}"/>
    <cellStyle name="Calculation 2 2 14 2" xfId="18413" xr:uid="{00000000-0005-0000-0000-0000AD070000}"/>
    <cellStyle name="Calculation 2 2 2" xfId="1305" xr:uid="{00000000-0005-0000-0000-0000AE070000}"/>
    <cellStyle name="Calculation 2 2 2 2" xfId="1809" xr:uid="{00000000-0005-0000-0000-0000AF070000}"/>
    <cellStyle name="Calculation 2 2 2 2 2" xfId="3743" xr:uid="{00000000-0005-0000-0000-0000B0070000}"/>
    <cellStyle name="Calculation 2 2 2 2 2 2" xfId="7799" xr:uid="{00000000-0005-0000-0000-0000B1070000}"/>
    <cellStyle name="Calculation 2 2 2 2 2 2 2" xfId="23671" xr:uid="{00000000-0005-0000-0000-0000B2070000}"/>
    <cellStyle name="Calculation 2 2 2 2 2 3" xfId="14078" xr:uid="{00000000-0005-0000-0000-0000B3070000}"/>
    <cellStyle name="Calculation 2 2 2 2 2 3 2" xfId="28910" xr:uid="{00000000-0005-0000-0000-0000B4070000}"/>
    <cellStyle name="Calculation 2 2 2 2 2 4" xfId="21327" xr:uid="{00000000-0005-0000-0000-0000B5070000}"/>
    <cellStyle name="Calculation 2 2 2 2 3" xfId="4787" xr:uid="{00000000-0005-0000-0000-0000B6070000}"/>
    <cellStyle name="Calculation 2 2 2 2 3 2" xfId="8826" xr:uid="{00000000-0005-0000-0000-0000B7070000}"/>
    <cellStyle name="Calculation 2 2 2 2 3 2 2" xfId="24324" xr:uid="{00000000-0005-0000-0000-0000B8070000}"/>
    <cellStyle name="Calculation 2 2 2 2 3 3" xfId="15111" xr:uid="{00000000-0005-0000-0000-0000B9070000}"/>
    <cellStyle name="Calculation 2 2 2 2 3 3 2" xfId="29943" xr:uid="{00000000-0005-0000-0000-0000BA070000}"/>
    <cellStyle name="Calculation 2 2 2 2 3 4" xfId="21862" xr:uid="{00000000-0005-0000-0000-0000BB070000}"/>
    <cellStyle name="Calculation 2 2 2 2 4" xfId="2777" xr:uid="{00000000-0005-0000-0000-0000BC070000}"/>
    <cellStyle name="Calculation 2 2 2 2 4 2" xfId="6868" xr:uid="{00000000-0005-0000-0000-0000BD070000}"/>
    <cellStyle name="Calculation 2 2 2 2 4 2 2" xfId="23075" xr:uid="{00000000-0005-0000-0000-0000BE070000}"/>
    <cellStyle name="Calculation 2 2 2 2 4 3" xfId="13115" xr:uid="{00000000-0005-0000-0000-0000BF070000}"/>
    <cellStyle name="Calculation 2 2 2 2 4 3 2" xfId="27947" xr:uid="{00000000-0005-0000-0000-0000C0070000}"/>
    <cellStyle name="Calculation 2 2 2 2 4 4" xfId="20735" xr:uid="{00000000-0005-0000-0000-0000C1070000}"/>
    <cellStyle name="Calculation 2 2 2 2 5" xfId="5941" xr:uid="{00000000-0005-0000-0000-0000C2070000}"/>
    <cellStyle name="Calculation 2 2 2 2 5 2" xfId="16133" xr:uid="{00000000-0005-0000-0000-0000C3070000}"/>
    <cellStyle name="Calculation 2 2 2 2 5 2 2" xfId="30965" xr:uid="{00000000-0005-0000-0000-0000C4070000}"/>
    <cellStyle name="Calculation 2 2 2 2 5 3" xfId="22506" xr:uid="{00000000-0005-0000-0000-0000C5070000}"/>
    <cellStyle name="Calculation 2 2 2 2 6" xfId="12203" xr:uid="{00000000-0005-0000-0000-0000C6070000}"/>
    <cellStyle name="Calculation 2 2 2 2 6 2" xfId="27035" xr:uid="{00000000-0005-0000-0000-0000C7070000}"/>
    <cellStyle name="Calculation 2 2 2 2 7" xfId="9799" xr:uid="{00000000-0005-0000-0000-0000C8070000}"/>
    <cellStyle name="Calculation 2 2 2 2 7 2" xfId="20050" xr:uid="{00000000-0005-0000-0000-0000C9070000}"/>
    <cellStyle name="Calculation 2 2 2 3" xfId="3451" xr:uid="{00000000-0005-0000-0000-0000CA070000}"/>
    <cellStyle name="Calculation 2 2 2 3 2" xfId="7514" xr:uid="{00000000-0005-0000-0000-0000CB070000}"/>
    <cellStyle name="Calculation 2 2 2 3 2 2" xfId="23485" xr:uid="{00000000-0005-0000-0000-0000CC070000}"/>
    <cellStyle name="Calculation 2 2 2 3 3" xfId="13788" xr:uid="{00000000-0005-0000-0000-0000CD070000}"/>
    <cellStyle name="Calculation 2 2 2 3 3 2" xfId="28620" xr:uid="{00000000-0005-0000-0000-0000CE070000}"/>
    <cellStyle name="Calculation 2 2 2 3 4" xfId="21160" xr:uid="{00000000-0005-0000-0000-0000CF070000}"/>
    <cellStyle name="Calculation 2 2 2 4" xfId="3361" xr:uid="{00000000-0005-0000-0000-0000D0070000}"/>
    <cellStyle name="Calculation 2 2 2 4 2" xfId="7424" xr:uid="{00000000-0005-0000-0000-0000D1070000}"/>
    <cellStyle name="Calculation 2 2 2 4 2 2" xfId="23425" xr:uid="{00000000-0005-0000-0000-0000D2070000}"/>
    <cellStyle name="Calculation 2 2 2 4 3" xfId="13698" xr:uid="{00000000-0005-0000-0000-0000D3070000}"/>
    <cellStyle name="Calculation 2 2 2 4 3 2" xfId="28530" xr:uid="{00000000-0005-0000-0000-0000D4070000}"/>
    <cellStyle name="Calculation 2 2 2 4 4" xfId="21110" xr:uid="{00000000-0005-0000-0000-0000D5070000}"/>
    <cellStyle name="Calculation 2 2 2 5" xfId="2357" xr:uid="{00000000-0005-0000-0000-0000D6070000}"/>
    <cellStyle name="Calculation 2 2 2 5 2" xfId="6469" xr:uid="{00000000-0005-0000-0000-0000D7070000}"/>
    <cellStyle name="Calculation 2 2 2 5 2 2" xfId="22839" xr:uid="{00000000-0005-0000-0000-0000D8070000}"/>
    <cellStyle name="Calculation 2 2 2 5 3" xfId="12696" xr:uid="{00000000-0005-0000-0000-0000D9070000}"/>
    <cellStyle name="Calculation 2 2 2 5 3 2" xfId="27528" xr:uid="{00000000-0005-0000-0000-0000DA070000}"/>
    <cellStyle name="Calculation 2 2 2 5 4" xfId="20481" xr:uid="{00000000-0005-0000-0000-0000DB070000}"/>
    <cellStyle name="Calculation 2 2 2 6" xfId="5482" xr:uid="{00000000-0005-0000-0000-0000DC070000}"/>
    <cellStyle name="Calculation 2 2 2 6 2" xfId="15717" xr:uid="{00000000-0005-0000-0000-0000DD070000}"/>
    <cellStyle name="Calculation 2 2 2 6 2 2" xfId="30549" xr:uid="{00000000-0005-0000-0000-0000DE070000}"/>
    <cellStyle name="Calculation 2 2 2 6 3" xfId="22210" xr:uid="{00000000-0005-0000-0000-0000DF070000}"/>
    <cellStyle name="Calculation 2 2 2 7" xfId="9320" xr:uid="{00000000-0005-0000-0000-0000E0070000}"/>
    <cellStyle name="Calculation 2 2 2 7 2" xfId="24626" xr:uid="{00000000-0005-0000-0000-0000E1070000}"/>
    <cellStyle name="Calculation 2 2 2 8" xfId="9403" xr:uid="{00000000-0005-0000-0000-0000E2070000}"/>
    <cellStyle name="Calculation 2 2 2 8 2" xfId="19707" xr:uid="{00000000-0005-0000-0000-0000E3070000}"/>
    <cellStyle name="Calculation 2 2 3" xfId="1439" xr:uid="{00000000-0005-0000-0000-0000E4070000}"/>
    <cellStyle name="Calculation 2 2 3 2" xfId="1940" xr:uid="{00000000-0005-0000-0000-0000E5070000}"/>
    <cellStyle name="Calculation 2 2 3 2 2" xfId="3799" xr:uid="{00000000-0005-0000-0000-0000E6070000}"/>
    <cellStyle name="Calculation 2 2 3 2 2 2" xfId="7854" xr:uid="{00000000-0005-0000-0000-0000E7070000}"/>
    <cellStyle name="Calculation 2 2 3 2 2 2 2" xfId="23708" xr:uid="{00000000-0005-0000-0000-0000E8070000}"/>
    <cellStyle name="Calculation 2 2 3 2 2 3" xfId="14134" xr:uid="{00000000-0005-0000-0000-0000E9070000}"/>
    <cellStyle name="Calculation 2 2 3 2 2 3 2" xfId="28966" xr:uid="{00000000-0005-0000-0000-0000EA070000}"/>
    <cellStyle name="Calculation 2 2 3 2 2 4" xfId="21359" xr:uid="{00000000-0005-0000-0000-0000EB070000}"/>
    <cellStyle name="Calculation 2 2 3 2 3" xfId="4919" xr:uid="{00000000-0005-0000-0000-0000EC070000}"/>
    <cellStyle name="Calculation 2 2 3 2 3 2" xfId="8958" xr:uid="{00000000-0005-0000-0000-0000ED070000}"/>
    <cellStyle name="Calculation 2 2 3 2 3 2 2" xfId="24424" xr:uid="{00000000-0005-0000-0000-0000EE070000}"/>
    <cellStyle name="Calculation 2 2 3 2 3 3" xfId="15241" xr:uid="{00000000-0005-0000-0000-0000EF070000}"/>
    <cellStyle name="Calculation 2 2 3 2 3 3 2" xfId="30073" xr:uid="{00000000-0005-0000-0000-0000F0070000}"/>
    <cellStyle name="Calculation 2 2 3 2 3 4" xfId="21954" xr:uid="{00000000-0005-0000-0000-0000F1070000}"/>
    <cellStyle name="Calculation 2 2 3 2 4" xfId="2909" xr:uid="{00000000-0005-0000-0000-0000F2070000}"/>
    <cellStyle name="Calculation 2 2 3 2 4 2" xfId="6993" xr:uid="{00000000-0005-0000-0000-0000F3070000}"/>
    <cellStyle name="Calculation 2 2 3 2 4 2 2" xfId="23167" xr:uid="{00000000-0005-0000-0000-0000F4070000}"/>
    <cellStyle name="Calculation 2 2 3 2 4 3" xfId="13247" xr:uid="{00000000-0005-0000-0000-0000F5070000}"/>
    <cellStyle name="Calculation 2 2 3 2 4 3 2" xfId="28079" xr:uid="{00000000-0005-0000-0000-0000F6070000}"/>
    <cellStyle name="Calculation 2 2 3 2 4 4" xfId="20835" xr:uid="{00000000-0005-0000-0000-0000F7070000}"/>
    <cellStyle name="Calculation 2 2 3 2 5" xfId="6070" xr:uid="{00000000-0005-0000-0000-0000F8070000}"/>
    <cellStyle name="Calculation 2 2 3 2 5 2" xfId="16257" xr:uid="{00000000-0005-0000-0000-0000F9070000}"/>
    <cellStyle name="Calculation 2 2 3 2 5 2 2" xfId="31089" xr:uid="{00000000-0005-0000-0000-0000FA070000}"/>
    <cellStyle name="Calculation 2 2 3 2 5 3" xfId="22603" xr:uid="{00000000-0005-0000-0000-0000FB070000}"/>
    <cellStyle name="Calculation 2 2 3 2 6" xfId="12327" xr:uid="{00000000-0005-0000-0000-0000FC070000}"/>
    <cellStyle name="Calculation 2 2 3 2 6 2" xfId="27159" xr:uid="{00000000-0005-0000-0000-0000FD070000}"/>
    <cellStyle name="Calculation 2 2 3 2 7" xfId="9924" xr:uid="{00000000-0005-0000-0000-0000FE070000}"/>
    <cellStyle name="Calculation 2 2 3 2 7 2" xfId="20126" xr:uid="{00000000-0005-0000-0000-0000FF070000}"/>
    <cellStyle name="Calculation 2 2 3 3" xfId="3681" xr:uid="{00000000-0005-0000-0000-000000080000}"/>
    <cellStyle name="Calculation 2 2 3 3 2" xfId="7739" xr:uid="{00000000-0005-0000-0000-000001080000}"/>
    <cellStyle name="Calculation 2 2 3 3 2 2" xfId="23629" xr:uid="{00000000-0005-0000-0000-000002080000}"/>
    <cellStyle name="Calculation 2 2 3 3 3" xfId="14016" xr:uid="{00000000-0005-0000-0000-000003080000}"/>
    <cellStyle name="Calculation 2 2 3 3 3 2" xfId="28848" xr:uid="{00000000-0005-0000-0000-000004080000}"/>
    <cellStyle name="Calculation 2 2 3 3 4" xfId="21289" xr:uid="{00000000-0005-0000-0000-000005080000}"/>
    <cellStyle name="Calculation 2 2 3 4" xfId="4499" xr:uid="{00000000-0005-0000-0000-000006080000}"/>
    <cellStyle name="Calculation 2 2 3 4 2" xfId="8538" xr:uid="{00000000-0005-0000-0000-000007080000}"/>
    <cellStyle name="Calculation 2 2 3 4 2 2" xfId="24164" xr:uid="{00000000-0005-0000-0000-000008080000}"/>
    <cellStyle name="Calculation 2 2 3 4 3" xfId="14826" xr:uid="{00000000-0005-0000-0000-000009080000}"/>
    <cellStyle name="Calculation 2 2 3 4 3 2" xfId="29658" xr:uid="{00000000-0005-0000-0000-00000A080000}"/>
    <cellStyle name="Calculation 2 2 3 4 4" xfId="21724" xr:uid="{00000000-0005-0000-0000-00000B080000}"/>
    <cellStyle name="Calculation 2 2 3 5" xfId="2489" xr:uid="{00000000-0005-0000-0000-00000C080000}"/>
    <cellStyle name="Calculation 2 2 3 5 2" xfId="6595" xr:uid="{00000000-0005-0000-0000-00000D080000}"/>
    <cellStyle name="Calculation 2 2 3 5 2 2" xfId="22933" xr:uid="{00000000-0005-0000-0000-00000E080000}"/>
    <cellStyle name="Calculation 2 2 3 5 3" xfId="12827" xr:uid="{00000000-0005-0000-0000-00000F080000}"/>
    <cellStyle name="Calculation 2 2 3 5 3 2" xfId="27659" xr:uid="{00000000-0005-0000-0000-000010080000}"/>
    <cellStyle name="Calculation 2 2 3 5 4" xfId="20579" xr:uid="{00000000-0005-0000-0000-000011080000}"/>
    <cellStyle name="Calculation 2 2 3 6" xfId="5612" xr:uid="{00000000-0005-0000-0000-000012080000}"/>
    <cellStyle name="Calculation 2 2 3 6 2" xfId="15847" xr:uid="{00000000-0005-0000-0000-000013080000}"/>
    <cellStyle name="Calculation 2 2 3 6 2 2" xfId="30679" xr:uid="{00000000-0005-0000-0000-000014080000}"/>
    <cellStyle name="Calculation 2 2 3 6 3" xfId="22308" xr:uid="{00000000-0005-0000-0000-000015080000}"/>
    <cellStyle name="Calculation 2 2 3 7" xfId="11856" xr:uid="{00000000-0005-0000-0000-000016080000}"/>
    <cellStyle name="Calculation 2 2 3 7 2" xfId="26688" xr:uid="{00000000-0005-0000-0000-000017080000}"/>
    <cellStyle name="Calculation 2 2 3 8" xfId="9529" xr:uid="{00000000-0005-0000-0000-000018080000}"/>
    <cellStyle name="Calculation 2 2 3 8 2" xfId="19831" xr:uid="{00000000-0005-0000-0000-000019080000}"/>
    <cellStyle name="Calculation 2 2 4" xfId="1415" xr:uid="{00000000-0005-0000-0000-00001A080000}"/>
    <cellStyle name="Calculation 2 2 4 2" xfId="1917" xr:uid="{00000000-0005-0000-0000-00001B080000}"/>
    <cellStyle name="Calculation 2 2 4 2 2" xfId="3902" xr:uid="{00000000-0005-0000-0000-00001C080000}"/>
    <cellStyle name="Calculation 2 2 4 2 2 2" xfId="7953" xr:uid="{00000000-0005-0000-0000-00001D080000}"/>
    <cellStyle name="Calculation 2 2 4 2 2 2 2" xfId="23770" xr:uid="{00000000-0005-0000-0000-00001E080000}"/>
    <cellStyle name="Calculation 2 2 4 2 2 3" xfId="14235" xr:uid="{00000000-0005-0000-0000-00001F080000}"/>
    <cellStyle name="Calculation 2 2 4 2 2 3 2" xfId="29067" xr:uid="{00000000-0005-0000-0000-000020080000}"/>
    <cellStyle name="Calculation 2 2 4 2 2 4" xfId="21411" xr:uid="{00000000-0005-0000-0000-000021080000}"/>
    <cellStyle name="Calculation 2 2 4 2 3" xfId="4895" xr:uid="{00000000-0005-0000-0000-000022080000}"/>
    <cellStyle name="Calculation 2 2 4 2 3 2" xfId="8934" xr:uid="{00000000-0005-0000-0000-000023080000}"/>
    <cellStyle name="Calculation 2 2 4 2 3 2 2" xfId="24400" xr:uid="{00000000-0005-0000-0000-000024080000}"/>
    <cellStyle name="Calculation 2 2 4 2 3 3" xfId="15218" xr:uid="{00000000-0005-0000-0000-000025080000}"/>
    <cellStyle name="Calculation 2 2 4 2 3 3 2" xfId="30050" xr:uid="{00000000-0005-0000-0000-000026080000}"/>
    <cellStyle name="Calculation 2 2 4 2 3 4" xfId="21932" xr:uid="{00000000-0005-0000-0000-000027080000}"/>
    <cellStyle name="Calculation 2 2 4 2 4" xfId="2885" xr:uid="{00000000-0005-0000-0000-000028080000}"/>
    <cellStyle name="Calculation 2 2 4 2 4 2" xfId="6970" xr:uid="{00000000-0005-0000-0000-000029080000}"/>
    <cellStyle name="Calculation 2 2 4 2 4 2 2" xfId="23145" xr:uid="{00000000-0005-0000-0000-00002A080000}"/>
    <cellStyle name="Calculation 2 2 4 2 4 3" xfId="13223" xr:uid="{00000000-0005-0000-0000-00002B080000}"/>
    <cellStyle name="Calculation 2 2 4 2 4 3 2" xfId="28055" xr:uid="{00000000-0005-0000-0000-00002C080000}"/>
    <cellStyle name="Calculation 2 2 4 2 4 4" xfId="20811" xr:uid="{00000000-0005-0000-0000-00002D080000}"/>
    <cellStyle name="Calculation 2 2 4 2 5" xfId="6048" xr:uid="{00000000-0005-0000-0000-00002E080000}"/>
    <cellStyle name="Calculation 2 2 4 2 5 2" xfId="16235" xr:uid="{00000000-0005-0000-0000-00002F080000}"/>
    <cellStyle name="Calculation 2 2 4 2 5 2 2" xfId="31067" xr:uid="{00000000-0005-0000-0000-000030080000}"/>
    <cellStyle name="Calculation 2 2 4 2 5 3" xfId="22581" xr:uid="{00000000-0005-0000-0000-000031080000}"/>
    <cellStyle name="Calculation 2 2 4 2 6" xfId="12305" xr:uid="{00000000-0005-0000-0000-000032080000}"/>
    <cellStyle name="Calculation 2 2 4 2 6 2" xfId="27137" xr:uid="{00000000-0005-0000-0000-000033080000}"/>
    <cellStyle name="Calculation 2 2 4 2 7" xfId="9901" xr:uid="{00000000-0005-0000-0000-000034080000}"/>
    <cellStyle name="Calculation 2 2 4 2 7 2" xfId="20104" xr:uid="{00000000-0005-0000-0000-000035080000}"/>
    <cellStyle name="Calculation 2 2 4 3" xfId="3460" xr:uid="{00000000-0005-0000-0000-000036080000}"/>
    <cellStyle name="Calculation 2 2 4 3 2" xfId="7523" xr:uid="{00000000-0005-0000-0000-000037080000}"/>
    <cellStyle name="Calculation 2 2 4 3 2 2" xfId="23492" xr:uid="{00000000-0005-0000-0000-000038080000}"/>
    <cellStyle name="Calculation 2 2 4 3 3" xfId="13797" xr:uid="{00000000-0005-0000-0000-000039080000}"/>
    <cellStyle name="Calculation 2 2 4 3 3 2" xfId="28629" xr:uid="{00000000-0005-0000-0000-00003A080000}"/>
    <cellStyle name="Calculation 2 2 4 3 4" xfId="21167" xr:uid="{00000000-0005-0000-0000-00003B080000}"/>
    <cellStyle name="Calculation 2 2 4 4" xfId="4475" xr:uid="{00000000-0005-0000-0000-00003C080000}"/>
    <cellStyle name="Calculation 2 2 4 4 2" xfId="8514" xr:uid="{00000000-0005-0000-0000-00003D080000}"/>
    <cellStyle name="Calculation 2 2 4 4 2 2" xfId="24140" xr:uid="{00000000-0005-0000-0000-00003E080000}"/>
    <cellStyle name="Calculation 2 2 4 4 3" xfId="14803" xr:uid="{00000000-0005-0000-0000-00003F080000}"/>
    <cellStyle name="Calculation 2 2 4 4 3 2" xfId="29635" xr:uid="{00000000-0005-0000-0000-000040080000}"/>
    <cellStyle name="Calculation 2 2 4 4 4" xfId="21702" xr:uid="{00000000-0005-0000-0000-000041080000}"/>
    <cellStyle name="Calculation 2 2 4 5" xfId="2465" xr:uid="{00000000-0005-0000-0000-000042080000}"/>
    <cellStyle name="Calculation 2 2 4 5 2" xfId="6571" xr:uid="{00000000-0005-0000-0000-000043080000}"/>
    <cellStyle name="Calculation 2 2 4 5 2 2" xfId="22909" xr:uid="{00000000-0005-0000-0000-000044080000}"/>
    <cellStyle name="Calculation 2 2 4 5 3" xfId="12804" xr:uid="{00000000-0005-0000-0000-000045080000}"/>
    <cellStyle name="Calculation 2 2 4 5 3 2" xfId="27636" xr:uid="{00000000-0005-0000-0000-000046080000}"/>
    <cellStyle name="Calculation 2 2 4 5 4" xfId="20557" xr:uid="{00000000-0005-0000-0000-000047080000}"/>
    <cellStyle name="Calculation 2 2 4 6" xfId="5589" xr:uid="{00000000-0005-0000-0000-000048080000}"/>
    <cellStyle name="Calculation 2 2 4 6 2" xfId="15824" xr:uid="{00000000-0005-0000-0000-000049080000}"/>
    <cellStyle name="Calculation 2 2 4 6 2 2" xfId="30656" xr:uid="{00000000-0005-0000-0000-00004A080000}"/>
    <cellStyle name="Calculation 2 2 4 6 3" xfId="22285" xr:uid="{00000000-0005-0000-0000-00004B080000}"/>
    <cellStyle name="Calculation 2 2 4 7" xfId="11834" xr:uid="{00000000-0005-0000-0000-00004C080000}"/>
    <cellStyle name="Calculation 2 2 4 7 2" xfId="26666" xr:uid="{00000000-0005-0000-0000-00004D080000}"/>
    <cellStyle name="Calculation 2 2 4 8" xfId="9506" xr:uid="{00000000-0005-0000-0000-00004E080000}"/>
    <cellStyle name="Calculation 2 2 4 8 2" xfId="19809" xr:uid="{00000000-0005-0000-0000-00004F080000}"/>
    <cellStyle name="Calculation 2 2 5" xfId="1425" xr:uid="{00000000-0005-0000-0000-000050080000}"/>
    <cellStyle name="Calculation 2 2 5 2" xfId="1926" xr:uid="{00000000-0005-0000-0000-000051080000}"/>
    <cellStyle name="Calculation 2 2 5 2 2" xfId="4020" xr:uid="{00000000-0005-0000-0000-000052080000}"/>
    <cellStyle name="Calculation 2 2 5 2 2 2" xfId="8067" xr:uid="{00000000-0005-0000-0000-000053080000}"/>
    <cellStyle name="Calculation 2 2 5 2 2 2 2" xfId="23841" xr:uid="{00000000-0005-0000-0000-000054080000}"/>
    <cellStyle name="Calculation 2 2 5 2 2 3" xfId="14352" xr:uid="{00000000-0005-0000-0000-000055080000}"/>
    <cellStyle name="Calculation 2 2 5 2 2 3 2" xfId="29184" xr:uid="{00000000-0005-0000-0000-000056080000}"/>
    <cellStyle name="Calculation 2 2 5 2 2 4" xfId="21479" xr:uid="{00000000-0005-0000-0000-000057080000}"/>
    <cellStyle name="Calculation 2 2 5 2 3" xfId="4905" xr:uid="{00000000-0005-0000-0000-000058080000}"/>
    <cellStyle name="Calculation 2 2 5 2 3 2" xfId="8944" xr:uid="{00000000-0005-0000-0000-000059080000}"/>
    <cellStyle name="Calculation 2 2 5 2 3 2 2" xfId="24410" xr:uid="{00000000-0005-0000-0000-00005A080000}"/>
    <cellStyle name="Calculation 2 2 5 2 3 3" xfId="15227" xr:uid="{00000000-0005-0000-0000-00005B080000}"/>
    <cellStyle name="Calculation 2 2 5 2 3 3 2" xfId="30059" xr:uid="{00000000-0005-0000-0000-00005C080000}"/>
    <cellStyle name="Calculation 2 2 5 2 3 4" xfId="21940" xr:uid="{00000000-0005-0000-0000-00005D080000}"/>
    <cellStyle name="Calculation 2 2 5 2 4" xfId="2895" xr:uid="{00000000-0005-0000-0000-00005E080000}"/>
    <cellStyle name="Calculation 2 2 5 2 4 2" xfId="6979" xr:uid="{00000000-0005-0000-0000-00005F080000}"/>
    <cellStyle name="Calculation 2 2 5 2 4 2 2" xfId="23153" xr:uid="{00000000-0005-0000-0000-000060080000}"/>
    <cellStyle name="Calculation 2 2 5 2 4 3" xfId="13233" xr:uid="{00000000-0005-0000-0000-000061080000}"/>
    <cellStyle name="Calculation 2 2 5 2 4 3 2" xfId="28065" xr:uid="{00000000-0005-0000-0000-000062080000}"/>
    <cellStyle name="Calculation 2 2 5 2 4 4" xfId="20821" xr:uid="{00000000-0005-0000-0000-000063080000}"/>
    <cellStyle name="Calculation 2 2 5 2 5" xfId="6056" xr:uid="{00000000-0005-0000-0000-000064080000}"/>
    <cellStyle name="Calculation 2 2 5 2 5 2" xfId="16243" xr:uid="{00000000-0005-0000-0000-000065080000}"/>
    <cellStyle name="Calculation 2 2 5 2 5 2 2" xfId="31075" xr:uid="{00000000-0005-0000-0000-000066080000}"/>
    <cellStyle name="Calculation 2 2 5 2 5 3" xfId="22589" xr:uid="{00000000-0005-0000-0000-000067080000}"/>
    <cellStyle name="Calculation 2 2 5 2 6" xfId="12313" xr:uid="{00000000-0005-0000-0000-000068080000}"/>
    <cellStyle name="Calculation 2 2 5 2 6 2" xfId="27145" xr:uid="{00000000-0005-0000-0000-000069080000}"/>
    <cellStyle name="Calculation 2 2 5 2 7" xfId="9910" xr:uid="{00000000-0005-0000-0000-00006A080000}"/>
    <cellStyle name="Calculation 2 2 5 2 7 2" xfId="20112" xr:uid="{00000000-0005-0000-0000-00006B080000}"/>
    <cellStyle name="Calculation 2 2 5 3" xfId="3948" xr:uid="{00000000-0005-0000-0000-00006C080000}"/>
    <cellStyle name="Calculation 2 2 5 3 2" xfId="7998" xr:uid="{00000000-0005-0000-0000-00006D080000}"/>
    <cellStyle name="Calculation 2 2 5 3 2 2" xfId="23798" xr:uid="{00000000-0005-0000-0000-00006E080000}"/>
    <cellStyle name="Calculation 2 2 5 3 3" xfId="14281" xr:uid="{00000000-0005-0000-0000-00006F080000}"/>
    <cellStyle name="Calculation 2 2 5 3 3 2" xfId="29113" xr:uid="{00000000-0005-0000-0000-000070080000}"/>
    <cellStyle name="Calculation 2 2 5 3 4" xfId="21440" xr:uid="{00000000-0005-0000-0000-000071080000}"/>
    <cellStyle name="Calculation 2 2 5 4" xfId="4485" xr:uid="{00000000-0005-0000-0000-000072080000}"/>
    <cellStyle name="Calculation 2 2 5 4 2" xfId="8524" xr:uid="{00000000-0005-0000-0000-000073080000}"/>
    <cellStyle name="Calculation 2 2 5 4 2 2" xfId="24150" xr:uid="{00000000-0005-0000-0000-000074080000}"/>
    <cellStyle name="Calculation 2 2 5 4 3" xfId="14812" xr:uid="{00000000-0005-0000-0000-000075080000}"/>
    <cellStyle name="Calculation 2 2 5 4 3 2" xfId="29644" xr:uid="{00000000-0005-0000-0000-000076080000}"/>
    <cellStyle name="Calculation 2 2 5 4 4" xfId="21710" xr:uid="{00000000-0005-0000-0000-000077080000}"/>
    <cellStyle name="Calculation 2 2 5 5" xfId="2475" xr:uid="{00000000-0005-0000-0000-000078080000}"/>
    <cellStyle name="Calculation 2 2 5 5 2" xfId="6581" xr:uid="{00000000-0005-0000-0000-000079080000}"/>
    <cellStyle name="Calculation 2 2 5 5 2 2" xfId="22919" xr:uid="{00000000-0005-0000-0000-00007A080000}"/>
    <cellStyle name="Calculation 2 2 5 5 3" xfId="12813" xr:uid="{00000000-0005-0000-0000-00007B080000}"/>
    <cellStyle name="Calculation 2 2 5 5 3 2" xfId="27645" xr:uid="{00000000-0005-0000-0000-00007C080000}"/>
    <cellStyle name="Calculation 2 2 5 5 4" xfId="20565" xr:uid="{00000000-0005-0000-0000-00007D080000}"/>
    <cellStyle name="Calculation 2 2 5 6" xfId="5598" xr:uid="{00000000-0005-0000-0000-00007E080000}"/>
    <cellStyle name="Calculation 2 2 5 6 2" xfId="15833" xr:uid="{00000000-0005-0000-0000-00007F080000}"/>
    <cellStyle name="Calculation 2 2 5 6 2 2" xfId="30665" xr:uid="{00000000-0005-0000-0000-000080080000}"/>
    <cellStyle name="Calculation 2 2 5 6 3" xfId="22294" xr:uid="{00000000-0005-0000-0000-000081080000}"/>
    <cellStyle name="Calculation 2 2 5 7" xfId="11842" xr:uid="{00000000-0005-0000-0000-000082080000}"/>
    <cellStyle name="Calculation 2 2 5 7 2" xfId="26674" xr:uid="{00000000-0005-0000-0000-000083080000}"/>
    <cellStyle name="Calculation 2 2 5 8" xfId="9515" xr:uid="{00000000-0005-0000-0000-000084080000}"/>
    <cellStyle name="Calculation 2 2 5 8 2" xfId="19817" xr:uid="{00000000-0005-0000-0000-000085080000}"/>
    <cellStyle name="Calculation 2 2 6" xfId="1716" xr:uid="{00000000-0005-0000-0000-000086080000}"/>
    <cellStyle name="Calculation 2 2 6 2" xfId="3589" xr:uid="{00000000-0005-0000-0000-000087080000}"/>
    <cellStyle name="Calculation 2 2 6 2 2" xfId="7651" xr:uid="{00000000-0005-0000-0000-000088080000}"/>
    <cellStyle name="Calculation 2 2 6 2 2 2" xfId="23567" xr:uid="{00000000-0005-0000-0000-000089080000}"/>
    <cellStyle name="Calculation 2 2 6 2 3" xfId="13925" xr:uid="{00000000-0005-0000-0000-00008A080000}"/>
    <cellStyle name="Calculation 2 2 6 2 3 2" xfId="28757" xr:uid="{00000000-0005-0000-0000-00008B080000}"/>
    <cellStyle name="Calculation 2 2 6 2 4" xfId="21236" xr:uid="{00000000-0005-0000-0000-00008C080000}"/>
    <cellStyle name="Calculation 2 2 6 3" xfId="4709" xr:uid="{00000000-0005-0000-0000-00008D080000}"/>
    <cellStyle name="Calculation 2 2 6 3 2" xfId="8748" xr:uid="{00000000-0005-0000-0000-00008E080000}"/>
    <cellStyle name="Calculation 2 2 6 3 2 2" xfId="24278" xr:uid="{00000000-0005-0000-0000-00008F080000}"/>
    <cellStyle name="Calculation 2 2 6 3 3" xfId="15033" xr:uid="{00000000-0005-0000-0000-000090080000}"/>
    <cellStyle name="Calculation 2 2 6 3 3 2" xfId="29865" xr:uid="{00000000-0005-0000-0000-000091080000}"/>
    <cellStyle name="Calculation 2 2 6 3 4" xfId="21816" xr:uid="{00000000-0005-0000-0000-000092080000}"/>
    <cellStyle name="Calculation 2 2 6 4" xfId="2699" xr:uid="{00000000-0005-0000-0000-000093080000}"/>
    <cellStyle name="Calculation 2 2 6 4 2" xfId="6790" xr:uid="{00000000-0005-0000-0000-000094080000}"/>
    <cellStyle name="Calculation 2 2 6 4 2 2" xfId="23029" xr:uid="{00000000-0005-0000-0000-000095080000}"/>
    <cellStyle name="Calculation 2 2 6 4 3" xfId="13037" xr:uid="{00000000-0005-0000-0000-000096080000}"/>
    <cellStyle name="Calculation 2 2 6 4 3 2" xfId="27869" xr:uid="{00000000-0005-0000-0000-000097080000}"/>
    <cellStyle name="Calculation 2 2 6 4 4" xfId="20689" xr:uid="{00000000-0005-0000-0000-000098080000}"/>
    <cellStyle name="Calculation 2 2 6 5" xfId="5848" xr:uid="{00000000-0005-0000-0000-000099080000}"/>
    <cellStyle name="Calculation 2 2 6 5 2" xfId="16040" xr:uid="{00000000-0005-0000-0000-00009A080000}"/>
    <cellStyle name="Calculation 2 2 6 5 2 2" xfId="30872" xr:uid="{00000000-0005-0000-0000-00009B080000}"/>
    <cellStyle name="Calculation 2 2 6 5 3" xfId="22445" xr:uid="{00000000-0005-0000-0000-00009C080000}"/>
    <cellStyle name="Calculation 2 2 6 6" xfId="12110" xr:uid="{00000000-0005-0000-0000-00009D080000}"/>
    <cellStyle name="Calculation 2 2 6 6 2" xfId="26942" xr:uid="{00000000-0005-0000-0000-00009E080000}"/>
    <cellStyle name="Calculation 2 2 6 7" xfId="9721" xr:uid="{00000000-0005-0000-0000-00009F080000}"/>
    <cellStyle name="Calculation 2 2 6 7 2" xfId="20019" xr:uid="{00000000-0005-0000-0000-0000A0080000}"/>
    <cellStyle name="Calculation 2 2 7" xfId="2235" xr:uid="{00000000-0005-0000-0000-0000A1080000}"/>
    <cellStyle name="Calculation 2 2 7 2" xfId="3579" xr:uid="{00000000-0005-0000-0000-0000A2080000}"/>
    <cellStyle name="Calculation 2 2 7 2 2" xfId="7641" xr:uid="{00000000-0005-0000-0000-0000A3080000}"/>
    <cellStyle name="Calculation 2 2 7 2 2 2" xfId="23563" xr:uid="{00000000-0005-0000-0000-0000A4080000}"/>
    <cellStyle name="Calculation 2 2 7 2 3" xfId="13915" xr:uid="{00000000-0005-0000-0000-0000A5080000}"/>
    <cellStyle name="Calculation 2 2 7 2 3 2" xfId="28747" xr:uid="{00000000-0005-0000-0000-0000A6080000}"/>
    <cellStyle name="Calculation 2 2 7 2 4" xfId="21232" xr:uid="{00000000-0005-0000-0000-0000A7080000}"/>
    <cellStyle name="Calculation 2 2 7 3" xfId="5203" xr:uid="{00000000-0005-0000-0000-0000A8080000}"/>
    <cellStyle name="Calculation 2 2 7 3 2" xfId="9242" xr:uid="{00000000-0005-0000-0000-0000A9080000}"/>
    <cellStyle name="Calculation 2 2 7 3 2 2" xfId="24580" xr:uid="{00000000-0005-0000-0000-0000AA080000}"/>
    <cellStyle name="Calculation 2 2 7 3 3" xfId="15521" xr:uid="{00000000-0005-0000-0000-0000AB080000}"/>
    <cellStyle name="Calculation 2 2 7 3 3 2" xfId="30353" xr:uid="{00000000-0005-0000-0000-0000AC080000}"/>
    <cellStyle name="Calculation 2 2 7 3 4" xfId="22087" xr:uid="{00000000-0005-0000-0000-0000AD080000}"/>
    <cellStyle name="Calculation 2 2 7 4" xfId="4233" xr:uid="{00000000-0005-0000-0000-0000AE080000}"/>
    <cellStyle name="Calculation 2 2 7 4 2" xfId="8274" xr:uid="{00000000-0005-0000-0000-0000AF080000}"/>
    <cellStyle name="Calculation 2 2 7 4 2 2" xfId="23969" xr:uid="{00000000-0005-0000-0000-0000B0080000}"/>
    <cellStyle name="Calculation 2 2 7 4 3" xfId="14565" xr:uid="{00000000-0005-0000-0000-0000B1080000}"/>
    <cellStyle name="Calculation 2 2 7 4 3 2" xfId="29397" xr:uid="{00000000-0005-0000-0000-0000B2080000}"/>
    <cellStyle name="Calculation 2 2 7 4 4" xfId="21594" xr:uid="{00000000-0005-0000-0000-0000B3080000}"/>
    <cellStyle name="Calculation 2 2 7 5" xfId="6349" xr:uid="{00000000-0005-0000-0000-0000B4080000}"/>
    <cellStyle name="Calculation 2 2 7 5 2" xfId="22751" xr:uid="{00000000-0005-0000-0000-0000B5080000}"/>
    <cellStyle name="Calculation 2 2 7 6" xfId="12603" xr:uid="{00000000-0005-0000-0000-0000B6080000}"/>
    <cellStyle name="Calculation 2 2 7 6 2" xfId="27435" xr:uid="{00000000-0005-0000-0000-0000B7080000}"/>
    <cellStyle name="Calculation 2 2 7 7" xfId="20430" xr:uid="{00000000-0005-0000-0000-0000B8080000}"/>
    <cellStyle name="Calculation 2 2 8" xfId="3830" xr:uid="{00000000-0005-0000-0000-0000B9080000}"/>
    <cellStyle name="Calculation 2 2 8 2" xfId="7883" xr:uid="{00000000-0005-0000-0000-0000BA080000}"/>
    <cellStyle name="Calculation 2 2 8 2 2" xfId="23725" xr:uid="{00000000-0005-0000-0000-0000BB080000}"/>
    <cellStyle name="Calculation 2 2 8 3" xfId="14165" xr:uid="{00000000-0005-0000-0000-0000BC080000}"/>
    <cellStyle name="Calculation 2 2 8 3 2" xfId="28997" xr:uid="{00000000-0005-0000-0000-0000BD080000}"/>
    <cellStyle name="Calculation 2 2 8 4" xfId="21373" xr:uid="{00000000-0005-0000-0000-0000BE080000}"/>
    <cellStyle name="Calculation 2 2 9" xfId="3339" xr:uid="{00000000-0005-0000-0000-0000BF080000}"/>
    <cellStyle name="Calculation 2 2 9 2" xfId="7402" xr:uid="{00000000-0005-0000-0000-0000C0080000}"/>
    <cellStyle name="Calculation 2 2 9 2 2" xfId="23407" xr:uid="{00000000-0005-0000-0000-0000C1080000}"/>
    <cellStyle name="Calculation 2 2 9 3" xfId="13676" xr:uid="{00000000-0005-0000-0000-0000C2080000}"/>
    <cellStyle name="Calculation 2 2 9 3 2" xfId="28508" xr:uid="{00000000-0005-0000-0000-0000C3080000}"/>
    <cellStyle name="Calculation 2 2 9 4" xfId="21094" xr:uid="{00000000-0005-0000-0000-0000C4080000}"/>
    <cellStyle name="Calculation 2 20" xfId="9399" xr:uid="{00000000-0005-0000-0000-0000C5080000}"/>
    <cellStyle name="Calculation 2 20 2" xfId="24705" xr:uid="{00000000-0005-0000-0000-0000C6080000}"/>
    <cellStyle name="Calculation 2 21" xfId="7697" xr:uid="{00000000-0005-0000-0000-0000C7080000}"/>
    <cellStyle name="Calculation 2 21 2" xfId="19109" xr:uid="{00000000-0005-0000-0000-0000C8080000}"/>
    <cellStyle name="Calculation 2 3" xfId="964" xr:uid="{00000000-0005-0000-0000-0000C9080000}"/>
    <cellStyle name="Calculation 2 3 10" xfId="2270" xr:uid="{00000000-0005-0000-0000-0000CA080000}"/>
    <cellStyle name="Calculation 2 3 10 2" xfId="6382" xr:uid="{00000000-0005-0000-0000-0000CB080000}"/>
    <cellStyle name="Calculation 2 3 10 2 2" xfId="22784" xr:uid="{00000000-0005-0000-0000-0000CC080000}"/>
    <cellStyle name="Calculation 2 3 10 3" xfId="12610" xr:uid="{00000000-0005-0000-0000-0000CD080000}"/>
    <cellStyle name="Calculation 2 3 10 3 2" xfId="27442" xr:uid="{00000000-0005-0000-0000-0000CE080000}"/>
    <cellStyle name="Calculation 2 3 10 4" xfId="20436" xr:uid="{00000000-0005-0000-0000-0000CF080000}"/>
    <cellStyle name="Calculation 2 3 11" xfId="5236" xr:uid="{00000000-0005-0000-0000-0000D0080000}"/>
    <cellStyle name="Calculation 2 3 11 2" xfId="15552" xr:uid="{00000000-0005-0000-0000-0000D1080000}"/>
    <cellStyle name="Calculation 2 3 11 2 2" xfId="30384" xr:uid="{00000000-0005-0000-0000-0000D2080000}"/>
    <cellStyle name="Calculation 2 3 11 3" xfId="22093" xr:uid="{00000000-0005-0000-0000-0000D3080000}"/>
    <cellStyle name="Calculation 2 3 12" xfId="5394" xr:uid="{00000000-0005-0000-0000-0000D4080000}"/>
    <cellStyle name="Calculation 2 3 12 2" xfId="15630" xr:uid="{00000000-0005-0000-0000-0000D5080000}"/>
    <cellStyle name="Calculation 2 3 12 2 2" xfId="30462" xr:uid="{00000000-0005-0000-0000-0000D6080000}"/>
    <cellStyle name="Calculation 2 3 12 3" xfId="22155" xr:uid="{00000000-0005-0000-0000-0000D7080000}"/>
    <cellStyle name="Calculation 2 3 13" xfId="9397" xr:uid="{00000000-0005-0000-0000-0000D8080000}"/>
    <cellStyle name="Calculation 2 3 13 2" xfId="24703" xr:uid="{00000000-0005-0000-0000-0000D9080000}"/>
    <cellStyle name="Calculation 2 3 14" xfId="5469" xr:uid="{00000000-0005-0000-0000-0000DA080000}"/>
    <cellStyle name="Calculation 2 3 14 2" xfId="18282" xr:uid="{00000000-0005-0000-0000-0000DB080000}"/>
    <cellStyle name="Calculation 2 3 2" xfId="1306" xr:uid="{00000000-0005-0000-0000-0000DC080000}"/>
    <cellStyle name="Calculation 2 3 2 2" xfId="1810" xr:uid="{00000000-0005-0000-0000-0000DD080000}"/>
    <cellStyle name="Calculation 2 3 2 2 2" xfId="3772" xr:uid="{00000000-0005-0000-0000-0000DE080000}"/>
    <cellStyle name="Calculation 2 3 2 2 2 2" xfId="7828" xr:uid="{00000000-0005-0000-0000-0000DF080000}"/>
    <cellStyle name="Calculation 2 3 2 2 2 2 2" xfId="23685" xr:uid="{00000000-0005-0000-0000-0000E0080000}"/>
    <cellStyle name="Calculation 2 3 2 2 2 3" xfId="14107" xr:uid="{00000000-0005-0000-0000-0000E1080000}"/>
    <cellStyle name="Calculation 2 3 2 2 2 3 2" xfId="28939" xr:uid="{00000000-0005-0000-0000-0000E2080000}"/>
    <cellStyle name="Calculation 2 3 2 2 2 4" xfId="21341" xr:uid="{00000000-0005-0000-0000-0000E3080000}"/>
    <cellStyle name="Calculation 2 3 2 2 3" xfId="4788" xr:uid="{00000000-0005-0000-0000-0000E4080000}"/>
    <cellStyle name="Calculation 2 3 2 2 3 2" xfId="8827" xr:uid="{00000000-0005-0000-0000-0000E5080000}"/>
    <cellStyle name="Calculation 2 3 2 2 3 2 2" xfId="24325" xr:uid="{00000000-0005-0000-0000-0000E6080000}"/>
    <cellStyle name="Calculation 2 3 2 2 3 3" xfId="15112" xr:uid="{00000000-0005-0000-0000-0000E7080000}"/>
    <cellStyle name="Calculation 2 3 2 2 3 3 2" xfId="29944" xr:uid="{00000000-0005-0000-0000-0000E8080000}"/>
    <cellStyle name="Calculation 2 3 2 2 3 4" xfId="21863" xr:uid="{00000000-0005-0000-0000-0000E9080000}"/>
    <cellStyle name="Calculation 2 3 2 2 4" xfId="2778" xr:uid="{00000000-0005-0000-0000-0000EA080000}"/>
    <cellStyle name="Calculation 2 3 2 2 4 2" xfId="6869" xr:uid="{00000000-0005-0000-0000-0000EB080000}"/>
    <cellStyle name="Calculation 2 3 2 2 4 2 2" xfId="23076" xr:uid="{00000000-0005-0000-0000-0000EC080000}"/>
    <cellStyle name="Calculation 2 3 2 2 4 3" xfId="13116" xr:uid="{00000000-0005-0000-0000-0000ED080000}"/>
    <cellStyle name="Calculation 2 3 2 2 4 3 2" xfId="27948" xr:uid="{00000000-0005-0000-0000-0000EE080000}"/>
    <cellStyle name="Calculation 2 3 2 2 4 4" xfId="20736" xr:uid="{00000000-0005-0000-0000-0000EF080000}"/>
    <cellStyle name="Calculation 2 3 2 2 5" xfId="5942" xr:uid="{00000000-0005-0000-0000-0000F0080000}"/>
    <cellStyle name="Calculation 2 3 2 2 5 2" xfId="16134" xr:uid="{00000000-0005-0000-0000-0000F1080000}"/>
    <cellStyle name="Calculation 2 3 2 2 5 2 2" xfId="30966" xr:uid="{00000000-0005-0000-0000-0000F2080000}"/>
    <cellStyle name="Calculation 2 3 2 2 5 3" xfId="22507" xr:uid="{00000000-0005-0000-0000-0000F3080000}"/>
    <cellStyle name="Calculation 2 3 2 2 6" xfId="12204" xr:uid="{00000000-0005-0000-0000-0000F4080000}"/>
    <cellStyle name="Calculation 2 3 2 2 6 2" xfId="27036" xr:uid="{00000000-0005-0000-0000-0000F5080000}"/>
    <cellStyle name="Calculation 2 3 2 2 7" xfId="9800" xr:uid="{00000000-0005-0000-0000-0000F6080000}"/>
    <cellStyle name="Calculation 2 3 2 2 7 2" xfId="20051" xr:uid="{00000000-0005-0000-0000-0000F7080000}"/>
    <cellStyle name="Calculation 2 3 2 3" xfId="4047" xr:uid="{00000000-0005-0000-0000-0000F8080000}"/>
    <cellStyle name="Calculation 2 3 2 3 2" xfId="8094" xr:uid="{00000000-0005-0000-0000-0000F9080000}"/>
    <cellStyle name="Calculation 2 3 2 3 2 2" xfId="23858" xr:uid="{00000000-0005-0000-0000-0000FA080000}"/>
    <cellStyle name="Calculation 2 3 2 3 3" xfId="14379" xr:uid="{00000000-0005-0000-0000-0000FB080000}"/>
    <cellStyle name="Calculation 2 3 2 3 3 2" xfId="29211" xr:uid="{00000000-0005-0000-0000-0000FC080000}"/>
    <cellStyle name="Calculation 2 3 2 3 4" xfId="21492" xr:uid="{00000000-0005-0000-0000-0000FD080000}"/>
    <cellStyle name="Calculation 2 3 2 4" xfId="3360" xr:uid="{00000000-0005-0000-0000-0000FE080000}"/>
    <cellStyle name="Calculation 2 3 2 4 2" xfId="7423" xr:uid="{00000000-0005-0000-0000-0000FF080000}"/>
    <cellStyle name="Calculation 2 3 2 4 2 2" xfId="23424" xr:uid="{00000000-0005-0000-0000-000000090000}"/>
    <cellStyle name="Calculation 2 3 2 4 3" xfId="13697" xr:uid="{00000000-0005-0000-0000-000001090000}"/>
    <cellStyle name="Calculation 2 3 2 4 3 2" xfId="28529" xr:uid="{00000000-0005-0000-0000-000002090000}"/>
    <cellStyle name="Calculation 2 3 2 4 4" xfId="21109" xr:uid="{00000000-0005-0000-0000-000003090000}"/>
    <cellStyle name="Calculation 2 3 2 5" xfId="2358" xr:uid="{00000000-0005-0000-0000-000004090000}"/>
    <cellStyle name="Calculation 2 3 2 5 2" xfId="6470" xr:uid="{00000000-0005-0000-0000-000005090000}"/>
    <cellStyle name="Calculation 2 3 2 5 2 2" xfId="22840" xr:uid="{00000000-0005-0000-0000-000006090000}"/>
    <cellStyle name="Calculation 2 3 2 5 3" xfId="12697" xr:uid="{00000000-0005-0000-0000-000007090000}"/>
    <cellStyle name="Calculation 2 3 2 5 3 2" xfId="27529" xr:uid="{00000000-0005-0000-0000-000008090000}"/>
    <cellStyle name="Calculation 2 3 2 5 4" xfId="20482" xr:uid="{00000000-0005-0000-0000-000009090000}"/>
    <cellStyle name="Calculation 2 3 2 6" xfId="5483" xr:uid="{00000000-0005-0000-0000-00000A090000}"/>
    <cellStyle name="Calculation 2 3 2 6 2" xfId="15718" xr:uid="{00000000-0005-0000-0000-00000B090000}"/>
    <cellStyle name="Calculation 2 3 2 6 2 2" xfId="30550" xr:uid="{00000000-0005-0000-0000-00000C090000}"/>
    <cellStyle name="Calculation 2 3 2 6 3" xfId="22211" xr:uid="{00000000-0005-0000-0000-00000D090000}"/>
    <cellStyle name="Calculation 2 3 2 7" xfId="9319" xr:uid="{00000000-0005-0000-0000-00000E090000}"/>
    <cellStyle name="Calculation 2 3 2 7 2" xfId="24625" xr:uid="{00000000-0005-0000-0000-00000F090000}"/>
    <cellStyle name="Calculation 2 3 2 8" xfId="9404" xr:uid="{00000000-0005-0000-0000-000010090000}"/>
    <cellStyle name="Calculation 2 3 2 8 2" xfId="19708" xr:uid="{00000000-0005-0000-0000-000011090000}"/>
    <cellStyle name="Calculation 2 3 3" xfId="1440" xr:uid="{00000000-0005-0000-0000-000012090000}"/>
    <cellStyle name="Calculation 2 3 3 2" xfId="1941" xr:uid="{00000000-0005-0000-0000-000013090000}"/>
    <cellStyle name="Calculation 2 3 3 2 2" xfId="3522" xr:uid="{00000000-0005-0000-0000-000014090000}"/>
    <cellStyle name="Calculation 2 3 3 2 2 2" xfId="7584" xr:uid="{00000000-0005-0000-0000-000015090000}"/>
    <cellStyle name="Calculation 2 3 3 2 2 2 2" xfId="23532" xr:uid="{00000000-0005-0000-0000-000016090000}"/>
    <cellStyle name="Calculation 2 3 3 2 2 3" xfId="13859" xr:uid="{00000000-0005-0000-0000-000017090000}"/>
    <cellStyle name="Calculation 2 3 3 2 2 3 2" xfId="28691" xr:uid="{00000000-0005-0000-0000-000018090000}"/>
    <cellStyle name="Calculation 2 3 3 2 2 4" xfId="21207" xr:uid="{00000000-0005-0000-0000-000019090000}"/>
    <cellStyle name="Calculation 2 3 3 2 3" xfId="4920" xr:uid="{00000000-0005-0000-0000-00001A090000}"/>
    <cellStyle name="Calculation 2 3 3 2 3 2" xfId="8959" xr:uid="{00000000-0005-0000-0000-00001B090000}"/>
    <cellStyle name="Calculation 2 3 3 2 3 2 2" xfId="24425" xr:uid="{00000000-0005-0000-0000-00001C090000}"/>
    <cellStyle name="Calculation 2 3 3 2 3 3" xfId="15242" xr:uid="{00000000-0005-0000-0000-00001D090000}"/>
    <cellStyle name="Calculation 2 3 3 2 3 3 2" xfId="30074" xr:uid="{00000000-0005-0000-0000-00001E090000}"/>
    <cellStyle name="Calculation 2 3 3 2 3 4" xfId="21955" xr:uid="{00000000-0005-0000-0000-00001F090000}"/>
    <cellStyle name="Calculation 2 3 3 2 4" xfId="2910" xr:uid="{00000000-0005-0000-0000-000020090000}"/>
    <cellStyle name="Calculation 2 3 3 2 4 2" xfId="6994" xr:uid="{00000000-0005-0000-0000-000021090000}"/>
    <cellStyle name="Calculation 2 3 3 2 4 2 2" xfId="23168" xr:uid="{00000000-0005-0000-0000-000022090000}"/>
    <cellStyle name="Calculation 2 3 3 2 4 3" xfId="13248" xr:uid="{00000000-0005-0000-0000-000023090000}"/>
    <cellStyle name="Calculation 2 3 3 2 4 3 2" xfId="28080" xr:uid="{00000000-0005-0000-0000-000024090000}"/>
    <cellStyle name="Calculation 2 3 3 2 4 4" xfId="20836" xr:uid="{00000000-0005-0000-0000-000025090000}"/>
    <cellStyle name="Calculation 2 3 3 2 5" xfId="6071" xr:uid="{00000000-0005-0000-0000-000026090000}"/>
    <cellStyle name="Calculation 2 3 3 2 5 2" xfId="16258" xr:uid="{00000000-0005-0000-0000-000027090000}"/>
    <cellStyle name="Calculation 2 3 3 2 5 2 2" xfId="31090" xr:uid="{00000000-0005-0000-0000-000028090000}"/>
    <cellStyle name="Calculation 2 3 3 2 5 3" xfId="22604" xr:uid="{00000000-0005-0000-0000-000029090000}"/>
    <cellStyle name="Calculation 2 3 3 2 6" xfId="12328" xr:uid="{00000000-0005-0000-0000-00002A090000}"/>
    <cellStyle name="Calculation 2 3 3 2 6 2" xfId="27160" xr:uid="{00000000-0005-0000-0000-00002B090000}"/>
    <cellStyle name="Calculation 2 3 3 2 7" xfId="9925" xr:uid="{00000000-0005-0000-0000-00002C090000}"/>
    <cellStyle name="Calculation 2 3 3 2 7 2" xfId="20127" xr:uid="{00000000-0005-0000-0000-00002D090000}"/>
    <cellStyle name="Calculation 2 3 3 3" xfId="3899" xr:uid="{00000000-0005-0000-0000-00002E090000}"/>
    <cellStyle name="Calculation 2 3 3 3 2" xfId="7950" xr:uid="{00000000-0005-0000-0000-00002F090000}"/>
    <cellStyle name="Calculation 2 3 3 3 2 2" xfId="23769" xr:uid="{00000000-0005-0000-0000-000030090000}"/>
    <cellStyle name="Calculation 2 3 3 3 3" xfId="14232" xr:uid="{00000000-0005-0000-0000-000031090000}"/>
    <cellStyle name="Calculation 2 3 3 3 3 2" xfId="29064" xr:uid="{00000000-0005-0000-0000-000032090000}"/>
    <cellStyle name="Calculation 2 3 3 3 4" xfId="21410" xr:uid="{00000000-0005-0000-0000-000033090000}"/>
    <cellStyle name="Calculation 2 3 3 4" xfId="4500" xr:uid="{00000000-0005-0000-0000-000034090000}"/>
    <cellStyle name="Calculation 2 3 3 4 2" xfId="8539" xr:uid="{00000000-0005-0000-0000-000035090000}"/>
    <cellStyle name="Calculation 2 3 3 4 2 2" xfId="24165" xr:uid="{00000000-0005-0000-0000-000036090000}"/>
    <cellStyle name="Calculation 2 3 3 4 3" xfId="14827" xr:uid="{00000000-0005-0000-0000-000037090000}"/>
    <cellStyle name="Calculation 2 3 3 4 3 2" xfId="29659" xr:uid="{00000000-0005-0000-0000-000038090000}"/>
    <cellStyle name="Calculation 2 3 3 4 4" xfId="21725" xr:uid="{00000000-0005-0000-0000-000039090000}"/>
    <cellStyle name="Calculation 2 3 3 5" xfId="2490" xr:uid="{00000000-0005-0000-0000-00003A090000}"/>
    <cellStyle name="Calculation 2 3 3 5 2" xfId="6596" xr:uid="{00000000-0005-0000-0000-00003B090000}"/>
    <cellStyle name="Calculation 2 3 3 5 2 2" xfId="22934" xr:uid="{00000000-0005-0000-0000-00003C090000}"/>
    <cellStyle name="Calculation 2 3 3 5 3" xfId="12828" xr:uid="{00000000-0005-0000-0000-00003D090000}"/>
    <cellStyle name="Calculation 2 3 3 5 3 2" xfId="27660" xr:uid="{00000000-0005-0000-0000-00003E090000}"/>
    <cellStyle name="Calculation 2 3 3 5 4" xfId="20580" xr:uid="{00000000-0005-0000-0000-00003F090000}"/>
    <cellStyle name="Calculation 2 3 3 6" xfId="5613" xr:uid="{00000000-0005-0000-0000-000040090000}"/>
    <cellStyle name="Calculation 2 3 3 6 2" xfId="15848" xr:uid="{00000000-0005-0000-0000-000041090000}"/>
    <cellStyle name="Calculation 2 3 3 6 2 2" xfId="30680" xr:uid="{00000000-0005-0000-0000-000042090000}"/>
    <cellStyle name="Calculation 2 3 3 6 3" xfId="22309" xr:uid="{00000000-0005-0000-0000-000043090000}"/>
    <cellStyle name="Calculation 2 3 3 7" xfId="11857" xr:uid="{00000000-0005-0000-0000-000044090000}"/>
    <cellStyle name="Calculation 2 3 3 7 2" xfId="26689" xr:uid="{00000000-0005-0000-0000-000045090000}"/>
    <cellStyle name="Calculation 2 3 3 8" xfId="9530" xr:uid="{00000000-0005-0000-0000-000046090000}"/>
    <cellStyle name="Calculation 2 3 3 8 2" xfId="19832" xr:uid="{00000000-0005-0000-0000-000047090000}"/>
    <cellStyle name="Calculation 2 3 4" xfId="1414" xr:uid="{00000000-0005-0000-0000-000048090000}"/>
    <cellStyle name="Calculation 2 3 4 2" xfId="1916" xr:uid="{00000000-0005-0000-0000-000049090000}"/>
    <cellStyle name="Calculation 2 3 4 2 2" xfId="3724" xr:uid="{00000000-0005-0000-0000-00004A090000}"/>
    <cellStyle name="Calculation 2 3 4 2 2 2" xfId="7780" xr:uid="{00000000-0005-0000-0000-00004B090000}"/>
    <cellStyle name="Calculation 2 3 4 2 2 2 2" xfId="23659" xr:uid="{00000000-0005-0000-0000-00004C090000}"/>
    <cellStyle name="Calculation 2 3 4 2 2 3" xfId="14059" xr:uid="{00000000-0005-0000-0000-00004D090000}"/>
    <cellStyle name="Calculation 2 3 4 2 2 3 2" xfId="28891" xr:uid="{00000000-0005-0000-0000-00004E090000}"/>
    <cellStyle name="Calculation 2 3 4 2 2 4" xfId="21319" xr:uid="{00000000-0005-0000-0000-00004F090000}"/>
    <cellStyle name="Calculation 2 3 4 2 3" xfId="4894" xr:uid="{00000000-0005-0000-0000-000050090000}"/>
    <cellStyle name="Calculation 2 3 4 2 3 2" xfId="8933" xr:uid="{00000000-0005-0000-0000-000051090000}"/>
    <cellStyle name="Calculation 2 3 4 2 3 2 2" xfId="24399" xr:uid="{00000000-0005-0000-0000-000052090000}"/>
    <cellStyle name="Calculation 2 3 4 2 3 3" xfId="15217" xr:uid="{00000000-0005-0000-0000-000053090000}"/>
    <cellStyle name="Calculation 2 3 4 2 3 3 2" xfId="30049" xr:uid="{00000000-0005-0000-0000-000054090000}"/>
    <cellStyle name="Calculation 2 3 4 2 3 4" xfId="21931" xr:uid="{00000000-0005-0000-0000-000055090000}"/>
    <cellStyle name="Calculation 2 3 4 2 4" xfId="2884" xr:uid="{00000000-0005-0000-0000-000056090000}"/>
    <cellStyle name="Calculation 2 3 4 2 4 2" xfId="6969" xr:uid="{00000000-0005-0000-0000-000057090000}"/>
    <cellStyle name="Calculation 2 3 4 2 4 2 2" xfId="23144" xr:uid="{00000000-0005-0000-0000-000058090000}"/>
    <cellStyle name="Calculation 2 3 4 2 4 3" xfId="13222" xr:uid="{00000000-0005-0000-0000-000059090000}"/>
    <cellStyle name="Calculation 2 3 4 2 4 3 2" xfId="28054" xr:uid="{00000000-0005-0000-0000-00005A090000}"/>
    <cellStyle name="Calculation 2 3 4 2 4 4" xfId="20810" xr:uid="{00000000-0005-0000-0000-00005B090000}"/>
    <cellStyle name="Calculation 2 3 4 2 5" xfId="6047" xr:uid="{00000000-0005-0000-0000-00005C090000}"/>
    <cellStyle name="Calculation 2 3 4 2 5 2" xfId="16234" xr:uid="{00000000-0005-0000-0000-00005D090000}"/>
    <cellStyle name="Calculation 2 3 4 2 5 2 2" xfId="31066" xr:uid="{00000000-0005-0000-0000-00005E090000}"/>
    <cellStyle name="Calculation 2 3 4 2 5 3" xfId="22580" xr:uid="{00000000-0005-0000-0000-00005F090000}"/>
    <cellStyle name="Calculation 2 3 4 2 6" xfId="12304" xr:uid="{00000000-0005-0000-0000-000060090000}"/>
    <cellStyle name="Calculation 2 3 4 2 6 2" xfId="27136" xr:uid="{00000000-0005-0000-0000-000061090000}"/>
    <cellStyle name="Calculation 2 3 4 2 7" xfId="9900" xr:uid="{00000000-0005-0000-0000-000062090000}"/>
    <cellStyle name="Calculation 2 3 4 2 7 2" xfId="20103" xr:uid="{00000000-0005-0000-0000-000063090000}"/>
    <cellStyle name="Calculation 2 3 4 3" xfId="3646" xr:uid="{00000000-0005-0000-0000-000064090000}"/>
    <cellStyle name="Calculation 2 3 4 3 2" xfId="7705" xr:uid="{00000000-0005-0000-0000-000065090000}"/>
    <cellStyle name="Calculation 2 3 4 3 2 2" xfId="23605" xr:uid="{00000000-0005-0000-0000-000066090000}"/>
    <cellStyle name="Calculation 2 3 4 3 3" xfId="13981" xr:uid="{00000000-0005-0000-0000-000067090000}"/>
    <cellStyle name="Calculation 2 3 4 3 3 2" xfId="28813" xr:uid="{00000000-0005-0000-0000-000068090000}"/>
    <cellStyle name="Calculation 2 3 4 3 4" xfId="21270" xr:uid="{00000000-0005-0000-0000-000069090000}"/>
    <cellStyle name="Calculation 2 3 4 4" xfId="4474" xr:uid="{00000000-0005-0000-0000-00006A090000}"/>
    <cellStyle name="Calculation 2 3 4 4 2" xfId="8513" xr:uid="{00000000-0005-0000-0000-00006B090000}"/>
    <cellStyle name="Calculation 2 3 4 4 2 2" xfId="24139" xr:uid="{00000000-0005-0000-0000-00006C090000}"/>
    <cellStyle name="Calculation 2 3 4 4 3" xfId="14802" xr:uid="{00000000-0005-0000-0000-00006D090000}"/>
    <cellStyle name="Calculation 2 3 4 4 3 2" xfId="29634" xr:uid="{00000000-0005-0000-0000-00006E090000}"/>
    <cellStyle name="Calculation 2 3 4 4 4" xfId="21701" xr:uid="{00000000-0005-0000-0000-00006F090000}"/>
    <cellStyle name="Calculation 2 3 4 5" xfId="2464" xr:uid="{00000000-0005-0000-0000-000070090000}"/>
    <cellStyle name="Calculation 2 3 4 5 2" xfId="6570" xr:uid="{00000000-0005-0000-0000-000071090000}"/>
    <cellStyle name="Calculation 2 3 4 5 2 2" xfId="22908" xr:uid="{00000000-0005-0000-0000-000072090000}"/>
    <cellStyle name="Calculation 2 3 4 5 3" xfId="12803" xr:uid="{00000000-0005-0000-0000-000073090000}"/>
    <cellStyle name="Calculation 2 3 4 5 3 2" xfId="27635" xr:uid="{00000000-0005-0000-0000-000074090000}"/>
    <cellStyle name="Calculation 2 3 4 5 4" xfId="20556" xr:uid="{00000000-0005-0000-0000-000075090000}"/>
    <cellStyle name="Calculation 2 3 4 6" xfId="5588" xr:uid="{00000000-0005-0000-0000-000076090000}"/>
    <cellStyle name="Calculation 2 3 4 6 2" xfId="15823" xr:uid="{00000000-0005-0000-0000-000077090000}"/>
    <cellStyle name="Calculation 2 3 4 6 2 2" xfId="30655" xr:uid="{00000000-0005-0000-0000-000078090000}"/>
    <cellStyle name="Calculation 2 3 4 6 3" xfId="22284" xr:uid="{00000000-0005-0000-0000-000079090000}"/>
    <cellStyle name="Calculation 2 3 4 7" xfId="11833" xr:uid="{00000000-0005-0000-0000-00007A090000}"/>
    <cellStyle name="Calculation 2 3 4 7 2" xfId="26665" xr:uid="{00000000-0005-0000-0000-00007B090000}"/>
    <cellStyle name="Calculation 2 3 4 8" xfId="9505" xr:uid="{00000000-0005-0000-0000-00007C090000}"/>
    <cellStyle name="Calculation 2 3 4 8 2" xfId="19808" xr:uid="{00000000-0005-0000-0000-00007D090000}"/>
    <cellStyle name="Calculation 2 3 5" xfId="1426" xr:uid="{00000000-0005-0000-0000-00007E090000}"/>
    <cellStyle name="Calculation 2 3 5 2" xfId="1927" xr:uid="{00000000-0005-0000-0000-00007F090000}"/>
    <cellStyle name="Calculation 2 3 5 2 2" xfId="3573" xr:uid="{00000000-0005-0000-0000-000080090000}"/>
    <cellStyle name="Calculation 2 3 5 2 2 2" xfId="7635" xr:uid="{00000000-0005-0000-0000-000081090000}"/>
    <cellStyle name="Calculation 2 3 5 2 2 2 2" xfId="23559" xr:uid="{00000000-0005-0000-0000-000082090000}"/>
    <cellStyle name="Calculation 2 3 5 2 2 3" xfId="13909" xr:uid="{00000000-0005-0000-0000-000083090000}"/>
    <cellStyle name="Calculation 2 3 5 2 2 3 2" xfId="28741" xr:uid="{00000000-0005-0000-0000-000084090000}"/>
    <cellStyle name="Calculation 2 3 5 2 2 4" xfId="21229" xr:uid="{00000000-0005-0000-0000-000085090000}"/>
    <cellStyle name="Calculation 2 3 5 2 3" xfId="4906" xr:uid="{00000000-0005-0000-0000-000086090000}"/>
    <cellStyle name="Calculation 2 3 5 2 3 2" xfId="8945" xr:uid="{00000000-0005-0000-0000-000087090000}"/>
    <cellStyle name="Calculation 2 3 5 2 3 2 2" xfId="24411" xr:uid="{00000000-0005-0000-0000-000088090000}"/>
    <cellStyle name="Calculation 2 3 5 2 3 3" xfId="15228" xr:uid="{00000000-0005-0000-0000-000089090000}"/>
    <cellStyle name="Calculation 2 3 5 2 3 3 2" xfId="30060" xr:uid="{00000000-0005-0000-0000-00008A090000}"/>
    <cellStyle name="Calculation 2 3 5 2 3 4" xfId="21941" xr:uid="{00000000-0005-0000-0000-00008B090000}"/>
    <cellStyle name="Calculation 2 3 5 2 4" xfId="2896" xr:uid="{00000000-0005-0000-0000-00008C090000}"/>
    <cellStyle name="Calculation 2 3 5 2 4 2" xfId="6980" xr:uid="{00000000-0005-0000-0000-00008D090000}"/>
    <cellStyle name="Calculation 2 3 5 2 4 2 2" xfId="23154" xr:uid="{00000000-0005-0000-0000-00008E090000}"/>
    <cellStyle name="Calculation 2 3 5 2 4 3" xfId="13234" xr:uid="{00000000-0005-0000-0000-00008F090000}"/>
    <cellStyle name="Calculation 2 3 5 2 4 3 2" xfId="28066" xr:uid="{00000000-0005-0000-0000-000090090000}"/>
    <cellStyle name="Calculation 2 3 5 2 4 4" xfId="20822" xr:uid="{00000000-0005-0000-0000-000091090000}"/>
    <cellStyle name="Calculation 2 3 5 2 5" xfId="6057" xr:uid="{00000000-0005-0000-0000-000092090000}"/>
    <cellStyle name="Calculation 2 3 5 2 5 2" xfId="16244" xr:uid="{00000000-0005-0000-0000-000093090000}"/>
    <cellStyle name="Calculation 2 3 5 2 5 2 2" xfId="31076" xr:uid="{00000000-0005-0000-0000-000094090000}"/>
    <cellStyle name="Calculation 2 3 5 2 5 3" xfId="22590" xr:uid="{00000000-0005-0000-0000-000095090000}"/>
    <cellStyle name="Calculation 2 3 5 2 6" xfId="12314" xr:uid="{00000000-0005-0000-0000-000096090000}"/>
    <cellStyle name="Calculation 2 3 5 2 6 2" xfId="27146" xr:uid="{00000000-0005-0000-0000-000097090000}"/>
    <cellStyle name="Calculation 2 3 5 2 7" xfId="9911" xr:uid="{00000000-0005-0000-0000-000098090000}"/>
    <cellStyle name="Calculation 2 3 5 2 7 2" xfId="20113" xr:uid="{00000000-0005-0000-0000-000099090000}"/>
    <cellStyle name="Calculation 2 3 5 3" xfId="3717" xr:uid="{00000000-0005-0000-0000-00009A090000}"/>
    <cellStyle name="Calculation 2 3 5 3 2" xfId="7773" xr:uid="{00000000-0005-0000-0000-00009B090000}"/>
    <cellStyle name="Calculation 2 3 5 3 2 2" xfId="23654" xr:uid="{00000000-0005-0000-0000-00009C090000}"/>
    <cellStyle name="Calculation 2 3 5 3 3" xfId="14052" xr:uid="{00000000-0005-0000-0000-00009D090000}"/>
    <cellStyle name="Calculation 2 3 5 3 3 2" xfId="28884" xr:uid="{00000000-0005-0000-0000-00009E090000}"/>
    <cellStyle name="Calculation 2 3 5 3 4" xfId="21314" xr:uid="{00000000-0005-0000-0000-00009F090000}"/>
    <cellStyle name="Calculation 2 3 5 4" xfId="4486" xr:uid="{00000000-0005-0000-0000-0000A0090000}"/>
    <cellStyle name="Calculation 2 3 5 4 2" xfId="8525" xr:uid="{00000000-0005-0000-0000-0000A1090000}"/>
    <cellStyle name="Calculation 2 3 5 4 2 2" xfId="24151" xr:uid="{00000000-0005-0000-0000-0000A2090000}"/>
    <cellStyle name="Calculation 2 3 5 4 3" xfId="14813" xr:uid="{00000000-0005-0000-0000-0000A3090000}"/>
    <cellStyle name="Calculation 2 3 5 4 3 2" xfId="29645" xr:uid="{00000000-0005-0000-0000-0000A4090000}"/>
    <cellStyle name="Calculation 2 3 5 4 4" xfId="21711" xr:uid="{00000000-0005-0000-0000-0000A5090000}"/>
    <cellStyle name="Calculation 2 3 5 5" xfId="2476" xr:uid="{00000000-0005-0000-0000-0000A6090000}"/>
    <cellStyle name="Calculation 2 3 5 5 2" xfId="6582" xr:uid="{00000000-0005-0000-0000-0000A7090000}"/>
    <cellStyle name="Calculation 2 3 5 5 2 2" xfId="22920" xr:uid="{00000000-0005-0000-0000-0000A8090000}"/>
    <cellStyle name="Calculation 2 3 5 5 3" xfId="12814" xr:uid="{00000000-0005-0000-0000-0000A9090000}"/>
    <cellStyle name="Calculation 2 3 5 5 3 2" xfId="27646" xr:uid="{00000000-0005-0000-0000-0000AA090000}"/>
    <cellStyle name="Calculation 2 3 5 5 4" xfId="20566" xr:uid="{00000000-0005-0000-0000-0000AB090000}"/>
    <cellStyle name="Calculation 2 3 5 6" xfId="5599" xr:uid="{00000000-0005-0000-0000-0000AC090000}"/>
    <cellStyle name="Calculation 2 3 5 6 2" xfId="15834" xr:uid="{00000000-0005-0000-0000-0000AD090000}"/>
    <cellStyle name="Calculation 2 3 5 6 2 2" xfId="30666" xr:uid="{00000000-0005-0000-0000-0000AE090000}"/>
    <cellStyle name="Calculation 2 3 5 6 3" xfId="22295" xr:uid="{00000000-0005-0000-0000-0000AF090000}"/>
    <cellStyle name="Calculation 2 3 5 7" xfId="11843" xr:uid="{00000000-0005-0000-0000-0000B0090000}"/>
    <cellStyle name="Calculation 2 3 5 7 2" xfId="26675" xr:uid="{00000000-0005-0000-0000-0000B1090000}"/>
    <cellStyle name="Calculation 2 3 5 8" xfId="9516" xr:uid="{00000000-0005-0000-0000-0000B2090000}"/>
    <cellStyle name="Calculation 2 3 5 8 2" xfId="19818" xr:uid="{00000000-0005-0000-0000-0000B3090000}"/>
    <cellStyle name="Calculation 2 3 6" xfId="1717" xr:uid="{00000000-0005-0000-0000-0000B4090000}"/>
    <cellStyle name="Calculation 2 3 6 2" xfId="3507" xr:uid="{00000000-0005-0000-0000-0000B5090000}"/>
    <cellStyle name="Calculation 2 3 6 2 2" xfId="7569" xr:uid="{00000000-0005-0000-0000-0000B6090000}"/>
    <cellStyle name="Calculation 2 3 6 2 2 2" xfId="23521" xr:uid="{00000000-0005-0000-0000-0000B7090000}"/>
    <cellStyle name="Calculation 2 3 6 2 3" xfId="13844" xr:uid="{00000000-0005-0000-0000-0000B8090000}"/>
    <cellStyle name="Calculation 2 3 6 2 3 2" xfId="28676" xr:uid="{00000000-0005-0000-0000-0000B9090000}"/>
    <cellStyle name="Calculation 2 3 6 2 4" xfId="21196" xr:uid="{00000000-0005-0000-0000-0000BA090000}"/>
    <cellStyle name="Calculation 2 3 6 3" xfId="4710" xr:uid="{00000000-0005-0000-0000-0000BB090000}"/>
    <cellStyle name="Calculation 2 3 6 3 2" xfId="8749" xr:uid="{00000000-0005-0000-0000-0000BC090000}"/>
    <cellStyle name="Calculation 2 3 6 3 2 2" xfId="24279" xr:uid="{00000000-0005-0000-0000-0000BD090000}"/>
    <cellStyle name="Calculation 2 3 6 3 3" xfId="15034" xr:uid="{00000000-0005-0000-0000-0000BE090000}"/>
    <cellStyle name="Calculation 2 3 6 3 3 2" xfId="29866" xr:uid="{00000000-0005-0000-0000-0000BF090000}"/>
    <cellStyle name="Calculation 2 3 6 3 4" xfId="21817" xr:uid="{00000000-0005-0000-0000-0000C0090000}"/>
    <cellStyle name="Calculation 2 3 6 4" xfId="2700" xr:uid="{00000000-0005-0000-0000-0000C1090000}"/>
    <cellStyle name="Calculation 2 3 6 4 2" xfId="6791" xr:uid="{00000000-0005-0000-0000-0000C2090000}"/>
    <cellStyle name="Calculation 2 3 6 4 2 2" xfId="23030" xr:uid="{00000000-0005-0000-0000-0000C3090000}"/>
    <cellStyle name="Calculation 2 3 6 4 3" xfId="13038" xr:uid="{00000000-0005-0000-0000-0000C4090000}"/>
    <cellStyle name="Calculation 2 3 6 4 3 2" xfId="27870" xr:uid="{00000000-0005-0000-0000-0000C5090000}"/>
    <cellStyle name="Calculation 2 3 6 4 4" xfId="20690" xr:uid="{00000000-0005-0000-0000-0000C6090000}"/>
    <cellStyle name="Calculation 2 3 6 5" xfId="5849" xr:uid="{00000000-0005-0000-0000-0000C7090000}"/>
    <cellStyle name="Calculation 2 3 6 5 2" xfId="16041" xr:uid="{00000000-0005-0000-0000-0000C8090000}"/>
    <cellStyle name="Calculation 2 3 6 5 2 2" xfId="30873" xr:uid="{00000000-0005-0000-0000-0000C9090000}"/>
    <cellStyle name="Calculation 2 3 6 5 3" xfId="22446" xr:uid="{00000000-0005-0000-0000-0000CA090000}"/>
    <cellStyle name="Calculation 2 3 6 6" xfId="12111" xr:uid="{00000000-0005-0000-0000-0000CB090000}"/>
    <cellStyle name="Calculation 2 3 6 6 2" xfId="26943" xr:uid="{00000000-0005-0000-0000-0000CC090000}"/>
    <cellStyle name="Calculation 2 3 6 7" xfId="9722" xr:uid="{00000000-0005-0000-0000-0000CD090000}"/>
    <cellStyle name="Calculation 2 3 6 7 2" xfId="20020" xr:uid="{00000000-0005-0000-0000-0000CE090000}"/>
    <cellStyle name="Calculation 2 3 7" xfId="2234" xr:uid="{00000000-0005-0000-0000-0000CF090000}"/>
    <cellStyle name="Calculation 2 3 7 2" xfId="3630" xr:uid="{00000000-0005-0000-0000-0000D0090000}"/>
    <cellStyle name="Calculation 2 3 7 2 2" xfId="7689" xr:uid="{00000000-0005-0000-0000-0000D1090000}"/>
    <cellStyle name="Calculation 2 3 7 2 2 2" xfId="23596" xr:uid="{00000000-0005-0000-0000-0000D2090000}"/>
    <cellStyle name="Calculation 2 3 7 2 3" xfId="13965" xr:uid="{00000000-0005-0000-0000-0000D3090000}"/>
    <cellStyle name="Calculation 2 3 7 2 3 2" xfId="28797" xr:uid="{00000000-0005-0000-0000-0000D4090000}"/>
    <cellStyle name="Calculation 2 3 7 2 4" xfId="21261" xr:uid="{00000000-0005-0000-0000-0000D5090000}"/>
    <cellStyle name="Calculation 2 3 7 3" xfId="5202" xr:uid="{00000000-0005-0000-0000-0000D6090000}"/>
    <cellStyle name="Calculation 2 3 7 3 2" xfId="9241" xr:uid="{00000000-0005-0000-0000-0000D7090000}"/>
    <cellStyle name="Calculation 2 3 7 3 2 2" xfId="24579" xr:uid="{00000000-0005-0000-0000-0000D8090000}"/>
    <cellStyle name="Calculation 2 3 7 3 3" xfId="15520" xr:uid="{00000000-0005-0000-0000-0000D9090000}"/>
    <cellStyle name="Calculation 2 3 7 3 3 2" xfId="30352" xr:uid="{00000000-0005-0000-0000-0000DA090000}"/>
    <cellStyle name="Calculation 2 3 7 3 4" xfId="22086" xr:uid="{00000000-0005-0000-0000-0000DB090000}"/>
    <cellStyle name="Calculation 2 3 7 4" xfId="4232" xr:uid="{00000000-0005-0000-0000-0000DC090000}"/>
    <cellStyle name="Calculation 2 3 7 4 2" xfId="8273" xr:uid="{00000000-0005-0000-0000-0000DD090000}"/>
    <cellStyle name="Calculation 2 3 7 4 2 2" xfId="23968" xr:uid="{00000000-0005-0000-0000-0000DE090000}"/>
    <cellStyle name="Calculation 2 3 7 4 3" xfId="14564" xr:uid="{00000000-0005-0000-0000-0000DF090000}"/>
    <cellStyle name="Calculation 2 3 7 4 3 2" xfId="29396" xr:uid="{00000000-0005-0000-0000-0000E0090000}"/>
    <cellStyle name="Calculation 2 3 7 4 4" xfId="21593" xr:uid="{00000000-0005-0000-0000-0000E1090000}"/>
    <cellStyle name="Calculation 2 3 7 5" xfId="6348" xr:uid="{00000000-0005-0000-0000-0000E2090000}"/>
    <cellStyle name="Calculation 2 3 7 5 2" xfId="22750" xr:uid="{00000000-0005-0000-0000-0000E3090000}"/>
    <cellStyle name="Calculation 2 3 7 6" xfId="12602" xr:uid="{00000000-0005-0000-0000-0000E4090000}"/>
    <cellStyle name="Calculation 2 3 7 6 2" xfId="27434" xr:uid="{00000000-0005-0000-0000-0000E5090000}"/>
    <cellStyle name="Calculation 2 3 7 7" xfId="20429" xr:uid="{00000000-0005-0000-0000-0000E6090000}"/>
    <cellStyle name="Calculation 2 3 8" xfId="3466" xr:uid="{00000000-0005-0000-0000-0000E7090000}"/>
    <cellStyle name="Calculation 2 3 8 2" xfId="7529" xr:uid="{00000000-0005-0000-0000-0000E8090000}"/>
    <cellStyle name="Calculation 2 3 8 2 2" xfId="23496" xr:uid="{00000000-0005-0000-0000-0000E9090000}"/>
    <cellStyle name="Calculation 2 3 8 3" xfId="13803" xr:uid="{00000000-0005-0000-0000-0000EA090000}"/>
    <cellStyle name="Calculation 2 3 8 3 2" xfId="28635" xr:uid="{00000000-0005-0000-0000-0000EB090000}"/>
    <cellStyle name="Calculation 2 3 8 4" xfId="21171" xr:uid="{00000000-0005-0000-0000-0000EC090000}"/>
    <cellStyle name="Calculation 2 3 9" xfId="3300" xr:uid="{00000000-0005-0000-0000-0000ED090000}"/>
    <cellStyle name="Calculation 2 3 9 2" xfId="7364" xr:uid="{00000000-0005-0000-0000-0000EE090000}"/>
    <cellStyle name="Calculation 2 3 9 2 2" xfId="23387" xr:uid="{00000000-0005-0000-0000-0000EF090000}"/>
    <cellStyle name="Calculation 2 3 9 3" xfId="13637" xr:uid="{00000000-0005-0000-0000-0000F0090000}"/>
    <cellStyle name="Calculation 2 3 9 3 2" xfId="28469" xr:uid="{00000000-0005-0000-0000-0000F1090000}"/>
    <cellStyle name="Calculation 2 3 9 4" xfId="21074" xr:uid="{00000000-0005-0000-0000-0000F2090000}"/>
    <cellStyle name="Calculation 2 4" xfId="965" xr:uid="{00000000-0005-0000-0000-0000F3090000}"/>
    <cellStyle name="Calculation 2 4 10" xfId="2271" xr:uid="{00000000-0005-0000-0000-0000F4090000}"/>
    <cellStyle name="Calculation 2 4 10 2" xfId="6383" xr:uid="{00000000-0005-0000-0000-0000F5090000}"/>
    <cellStyle name="Calculation 2 4 10 2 2" xfId="22785" xr:uid="{00000000-0005-0000-0000-0000F6090000}"/>
    <cellStyle name="Calculation 2 4 10 3" xfId="12611" xr:uid="{00000000-0005-0000-0000-0000F7090000}"/>
    <cellStyle name="Calculation 2 4 10 3 2" xfId="27443" xr:uid="{00000000-0005-0000-0000-0000F8090000}"/>
    <cellStyle name="Calculation 2 4 10 4" xfId="20437" xr:uid="{00000000-0005-0000-0000-0000F9090000}"/>
    <cellStyle name="Calculation 2 4 11" xfId="5237" xr:uid="{00000000-0005-0000-0000-0000FA090000}"/>
    <cellStyle name="Calculation 2 4 11 2" xfId="15553" xr:uid="{00000000-0005-0000-0000-0000FB090000}"/>
    <cellStyle name="Calculation 2 4 11 2 2" xfId="30385" xr:uid="{00000000-0005-0000-0000-0000FC090000}"/>
    <cellStyle name="Calculation 2 4 11 3" xfId="22094" xr:uid="{00000000-0005-0000-0000-0000FD090000}"/>
    <cellStyle name="Calculation 2 4 12" xfId="5395" xr:uid="{00000000-0005-0000-0000-0000FE090000}"/>
    <cellStyle name="Calculation 2 4 12 2" xfId="15631" xr:uid="{00000000-0005-0000-0000-0000FF090000}"/>
    <cellStyle name="Calculation 2 4 12 2 2" xfId="30463" xr:uid="{00000000-0005-0000-0000-0000000A0000}"/>
    <cellStyle name="Calculation 2 4 12 3" xfId="22156" xr:uid="{00000000-0005-0000-0000-0000010A0000}"/>
    <cellStyle name="Calculation 2 4 13" xfId="9396" xr:uid="{00000000-0005-0000-0000-0000020A0000}"/>
    <cellStyle name="Calculation 2 4 13 2" xfId="24702" xr:uid="{00000000-0005-0000-0000-0000030A0000}"/>
    <cellStyle name="Calculation 2 4 14" xfId="6787" xr:uid="{00000000-0005-0000-0000-0000040A0000}"/>
    <cellStyle name="Calculation 2 4 14 2" xfId="18771" xr:uid="{00000000-0005-0000-0000-0000050A0000}"/>
    <cellStyle name="Calculation 2 4 2" xfId="1307" xr:uid="{00000000-0005-0000-0000-0000060A0000}"/>
    <cellStyle name="Calculation 2 4 2 2" xfId="1811" xr:uid="{00000000-0005-0000-0000-0000070A0000}"/>
    <cellStyle name="Calculation 2 4 2 2 2" xfId="3377" xr:uid="{00000000-0005-0000-0000-0000080A0000}"/>
    <cellStyle name="Calculation 2 4 2 2 2 2" xfId="7440" xr:uid="{00000000-0005-0000-0000-0000090A0000}"/>
    <cellStyle name="Calculation 2 4 2 2 2 2 2" xfId="23435" xr:uid="{00000000-0005-0000-0000-00000A0A0000}"/>
    <cellStyle name="Calculation 2 4 2 2 2 3" xfId="13714" xr:uid="{00000000-0005-0000-0000-00000B0A0000}"/>
    <cellStyle name="Calculation 2 4 2 2 2 3 2" xfId="28546" xr:uid="{00000000-0005-0000-0000-00000C0A0000}"/>
    <cellStyle name="Calculation 2 4 2 2 2 4" xfId="21117" xr:uid="{00000000-0005-0000-0000-00000D0A0000}"/>
    <cellStyle name="Calculation 2 4 2 2 3" xfId="4789" xr:uid="{00000000-0005-0000-0000-00000E0A0000}"/>
    <cellStyle name="Calculation 2 4 2 2 3 2" xfId="8828" xr:uid="{00000000-0005-0000-0000-00000F0A0000}"/>
    <cellStyle name="Calculation 2 4 2 2 3 2 2" xfId="24326" xr:uid="{00000000-0005-0000-0000-0000100A0000}"/>
    <cellStyle name="Calculation 2 4 2 2 3 3" xfId="15113" xr:uid="{00000000-0005-0000-0000-0000110A0000}"/>
    <cellStyle name="Calculation 2 4 2 2 3 3 2" xfId="29945" xr:uid="{00000000-0005-0000-0000-0000120A0000}"/>
    <cellStyle name="Calculation 2 4 2 2 3 4" xfId="21864" xr:uid="{00000000-0005-0000-0000-0000130A0000}"/>
    <cellStyle name="Calculation 2 4 2 2 4" xfId="2779" xr:uid="{00000000-0005-0000-0000-0000140A0000}"/>
    <cellStyle name="Calculation 2 4 2 2 4 2" xfId="6870" xr:uid="{00000000-0005-0000-0000-0000150A0000}"/>
    <cellStyle name="Calculation 2 4 2 2 4 2 2" xfId="23077" xr:uid="{00000000-0005-0000-0000-0000160A0000}"/>
    <cellStyle name="Calculation 2 4 2 2 4 3" xfId="13117" xr:uid="{00000000-0005-0000-0000-0000170A0000}"/>
    <cellStyle name="Calculation 2 4 2 2 4 3 2" xfId="27949" xr:uid="{00000000-0005-0000-0000-0000180A0000}"/>
    <cellStyle name="Calculation 2 4 2 2 4 4" xfId="20737" xr:uid="{00000000-0005-0000-0000-0000190A0000}"/>
    <cellStyle name="Calculation 2 4 2 2 5" xfId="5943" xr:uid="{00000000-0005-0000-0000-00001A0A0000}"/>
    <cellStyle name="Calculation 2 4 2 2 5 2" xfId="16135" xr:uid="{00000000-0005-0000-0000-00001B0A0000}"/>
    <cellStyle name="Calculation 2 4 2 2 5 2 2" xfId="30967" xr:uid="{00000000-0005-0000-0000-00001C0A0000}"/>
    <cellStyle name="Calculation 2 4 2 2 5 3" xfId="22508" xr:uid="{00000000-0005-0000-0000-00001D0A0000}"/>
    <cellStyle name="Calculation 2 4 2 2 6" xfId="12205" xr:uid="{00000000-0005-0000-0000-00001E0A0000}"/>
    <cellStyle name="Calculation 2 4 2 2 6 2" xfId="27037" xr:uid="{00000000-0005-0000-0000-00001F0A0000}"/>
    <cellStyle name="Calculation 2 4 2 2 7" xfId="9801" xr:uid="{00000000-0005-0000-0000-0000200A0000}"/>
    <cellStyle name="Calculation 2 4 2 2 7 2" xfId="20052" xr:uid="{00000000-0005-0000-0000-0000210A0000}"/>
    <cellStyle name="Calculation 2 4 2 3" xfId="3130" xr:uid="{00000000-0005-0000-0000-0000220A0000}"/>
    <cellStyle name="Calculation 2 4 2 3 2" xfId="7194" xr:uid="{00000000-0005-0000-0000-0000230A0000}"/>
    <cellStyle name="Calculation 2 4 2 3 2 2" xfId="23266" xr:uid="{00000000-0005-0000-0000-0000240A0000}"/>
    <cellStyle name="Calculation 2 4 2 3 3" xfId="13468" xr:uid="{00000000-0005-0000-0000-0000250A0000}"/>
    <cellStyle name="Calculation 2 4 2 3 3 2" xfId="28300" xr:uid="{00000000-0005-0000-0000-0000260A0000}"/>
    <cellStyle name="Calculation 2 4 2 3 4" xfId="20957" xr:uid="{00000000-0005-0000-0000-0000270A0000}"/>
    <cellStyle name="Calculation 2 4 2 4" xfId="4369" xr:uid="{00000000-0005-0000-0000-0000280A0000}"/>
    <cellStyle name="Calculation 2 4 2 4 2" xfId="8408" xr:uid="{00000000-0005-0000-0000-0000290A0000}"/>
    <cellStyle name="Calculation 2 4 2 4 2 2" xfId="24066" xr:uid="{00000000-0005-0000-0000-00002A0A0000}"/>
    <cellStyle name="Calculation 2 4 2 4 3" xfId="14698" xr:uid="{00000000-0005-0000-0000-00002B0A0000}"/>
    <cellStyle name="Calculation 2 4 2 4 3 2" xfId="29530" xr:uid="{00000000-0005-0000-0000-00002C0A0000}"/>
    <cellStyle name="Calculation 2 4 2 4 4" xfId="21634" xr:uid="{00000000-0005-0000-0000-00002D0A0000}"/>
    <cellStyle name="Calculation 2 4 2 5" xfId="2359" xr:uid="{00000000-0005-0000-0000-00002E0A0000}"/>
    <cellStyle name="Calculation 2 4 2 5 2" xfId="6471" xr:uid="{00000000-0005-0000-0000-00002F0A0000}"/>
    <cellStyle name="Calculation 2 4 2 5 2 2" xfId="22841" xr:uid="{00000000-0005-0000-0000-0000300A0000}"/>
    <cellStyle name="Calculation 2 4 2 5 3" xfId="12698" xr:uid="{00000000-0005-0000-0000-0000310A0000}"/>
    <cellStyle name="Calculation 2 4 2 5 3 2" xfId="27530" xr:uid="{00000000-0005-0000-0000-0000320A0000}"/>
    <cellStyle name="Calculation 2 4 2 5 4" xfId="20483" xr:uid="{00000000-0005-0000-0000-0000330A0000}"/>
    <cellStyle name="Calculation 2 4 2 6" xfId="5484" xr:uid="{00000000-0005-0000-0000-0000340A0000}"/>
    <cellStyle name="Calculation 2 4 2 6 2" xfId="15719" xr:uid="{00000000-0005-0000-0000-0000350A0000}"/>
    <cellStyle name="Calculation 2 4 2 6 2 2" xfId="30551" xr:uid="{00000000-0005-0000-0000-0000360A0000}"/>
    <cellStyle name="Calculation 2 4 2 6 3" xfId="22212" xr:uid="{00000000-0005-0000-0000-0000370A0000}"/>
    <cellStyle name="Calculation 2 4 2 7" xfId="11734" xr:uid="{00000000-0005-0000-0000-0000380A0000}"/>
    <cellStyle name="Calculation 2 4 2 7 2" xfId="26566" xr:uid="{00000000-0005-0000-0000-0000390A0000}"/>
    <cellStyle name="Calculation 2 4 2 8" xfId="9405" xr:uid="{00000000-0005-0000-0000-00003A0A0000}"/>
    <cellStyle name="Calculation 2 4 2 8 2" xfId="19709" xr:uid="{00000000-0005-0000-0000-00003B0A0000}"/>
    <cellStyle name="Calculation 2 4 3" xfId="1441" xr:uid="{00000000-0005-0000-0000-00003C0A0000}"/>
    <cellStyle name="Calculation 2 4 3 2" xfId="1942" xr:uid="{00000000-0005-0000-0000-00003D0A0000}"/>
    <cellStyle name="Calculation 2 4 3 2 2" xfId="3804" xr:uid="{00000000-0005-0000-0000-00003E0A0000}"/>
    <cellStyle name="Calculation 2 4 3 2 2 2" xfId="7859" xr:uid="{00000000-0005-0000-0000-00003F0A0000}"/>
    <cellStyle name="Calculation 2 4 3 2 2 2 2" xfId="23711" xr:uid="{00000000-0005-0000-0000-0000400A0000}"/>
    <cellStyle name="Calculation 2 4 3 2 2 3" xfId="14139" xr:uid="{00000000-0005-0000-0000-0000410A0000}"/>
    <cellStyle name="Calculation 2 4 3 2 2 3 2" xfId="28971" xr:uid="{00000000-0005-0000-0000-0000420A0000}"/>
    <cellStyle name="Calculation 2 4 3 2 2 4" xfId="21362" xr:uid="{00000000-0005-0000-0000-0000430A0000}"/>
    <cellStyle name="Calculation 2 4 3 2 3" xfId="4921" xr:uid="{00000000-0005-0000-0000-0000440A0000}"/>
    <cellStyle name="Calculation 2 4 3 2 3 2" xfId="8960" xr:uid="{00000000-0005-0000-0000-0000450A0000}"/>
    <cellStyle name="Calculation 2 4 3 2 3 2 2" xfId="24426" xr:uid="{00000000-0005-0000-0000-0000460A0000}"/>
    <cellStyle name="Calculation 2 4 3 2 3 3" xfId="15243" xr:uid="{00000000-0005-0000-0000-0000470A0000}"/>
    <cellStyle name="Calculation 2 4 3 2 3 3 2" xfId="30075" xr:uid="{00000000-0005-0000-0000-0000480A0000}"/>
    <cellStyle name="Calculation 2 4 3 2 3 4" xfId="21956" xr:uid="{00000000-0005-0000-0000-0000490A0000}"/>
    <cellStyle name="Calculation 2 4 3 2 4" xfId="2911" xr:uid="{00000000-0005-0000-0000-00004A0A0000}"/>
    <cellStyle name="Calculation 2 4 3 2 4 2" xfId="6995" xr:uid="{00000000-0005-0000-0000-00004B0A0000}"/>
    <cellStyle name="Calculation 2 4 3 2 4 2 2" xfId="23169" xr:uid="{00000000-0005-0000-0000-00004C0A0000}"/>
    <cellStyle name="Calculation 2 4 3 2 4 3" xfId="13249" xr:uid="{00000000-0005-0000-0000-00004D0A0000}"/>
    <cellStyle name="Calculation 2 4 3 2 4 3 2" xfId="28081" xr:uid="{00000000-0005-0000-0000-00004E0A0000}"/>
    <cellStyle name="Calculation 2 4 3 2 4 4" xfId="20837" xr:uid="{00000000-0005-0000-0000-00004F0A0000}"/>
    <cellStyle name="Calculation 2 4 3 2 5" xfId="6072" xr:uid="{00000000-0005-0000-0000-0000500A0000}"/>
    <cellStyle name="Calculation 2 4 3 2 5 2" xfId="16259" xr:uid="{00000000-0005-0000-0000-0000510A0000}"/>
    <cellStyle name="Calculation 2 4 3 2 5 2 2" xfId="31091" xr:uid="{00000000-0005-0000-0000-0000520A0000}"/>
    <cellStyle name="Calculation 2 4 3 2 5 3" xfId="22605" xr:uid="{00000000-0005-0000-0000-0000530A0000}"/>
    <cellStyle name="Calculation 2 4 3 2 6" xfId="12329" xr:uid="{00000000-0005-0000-0000-0000540A0000}"/>
    <cellStyle name="Calculation 2 4 3 2 6 2" xfId="27161" xr:uid="{00000000-0005-0000-0000-0000550A0000}"/>
    <cellStyle name="Calculation 2 4 3 2 7" xfId="9926" xr:uid="{00000000-0005-0000-0000-0000560A0000}"/>
    <cellStyle name="Calculation 2 4 3 2 7 2" xfId="20128" xr:uid="{00000000-0005-0000-0000-0000570A0000}"/>
    <cellStyle name="Calculation 2 4 3 3" xfId="3820" xr:uid="{00000000-0005-0000-0000-0000580A0000}"/>
    <cellStyle name="Calculation 2 4 3 3 2" xfId="7873" xr:uid="{00000000-0005-0000-0000-0000590A0000}"/>
    <cellStyle name="Calculation 2 4 3 3 2 2" xfId="23720" xr:uid="{00000000-0005-0000-0000-00005A0A0000}"/>
    <cellStyle name="Calculation 2 4 3 3 3" xfId="14155" xr:uid="{00000000-0005-0000-0000-00005B0A0000}"/>
    <cellStyle name="Calculation 2 4 3 3 3 2" xfId="28987" xr:uid="{00000000-0005-0000-0000-00005C0A0000}"/>
    <cellStyle name="Calculation 2 4 3 3 4" xfId="21368" xr:uid="{00000000-0005-0000-0000-00005D0A0000}"/>
    <cellStyle name="Calculation 2 4 3 4" xfId="4501" xr:uid="{00000000-0005-0000-0000-00005E0A0000}"/>
    <cellStyle name="Calculation 2 4 3 4 2" xfId="8540" xr:uid="{00000000-0005-0000-0000-00005F0A0000}"/>
    <cellStyle name="Calculation 2 4 3 4 2 2" xfId="24166" xr:uid="{00000000-0005-0000-0000-0000600A0000}"/>
    <cellStyle name="Calculation 2 4 3 4 3" xfId="14828" xr:uid="{00000000-0005-0000-0000-0000610A0000}"/>
    <cellStyle name="Calculation 2 4 3 4 3 2" xfId="29660" xr:uid="{00000000-0005-0000-0000-0000620A0000}"/>
    <cellStyle name="Calculation 2 4 3 4 4" xfId="21726" xr:uid="{00000000-0005-0000-0000-0000630A0000}"/>
    <cellStyle name="Calculation 2 4 3 5" xfId="2491" xr:uid="{00000000-0005-0000-0000-0000640A0000}"/>
    <cellStyle name="Calculation 2 4 3 5 2" xfId="6597" xr:uid="{00000000-0005-0000-0000-0000650A0000}"/>
    <cellStyle name="Calculation 2 4 3 5 2 2" xfId="22935" xr:uid="{00000000-0005-0000-0000-0000660A0000}"/>
    <cellStyle name="Calculation 2 4 3 5 3" xfId="12829" xr:uid="{00000000-0005-0000-0000-0000670A0000}"/>
    <cellStyle name="Calculation 2 4 3 5 3 2" xfId="27661" xr:uid="{00000000-0005-0000-0000-0000680A0000}"/>
    <cellStyle name="Calculation 2 4 3 5 4" xfId="20581" xr:uid="{00000000-0005-0000-0000-0000690A0000}"/>
    <cellStyle name="Calculation 2 4 3 6" xfId="5614" xr:uid="{00000000-0005-0000-0000-00006A0A0000}"/>
    <cellStyle name="Calculation 2 4 3 6 2" xfId="15849" xr:uid="{00000000-0005-0000-0000-00006B0A0000}"/>
    <cellStyle name="Calculation 2 4 3 6 2 2" xfId="30681" xr:uid="{00000000-0005-0000-0000-00006C0A0000}"/>
    <cellStyle name="Calculation 2 4 3 6 3" xfId="22310" xr:uid="{00000000-0005-0000-0000-00006D0A0000}"/>
    <cellStyle name="Calculation 2 4 3 7" xfId="11858" xr:uid="{00000000-0005-0000-0000-00006E0A0000}"/>
    <cellStyle name="Calculation 2 4 3 7 2" xfId="26690" xr:uid="{00000000-0005-0000-0000-00006F0A0000}"/>
    <cellStyle name="Calculation 2 4 3 8" xfId="9531" xr:uid="{00000000-0005-0000-0000-0000700A0000}"/>
    <cellStyle name="Calculation 2 4 3 8 2" xfId="19833" xr:uid="{00000000-0005-0000-0000-0000710A0000}"/>
    <cellStyle name="Calculation 2 4 4" xfId="1413" xr:uid="{00000000-0005-0000-0000-0000720A0000}"/>
    <cellStyle name="Calculation 2 4 4 2" xfId="1915" xr:uid="{00000000-0005-0000-0000-0000730A0000}"/>
    <cellStyle name="Calculation 2 4 4 2 2" xfId="3827" xr:uid="{00000000-0005-0000-0000-0000740A0000}"/>
    <cellStyle name="Calculation 2 4 4 2 2 2" xfId="7880" xr:uid="{00000000-0005-0000-0000-0000750A0000}"/>
    <cellStyle name="Calculation 2 4 4 2 2 2 2" xfId="23723" xr:uid="{00000000-0005-0000-0000-0000760A0000}"/>
    <cellStyle name="Calculation 2 4 4 2 2 3" xfId="14162" xr:uid="{00000000-0005-0000-0000-0000770A0000}"/>
    <cellStyle name="Calculation 2 4 4 2 2 3 2" xfId="28994" xr:uid="{00000000-0005-0000-0000-0000780A0000}"/>
    <cellStyle name="Calculation 2 4 4 2 2 4" xfId="21371" xr:uid="{00000000-0005-0000-0000-0000790A0000}"/>
    <cellStyle name="Calculation 2 4 4 2 3" xfId="4893" xr:uid="{00000000-0005-0000-0000-00007A0A0000}"/>
    <cellStyle name="Calculation 2 4 4 2 3 2" xfId="8932" xr:uid="{00000000-0005-0000-0000-00007B0A0000}"/>
    <cellStyle name="Calculation 2 4 4 2 3 2 2" xfId="24398" xr:uid="{00000000-0005-0000-0000-00007C0A0000}"/>
    <cellStyle name="Calculation 2 4 4 2 3 3" xfId="15216" xr:uid="{00000000-0005-0000-0000-00007D0A0000}"/>
    <cellStyle name="Calculation 2 4 4 2 3 3 2" xfId="30048" xr:uid="{00000000-0005-0000-0000-00007E0A0000}"/>
    <cellStyle name="Calculation 2 4 4 2 3 4" xfId="21930" xr:uid="{00000000-0005-0000-0000-00007F0A0000}"/>
    <cellStyle name="Calculation 2 4 4 2 4" xfId="2883" xr:uid="{00000000-0005-0000-0000-0000800A0000}"/>
    <cellStyle name="Calculation 2 4 4 2 4 2" xfId="6968" xr:uid="{00000000-0005-0000-0000-0000810A0000}"/>
    <cellStyle name="Calculation 2 4 4 2 4 2 2" xfId="23143" xr:uid="{00000000-0005-0000-0000-0000820A0000}"/>
    <cellStyle name="Calculation 2 4 4 2 4 3" xfId="13221" xr:uid="{00000000-0005-0000-0000-0000830A0000}"/>
    <cellStyle name="Calculation 2 4 4 2 4 3 2" xfId="28053" xr:uid="{00000000-0005-0000-0000-0000840A0000}"/>
    <cellStyle name="Calculation 2 4 4 2 4 4" xfId="20809" xr:uid="{00000000-0005-0000-0000-0000850A0000}"/>
    <cellStyle name="Calculation 2 4 4 2 5" xfId="6046" xr:uid="{00000000-0005-0000-0000-0000860A0000}"/>
    <cellStyle name="Calculation 2 4 4 2 5 2" xfId="16233" xr:uid="{00000000-0005-0000-0000-0000870A0000}"/>
    <cellStyle name="Calculation 2 4 4 2 5 2 2" xfId="31065" xr:uid="{00000000-0005-0000-0000-0000880A0000}"/>
    <cellStyle name="Calculation 2 4 4 2 5 3" xfId="22579" xr:uid="{00000000-0005-0000-0000-0000890A0000}"/>
    <cellStyle name="Calculation 2 4 4 2 6" xfId="12303" xr:uid="{00000000-0005-0000-0000-00008A0A0000}"/>
    <cellStyle name="Calculation 2 4 4 2 6 2" xfId="27135" xr:uid="{00000000-0005-0000-0000-00008B0A0000}"/>
    <cellStyle name="Calculation 2 4 4 2 7" xfId="9899" xr:uid="{00000000-0005-0000-0000-00008C0A0000}"/>
    <cellStyle name="Calculation 2 4 4 2 7 2" xfId="20102" xr:uid="{00000000-0005-0000-0000-00008D0A0000}"/>
    <cellStyle name="Calculation 2 4 4 3" xfId="3716" xr:uid="{00000000-0005-0000-0000-00008E0A0000}"/>
    <cellStyle name="Calculation 2 4 4 3 2" xfId="7772" xr:uid="{00000000-0005-0000-0000-00008F0A0000}"/>
    <cellStyle name="Calculation 2 4 4 3 2 2" xfId="23653" xr:uid="{00000000-0005-0000-0000-0000900A0000}"/>
    <cellStyle name="Calculation 2 4 4 3 3" xfId="14051" xr:uid="{00000000-0005-0000-0000-0000910A0000}"/>
    <cellStyle name="Calculation 2 4 4 3 3 2" xfId="28883" xr:uid="{00000000-0005-0000-0000-0000920A0000}"/>
    <cellStyle name="Calculation 2 4 4 3 4" xfId="21313" xr:uid="{00000000-0005-0000-0000-0000930A0000}"/>
    <cellStyle name="Calculation 2 4 4 4" xfId="4473" xr:uid="{00000000-0005-0000-0000-0000940A0000}"/>
    <cellStyle name="Calculation 2 4 4 4 2" xfId="8512" xr:uid="{00000000-0005-0000-0000-0000950A0000}"/>
    <cellStyle name="Calculation 2 4 4 4 2 2" xfId="24138" xr:uid="{00000000-0005-0000-0000-0000960A0000}"/>
    <cellStyle name="Calculation 2 4 4 4 3" xfId="14801" xr:uid="{00000000-0005-0000-0000-0000970A0000}"/>
    <cellStyle name="Calculation 2 4 4 4 3 2" xfId="29633" xr:uid="{00000000-0005-0000-0000-0000980A0000}"/>
    <cellStyle name="Calculation 2 4 4 4 4" xfId="21700" xr:uid="{00000000-0005-0000-0000-0000990A0000}"/>
    <cellStyle name="Calculation 2 4 4 5" xfId="2463" xr:uid="{00000000-0005-0000-0000-00009A0A0000}"/>
    <cellStyle name="Calculation 2 4 4 5 2" xfId="6569" xr:uid="{00000000-0005-0000-0000-00009B0A0000}"/>
    <cellStyle name="Calculation 2 4 4 5 2 2" xfId="22907" xr:uid="{00000000-0005-0000-0000-00009C0A0000}"/>
    <cellStyle name="Calculation 2 4 4 5 3" xfId="12802" xr:uid="{00000000-0005-0000-0000-00009D0A0000}"/>
    <cellStyle name="Calculation 2 4 4 5 3 2" xfId="27634" xr:uid="{00000000-0005-0000-0000-00009E0A0000}"/>
    <cellStyle name="Calculation 2 4 4 5 4" xfId="20555" xr:uid="{00000000-0005-0000-0000-00009F0A0000}"/>
    <cellStyle name="Calculation 2 4 4 6" xfId="5587" xr:uid="{00000000-0005-0000-0000-0000A00A0000}"/>
    <cellStyle name="Calculation 2 4 4 6 2" xfId="15822" xr:uid="{00000000-0005-0000-0000-0000A10A0000}"/>
    <cellStyle name="Calculation 2 4 4 6 2 2" xfId="30654" xr:uid="{00000000-0005-0000-0000-0000A20A0000}"/>
    <cellStyle name="Calculation 2 4 4 6 3" xfId="22283" xr:uid="{00000000-0005-0000-0000-0000A30A0000}"/>
    <cellStyle name="Calculation 2 4 4 7" xfId="11832" xr:uid="{00000000-0005-0000-0000-0000A40A0000}"/>
    <cellStyle name="Calculation 2 4 4 7 2" xfId="26664" xr:uid="{00000000-0005-0000-0000-0000A50A0000}"/>
    <cellStyle name="Calculation 2 4 4 8" xfId="9504" xr:uid="{00000000-0005-0000-0000-0000A60A0000}"/>
    <cellStyle name="Calculation 2 4 4 8 2" xfId="19807" xr:uid="{00000000-0005-0000-0000-0000A70A0000}"/>
    <cellStyle name="Calculation 2 4 5" xfId="1427" xr:uid="{00000000-0005-0000-0000-0000A80A0000}"/>
    <cellStyle name="Calculation 2 4 5 2" xfId="1928" xr:uid="{00000000-0005-0000-0000-0000A90A0000}"/>
    <cellStyle name="Calculation 2 4 5 2 2" xfId="3885" xr:uid="{00000000-0005-0000-0000-0000AA0A0000}"/>
    <cellStyle name="Calculation 2 4 5 2 2 2" xfId="7936" xr:uid="{00000000-0005-0000-0000-0000AB0A0000}"/>
    <cellStyle name="Calculation 2 4 5 2 2 2 2" xfId="23760" xr:uid="{00000000-0005-0000-0000-0000AC0A0000}"/>
    <cellStyle name="Calculation 2 4 5 2 2 3" xfId="14219" xr:uid="{00000000-0005-0000-0000-0000AD0A0000}"/>
    <cellStyle name="Calculation 2 4 5 2 2 3 2" xfId="29051" xr:uid="{00000000-0005-0000-0000-0000AE0A0000}"/>
    <cellStyle name="Calculation 2 4 5 2 2 4" xfId="21402" xr:uid="{00000000-0005-0000-0000-0000AF0A0000}"/>
    <cellStyle name="Calculation 2 4 5 2 3" xfId="4907" xr:uid="{00000000-0005-0000-0000-0000B00A0000}"/>
    <cellStyle name="Calculation 2 4 5 2 3 2" xfId="8946" xr:uid="{00000000-0005-0000-0000-0000B10A0000}"/>
    <cellStyle name="Calculation 2 4 5 2 3 2 2" xfId="24412" xr:uid="{00000000-0005-0000-0000-0000B20A0000}"/>
    <cellStyle name="Calculation 2 4 5 2 3 3" xfId="15229" xr:uid="{00000000-0005-0000-0000-0000B30A0000}"/>
    <cellStyle name="Calculation 2 4 5 2 3 3 2" xfId="30061" xr:uid="{00000000-0005-0000-0000-0000B40A0000}"/>
    <cellStyle name="Calculation 2 4 5 2 3 4" xfId="21942" xr:uid="{00000000-0005-0000-0000-0000B50A0000}"/>
    <cellStyle name="Calculation 2 4 5 2 4" xfId="2897" xr:uid="{00000000-0005-0000-0000-0000B60A0000}"/>
    <cellStyle name="Calculation 2 4 5 2 4 2" xfId="6981" xr:uid="{00000000-0005-0000-0000-0000B70A0000}"/>
    <cellStyle name="Calculation 2 4 5 2 4 2 2" xfId="23155" xr:uid="{00000000-0005-0000-0000-0000B80A0000}"/>
    <cellStyle name="Calculation 2 4 5 2 4 3" xfId="13235" xr:uid="{00000000-0005-0000-0000-0000B90A0000}"/>
    <cellStyle name="Calculation 2 4 5 2 4 3 2" xfId="28067" xr:uid="{00000000-0005-0000-0000-0000BA0A0000}"/>
    <cellStyle name="Calculation 2 4 5 2 4 4" xfId="20823" xr:uid="{00000000-0005-0000-0000-0000BB0A0000}"/>
    <cellStyle name="Calculation 2 4 5 2 5" xfId="6058" xr:uid="{00000000-0005-0000-0000-0000BC0A0000}"/>
    <cellStyle name="Calculation 2 4 5 2 5 2" xfId="16245" xr:uid="{00000000-0005-0000-0000-0000BD0A0000}"/>
    <cellStyle name="Calculation 2 4 5 2 5 2 2" xfId="31077" xr:uid="{00000000-0005-0000-0000-0000BE0A0000}"/>
    <cellStyle name="Calculation 2 4 5 2 5 3" xfId="22591" xr:uid="{00000000-0005-0000-0000-0000BF0A0000}"/>
    <cellStyle name="Calculation 2 4 5 2 6" xfId="12315" xr:uid="{00000000-0005-0000-0000-0000C00A0000}"/>
    <cellStyle name="Calculation 2 4 5 2 6 2" xfId="27147" xr:uid="{00000000-0005-0000-0000-0000C10A0000}"/>
    <cellStyle name="Calculation 2 4 5 2 7" xfId="9912" xr:uid="{00000000-0005-0000-0000-0000C20A0000}"/>
    <cellStyle name="Calculation 2 4 5 2 7 2" xfId="20114" xr:uid="{00000000-0005-0000-0000-0000C30A0000}"/>
    <cellStyle name="Calculation 2 4 5 3" xfId="3647" xr:uid="{00000000-0005-0000-0000-0000C40A0000}"/>
    <cellStyle name="Calculation 2 4 5 3 2" xfId="7706" xr:uid="{00000000-0005-0000-0000-0000C50A0000}"/>
    <cellStyle name="Calculation 2 4 5 3 2 2" xfId="23606" xr:uid="{00000000-0005-0000-0000-0000C60A0000}"/>
    <cellStyle name="Calculation 2 4 5 3 3" xfId="13982" xr:uid="{00000000-0005-0000-0000-0000C70A0000}"/>
    <cellStyle name="Calculation 2 4 5 3 3 2" xfId="28814" xr:uid="{00000000-0005-0000-0000-0000C80A0000}"/>
    <cellStyle name="Calculation 2 4 5 3 4" xfId="21271" xr:uid="{00000000-0005-0000-0000-0000C90A0000}"/>
    <cellStyle name="Calculation 2 4 5 4" xfId="4487" xr:uid="{00000000-0005-0000-0000-0000CA0A0000}"/>
    <cellStyle name="Calculation 2 4 5 4 2" xfId="8526" xr:uid="{00000000-0005-0000-0000-0000CB0A0000}"/>
    <cellStyle name="Calculation 2 4 5 4 2 2" xfId="24152" xr:uid="{00000000-0005-0000-0000-0000CC0A0000}"/>
    <cellStyle name="Calculation 2 4 5 4 3" xfId="14814" xr:uid="{00000000-0005-0000-0000-0000CD0A0000}"/>
    <cellStyle name="Calculation 2 4 5 4 3 2" xfId="29646" xr:uid="{00000000-0005-0000-0000-0000CE0A0000}"/>
    <cellStyle name="Calculation 2 4 5 4 4" xfId="21712" xr:uid="{00000000-0005-0000-0000-0000CF0A0000}"/>
    <cellStyle name="Calculation 2 4 5 5" xfId="2477" xr:uid="{00000000-0005-0000-0000-0000D00A0000}"/>
    <cellStyle name="Calculation 2 4 5 5 2" xfId="6583" xr:uid="{00000000-0005-0000-0000-0000D10A0000}"/>
    <cellStyle name="Calculation 2 4 5 5 2 2" xfId="22921" xr:uid="{00000000-0005-0000-0000-0000D20A0000}"/>
    <cellStyle name="Calculation 2 4 5 5 3" xfId="12815" xr:uid="{00000000-0005-0000-0000-0000D30A0000}"/>
    <cellStyle name="Calculation 2 4 5 5 3 2" xfId="27647" xr:uid="{00000000-0005-0000-0000-0000D40A0000}"/>
    <cellStyle name="Calculation 2 4 5 5 4" xfId="20567" xr:uid="{00000000-0005-0000-0000-0000D50A0000}"/>
    <cellStyle name="Calculation 2 4 5 6" xfId="5600" xr:uid="{00000000-0005-0000-0000-0000D60A0000}"/>
    <cellStyle name="Calculation 2 4 5 6 2" xfId="15835" xr:uid="{00000000-0005-0000-0000-0000D70A0000}"/>
    <cellStyle name="Calculation 2 4 5 6 2 2" xfId="30667" xr:uid="{00000000-0005-0000-0000-0000D80A0000}"/>
    <cellStyle name="Calculation 2 4 5 6 3" xfId="22296" xr:uid="{00000000-0005-0000-0000-0000D90A0000}"/>
    <cellStyle name="Calculation 2 4 5 7" xfId="11844" xr:uid="{00000000-0005-0000-0000-0000DA0A0000}"/>
    <cellStyle name="Calculation 2 4 5 7 2" xfId="26676" xr:uid="{00000000-0005-0000-0000-0000DB0A0000}"/>
    <cellStyle name="Calculation 2 4 5 8" xfId="9517" xr:uid="{00000000-0005-0000-0000-0000DC0A0000}"/>
    <cellStyle name="Calculation 2 4 5 8 2" xfId="19819" xr:uid="{00000000-0005-0000-0000-0000DD0A0000}"/>
    <cellStyle name="Calculation 2 4 6" xfId="1718" xr:uid="{00000000-0005-0000-0000-0000DE0A0000}"/>
    <cellStyle name="Calculation 2 4 6 2" xfId="3842" xr:uid="{00000000-0005-0000-0000-0000DF0A0000}"/>
    <cellStyle name="Calculation 2 4 6 2 2" xfId="7895" xr:uid="{00000000-0005-0000-0000-0000E00A0000}"/>
    <cellStyle name="Calculation 2 4 6 2 2 2" xfId="23732" xr:uid="{00000000-0005-0000-0000-0000E10A0000}"/>
    <cellStyle name="Calculation 2 4 6 2 3" xfId="14177" xr:uid="{00000000-0005-0000-0000-0000E20A0000}"/>
    <cellStyle name="Calculation 2 4 6 2 3 2" xfId="29009" xr:uid="{00000000-0005-0000-0000-0000E30A0000}"/>
    <cellStyle name="Calculation 2 4 6 2 4" xfId="21379" xr:uid="{00000000-0005-0000-0000-0000E40A0000}"/>
    <cellStyle name="Calculation 2 4 6 3" xfId="4711" xr:uid="{00000000-0005-0000-0000-0000E50A0000}"/>
    <cellStyle name="Calculation 2 4 6 3 2" xfId="8750" xr:uid="{00000000-0005-0000-0000-0000E60A0000}"/>
    <cellStyle name="Calculation 2 4 6 3 2 2" xfId="24280" xr:uid="{00000000-0005-0000-0000-0000E70A0000}"/>
    <cellStyle name="Calculation 2 4 6 3 3" xfId="15035" xr:uid="{00000000-0005-0000-0000-0000E80A0000}"/>
    <cellStyle name="Calculation 2 4 6 3 3 2" xfId="29867" xr:uid="{00000000-0005-0000-0000-0000E90A0000}"/>
    <cellStyle name="Calculation 2 4 6 3 4" xfId="21818" xr:uid="{00000000-0005-0000-0000-0000EA0A0000}"/>
    <cellStyle name="Calculation 2 4 6 4" xfId="2701" xr:uid="{00000000-0005-0000-0000-0000EB0A0000}"/>
    <cellStyle name="Calculation 2 4 6 4 2" xfId="6792" xr:uid="{00000000-0005-0000-0000-0000EC0A0000}"/>
    <cellStyle name="Calculation 2 4 6 4 2 2" xfId="23031" xr:uid="{00000000-0005-0000-0000-0000ED0A0000}"/>
    <cellStyle name="Calculation 2 4 6 4 3" xfId="13039" xr:uid="{00000000-0005-0000-0000-0000EE0A0000}"/>
    <cellStyle name="Calculation 2 4 6 4 3 2" xfId="27871" xr:uid="{00000000-0005-0000-0000-0000EF0A0000}"/>
    <cellStyle name="Calculation 2 4 6 4 4" xfId="20691" xr:uid="{00000000-0005-0000-0000-0000F00A0000}"/>
    <cellStyle name="Calculation 2 4 6 5" xfId="5850" xr:uid="{00000000-0005-0000-0000-0000F10A0000}"/>
    <cellStyle name="Calculation 2 4 6 5 2" xfId="16042" xr:uid="{00000000-0005-0000-0000-0000F20A0000}"/>
    <cellStyle name="Calculation 2 4 6 5 2 2" xfId="30874" xr:uid="{00000000-0005-0000-0000-0000F30A0000}"/>
    <cellStyle name="Calculation 2 4 6 5 3" xfId="22447" xr:uid="{00000000-0005-0000-0000-0000F40A0000}"/>
    <cellStyle name="Calculation 2 4 6 6" xfId="12112" xr:uid="{00000000-0005-0000-0000-0000F50A0000}"/>
    <cellStyle name="Calculation 2 4 6 6 2" xfId="26944" xr:uid="{00000000-0005-0000-0000-0000F60A0000}"/>
    <cellStyle name="Calculation 2 4 6 7" xfId="9723" xr:uid="{00000000-0005-0000-0000-0000F70A0000}"/>
    <cellStyle name="Calculation 2 4 6 7 2" xfId="20021" xr:uid="{00000000-0005-0000-0000-0000F80A0000}"/>
    <cellStyle name="Calculation 2 4 7" xfId="2233" xr:uid="{00000000-0005-0000-0000-0000F90A0000}"/>
    <cellStyle name="Calculation 2 4 7 2" xfId="3131" xr:uid="{00000000-0005-0000-0000-0000FA0A0000}"/>
    <cellStyle name="Calculation 2 4 7 2 2" xfId="7195" xr:uid="{00000000-0005-0000-0000-0000FB0A0000}"/>
    <cellStyle name="Calculation 2 4 7 2 2 2" xfId="23267" xr:uid="{00000000-0005-0000-0000-0000FC0A0000}"/>
    <cellStyle name="Calculation 2 4 7 2 3" xfId="13469" xr:uid="{00000000-0005-0000-0000-0000FD0A0000}"/>
    <cellStyle name="Calculation 2 4 7 2 3 2" xfId="28301" xr:uid="{00000000-0005-0000-0000-0000FE0A0000}"/>
    <cellStyle name="Calculation 2 4 7 2 4" xfId="20958" xr:uid="{00000000-0005-0000-0000-0000FF0A0000}"/>
    <cellStyle name="Calculation 2 4 7 3" xfId="5201" xr:uid="{00000000-0005-0000-0000-0000000B0000}"/>
    <cellStyle name="Calculation 2 4 7 3 2" xfId="9240" xr:uid="{00000000-0005-0000-0000-0000010B0000}"/>
    <cellStyle name="Calculation 2 4 7 3 2 2" xfId="24578" xr:uid="{00000000-0005-0000-0000-0000020B0000}"/>
    <cellStyle name="Calculation 2 4 7 3 3" xfId="15519" xr:uid="{00000000-0005-0000-0000-0000030B0000}"/>
    <cellStyle name="Calculation 2 4 7 3 3 2" xfId="30351" xr:uid="{00000000-0005-0000-0000-0000040B0000}"/>
    <cellStyle name="Calculation 2 4 7 3 4" xfId="22085" xr:uid="{00000000-0005-0000-0000-0000050B0000}"/>
    <cellStyle name="Calculation 2 4 7 4" xfId="4231" xr:uid="{00000000-0005-0000-0000-0000060B0000}"/>
    <cellStyle name="Calculation 2 4 7 4 2" xfId="8272" xr:uid="{00000000-0005-0000-0000-0000070B0000}"/>
    <cellStyle name="Calculation 2 4 7 4 2 2" xfId="23967" xr:uid="{00000000-0005-0000-0000-0000080B0000}"/>
    <cellStyle name="Calculation 2 4 7 4 3" xfId="14563" xr:uid="{00000000-0005-0000-0000-0000090B0000}"/>
    <cellStyle name="Calculation 2 4 7 4 3 2" xfId="29395" xr:uid="{00000000-0005-0000-0000-00000A0B0000}"/>
    <cellStyle name="Calculation 2 4 7 4 4" xfId="21592" xr:uid="{00000000-0005-0000-0000-00000B0B0000}"/>
    <cellStyle name="Calculation 2 4 7 5" xfId="6347" xr:uid="{00000000-0005-0000-0000-00000C0B0000}"/>
    <cellStyle name="Calculation 2 4 7 5 2" xfId="22749" xr:uid="{00000000-0005-0000-0000-00000D0B0000}"/>
    <cellStyle name="Calculation 2 4 7 6" xfId="12601" xr:uid="{00000000-0005-0000-0000-00000E0B0000}"/>
    <cellStyle name="Calculation 2 4 7 6 2" xfId="27433" xr:uid="{00000000-0005-0000-0000-00000F0B0000}"/>
    <cellStyle name="Calculation 2 4 7 7" xfId="20428" xr:uid="{00000000-0005-0000-0000-0000100B0000}"/>
    <cellStyle name="Calculation 2 4 8" xfId="4049" xr:uid="{00000000-0005-0000-0000-0000110B0000}"/>
    <cellStyle name="Calculation 2 4 8 2" xfId="8096" xr:uid="{00000000-0005-0000-0000-0000120B0000}"/>
    <cellStyle name="Calculation 2 4 8 2 2" xfId="23859" xr:uid="{00000000-0005-0000-0000-0000130B0000}"/>
    <cellStyle name="Calculation 2 4 8 3" xfId="14381" xr:uid="{00000000-0005-0000-0000-0000140B0000}"/>
    <cellStyle name="Calculation 2 4 8 3 2" xfId="29213" xr:uid="{00000000-0005-0000-0000-0000150B0000}"/>
    <cellStyle name="Calculation 2 4 8 4" xfId="21493" xr:uid="{00000000-0005-0000-0000-0000160B0000}"/>
    <cellStyle name="Calculation 2 4 9" xfId="3133" xr:uid="{00000000-0005-0000-0000-0000170B0000}"/>
    <cellStyle name="Calculation 2 4 9 2" xfId="7197" xr:uid="{00000000-0005-0000-0000-0000180B0000}"/>
    <cellStyle name="Calculation 2 4 9 2 2" xfId="23269" xr:uid="{00000000-0005-0000-0000-0000190B0000}"/>
    <cellStyle name="Calculation 2 4 9 3" xfId="13471" xr:uid="{00000000-0005-0000-0000-00001A0B0000}"/>
    <cellStyle name="Calculation 2 4 9 3 2" xfId="28303" xr:uid="{00000000-0005-0000-0000-00001B0B0000}"/>
    <cellStyle name="Calculation 2 4 9 4" xfId="20960" xr:uid="{00000000-0005-0000-0000-00001C0B0000}"/>
    <cellStyle name="Calculation 2 5" xfId="966" xr:uid="{00000000-0005-0000-0000-00001D0B0000}"/>
    <cellStyle name="Calculation 2 5 10" xfId="2272" xr:uid="{00000000-0005-0000-0000-00001E0B0000}"/>
    <cellStyle name="Calculation 2 5 10 2" xfId="6384" xr:uid="{00000000-0005-0000-0000-00001F0B0000}"/>
    <cellStyle name="Calculation 2 5 10 2 2" xfId="22786" xr:uid="{00000000-0005-0000-0000-0000200B0000}"/>
    <cellStyle name="Calculation 2 5 10 3" xfId="12612" xr:uid="{00000000-0005-0000-0000-0000210B0000}"/>
    <cellStyle name="Calculation 2 5 10 3 2" xfId="27444" xr:uid="{00000000-0005-0000-0000-0000220B0000}"/>
    <cellStyle name="Calculation 2 5 10 4" xfId="20438" xr:uid="{00000000-0005-0000-0000-0000230B0000}"/>
    <cellStyle name="Calculation 2 5 11" xfId="5238" xr:uid="{00000000-0005-0000-0000-0000240B0000}"/>
    <cellStyle name="Calculation 2 5 11 2" xfId="15554" xr:uid="{00000000-0005-0000-0000-0000250B0000}"/>
    <cellStyle name="Calculation 2 5 11 2 2" xfId="30386" xr:uid="{00000000-0005-0000-0000-0000260B0000}"/>
    <cellStyle name="Calculation 2 5 11 3" xfId="22095" xr:uid="{00000000-0005-0000-0000-0000270B0000}"/>
    <cellStyle name="Calculation 2 5 12" xfId="5396" xr:uid="{00000000-0005-0000-0000-0000280B0000}"/>
    <cellStyle name="Calculation 2 5 12 2" xfId="15632" xr:uid="{00000000-0005-0000-0000-0000290B0000}"/>
    <cellStyle name="Calculation 2 5 12 2 2" xfId="30464" xr:uid="{00000000-0005-0000-0000-00002A0B0000}"/>
    <cellStyle name="Calculation 2 5 12 3" xfId="22157" xr:uid="{00000000-0005-0000-0000-00002B0B0000}"/>
    <cellStyle name="Calculation 2 5 13" xfId="9395" xr:uid="{00000000-0005-0000-0000-00002C0B0000}"/>
    <cellStyle name="Calculation 2 5 13 2" xfId="24701" xr:uid="{00000000-0005-0000-0000-00002D0B0000}"/>
    <cellStyle name="Calculation 2 5 14" xfId="7181" xr:uid="{00000000-0005-0000-0000-00002E0B0000}"/>
    <cellStyle name="Calculation 2 5 14 2" xfId="18935" xr:uid="{00000000-0005-0000-0000-00002F0B0000}"/>
    <cellStyle name="Calculation 2 5 2" xfId="1308" xr:uid="{00000000-0005-0000-0000-0000300B0000}"/>
    <cellStyle name="Calculation 2 5 2 2" xfId="1812" xr:uid="{00000000-0005-0000-0000-0000310B0000}"/>
    <cellStyle name="Calculation 2 5 2 2 2" xfId="4002" xr:uid="{00000000-0005-0000-0000-0000320B0000}"/>
    <cellStyle name="Calculation 2 5 2 2 2 2" xfId="8049" xr:uid="{00000000-0005-0000-0000-0000330B0000}"/>
    <cellStyle name="Calculation 2 5 2 2 2 2 2" xfId="23830" xr:uid="{00000000-0005-0000-0000-0000340B0000}"/>
    <cellStyle name="Calculation 2 5 2 2 2 3" xfId="14334" xr:uid="{00000000-0005-0000-0000-0000350B0000}"/>
    <cellStyle name="Calculation 2 5 2 2 2 3 2" xfId="29166" xr:uid="{00000000-0005-0000-0000-0000360B0000}"/>
    <cellStyle name="Calculation 2 5 2 2 2 4" xfId="21468" xr:uid="{00000000-0005-0000-0000-0000370B0000}"/>
    <cellStyle name="Calculation 2 5 2 2 3" xfId="4790" xr:uid="{00000000-0005-0000-0000-0000380B0000}"/>
    <cellStyle name="Calculation 2 5 2 2 3 2" xfId="8829" xr:uid="{00000000-0005-0000-0000-0000390B0000}"/>
    <cellStyle name="Calculation 2 5 2 2 3 2 2" xfId="24327" xr:uid="{00000000-0005-0000-0000-00003A0B0000}"/>
    <cellStyle name="Calculation 2 5 2 2 3 3" xfId="15114" xr:uid="{00000000-0005-0000-0000-00003B0B0000}"/>
    <cellStyle name="Calculation 2 5 2 2 3 3 2" xfId="29946" xr:uid="{00000000-0005-0000-0000-00003C0B0000}"/>
    <cellStyle name="Calculation 2 5 2 2 3 4" xfId="21865" xr:uid="{00000000-0005-0000-0000-00003D0B0000}"/>
    <cellStyle name="Calculation 2 5 2 2 4" xfId="2780" xr:uid="{00000000-0005-0000-0000-00003E0B0000}"/>
    <cellStyle name="Calculation 2 5 2 2 4 2" xfId="6871" xr:uid="{00000000-0005-0000-0000-00003F0B0000}"/>
    <cellStyle name="Calculation 2 5 2 2 4 2 2" xfId="23078" xr:uid="{00000000-0005-0000-0000-0000400B0000}"/>
    <cellStyle name="Calculation 2 5 2 2 4 3" xfId="13118" xr:uid="{00000000-0005-0000-0000-0000410B0000}"/>
    <cellStyle name="Calculation 2 5 2 2 4 3 2" xfId="27950" xr:uid="{00000000-0005-0000-0000-0000420B0000}"/>
    <cellStyle name="Calculation 2 5 2 2 4 4" xfId="20738" xr:uid="{00000000-0005-0000-0000-0000430B0000}"/>
    <cellStyle name="Calculation 2 5 2 2 5" xfId="5944" xr:uid="{00000000-0005-0000-0000-0000440B0000}"/>
    <cellStyle name="Calculation 2 5 2 2 5 2" xfId="16136" xr:uid="{00000000-0005-0000-0000-0000450B0000}"/>
    <cellStyle name="Calculation 2 5 2 2 5 2 2" xfId="30968" xr:uid="{00000000-0005-0000-0000-0000460B0000}"/>
    <cellStyle name="Calculation 2 5 2 2 5 3" xfId="22509" xr:uid="{00000000-0005-0000-0000-0000470B0000}"/>
    <cellStyle name="Calculation 2 5 2 2 6" xfId="12206" xr:uid="{00000000-0005-0000-0000-0000480B0000}"/>
    <cellStyle name="Calculation 2 5 2 2 6 2" xfId="27038" xr:uid="{00000000-0005-0000-0000-0000490B0000}"/>
    <cellStyle name="Calculation 2 5 2 2 7" xfId="9802" xr:uid="{00000000-0005-0000-0000-00004A0B0000}"/>
    <cellStyle name="Calculation 2 5 2 2 7 2" xfId="20053" xr:uid="{00000000-0005-0000-0000-00004B0B0000}"/>
    <cellStyle name="Calculation 2 5 2 3" xfId="3792" xr:uid="{00000000-0005-0000-0000-00004C0B0000}"/>
    <cellStyle name="Calculation 2 5 2 3 2" xfId="7847" xr:uid="{00000000-0005-0000-0000-00004D0B0000}"/>
    <cellStyle name="Calculation 2 5 2 3 2 2" xfId="23702" xr:uid="{00000000-0005-0000-0000-00004E0B0000}"/>
    <cellStyle name="Calculation 2 5 2 3 3" xfId="14127" xr:uid="{00000000-0005-0000-0000-00004F0B0000}"/>
    <cellStyle name="Calculation 2 5 2 3 3 2" xfId="28959" xr:uid="{00000000-0005-0000-0000-0000500B0000}"/>
    <cellStyle name="Calculation 2 5 2 3 4" xfId="21354" xr:uid="{00000000-0005-0000-0000-0000510B0000}"/>
    <cellStyle name="Calculation 2 5 2 4" xfId="4370" xr:uid="{00000000-0005-0000-0000-0000520B0000}"/>
    <cellStyle name="Calculation 2 5 2 4 2" xfId="8409" xr:uid="{00000000-0005-0000-0000-0000530B0000}"/>
    <cellStyle name="Calculation 2 5 2 4 2 2" xfId="24067" xr:uid="{00000000-0005-0000-0000-0000540B0000}"/>
    <cellStyle name="Calculation 2 5 2 4 3" xfId="14699" xr:uid="{00000000-0005-0000-0000-0000550B0000}"/>
    <cellStyle name="Calculation 2 5 2 4 3 2" xfId="29531" xr:uid="{00000000-0005-0000-0000-0000560B0000}"/>
    <cellStyle name="Calculation 2 5 2 4 4" xfId="21635" xr:uid="{00000000-0005-0000-0000-0000570B0000}"/>
    <cellStyle name="Calculation 2 5 2 5" xfId="2360" xr:uid="{00000000-0005-0000-0000-0000580B0000}"/>
    <cellStyle name="Calculation 2 5 2 5 2" xfId="6472" xr:uid="{00000000-0005-0000-0000-0000590B0000}"/>
    <cellStyle name="Calculation 2 5 2 5 2 2" xfId="22842" xr:uid="{00000000-0005-0000-0000-00005A0B0000}"/>
    <cellStyle name="Calculation 2 5 2 5 3" xfId="12699" xr:uid="{00000000-0005-0000-0000-00005B0B0000}"/>
    <cellStyle name="Calculation 2 5 2 5 3 2" xfId="27531" xr:uid="{00000000-0005-0000-0000-00005C0B0000}"/>
    <cellStyle name="Calculation 2 5 2 5 4" xfId="20484" xr:uid="{00000000-0005-0000-0000-00005D0B0000}"/>
    <cellStyle name="Calculation 2 5 2 6" xfId="5485" xr:uid="{00000000-0005-0000-0000-00005E0B0000}"/>
    <cellStyle name="Calculation 2 5 2 6 2" xfId="15720" xr:uid="{00000000-0005-0000-0000-00005F0B0000}"/>
    <cellStyle name="Calculation 2 5 2 6 2 2" xfId="30552" xr:uid="{00000000-0005-0000-0000-0000600B0000}"/>
    <cellStyle name="Calculation 2 5 2 6 3" xfId="22213" xr:uid="{00000000-0005-0000-0000-0000610B0000}"/>
    <cellStyle name="Calculation 2 5 2 7" xfId="11735" xr:uid="{00000000-0005-0000-0000-0000620B0000}"/>
    <cellStyle name="Calculation 2 5 2 7 2" xfId="26567" xr:uid="{00000000-0005-0000-0000-0000630B0000}"/>
    <cellStyle name="Calculation 2 5 2 8" xfId="9406" xr:uid="{00000000-0005-0000-0000-0000640B0000}"/>
    <cellStyle name="Calculation 2 5 2 8 2" xfId="19710" xr:uid="{00000000-0005-0000-0000-0000650B0000}"/>
    <cellStyle name="Calculation 2 5 3" xfId="1442" xr:uid="{00000000-0005-0000-0000-0000660B0000}"/>
    <cellStyle name="Calculation 2 5 3 2" xfId="1943" xr:uid="{00000000-0005-0000-0000-0000670B0000}"/>
    <cellStyle name="Calculation 2 5 3 2 2" xfId="3744" xr:uid="{00000000-0005-0000-0000-0000680B0000}"/>
    <cellStyle name="Calculation 2 5 3 2 2 2" xfId="7800" xr:uid="{00000000-0005-0000-0000-0000690B0000}"/>
    <cellStyle name="Calculation 2 5 3 2 2 2 2" xfId="23672" xr:uid="{00000000-0005-0000-0000-00006A0B0000}"/>
    <cellStyle name="Calculation 2 5 3 2 2 3" xfId="14079" xr:uid="{00000000-0005-0000-0000-00006B0B0000}"/>
    <cellStyle name="Calculation 2 5 3 2 2 3 2" xfId="28911" xr:uid="{00000000-0005-0000-0000-00006C0B0000}"/>
    <cellStyle name="Calculation 2 5 3 2 2 4" xfId="21328" xr:uid="{00000000-0005-0000-0000-00006D0B0000}"/>
    <cellStyle name="Calculation 2 5 3 2 3" xfId="4922" xr:uid="{00000000-0005-0000-0000-00006E0B0000}"/>
    <cellStyle name="Calculation 2 5 3 2 3 2" xfId="8961" xr:uid="{00000000-0005-0000-0000-00006F0B0000}"/>
    <cellStyle name="Calculation 2 5 3 2 3 2 2" xfId="24427" xr:uid="{00000000-0005-0000-0000-0000700B0000}"/>
    <cellStyle name="Calculation 2 5 3 2 3 3" xfId="15244" xr:uid="{00000000-0005-0000-0000-0000710B0000}"/>
    <cellStyle name="Calculation 2 5 3 2 3 3 2" xfId="30076" xr:uid="{00000000-0005-0000-0000-0000720B0000}"/>
    <cellStyle name="Calculation 2 5 3 2 3 4" xfId="21957" xr:uid="{00000000-0005-0000-0000-0000730B0000}"/>
    <cellStyle name="Calculation 2 5 3 2 4" xfId="2912" xr:uid="{00000000-0005-0000-0000-0000740B0000}"/>
    <cellStyle name="Calculation 2 5 3 2 4 2" xfId="6996" xr:uid="{00000000-0005-0000-0000-0000750B0000}"/>
    <cellStyle name="Calculation 2 5 3 2 4 2 2" xfId="23170" xr:uid="{00000000-0005-0000-0000-0000760B0000}"/>
    <cellStyle name="Calculation 2 5 3 2 4 3" xfId="13250" xr:uid="{00000000-0005-0000-0000-0000770B0000}"/>
    <cellStyle name="Calculation 2 5 3 2 4 3 2" xfId="28082" xr:uid="{00000000-0005-0000-0000-0000780B0000}"/>
    <cellStyle name="Calculation 2 5 3 2 4 4" xfId="20838" xr:uid="{00000000-0005-0000-0000-0000790B0000}"/>
    <cellStyle name="Calculation 2 5 3 2 5" xfId="6073" xr:uid="{00000000-0005-0000-0000-00007A0B0000}"/>
    <cellStyle name="Calculation 2 5 3 2 5 2" xfId="16260" xr:uid="{00000000-0005-0000-0000-00007B0B0000}"/>
    <cellStyle name="Calculation 2 5 3 2 5 2 2" xfId="31092" xr:uid="{00000000-0005-0000-0000-00007C0B0000}"/>
    <cellStyle name="Calculation 2 5 3 2 5 3" xfId="22606" xr:uid="{00000000-0005-0000-0000-00007D0B0000}"/>
    <cellStyle name="Calculation 2 5 3 2 6" xfId="12330" xr:uid="{00000000-0005-0000-0000-00007E0B0000}"/>
    <cellStyle name="Calculation 2 5 3 2 6 2" xfId="27162" xr:uid="{00000000-0005-0000-0000-00007F0B0000}"/>
    <cellStyle name="Calculation 2 5 3 2 7" xfId="9927" xr:uid="{00000000-0005-0000-0000-0000800B0000}"/>
    <cellStyle name="Calculation 2 5 3 2 7 2" xfId="20129" xr:uid="{00000000-0005-0000-0000-0000810B0000}"/>
    <cellStyle name="Calculation 2 5 3 3" xfId="3915" xr:uid="{00000000-0005-0000-0000-0000820B0000}"/>
    <cellStyle name="Calculation 2 5 3 3 2" xfId="7966" xr:uid="{00000000-0005-0000-0000-0000830B0000}"/>
    <cellStyle name="Calculation 2 5 3 3 2 2" xfId="23775" xr:uid="{00000000-0005-0000-0000-0000840B0000}"/>
    <cellStyle name="Calculation 2 5 3 3 3" xfId="14248" xr:uid="{00000000-0005-0000-0000-0000850B0000}"/>
    <cellStyle name="Calculation 2 5 3 3 3 2" xfId="29080" xr:uid="{00000000-0005-0000-0000-0000860B0000}"/>
    <cellStyle name="Calculation 2 5 3 3 4" xfId="21416" xr:uid="{00000000-0005-0000-0000-0000870B0000}"/>
    <cellStyle name="Calculation 2 5 3 4" xfId="4502" xr:uid="{00000000-0005-0000-0000-0000880B0000}"/>
    <cellStyle name="Calculation 2 5 3 4 2" xfId="8541" xr:uid="{00000000-0005-0000-0000-0000890B0000}"/>
    <cellStyle name="Calculation 2 5 3 4 2 2" xfId="24167" xr:uid="{00000000-0005-0000-0000-00008A0B0000}"/>
    <cellStyle name="Calculation 2 5 3 4 3" xfId="14829" xr:uid="{00000000-0005-0000-0000-00008B0B0000}"/>
    <cellStyle name="Calculation 2 5 3 4 3 2" xfId="29661" xr:uid="{00000000-0005-0000-0000-00008C0B0000}"/>
    <cellStyle name="Calculation 2 5 3 4 4" xfId="21727" xr:uid="{00000000-0005-0000-0000-00008D0B0000}"/>
    <cellStyle name="Calculation 2 5 3 5" xfId="2492" xr:uid="{00000000-0005-0000-0000-00008E0B0000}"/>
    <cellStyle name="Calculation 2 5 3 5 2" xfId="6598" xr:uid="{00000000-0005-0000-0000-00008F0B0000}"/>
    <cellStyle name="Calculation 2 5 3 5 2 2" xfId="22936" xr:uid="{00000000-0005-0000-0000-0000900B0000}"/>
    <cellStyle name="Calculation 2 5 3 5 3" xfId="12830" xr:uid="{00000000-0005-0000-0000-0000910B0000}"/>
    <cellStyle name="Calculation 2 5 3 5 3 2" xfId="27662" xr:uid="{00000000-0005-0000-0000-0000920B0000}"/>
    <cellStyle name="Calculation 2 5 3 5 4" xfId="20582" xr:uid="{00000000-0005-0000-0000-0000930B0000}"/>
    <cellStyle name="Calculation 2 5 3 6" xfId="5615" xr:uid="{00000000-0005-0000-0000-0000940B0000}"/>
    <cellStyle name="Calculation 2 5 3 6 2" xfId="15850" xr:uid="{00000000-0005-0000-0000-0000950B0000}"/>
    <cellStyle name="Calculation 2 5 3 6 2 2" xfId="30682" xr:uid="{00000000-0005-0000-0000-0000960B0000}"/>
    <cellStyle name="Calculation 2 5 3 6 3" xfId="22311" xr:uid="{00000000-0005-0000-0000-0000970B0000}"/>
    <cellStyle name="Calculation 2 5 3 7" xfId="11859" xr:uid="{00000000-0005-0000-0000-0000980B0000}"/>
    <cellStyle name="Calculation 2 5 3 7 2" xfId="26691" xr:uid="{00000000-0005-0000-0000-0000990B0000}"/>
    <cellStyle name="Calculation 2 5 3 8" xfId="9532" xr:uid="{00000000-0005-0000-0000-00009A0B0000}"/>
    <cellStyle name="Calculation 2 5 3 8 2" xfId="19834" xr:uid="{00000000-0005-0000-0000-00009B0B0000}"/>
    <cellStyle name="Calculation 2 5 4" xfId="1412" xr:uid="{00000000-0005-0000-0000-00009C0B0000}"/>
    <cellStyle name="Calculation 2 5 4 2" xfId="1914" xr:uid="{00000000-0005-0000-0000-00009D0B0000}"/>
    <cellStyle name="Calculation 2 5 4 2 2" xfId="4007" xr:uid="{00000000-0005-0000-0000-00009E0B0000}"/>
    <cellStyle name="Calculation 2 5 4 2 2 2" xfId="8054" xr:uid="{00000000-0005-0000-0000-00009F0B0000}"/>
    <cellStyle name="Calculation 2 5 4 2 2 2 2" xfId="23833" xr:uid="{00000000-0005-0000-0000-0000A00B0000}"/>
    <cellStyle name="Calculation 2 5 4 2 2 3" xfId="14339" xr:uid="{00000000-0005-0000-0000-0000A10B0000}"/>
    <cellStyle name="Calculation 2 5 4 2 2 3 2" xfId="29171" xr:uid="{00000000-0005-0000-0000-0000A20B0000}"/>
    <cellStyle name="Calculation 2 5 4 2 2 4" xfId="21471" xr:uid="{00000000-0005-0000-0000-0000A30B0000}"/>
    <cellStyle name="Calculation 2 5 4 2 3" xfId="4892" xr:uid="{00000000-0005-0000-0000-0000A40B0000}"/>
    <cellStyle name="Calculation 2 5 4 2 3 2" xfId="8931" xr:uid="{00000000-0005-0000-0000-0000A50B0000}"/>
    <cellStyle name="Calculation 2 5 4 2 3 2 2" xfId="24397" xr:uid="{00000000-0005-0000-0000-0000A60B0000}"/>
    <cellStyle name="Calculation 2 5 4 2 3 3" xfId="15215" xr:uid="{00000000-0005-0000-0000-0000A70B0000}"/>
    <cellStyle name="Calculation 2 5 4 2 3 3 2" xfId="30047" xr:uid="{00000000-0005-0000-0000-0000A80B0000}"/>
    <cellStyle name="Calculation 2 5 4 2 3 4" xfId="21929" xr:uid="{00000000-0005-0000-0000-0000A90B0000}"/>
    <cellStyle name="Calculation 2 5 4 2 4" xfId="2882" xr:uid="{00000000-0005-0000-0000-0000AA0B0000}"/>
    <cellStyle name="Calculation 2 5 4 2 4 2" xfId="6967" xr:uid="{00000000-0005-0000-0000-0000AB0B0000}"/>
    <cellStyle name="Calculation 2 5 4 2 4 2 2" xfId="23142" xr:uid="{00000000-0005-0000-0000-0000AC0B0000}"/>
    <cellStyle name="Calculation 2 5 4 2 4 3" xfId="13220" xr:uid="{00000000-0005-0000-0000-0000AD0B0000}"/>
    <cellStyle name="Calculation 2 5 4 2 4 3 2" xfId="28052" xr:uid="{00000000-0005-0000-0000-0000AE0B0000}"/>
    <cellStyle name="Calculation 2 5 4 2 4 4" xfId="20808" xr:uid="{00000000-0005-0000-0000-0000AF0B0000}"/>
    <cellStyle name="Calculation 2 5 4 2 5" xfId="6045" xr:uid="{00000000-0005-0000-0000-0000B00B0000}"/>
    <cellStyle name="Calculation 2 5 4 2 5 2" xfId="16232" xr:uid="{00000000-0005-0000-0000-0000B10B0000}"/>
    <cellStyle name="Calculation 2 5 4 2 5 2 2" xfId="31064" xr:uid="{00000000-0005-0000-0000-0000B20B0000}"/>
    <cellStyle name="Calculation 2 5 4 2 5 3" xfId="22578" xr:uid="{00000000-0005-0000-0000-0000B30B0000}"/>
    <cellStyle name="Calculation 2 5 4 2 6" xfId="12302" xr:uid="{00000000-0005-0000-0000-0000B40B0000}"/>
    <cellStyle name="Calculation 2 5 4 2 6 2" xfId="27134" xr:uid="{00000000-0005-0000-0000-0000B50B0000}"/>
    <cellStyle name="Calculation 2 5 4 2 7" xfId="9898" xr:uid="{00000000-0005-0000-0000-0000B60B0000}"/>
    <cellStyle name="Calculation 2 5 4 2 7 2" xfId="20101" xr:uid="{00000000-0005-0000-0000-0000B70B0000}"/>
    <cellStyle name="Calculation 2 5 4 3" xfId="3641" xr:uid="{00000000-0005-0000-0000-0000B80B0000}"/>
    <cellStyle name="Calculation 2 5 4 3 2" xfId="7700" xr:uid="{00000000-0005-0000-0000-0000B90B0000}"/>
    <cellStyle name="Calculation 2 5 4 3 2 2" xfId="23600" xr:uid="{00000000-0005-0000-0000-0000BA0B0000}"/>
    <cellStyle name="Calculation 2 5 4 3 3" xfId="13976" xr:uid="{00000000-0005-0000-0000-0000BB0B0000}"/>
    <cellStyle name="Calculation 2 5 4 3 3 2" xfId="28808" xr:uid="{00000000-0005-0000-0000-0000BC0B0000}"/>
    <cellStyle name="Calculation 2 5 4 3 4" xfId="21266" xr:uid="{00000000-0005-0000-0000-0000BD0B0000}"/>
    <cellStyle name="Calculation 2 5 4 4" xfId="4472" xr:uid="{00000000-0005-0000-0000-0000BE0B0000}"/>
    <cellStyle name="Calculation 2 5 4 4 2" xfId="8511" xr:uid="{00000000-0005-0000-0000-0000BF0B0000}"/>
    <cellStyle name="Calculation 2 5 4 4 2 2" xfId="24137" xr:uid="{00000000-0005-0000-0000-0000C00B0000}"/>
    <cellStyle name="Calculation 2 5 4 4 3" xfId="14800" xr:uid="{00000000-0005-0000-0000-0000C10B0000}"/>
    <cellStyle name="Calculation 2 5 4 4 3 2" xfId="29632" xr:uid="{00000000-0005-0000-0000-0000C20B0000}"/>
    <cellStyle name="Calculation 2 5 4 4 4" xfId="21699" xr:uid="{00000000-0005-0000-0000-0000C30B0000}"/>
    <cellStyle name="Calculation 2 5 4 5" xfId="2462" xr:uid="{00000000-0005-0000-0000-0000C40B0000}"/>
    <cellStyle name="Calculation 2 5 4 5 2" xfId="6568" xr:uid="{00000000-0005-0000-0000-0000C50B0000}"/>
    <cellStyle name="Calculation 2 5 4 5 2 2" xfId="22906" xr:uid="{00000000-0005-0000-0000-0000C60B0000}"/>
    <cellStyle name="Calculation 2 5 4 5 3" xfId="12801" xr:uid="{00000000-0005-0000-0000-0000C70B0000}"/>
    <cellStyle name="Calculation 2 5 4 5 3 2" xfId="27633" xr:uid="{00000000-0005-0000-0000-0000C80B0000}"/>
    <cellStyle name="Calculation 2 5 4 5 4" xfId="20554" xr:uid="{00000000-0005-0000-0000-0000C90B0000}"/>
    <cellStyle name="Calculation 2 5 4 6" xfId="5586" xr:uid="{00000000-0005-0000-0000-0000CA0B0000}"/>
    <cellStyle name="Calculation 2 5 4 6 2" xfId="15821" xr:uid="{00000000-0005-0000-0000-0000CB0B0000}"/>
    <cellStyle name="Calculation 2 5 4 6 2 2" xfId="30653" xr:uid="{00000000-0005-0000-0000-0000CC0B0000}"/>
    <cellStyle name="Calculation 2 5 4 6 3" xfId="22282" xr:uid="{00000000-0005-0000-0000-0000CD0B0000}"/>
    <cellStyle name="Calculation 2 5 4 7" xfId="11831" xr:uid="{00000000-0005-0000-0000-0000CE0B0000}"/>
    <cellStyle name="Calculation 2 5 4 7 2" xfId="26663" xr:uid="{00000000-0005-0000-0000-0000CF0B0000}"/>
    <cellStyle name="Calculation 2 5 4 8" xfId="9503" xr:uid="{00000000-0005-0000-0000-0000D00B0000}"/>
    <cellStyle name="Calculation 2 5 4 8 2" xfId="19806" xr:uid="{00000000-0005-0000-0000-0000D10B0000}"/>
    <cellStyle name="Calculation 2 5 5" xfId="1428" xr:uid="{00000000-0005-0000-0000-0000D20B0000}"/>
    <cellStyle name="Calculation 2 5 5 2" xfId="1929" xr:uid="{00000000-0005-0000-0000-0000D30B0000}"/>
    <cellStyle name="Calculation 2 5 5 2 2" xfId="4060" xr:uid="{00000000-0005-0000-0000-0000D40B0000}"/>
    <cellStyle name="Calculation 2 5 5 2 2 2" xfId="8107" xr:uid="{00000000-0005-0000-0000-0000D50B0000}"/>
    <cellStyle name="Calculation 2 5 5 2 2 2 2" xfId="23867" xr:uid="{00000000-0005-0000-0000-0000D60B0000}"/>
    <cellStyle name="Calculation 2 5 5 2 2 3" xfId="14392" xr:uid="{00000000-0005-0000-0000-0000D70B0000}"/>
    <cellStyle name="Calculation 2 5 5 2 2 3 2" xfId="29224" xr:uid="{00000000-0005-0000-0000-0000D80B0000}"/>
    <cellStyle name="Calculation 2 5 5 2 2 4" xfId="21501" xr:uid="{00000000-0005-0000-0000-0000D90B0000}"/>
    <cellStyle name="Calculation 2 5 5 2 3" xfId="4908" xr:uid="{00000000-0005-0000-0000-0000DA0B0000}"/>
    <cellStyle name="Calculation 2 5 5 2 3 2" xfId="8947" xr:uid="{00000000-0005-0000-0000-0000DB0B0000}"/>
    <cellStyle name="Calculation 2 5 5 2 3 2 2" xfId="24413" xr:uid="{00000000-0005-0000-0000-0000DC0B0000}"/>
    <cellStyle name="Calculation 2 5 5 2 3 3" xfId="15230" xr:uid="{00000000-0005-0000-0000-0000DD0B0000}"/>
    <cellStyle name="Calculation 2 5 5 2 3 3 2" xfId="30062" xr:uid="{00000000-0005-0000-0000-0000DE0B0000}"/>
    <cellStyle name="Calculation 2 5 5 2 3 4" xfId="21943" xr:uid="{00000000-0005-0000-0000-0000DF0B0000}"/>
    <cellStyle name="Calculation 2 5 5 2 4" xfId="2898" xr:uid="{00000000-0005-0000-0000-0000E00B0000}"/>
    <cellStyle name="Calculation 2 5 5 2 4 2" xfId="6982" xr:uid="{00000000-0005-0000-0000-0000E10B0000}"/>
    <cellStyle name="Calculation 2 5 5 2 4 2 2" xfId="23156" xr:uid="{00000000-0005-0000-0000-0000E20B0000}"/>
    <cellStyle name="Calculation 2 5 5 2 4 3" xfId="13236" xr:uid="{00000000-0005-0000-0000-0000E30B0000}"/>
    <cellStyle name="Calculation 2 5 5 2 4 3 2" xfId="28068" xr:uid="{00000000-0005-0000-0000-0000E40B0000}"/>
    <cellStyle name="Calculation 2 5 5 2 4 4" xfId="20824" xr:uid="{00000000-0005-0000-0000-0000E50B0000}"/>
    <cellStyle name="Calculation 2 5 5 2 5" xfId="6059" xr:uid="{00000000-0005-0000-0000-0000E60B0000}"/>
    <cellStyle name="Calculation 2 5 5 2 5 2" xfId="16246" xr:uid="{00000000-0005-0000-0000-0000E70B0000}"/>
    <cellStyle name="Calculation 2 5 5 2 5 2 2" xfId="31078" xr:uid="{00000000-0005-0000-0000-0000E80B0000}"/>
    <cellStyle name="Calculation 2 5 5 2 5 3" xfId="22592" xr:uid="{00000000-0005-0000-0000-0000E90B0000}"/>
    <cellStyle name="Calculation 2 5 5 2 6" xfId="12316" xr:uid="{00000000-0005-0000-0000-0000EA0B0000}"/>
    <cellStyle name="Calculation 2 5 5 2 6 2" xfId="27148" xr:uid="{00000000-0005-0000-0000-0000EB0B0000}"/>
    <cellStyle name="Calculation 2 5 5 2 7" xfId="9913" xr:uid="{00000000-0005-0000-0000-0000EC0B0000}"/>
    <cellStyle name="Calculation 2 5 5 2 7 2" xfId="20115" xr:uid="{00000000-0005-0000-0000-0000ED0B0000}"/>
    <cellStyle name="Calculation 2 5 5 3" xfId="4017" xr:uid="{00000000-0005-0000-0000-0000EE0B0000}"/>
    <cellStyle name="Calculation 2 5 5 3 2" xfId="8064" xr:uid="{00000000-0005-0000-0000-0000EF0B0000}"/>
    <cellStyle name="Calculation 2 5 5 3 2 2" xfId="23840" xr:uid="{00000000-0005-0000-0000-0000F00B0000}"/>
    <cellStyle name="Calculation 2 5 5 3 3" xfId="14349" xr:uid="{00000000-0005-0000-0000-0000F10B0000}"/>
    <cellStyle name="Calculation 2 5 5 3 3 2" xfId="29181" xr:uid="{00000000-0005-0000-0000-0000F20B0000}"/>
    <cellStyle name="Calculation 2 5 5 3 4" xfId="21478" xr:uid="{00000000-0005-0000-0000-0000F30B0000}"/>
    <cellStyle name="Calculation 2 5 5 4" xfId="4488" xr:uid="{00000000-0005-0000-0000-0000F40B0000}"/>
    <cellStyle name="Calculation 2 5 5 4 2" xfId="8527" xr:uid="{00000000-0005-0000-0000-0000F50B0000}"/>
    <cellStyle name="Calculation 2 5 5 4 2 2" xfId="24153" xr:uid="{00000000-0005-0000-0000-0000F60B0000}"/>
    <cellStyle name="Calculation 2 5 5 4 3" xfId="14815" xr:uid="{00000000-0005-0000-0000-0000F70B0000}"/>
    <cellStyle name="Calculation 2 5 5 4 3 2" xfId="29647" xr:uid="{00000000-0005-0000-0000-0000F80B0000}"/>
    <cellStyle name="Calculation 2 5 5 4 4" xfId="21713" xr:uid="{00000000-0005-0000-0000-0000F90B0000}"/>
    <cellStyle name="Calculation 2 5 5 5" xfId="2478" xr:uid="{00000000-0005-0000-0000-0000FA0B0000}"/>
    <cellStyle name="Calculation 2 5 5 5 2" xfId="6584" xr:uid="{00000000-0005-0000-0000-0000FB0B0000}"/>
    <cellStyle name="Calculation 2 5 5 5 2 2" xfId="22922" xr:uid="{00000000-0005-0000-0000-0000FC0B0000}"/>
    <cellStyle name="Calculation 2 5 5 5 3" xfId="12816" xr:uid="{00000000-0005-0000-0000-0000FD0B0000}"/>
    <cellStyle name="Calculation 2 5 5 5 3 2" xfId="27648" xr:uid="{00000000-0005-0000-0000-0000FE0B0000}"/>
    <cellStyle name="Calculation 2 5 5 5 4" xfId="20568" xr:uid="{00000000-0005-0000-0000-0000FF0B0000}"/>
    <cellStyle name="Calculation 2 5 5 6" xfId="5601" xr:uid="{00000000-0005-0000-0000-0000000C0000}"/>
    <cellStyle name="Calculation 2 5 5 6 2" xfId="15836" xr:uid="{00000000-0005-0000-0000-0000010C0000}"/>
    <cellStyle name="Calculation 2 5 5 6 2 2" xfId="30668" xr:uid="{00000000-0005-0000-0000-0000020C0000}"/>
    <cellStyle name="Calculation 2 5 5 6 3" xfId="22297" xr:uid="{00000000-0005-0000-0000-0000030C0000}"/>
    <cellStyle name="Calculation 2 5 5 7" xfId="11845" xr:uid="{00000000-0005-0000-0000-0000040C0000}"/>
    <cellStyle name="Calculation 2 5 5 7 2" xfId="26677" xr:uid="{00000000-0005-0000-0000-0000050C0000}"/>
    <cellStyle name="Calculation 2 5 5 8" xfId="9518" xr:uid="{00000000-0005-0000-0000-0000060C0000}"/>
    <cellStyle name="Calculation 2 5 5 8 2" xfId="19820" xr:uid="{00000000-0005-0000-0000-0000070C0000}"/>
    <cellStyle name="Calculation 2 5 6" xfId="1719" xr:uid="{00000000-0005-0000-0000-0000080C0000}"/>
    <cellStyle name="Calculation 2 5 6 2" xfId="3784" xr:uid="{00000000-0005-0000-0000-0000090C0000}"/>
    <cellStyle name="Calculation 2 5 6 2 2" xfId="7839" xr:uid="{00000000-0005-0000-0000-00000A0C0000}"/>
    <cellStyle name="Calculation 2 5 6 2 2 2" xfId="23695" xr:uid="{00000000-0005-0000-0000-00000B0C0000}"/>
    <cellStyle name="Calculation 2 5 6 2 3" xfId="14119" xr:uid="{00000000-0005-0000-0000-00000C0C0000}"/>
    <cellStyle name="Calculation 2 5 6 2 3 2" xfId="28951" xr:uid="{00000000-0005-0000-0000-00000D0C0000}"/>
    <cellStyle name="Calculation 2 5 6 2 4" xfId="21347" xr:uid="{00000000-0005-0000-0000-00000E0C0000}"/>
    <cellStyle name="Calculation 2 5 6 3" xfId="4712" xr:uid="{00000000-0005-0000-0000-00000F0C0000}"/>
    <cellStyle name="Calculation 2 5 6 3 2" xfId="8751" xr:uid="{00000000-0005-0000-0000-0000100C0000}"/>
    <cellStyle name="Calculation 2 5 6 3 2 2" xfId="24281" xr:uid="{00000000-0005-0000-0000-0000110C0000}"/>
    <cellStyle name="Calculation 2 5 6 3 3" xfId="15036" xr:uid="{00000000-0005-0000-0000-0000120C0000}"/>
    <cellStyle name="Calculation 2 5 6 3 3 2" xfId="29868" xr:uid="{00000000-0005-0000-0000-0000130C0000}"/>
    <cellStyle name="Calculation 2 5 6 3 4" xfId="21819" xr:uid="{00000000-0005-0000-0000-0000140C0000}"/>
    <cellStyle name="Calculation 2 5 6 4" xfId="2702" xr:uid="{00000000-0005-0000-0000-0000150C0000}"/>
    <cellStyle name="Calculation 2 5 6 4 2" xfId="6793" xr:uid="{00000000-0005-0000-0000-0000160C0000}"/>
    <cellStyle name="Calculation 2 5 6 4 2 2" xfId="23032" xr:uid="{00000000-0005-0000-0000-0000170C0000}"/>
    <cellStyle name="Calculation 2 5 6 4 3" xfId="13040" xr:uid="{00000000-0005-0000-0000-0000180C0000}"/>
    <cellStyle name="Calculation 2 5 6 4 3 2" xfId="27872" xr:uid="{00000000-0005-0000-0000-0000190C0000}"/>
    <cellStyle name="Calculation 2 5 6 4 4" xfId="20692" xr:uid="{00000000-0005-0000-0000-00001A0C0000}"/>
    <cellStyle name="Calculation 2 5 6 5" xfId="5851" xr:uid="{00000000-0005-0000-0000-00001B0C0000}"/>
    <cellStyle name="Calculation 2 5 6 5 2" xfId="16043" xr:uid="{00000000-0005-0000-0000-00001C0C0000}"/>
    <cellStyle name="Calculation 2 5 6 5 2 2" xfId="30875" xr:uid="{00000000-0005-0000-0000-00001D0C0000}"/>
    <cellStyle name="Calculation 2 5 6 5 3" xfId="22448" xr:uid="{00000000-0005-0000-0000-00001E0C0000}"/>
    <cellStyle name="Calculation 2 5 6 6" xfId="12113" xr:uid="{00000000-0005-0000-0000-00001F0C0000}"/>
    <cellStyle name="Calculation 2 5 6 6 2" xfId="26945" xr:uid="{00000000-0005-0000-0000-0000200C0000}"/>
    <cellStyle name="Calculation 2 5 6 7" xfId="9724" xr:uid="{00000000-0005-0000-0000-0000210C0000}"/>
    <cellStyle name="Calculation 2 5 6 7 2" xfId="20022" xr:uid="{00000000-0005-0000-0000-0000220C0000}"/>
    <cellStyle name="Calculation 2 5 7" xfId="2232" xr:uid="{00000000-0005-0000-0000-0000230C0000}"/>
    <cellStyle name="Calculation 2 5 7 2" xfId="3445" xr:uid="{00000000-0005-0000-0000-0000240C0000}"/>
    <cellStyle name="Calculation 2 5 7 2 2" xfId="7508" xr:uid="{00000000-0005-0000-0000-0000250C0000}"/>
    <cellStyle name="Calculation 2 5 7 2 2 2" xfId="23481" xr:uid="{00000000-0005-0000-0000-0000260C0000}"/>
    <cellStyle name="Calculation 2 5 7 2 3" xfId="13782" xr:uid="{00000000-0005-0000-0000-0000270C0000}"/>
    <cellStyle name="Calculation 2 5 7 2 3 2" xfId="28614" xr:uid="{00000000-0005-0000-0000-0000280C0000}"/>
    <cellStyle name="Calculation 2 5 7 2 4" xfId="21157" xr:uid="{00000000-0005-0000-0000-0000290C0000}"/>
    <cellStyle name="Calculation 2 5 7 3" xfId="5200" xr:uid="{00000000-0005-0000-0000-00002A0C0000}"/>
    <cellStyle name="Calculation 2 5 7 3 2" xfId="9239" xr:uid="{00000000-0005-0000-0000-00002B0C0000}"/>
    <cellStyle name="Calculation 2 5 7 3 2 2" xfId="24577" xr:uid="{00000000-0005-0000-0000-00002C0C0000}"/>
    <cellStyle name="Calculation 2 5 7 3 3" xfId="15518" xr:uid="{00000000-0005-0000-0000-00002D0C0000}"/>
    <cellStyle name="Calculation 2 5 7 3 3 2" xfId="30350" xr:uid="{00000000-0005-0000-0000-00002E0C0000}"/>
    <cellStyle name="Calculation 2 5 7 3 4" xfId="22084" xr:uid="{00000000-0005-0000-0000-00002F0C0000}"/>
    <cellStyle name="Calculation 2 5 7 4" xfId="4230" xr:uid="{00000000-0005-0000-0000-0000300C0000}"/>
    <cellStyle name="Calculation 2 5 7 4 2" xfId="8271" xr:uid="{00000000-0005-0000-0000-0000310C0000}"/>
    <cellStyle name="Calculation 2 5 7 4 2 2" xfId="23966" xr:uid="{00000000-0005-0000-0000-0000320C0000}"/>
    <cellStyle name="Calculation 2 5 7 4 3" xfId="14562" xr:uid="{00000000-0005-0000-0000-0000330C0000}"/>
    <cellStyle name="Calculation 2 5 7 4 3 2" xfId="29394" xr:uid="{00000000-0005-0000-0000-0000340C0000}"/>
    <cellStyle name="Calculation 2 5 7 4 4" xfId="21591" xr:uid="{00000000-0005-0000-0000-0000350C0000}"/>
    <cellStyle name="Calculation 2 5 7 5" xfId="6346" xr:uid="{00000000-0005-0000-0000-0000360C0000}"/>
    <cellStyle name="Calculation 2 5 7 5 2" xfId="22748" xr:uid="{00000000-0005-0000-0000-0000370C0000}"/>
    <cellStyle name="Calculation 2 5 7 6" xfId="12600" xr:uid="{00000000-0005-0000-0000-0000380C0000}"/>
    <cellStyle name="Calculation 2 5 7 6 2" xfId="27432" xr:uid="{00000000-0005-0000-0000-0000390C0000}"/>
    <cellStyle name="Calculation 2 5 7 7" xfId="20427" xr:uid="{00000000-0005-0000-0000-00003A0C0000}"/>
    <cellStyle name="Calculation 2 5 8" xfId="3467" xr:uid="{00000000-0005-0000-0000-00003B0C0000}"/>
    <cellStyle name="Calculation 2 5 8 2" xfId="7530" xr:uid="{00000000-0005-0000-0000-00003C0C0000}"/>
    <cellStyle name="Calculation 2 5 8 2 2" xfId="23497" xr:uid="{00000000-0005-0000-0000-00003D0C0000}"/>
    <cellStyle name="Calculation 2 5 8 3" xfId="13804" xr:uid="{00000000-0005-0000-0000-00003E0C0000}"/>
    <cellStyle name="Calculation 2 5 8 3 2" xfId="28636" xr:uid="{00000000-0005-0000-0000-00003F0C0000}"/>
    <cellStyle name="Calculation 2 5 8 4" xfId="21172" xr:uid="{00000000-0005-0000-0000-0000400C0000}"/>
    <cellStyle name="Calculation 2 5 9" xfId="3345" xr:uid="{00000000-0005-0000-0000-0000410C0000}"/>
    <cellStyle name="Calculation 2 5 9 2" xfId="7408" xr:uid="{00000000-0005-0000-0000-0000420C0000}"/>
    <cellStyle name="Calculation 2 5 9 2 2" xfId="23413" xr:uid="{00000000-0005-0000-0000-0000430C0000}"/>
    <cellStyle name="Calculation 2 5 9 3" xfId="13682" xr:uid="{00000000-0005-0000-0000-0000440C0000}"/>
    <cellStyle name="Calculation 2 5 9 3 2" xfId="28514" xr:uid="{00000000-0005-0000-0000-0000450C0000}"/>
    <cellStyle name="Calculation 2 5 9 4" xfId="21100" xr:uid="{00000000-0005-0000-0000-0000460C0000}"/>
    <cellStyle name="Calculation 2 6" xfId="967" xr:uid="{00000000-0005-0000-0000-0000470C0000}"/>
    <cellStyle name="Calculation 2 6 10" xfId="2273" xr:uid="{00000000-0005-0000-0000-0000480C0000}"/>
    <cellStyle name="Calculation 2 6 10 2" xfId="6385" xr:uid="{00000000-0005-0000-0000-0000490C0000}"/>
    <cellStyle name="Calculation 2 6 10 2 2" xfId="22787" xr:uid="{00000000-0005-0000-0000-00004A0C0000}"/>
    <cellStyle name="Calculation 2 6 10 3" xfId="12613" xr:uid="{00000000-0005-0000-0000-00004B0C0000}"/>
    <cellStyle name="Calculation 2 6 10 3 2" xfId="27445" xr:uid="{00000000-0005-0000-0000-00004C0C0000}"/>
    <cellStyle name="Calculation 2 6 10 4" xfId="20439" xr:uid="{00000000-0005-0000-0000-00004D0C0000}"/>
    <cellStyle name="Calculation 2 6 11" xfId="5239" xr:uid="{00000000-0005-0000-0000-00004E0C0000}"/>
    <cellStyle name="Calculation 2 6 11 2" xfId="15555" xr:uid="{00000000-0005-0000-0000-00004F0C0000}"/>
    <cellStyle name="Calculation 2 6 11 2 2" xfId="30387" xr:uid="{00000000-0005-0000-0000-0000500C0000}"/>
    <cellStyle name="Calculation 2 6 11 3" xfId="22096" xr:uid="{00000000-0005-0000-0000-0000510C0000}"/>
    <cellStyle name="Calculation 2 6 12" xfId="5397" xr:uid="{00000000-0005-0000-0000-0000520C0000}"/>
    <cellStyle name="Calculation 2 6 12 2" xfId="15633" xr:uid="{00000000-0005-0000-0000-0000530C0000}"/>
    <cellStyle name="Calculation 2 6 12 2 2" xfId="30465" xr:uid="{00000000-0005-0000-0000-0000540C0000}"/>
    <cellStyle name="Calculation 2 6 12 3" xfId="22158" xr:uid="{00000000-0005-0000-0000-0000550C0000}"/>
    <cellStyle name="Calculation 2 6 13" xfId="9394" xr:uid="{00000000-0005-0000-0000-0000560C0000}"/>
    <cellStyle name="Calculation 2 6 13 2" xfId="24700" xr:uid="{00000000-0005-0000-0000-0000570C0000}"/>
    <cellStyle name="Calculation 2 6 14" xfId="6273" xr:uid="{00000000-0005-0000-0000-0000580C0000}"/>
    <cellStyle name="Calculation 2 6 14 2" xfId="18576" xr:uid="{00000000-0005-0000-0000-0000590C0000}"/>
    <cellStyle name="Calculation 2 6 2" xfId="1309" xr:uid="{00000000-0005-0000-0000-00005A0C0000}"/>
    <cellStyle name="Calculation 2 6 2 2" xfId="1813" xr:uid="{00000000-0005-0000-0000-00005B0C0000}"/>
    <cellStyle name="Calculation 2 6 2 2 2" xfId="3563" xr:uid="{00000000-0005-0000-0000-00005C0C0000}"/>
    <cellStyle name="Calculation 2 6 2 2 2 2" xfId="7625" xr:uid="{00000000-0005-0000-0000-00005D0C0000}"/>
    <cellStyle name="Calculation 2 6 2 2 2 2 2" xfId="23554" xr:uid="{00000000-0005-0000-0000-00005E0C0000}"/>
    <cellStyle name="Calculation 2 6 2 2 2 3" xfId="13899" xr:uid="{00000000-0005-0000-0000-00005F0C0000}"/>
    <cellStyle name="Calculation 2 6 2 2 2 3 2" xfId="28731" xr:uid="{00000000-0005-0000-0000-0000600C0000}"/>
    <cellStyle name="Calculation 2 6 2 2 2 4" xfId="21224" xr:uid="{00000000-0005-0000-0000-0000610C0000}"/>
    <cellStyle name="Calculation 2 6 2 2 3" xfId="4791" xr:uid="{00000000-0005-0000-0000-0000620C0000}"/>
    <cellStyle name="Calculation 2 6 2 2 3 2" xfId="8830" xr:uid="{00000000-0005-0000-0000-0000630C0000}"/>
    <cellStyle name="Calculation 2 6 2 2 3 2 2" xfId="24328" xr:uid="{00000000-0005-0000-0000-0000640C0000}"/>
    <cellStyle name="Calculation 2 6 2 2 3 3" xfId="15115" xr:uid="{00000000-0005-0000-0000-0000650C0000}"/>
    <cellStyle name="Calculation 2 6 2 2 3 3 2" xfId="29947" xr:uid="{00000000-0005-0000-0000-0000660C0000}"/>
    <cellStyle name="Calculation 2 6 2 2 3 4" xfId="21866" xr:uid="{00000000-0005-0000-0000-0000670C0000}"/>
    <cellStyle name="Calculation 2 6 2 2 4" xfId="2781" xr:uid="{00000000-0005-0000-0000-0000680C0000}"/>
    <cellStyle name="Calculation 2 6 2 2 4 2" xfId="6872" xr:uid="{00000000-0005-0000-0000-0000690C0000}"/>
    <cellStyle name="Calculation 2 6 2 2 4 2 2" xfId="23079" xr:uid="{00000000-0005-0000-0000-00006A0C0000}"/>
    <cellStyle name="Calculation 2 6 2 2 4 3" xfId="13119" xr:uid="{00000000-0005-0000-0000-00006B0C0000}"/>
    <cellStyle name="Calculation 2 6 2 2 4 3 2" xfId="27951" xr:uid="{00000000-0005-0000-0000-00006C0C0000}"/>
    <cellStyle name="Calculation 2 6 2 2 4 4" xfId="20739" xr:uid="{00000000-0005-0000-0000-00006D0C0000}"/>
    <cellStyle name="Calculation 2 6 2 2 5" xfId="5945" xr:uid="{00000000-0005-0000-0000-00006E0C0000}"/>
    <cellStyle name="Calculation 2 6 2 2 5 2" xfId="16137" xr:uid="{00000000-0005-0000-0000-00006F0C0000}"/>
    <cellStyle name="Calculation 2 6 2 2 5 2 2" xfId="30969" xr:uid="{00000000-0005-0000-0000-0000700C0000}"/>
    <cellStyle name="Calculation 2 6 2 2 5 3" xfId="22510" xr:uid="{00000000-0005-0000-0000-0000710C0000}"/>
    <cellStyle name="Calculation 2 6 2 2 6" xfId="12207" xr:uid="{00000000-0005-0000-0000-0000720C0000}"/>
    <cellStyle name="Calculation 2 6 2 2 6 2" xfId="27039" xr:uid="{00000000-0005-0000-0000-0000730C0000}"/>
    <cellStyle name="Calculation 2 6 2 2 7" xfId="9803" xr:uid="{00000000-0005-0000-0000-0000740C0000}"/>
    <cellStyle name="Calculation 2 6 2 2 7 2" xfId="20054" xr:uid="{00000000-0005-0000-0000-0000750C0000}"/>
    <cellStyle name="Calculation 2 6 2 3" xfId="3782" xr:uid="{00000000-0005-0000-0000-0000760C0000}"/>
    <cellStyle name="Calculation 2 6 2 3 2" xfId="7837" xr:uid="{00000000-0005-0000-0000-0000770C0000}"/>
    <cellStyle name="Calculation 2 6 2 3 2 2" xfId="23693" xr:uid="{00000000-0005-0000-0000-0000780C0000}"/>
    <cellStyle name="Calculation 2 6 2 3 3" xfId="14117" xr:uid="{00000000-0005-0000-0000-0000790C0000}"/>
    <cellStyle name="Calculation 2 6 2 3 3 2" xfId="28949" xr:uid="{00000000-0005-0000-0000-00007A0C0000}"/>
    <cellStyle name="Calculation 2 6 2 3 4" xfId="21345" xr:uid="{00000000-0005-0000-0000-00007B0C0000}"/>
    <cellStyle name="Calculation 2 6 2 4" xfId="4371" xr:uid="{00000000-0005-0000-0000-00007C0C0000}"/>
    <cellStyle name="Calculation 2 6 2 4 2" xfId="8410" xr:uid="{00000000-0005-0000-0000-00007D0C0000}"/>
    <cellStyle name="Calculation 2 6 2 4 2 2" xfId="24068" xr:uid="{00000000-0005-0000-0000-00007E0C0000}"/>
    <cellStyle name="Calculation 2 6 2 4 3" xfId="14700" xr:uid="{00000000-0005-0000-0000-00007F0C0000}"/>
    <cellStyle name="Calculation 2 6 2 4 3 2" xfId="29532" xr:uid="{00000000-0005-0000-0000-0000800C0000}"/>
    <cellStyle name="Calculation 2 6 2 4 4" xfId="21636" xr:uid="{00000000-0005-0000-0000-0000810C0000}"/>
    <cellStyle name="Calculation 2 6 2 5" xfId="2361" xr:uid="{00000000-0005-0000-0000-0000820C0000}"/>
    <cellStyle name="Calculation 2 6 2 5 2" xfId="6473" xr:uid="{00000000-0005-0000-0000-0000830C0000}"/>
    <cellStyle name="Calculation 2 6 2 5 2 2" xfId="22843" xr:uid="{00000000-0005-0000-0000-0000840C0000}"/>
    <cellStyle name="Calculation 2 6 2 5 3" xfId="12700" xr:uid="{00000000-0005-0000-0000-0000850C0000}"/>
    <cellStyle name="Calculation 2 6 2 5 3 2" xfId="27532" xr:uid="{00000000-0005-0000-0000-0000860C0000}"/>
    <cellStyle name="Calculation 2 6 2 5 4" xfId="20485" xr:uid="{00000000-0005-0000-0000-0000870C0000}"/>
    <cellStyle name="Calculation 2 6 2 6" xfId="5486" xr:uid="{00000000-0005-0000-0000-0000880C0000}"/>
    <cellStyle name="Calculation 2 6 2 6 2" xfId="15721" xr:uid="{00000000-0005-0000-0000-0000890C0000}"/>
    <cellStyle name="Calculation 2 6 2 6 2 2" xfId="30553" xr:uid="{00000000-0005-0000-0000-00008A0C0000}"/>
    <cellStyle name="Calculation 2 6 2 6 3" xfId="22214" xr:uid="{00000000-0005-0000-0000-00008B0C0000}"/>
    <cellStyle name="Calculation 2 6 2 7" xfId="11736" xr:uid="{00000000-0005-0000-0000-00008C0C0000}"/>
    <cellStyle name="Calculation 2 6 2 7 2" xfId="26568" xr:uid="{00000000-0005-0000-0000-00008D0C0000}"/>
    <cellStyle name="Calculation 2 6 2 8" xfId="9407" xr:uid="{00000000-0005-0000-0000-00008E0C0000}"/>
    <cellStyle name="Calculation 2 6 2 8 2" xfId="19711" xr:uid="{00000000-0005-0000-0000-00008F0C0000}"/>
    <cellStyle name="Calculation 2 6 3" xfId="1443" xr:uid="{00000000-0005-0000-0000-0000900C0000}"/>
    <cellStyle name="Calculation 2 6 3 2" xfId="1944" xr:uid="{00000000-0005-0000-0000-0000910C0000}"/>
    <cellStyle name="Calculation 2 6 3 2 2" xfId="3771" xr:uid="{00000000-0005-0000-0000-0000920C0000}"/>
    <cellStyle name="Calculation 2 6 3 2 2 2" xfId="7827" xr:uid="{00000000-0005-0000-0000-0000930C0000}"/>
    <cellStyle name="Calculation 2 6 3 2 2 2 2" xfId="23684" xr:uid="{00000000-0005-0000-0000-0000940C0000}"/>
    <cellStyle name="Calculation 2 6 3 2 2 3" xfId="14106" xr:uid="{00000000-0005-0000-0000-0000950C0000}"/>
    <cellStyle name="Calculation 2 6 3 2 2 3 2" xfId="28938" xr:uid="{00000000-0005-0000-0000-0000960C0000}"/>
    <cellStyle name="Calculation 2 6 3 2 2 4" xfId="21340" xr:uid="{00000000-0005-0000-0000-0000970C0000}"/>
    <cellStyle name="Calculation 2 6 3 2 3" xfId="4923" xr:uid="{00000000-0005-0000-0000-0000980C0000}"/>
    <cellStyle name="Calculation 2 6 3 2 3 2" xfId="8962" xr:uid="{00000000-0005-0000-0000-0000990C0000}"/>
    <cellStyle name="Calculation 2 6 3 2 3 2 2" xfId="24428" xr:uid="{00000000-0005-0000-0000-00009A0C0000}"/>
    <cellStyle name="Calculation 2 6 3 2 3 3" xfId="15245" xr:uid="{00000000-0005-0000-0000-00009B0C0000}"/>
    <cellStyle name="Calculation 2 6 3 2 3 3 2" xfId="30077" xr:uid="{00000000-0005-0000-0000-00009C0C0000}"/>
    <cellStyle name="Calculation 2 6 3 2 3 4" xfId="21958" xr:uid="{00000000-0005-0000-0000-00009D0C0000}"/>
    <cellStyle name="Calculation 2 6 3 2 4" xfId="2913" xr:uid="{00000000-0005-0000-0000-00009E0C0000}"/>
    <cellStyle name="Calculation 2 6 3 2 4 2" xfId="6997" xr:uid="{00000000-0005-0000-0000-00009F0C0000}"/>
    <cellStyle name="Calculation 2 6 3 2 4 2 2" xfId="23171" xr:uid="{00000000-0005-0000-0000-0000A00C0000}"/>
    <cellStyle name="Calculation 2 6 3 2 4 3" xfId="13251" xr:uid="{00000000-0005-0000-0000-0000A10C0000}"/>
    <cellStyle name="Calculation 2 6 3 2 4 3 2" xfId="28083" xr:uid="{00000000-0005-0000-0000-0000A20C0000}"/>
    <cellStyle name="Calculation 2 6 3 2 4 4" xfId="20839" xr:uid="{00000000-0005-0000-0000-0000A30C0000}"/>
    <cellStyle name="Calculation 2 6 3 2 5" xfId="6074" xr:uid="{00000000-0005-0000-0000-0000A40C0000}"/>
    <cellStyle name="Calculation 2 6 3 2 5 2" xfId="16261" xr:uid="{00000000-0005-0000-0000-0000A50C0000}"/>
    <cellStyle name="Calculation 2 6 3 2 5 2 2" xfId="31093" xr:uid="{00000000-0005-0000-0000-0000A60C0000}"/>
    <cellStyle name="Calculation 2 6 3 2 5 3" xfId="22607" xr:uid="{00000000-0005-0000-0000-0000A70C0000}"/>
    <cellStyle name="Calculation 2 6 3 2 6" xfId="12331" xr:uid="{00000000-0005-0000-0000-0000A80C0000}"/>
    <cellStyle name="Calculation 2 6 3 2 6 2" xfId="27163" xr:uid="{00000000-0005-0000-0000-0000A90C0000}"/>
    <cellStyle name="Calculation 2 6 3 2 7" xfId="9928" xr:uid="{00000000-0005-0000-0000-0000AA0C0000}"/>
    <cellStyle name="Calculation 2 6 3 2 7 2" xfId="20130" xr:uid="{00000000-0005-0000-0000-0000AB0C0000}"/>
    <cellStyle name="Calculation 2 6 3 3" xfId="3295" xr:uid="{00000000-0005-0000-0000-0000AC0C0000}"/>
    <cellStyle name="Calculation 2 6 3 3 2" xfId="7359" xr:uid="{00000000-0005-0000-0000-0000AD0C0000}"/>
    <cellStyle name="Calculation 2 6 3 3 2 2" xfId="23382" xr:uid="{00000000-0005-0000-0000-0000AE0C0000}"/>
    <cellStyle name="Calculation 2 6 3 3 3" xfId="13632" xr:uid="{00000000-0005-0000-0000-0000AF0C0000}"/>
    <cellStyle name="Calculation 2 6 3 3 3 2" xfId="28464" xr:uid="{00000000-0005-0000-0000-0000B00C0000}"/>
    <cellStyle name="Calculation 2 6 3 3 4" xfId="21069" xr:uid="{00000000-0005-0000-0000-0000B10C0000}"/>
    <cellStyle name="Calculation 2 6 3 4" xfId="4503" xr:uid="{00000000-0005-0000-0000-0000B20C0000}"/>
    <cellStyle name="Calculation 2 6 3 4 2" xfId="8542" xr:uid="{00000000-0005-0000-0000-0000B30C0000}"/>
    <cellStyle name="Calculation 2 6 3 4 2 2" xfId="24168" xr:uid="{00000000-0005-0000-0000-0000B40C0000}"/>
    <cellStyle name="Calculation 2 6 3 4 3" xfId="14830" xr:uid="{00000000-0005-0000-0000-0000B50C0000}"/>
    <cellStyle name="Calculation 2 6 3 4 3 2" xfId="29662" xr:uid="{00000000-0005-0000-0000-0000B60C0000}"/>
    <cellStyle name="Calculation 2 6 3 4 4" xfId="21728" xr:uid="{00000000-0005-0000-0000-0000B70C0000}"/>
    <cellStyle name="Calculation 2 6 3 5" xfId="2493" xr:uid="{00000000-0005-0000-0000-0000B80C0000}"/>
    <cellStyle name="Calculation 2 6 3 5 2" xfId="6599" xr:uid="{00000000-0005-0000-0000-0000B90C0000}"/>
    <cellStyle name="Calculation 2 6 3 5 2 2" xfId="22937" xr:uid="{00000000-0005-0000-0000-0000BA0C0000}"/>
    <cellStyle name="Calculation 2 6 3 5 3" xfId="12831" xr:uid="{00000000-0005-0000-0000-0000BB0C0000}"/>
    <cellStyle name="Calculation 2 6 3 5 3 2" xfId="27663" xr:uid="{00000000-0005-0000-0000-0000BC0C0000}"/>
    <cellStyle name="Calculation 2 6 3 5 4" xfId="20583" xr:uid="{00000000-0005-0000-0000-0000BD0C0000}"/>
    <cellStyle name="Calculation 2 6 3 6" xfId="5616" xr:uid="{00000000-0005-0000-0000-0000BE0C0000}"/>
    <cellStyle name="Calculation 2 6 3 6 2" xfId="15851" xr:uid="{00000000-0005-0000-0000-0000BF0C0000}"/>
    <cellStyle name="Calculation 2 6 3 6 2 2" xfId="30683" xr:uid="{00000000-0005-0000-0000-0000C00C0000}"/>
    <cellStyle name="Calculation 2 6 3 6 3" xfId="22312" xr:uid="{00000000-0005-0000-0000-0000C10C0000}"/>
    <cellStyle name="Calculation 2 6 3 7" xfId="11860" xr:uid="{00000000-0005-0000-0000-0000C20C0000}"/>
    <cellStyle name="Calculation 2 6 3 7 2" xfId="26692" xr:uid="{00000000-0005-0000-0000-0000C30C0000}"/>
    <cellStyle name="Calculation 2 6 3 8" xfId="9533" xr:uid="{00000000-0005-0000-0000-0000C40C0000}"/>
    <cellStyle name="Calculation 2 6 3 8 2" xfId="19835" xr:uid="{00000000-0005-0000-0000-0000C50C0000}"/>
    <cellStyle name="Calculation 2 6 4" xfId="1411" xr:uid="{00000000-0005-0000-0000-0000C60C0000}"/>
    <cellStyle name="Calculation 2 6 4 2" xfId="1913" xr:uid="{00000000-0005-0000-0000-0000C70C0000}"/>
    <cellStyle name="Calculation 2 6 4 2 2" xfId="3384" xr:uid="{00000000-0005-0000-0000-0000C80C0000}"/>
    <cellStyle name="Calculation 2 6 4 2 2 2" xfId="7447" xr:uid="{00000000-0005-0000-0000-0000C90C0000}"/>
    <cellStyle name="Calculation 2 6 4 2 2 2 2" xfId="23439" xr:uid="{00000000-0005-0000-0000-0000CA0C0000}"/>
    <cellStyle name="Calculation 2 6 4 2 2 3" xfId="13721" xr:uid="{00000000-0005-0000-0000-0000CB0C0000}"/>
    <cellStyle name="Calculation 2 6 4 2 2 3 2" xfId="28553" xr:uid="{00000000-0005-0000-0000-0000CC0C0000}"/>
    <cellStyle name="Calculation 2 6 4 2 2 4" xfId="21121" xr:uid="{00000000-0005-0000-0000-0000CD0C0000}"/>
    <cellStyle name="Calculation 2 6 4 2 3" xfId="4891" xr:uid="{00000000-0005-0000-0000-0000CE0C0000}"/>
    <cellStyle name="Calculation 2 6 4 2 3 2" xfId="8930" xr:uid="{00000000-0005-0000-0000-0000CF0C0000}"/>
    <cellStyle name="Calculation 2 6 4 2 3 2 2" xfId="24396" xr:uid="{00000000-0005-0000-0000-0000D00C0000}"/>
    <cellStyle name="Calculation 2 6 4 2 3 3" xfId="15214" xr:uid="{00000000-0005-0000-0000-0000D10C0000}"/>
    <cellStyle name="Calculation 2 6 4 2 3 3 2" xfId="30046" xr:uid="{00000000-0005-0000-0000-0000D20C0000}"/>
    <cellStyle name="Calculation 2 6 4 2 3 4" xfId="21928" xr:uid="{00000000-0005-0000-0000-0000D30C0000}"/>
    <cellStyle name="Calculation 2 6 4 2 4" xfId="2881" xr:uid="{00000000-0005-0000-0000-0000D40C0000}"/>
    <cellStyle name="Calculation 2 6 4 2 4 2" xfId="6966" xr:uid="{00000000-0005-0000-0000-0000D50C0000}"/>
    <cellStyle name="Calculation 2 6 4 2 4 2 2" xfId="23141" xr:uid="{00000000-0005-0000-0000-0000D60C0000}"/>
    <cellStyle name="Calculation 2 6 4 2 4 3" xfId="13219" xr:uid="{00000000-0005-0000-0000-0000D70C0000}"/>
    <cellStyle name="Calculation 2 6 4 2 4 3 2" xfId="28051" xr:uid="{00000000-0005-0000-0000-0000D80C0000}"/>
    <cellStyle name="Calculation 2 6 4 2 4 4" xfId="20807" xr:uid="{00000000-0005-0000-0000-0000D90C0000}"/>
    <cellStyle name="Calculation 2 6 4 2 5" xfId="6044" xr:uid="{00000000-0005-0000-0000-0000DA0C0000}"/>
    <cellStyle name="Calculation 2 6 4 2 5 2" xfId="16231" xr:uid="{00000000-0005-0000-0000-0000DB0C0000}"/>
    <cellStyle name="Calculation 2 6 4 2 5 2 2" xfId="31063" xr:uid="{00000000-0005-0000-0000-0000DC0C0000}"/>
    <cellStyle name="Calculation 2 6 4 2 5 3" xfId="22577" xr:uid="{00000000-0005-0000-0000-0000DD0C0000}"/>
    <cellStyle name="Calculation 2 6 4 2 6" xfId="12301" xr:uid="{00000000-0005-0000-0000-0000DE0C0000}"/>
    <cellStyle name="Calculation 2 6 4 2 6 2" xfId="27133" xr:uid="{00000000-0005-0000-0000-0000DF0C0000}"/>
    <cellStyle name="Calculation 2 6 4 2 7" xfId="9897" xr:uid="{00000000-0005-0000-0000-0000E00C0000}"/>
    <cellStyle name="Calculation 2 6 4 2 7 2" xfId="20100" xr:uid="{00000000-0005-0000-0000-0000E10C0000}"/>
    <cellStyle name="Calculation 2 6 4 3" xfId="4005" xr:uid="{00000000-0005-0000-0000-0000E20C0000}"/>
    <cellStyle name="Calculation 2 6 4 3 2" xfId="8052" xr:uid="{00000000-0005-0000-0000-0000E30C0000}"/>
    <cellStyle name="Calculation 2 6 4 3 2 2" xfId="23832" xr:uid="{00000000-0005-0000-0000-0000E40C0000}"/>
    <cellStyle name="Calculation 2 6 4 3 3" xfId="14337" xr:uid="{00000000-0005-0000-0000-0000E50C0000}"/>
    <cellStyle name="Calculation 2 6 4 3 3 2" xfId="29169" xr:uid="{00000000-0005-0000-0000-0000E60C0000}"/>
    <cellStyle name="Calculation 2 6 4 3 4" xfId="21470" xr:uid="{00000000-0005-0000-0000-0000E70C0000}"/>
    <cellStyle name="Calculation 2 6 4 4" xfId="4471" xr:uid="{00000000-0005-0000-0000-0000E80C0000}"/>
    <cellStyle name="Calculation 2 6 4 4 2" xfId="8510" xr:uid="{00000000-0005-0000-0000-0000E90C0000}"/>
    <cellStyle name="Calculation 2 6 4 4 2 2" xfId="24136" xr:uid="{00000000-0005-0000-0000-0000EA0C0000}"/>
    <cellStyle name="Calculation 2 6 4 4 3" xfId="14799" xr:uid="{00000000-0005-0000-0000-0000EB0C0000}"/>
    <cellStyle name="Calculation 2 6 4 4 3 2" xfId="29631" xr:uid="{00000000-0005-0000-0000-0000EC0C0000}"/>
    <cellStyle name="Calculation 2 6 4 4 4" xfId="21698" xr:uid="{00000000-0005-0000-0000-0000ED0C0000}"/>
    <cellStyle name="Calculation 2 6 4 5" xfId="2461" xr:uid="{00000000-0005-0000-0000-0000EE0C0000}"/>
    <cellStyle name="Calculation 2 6 4 5 2" xfId="6567" xr:uid="{00000000-0005-0000-0000-0000EF0C0000}"/>
    <cellStyle name="Calculation 2 6 4 5 2 2" xfId="22905" xr:uid="{00000000-0005-0000-0000-0000F00C0000}"/>
    <cellStyle name="Calculation 2 6 4 5 3" xfId="12800" xr:uid="{00000000-0005-0000-0000-0000F10C0000}"/>
    <cellStyle name="Calculation 2 6 4 5 3 2" xfId="27632" xr:uid="{00000000-0005-0000-0000-0000F20C0000}"/>
    <cellStyle name="Calculation 2 6 4 5 4" xfId="20553" xr:uid="{00000000-0005-0000-0000-0000F30C0000}"/>
    <cellStyle name="Calculation 2 6 4 6" xfId="5585" xr:uid="{00000000-0005-0000-0000-0000F40C0000}"/>
    <cellStyle name="Calculation 2 6 4 6 2" xfId="15820" xr:uid="{00000000-0005-0000-0000-0000F50C0000}"/>
    <cellStyle name="Calculation 2 6 4 6 2 2" xfId="30652" xr:uid="{00000000-0005-0000-0000-0000F60C0000}"/>
    <cellStyle name="Calculation 2 6 4 6 3" xfId="22281" xr:uid="{00000000-0005-0000-0000-0000F70C0000}"/>
    <cellStyle name="Calculation 2 6 4 7" xfId="11830" xr:uid="{00000000-0005-0000-0000-0000F80C0000}"/>
    <cellStyle name="Calculation 2 6 4 7 2" xfId="26662" xr:uid="{00000000-0005-0000-0000-0000F90C0000}"/>
    <cellStyle name="Calculation 2 6 4 8" xfId="9502" xr:uid="{00000000-0005-0000-0000-0000FA0C0000}"/>
    <cellStyle name="Calculation 2 6 4 8 2" xfId="19805" xr:uid="{00000000-0005-0000-0000-0000FB0C0000}"/>
    <cellStyle name="Calculation 2 6 5" xfId="1422" xr:uid="{00000000-0005-0000-0000-0000FC0C0000}"/>
    <cellStyle name="Calculation 2 6 5 2" xfId="1923" xr:uid="{00000000-0005-0000-0000-0000FD0C0000}"/>
    <cellStyle name="Calculation 2 6 5 2 2" xfId="3371" xr:uid="{00000000-0005-0000-0000-0000FE0C0000}"/>
    <cellStyle name="Calculation 2 6 5 2 2 2" xfId="7434" xr:uid="{00000000-0005-0000-0000-0000FF0C0000}"/>
    <cellStyle name="Calculation 2 6 5 2 2 2 2" xfId="23432" xr:uid="{00000000-0005-0000-0000-0000000D0000}"/>
    <cellStyle name="Calculation 2 6 5 2 2 3" xfId="13708" xr:uid="{00000000-0005-0000-0000-0000010D0000}"/>
    <cellStyle name="Calculation 2 6 5 2 2 3 2" xfId="28540" xr:uid="{00000000-0005-0000-0000-0000020D0000}"/>
    <cellStyle name="Calculation 2 6 5 2 2 4" xfId="21114" xr:uid="{00000000-0005-0000-0000-0000030D0000}"/>
    <cellStyle name="Calculation 2 6 5 2 3" xfId="4902" xr:uid="{00000000-0005-0000-0000-0000040D0000}"/>
    <cellStyle name="Calculation 2 6 5 2 3 2" xfId="8941" xr:uid="{00000000-0005-0000-0000-0000050D0000}"/>
    <cellStyle name="Calculation 2 6 5 2 3 2 2" xfId="24407" xr:uid="{00000000-0005-0000-0000-0000060D0000}"/>
    <cellStyle name="Calculation 2 6 5 2 3 3" xfId="15224" xr:uid="{00000000-0005-0000-0000-0000070D0000}"/>
    <cellStyle name="Calculation 2 6 5 2 3 3 2" xfId="30056" xr:uid="{00000000-0005-0000-0000-0000080D0000}"/>
    <cellStyle name="Calculation 2 6 5 2 3 4" xfId="21937" xr:uid="{00000000-0005-0000-0000-0000090D0000}"/>
    <cellStyle name="Calculation 2 6 5 2 4" xfId="2892" xr:uid="{00000000-0005-0000-0000-00000A0D0000}"/>
    <cellStyle name="Calculation 2 6 5 2 4 2" xfId="6976" xr:uid="{00000000-0005-0000-0000-00000B0D0000}"/>
    <cellStyle name="Calculation 2 6 5 2 4 2 2" xfId="23150" xr:uid="{00000000-0005-0000-0000-00000C0D0000}"/>
    <cellStyle name="Calculation 2 6 5 2 4 3" xfId="13230" xr:uid="{00000000-0005-0000-0000-00000D0D0000}"/>
    <cellStyle name="Calculation 2 6 5 2 4 3 2" xfId="28062" xr:uid="{00000000-0005-0000-0000-00000E0D0000}"/>
    <cellStyle name="Calculation 2 6 5 2 4 4" xfId="20818" xr:uid="{00000000-0005-0000-0000-00000F0D0000}"/>
    <cellStyle name="Calculation 2 6 5 2 5" xfId="6053" xr:uid="{00000000-0005-0000-0000-0000100D0000}"/>
    <cellStyle name="Calculation 2 6 5 2 5 2" xfId="16240" xr:uid="{00000000-0005-0000-0000-0000110D0000}"/>
    <cellStyle name="Calculation 2 6 5 2 5 2 2" xfId="31072" xr:uid="{00000000-0005-0000-0000-0000120D0000}"/>
    <cellStyle name="Calculation 2 6 5 2 5 3" xfId="22586" xr:uid="{00000000-0005-0000-0000-0000130D0000}"/>
    <cellStyle name="Calculation 2 6 5 2 6" xfId="12310" xr:uid="{00000000-0005-0000-0000-0000140D0000}"/>
    <cellStyle name="Calculation 2 6 5 2 6 2" xfId="27142" xr:uid="{00000000-0005-0000-0000-0000150D0000}"/>
    <cellStyle name="Calculation 2 6 5 2 7" xfId="9907" xr:uid="{00000000-0005-0000-0000-0000160D0000}"/>
    <cellStyle name="Calculation 2 6 5 2 7 2" xfId="20109" xr:uid="{00000000-0005-0000-0000-0000170D0000}"/>
    <cellStyle name="Calculation 2 6 5 3" xfId="3865" xr:uid="{00000000-0005-0000-0000-0000180D0000}"/>
    <cellStyle name="Calculation 2 6 5 3 2" xfId="7917" xr:uid="{00000000-0005-0000-0000-0000190D0000}"/>
    <cellStyle name="Calculation 2 6 5 3 2 2" xfId="23749" xr:uid="{00000000-0005-0000-0000-00001A0D0000}"/>
    <cellStyle name="Calculation 2 6 5 3 3" xfId="14200" xr:uid="{00000000-0005-0000-0000-00001B0D0000}"/>
    <cellStyle name="Calculation 2 6 5 3 3 2" xfId="29032" xr:uid="{00000000-0005-0000-0000-00001C0D0000}"/>
    <cellStyle name="Calculation 2 6 5 3 4" xfId="21391" xr:uid="{00000000-0005-0000-0000-00001D0D0000}"/>
    <cellStyle name="Calculation 2 6 5 4" xfId="4482" xr:uid="{00000000-0005-0000-0000-00001E0D0000}"/>
    <cellStyle name="Calculation 2 6 5 4 2" xfId="8521" xr:uid="{00000000-0005-0000-0000-00001F0D0000}"/>
    <cellStyle name="Calculation 2 6 5 4 2 2" xfId="24147" xr:uid="{00000000-0005-0000-0000-0000200D0000}"/>
    <cellStyle name="Calculation 2 6 5 4 3" xfId="14809" xr:uid="{00000000-0005-0000-0000-0000210D0000}"/>
    <cellStyle name="Calculation 2 6 5 4 3 2" xfId="29641" xr:uid="{00000000-0005-0000-0000-0000220D0000}"/>
    <cellStyle name="Calculation 2 6 5 4 4" xfId="21707" xr:uid="{00000000-0005-0000-0000-0000230D0000}"/>
    <cellStyle name="Calculation 2 6 5 5" xfId="2472" xr:uid="{00000000-0005-0000-0000-0000240D0000}"/>
    <cellStyle name="Calculation 2 6 5 5 2" xfId="6578" xr:uid="{00000000-0005-0000-0000-0000250D0000}"/>
    <cellStyle name="Calculation 2 6 5 5 2 2" xfId="22916" xr:uid="{00000000-0005-0000-0000-0000260D0000}"/>
    <cellStyle name="Calculation 2 6 5 5 3" xfId="12810" xr:uid="{00000000-0005-0000-0000-0000270D0000}"/>
    <cellStyle name="Calculation 2 6 5 5 3 2" xfId="27642" xr:uid="{00000000-0005-0000-0000-0000280D0000}"/>
    <cellStyle name="Calculation 2 6 5 5 4" xfId="20562" xr:uid="{00000000-0005-0000-0000-0000290D0000}"/>
    <cellStyle name="Calculation 2 6 5 6" xfId="5595" xr:uid="{00000000-0005-0000-0000-00002A0D0000}"/>
    <cellStyle name="Calculation 2 6 5 6 2" xfId="15830" xr:uid="{00000000-0005-0000-0000-00002B0D0000}"/>
    <cellStyle name="Calculation 2 6 5 6 2 2" xfId="30662" xr:uid="{00000000-0005-0000-0000-00002C0D0000}"/>
    <cellStyle name="Calculation 2 6 5 6 3" xfId="22291" xr:uid="{00000000-0005-0000-0000-00002D0D0000}"/>
    <cellStyle name="Calculation 2 6 5 7" xfId="11839" xr:uid="{00000000-0005-0000-0000-00002E0D0000}"/>
    <cellStyle name="Calculation 2 6 5 7 2" xfId="26671" xr:uid="{00000000-0005-0000-0000-00002F0D0000}"/>
    <cellStyle name="Calculation 2 6 5 8" xfId="9512" xr:uid="{00000000-0005-0000-0000-0000300D0000}"/>
    <cellStyle name="Calculation 2 6 5 8 2" xfId="19814" xr:uid="{00000000-0005-0000-0000-0000310D0000}"/>
    <cellStyle name="Calculation 2 6 6" xfId="1720" xr:uid="{00000000-0005-0000-0000-0000320D0000}"/>
    <cellStyle name="Calculation 2 6 6 2" xfId="3663" xr:uid="{00000000-0005-0000-0000-0000330D0000}"/>
    <cellStyle name="Calculation 2 6 6 2 2" xfId="7722" xr:uid="{00000000-0005-0000-0000-0000340D0000}"/>
    <cellStyle name="Calculation 2 6 6 2 2 2" xfId="23618" xr:uid="{00000000-0005-0000-0000-0000350D0000}"/>
    <cellStyle name="Calculation 2 6 6 2 3" xfId="13998" xr:uid="{00000000-0005-0000-0000-0000360D0000}"/>
    <cellStyle name="Calculation 2 6 6 2 3 2" xfId="28830" xr:uid="{00000000-0005-0000-0000-0000370D0000}"/>
    <cellStyle name="Calculation 2 6 6 2 4" xfId="21282" xr:uid="{00000000-0005-0000-0000-0000380D0000}"/>
    <cellStyle name="Calculation 2 6 6 3" xfId="4713" xr:uid="{00000000-0005-0000-0000-0000390D0000}"/>
    <cellStyle name="Calculation 2 6 6 3 2" xfId="8752" xr:uid="{00000000-0005-0000-0000-00003A0D0000}"/>
    <cellStyle name="Calculation 2 6 6 3 2 2" xfId="24282" xr:uid="{00000000-0005-0000-0000-00003B0D0000}"/>
    <cellStyle name="Calculation 2 6 6 3 3" xfId="15037" xr:uid="{00000000-0005-0000-0000-00003C0D0000}"/>
    <cellStyle name="Calculation 2 6 6 3 3 2" xfId="29869" xr:uid="{00000000-0005-0000-0000-00003D0D0000}"/>
    <cellStyle name="Calculation 2 6 6 3 4" xfId="21820" xr:uid="{00000000-0005-0000-0000-00003E0D0000}"/>
    <cellStyle name="Calculation 2 6 6 4" xfId="2703" xr:uid="{00000000-0005-0000-0000-00003F0D0000}"/>
    <cellStyle name="Calculation 2 6 6 4 2" xfId="6794" xr:uid="{00000000-0005-0000-0000-0000400D0000}"/>
    <cellStyle name="Calculation 2 6 6 4 2 2" xfId="23033" xr:uid="{00000000-0005-0000-0000-0000410D0000}"/>
    <cellStyle name="Calculation 2 6 6 4 3" xfId="13041" xr:uid="{00000000-0005-0000-0000-0000420D0000}"/>
    <cellStyle name="Calculation 2 6 6 4 3 2" xfId="27873" xr:uid="{00000000-0005-0000-0000-0000430D0000}"/>
    <cellStyle name="Calculation 2 6 6 4 4" xfId="20693" xr:uid="{00000000-0005-0000-0000-0000440D0000}"/>
    <cellStyle name="Calculation 2 6 6 5" xfId="5852" xr:uid="{00000000-0005-0000-0000-0000450D0000}"/>
    <cellStyle name="Calculation 2 6 6 5 2" xfId="16044" xr:uid="{00000000-0005-0000-0000-0000460D0000}"/>
    <cellStyle name="Calculation 2 6 6 5 2 2" xfId="30876" xr:uid="{00000000-0005-0000-0000-0000470D0000}"/>
    <cellStyle name="Calculation 2 6 6 5 3" xfId="22449" xr:uid="{00000000-0005-0000-0000-0000480D0000}"/>
    <cellStyle name="Calculation 2 6 6 6" xfId="12114" xr:uid="{00000000-0005-0000-0000-0000490D0000}"/>
    <cellStyle name="Calculation 2 6 6 6 2" xfId="26946" xr:uid="{00000000-0005-0000-0000-00004A0D0000}"/>
    <cellStyle name="Calculation 2 6 6 7" xfId="9725" xr:uid="{00000000-0005-0000-0000-00004B0D0000}"/>
    <cellStyle name="Calculation 2 6 6 7 2" xfId="20023" xr:uid="{00000000-0005-0000-0000-00004C0D0000}"/>
    <cellStyle name="Calculation 2 6 7" xfId="2231" xr:uid="{00000000-0005-0000-0000-00004D0D0000}"/>
    <cellStyle name="Calculation 2 6 7 2" xfId="3424" xr:uid="{00000000-0005-0000-0000-00004E0D0000}"/>
    <cellStyle name="Calculation 2 6 7 2 2" xfId="7487" xr:uid="{00000000-0005-0000-0000-00004F0D0000}"/>
    <cellStyle name="Calculation 2 6 7 2 2 2" xfId="23467" xr:uid="{00000000-0005-0000-0000-0000500D0000}"/>
    <cellStyle name="Calculation 2 6 7 2 3" xfId="13761" xr:uid="{00000000-0005-0000-0000-0000510D0000}"/>
    <cellStyle name="Calculation 2 6 7 2 3 2" xfId="28593" xr:uid="{00000000-0005-0000-0000-0000520D0000}"/>
    <cellStyle name="Calculation 2 6 7 2 4" xfId="21144" xr:uid="{00000000-0005-0000-0000-0000530D0000}"/>
    <cellStyle name="Calculation 2 6 7 3" xfId="5199" xr:uid="{00000000-0005-0000-0000-0000540D0000}"/>
    <cellStyle name="Calculation 2 6 7 3 2" xfId="9238" xr:uid="{00000000-0005-0000-0000-0000550D0000}"/>
    <cellStyle name="Calculation 2 6 7 3 2 2" xfId="24576" xr:uid="{00000000-0005-0000-0000-0000560D0000}"/>
    <cellStyle name="Calculation 2 6 7 3 3" xfId="15517" xr:uid="{00000000-0005-0000-0000-0000570D0000}"/>
    <cellStyle name="Calculation 2 6 7 3 3 2" xfId="30349" xr:uid="{00000000-0005-0000-0000-0000580D0000}"/>
    <cellStyle name="Calculation 2 6 7 3 4" xfId="22083" xr:uid="{00000000-0005-0000-0000-0000590D0000}"/>
    <cellStyle name="Calculation 2 6 7 4" xfId="4229" xr:uid="{00000000-0005-0000-0000-00005A0D0000}"/>
    <cellStyle name="Calculation 2 6 7 4 2" xfId="8270" xr:uid="{00000000-0005-0000-0000-00005B0D0000}"/>
    <cellStyle name="Calculation 2 6 7 4 2 2" xfId="23965" xr:uid="{00000000-0005-0000-0000-00005C0D0000}"/>
    <cellStyle name="Calculation 2 6 7 4 3" xfId="14561" xr:uid="{00000000-0005-0000-0000-00005D0D0000}"/>
    <cellStyle name="Calculation 2 6 7 4 3 2" xfId="29393" xr:uid="{00000000-0005-0000-0000-00005E0D0000}"/>
    <cellStyle name="Calculation 2 6 7 4 4" xfId="21590" xr:uid="{00000000-0005-0000-0000-00005F0D0000}"/>
    <cellStyle name="Calculation 2 6 7 5" xfId="6345" xr:uid="{00000000-0005-0000-0000-0000600D0000}"/>
    <cellStyle name="Calculation 2 6 7 5 2" xfId="22747" xr:uid="{00000000-0005-0000-0000-0000610D0000}"/>
    <cellStyle name="Calculation 2 6 7 6" xfId="12599" xr:uid="{00000000-0005-0000-0000-0000620D0000}"/>
    <cellStyle name="Calculation 2 6 7 6 2" xfId="27431" xr:uid="{00000000-0005-0000-0000-0000630D0000}"/>
    <cellStyle name="Calculation 2 6 7 7" xfId="20426" xr:uid="{00000000-0005-0000-0000-0000640D0000}"/>
    <cellStyle name="Calculation 2 6 8" xfId="3945" xr:uid="{00000000-0005-0000-0000-0000650D0000}"/>
    <cellStyle name="Calculation 2 6 8 2" xfId="7995" xr:uid="{00000000-0005-0000-0000-0000660D0000}"/>
    <cellStyle name="Calculation 2 6 8 2 2" xfId="23796" xr:uid="{00000000-0005-0000-0000-0000670D0000}"/>
    <cellStyle name="Calculation 2 6 8 3" xfId="14278" xr:uid="{00000000-0005-0000-0000-0000680D0000}"/>
    <cellStyle name="Calculation 2 6 8 3 2" xfId="29110" xr:uid="{00000000-0005-0000-0000-0000690D0000}"/>
    <cellStyle name="Calculation 2 6 8 4" xfId="21438" xr:uid="{00000000-0005-0000-0000-00006A0D0000}"/>
    <cellStyle name="Calculation 2 6 9" xfId="3304" xr:uid="{00000000-0005-0000-0000-00006B0D0000}"/>
    <cellStyle name="Calculation 2 6 9 2" xfId="7368" xr:uid="{00000000-0005-0000-0000-00006C0D0000}"/>
    <cellStyle name="Calculation 2 6 9 2 2" xfId="23388" xr:uid="{00000000-0005-0000-0000-00006D0D0000}"/>
    <cellStyle name="Calculation 2 6 9 3" xfId="13641" xr:uid="{00000000-0005-0000-0000-00006E0D0000}"/>
    <cellStyle name="Calculation 2 6 9 3 2" xfId="28473" xr:uid="{00000000-0005-0000-0000-00006F0D0000}"/>
    <cellStyle name="Calculation 2 6 9 4" xfId="21075" xr:uid="{00000000-0005-0000-0000-0000700D0000}"/>
    <cellStyle name="Calculation 2 7" xfId="968" xr:uid="{00000000-0005-0000-0000-0000710D0000}"/>
    <cellStyle name="Calculation 2 7 10" xfId="2274" xr:uid="{00000000-0005-0000-0000-0000720D0000}"/>
    <cellStyle name="Calculation 2 7 10 2" xfId="6386" xr:uid="{00000000-0005-0000-0000-0000730D0000}"/>
    <cellStyle name="Calculation 2 7 10 2 2" xfId="22788" xr:uid="{00000000-0005-0000-0000-0000740D0000}"/>
    <cellStyle name="Calculation 2 7 10 3" xfId="12614" xr:uid="{00000000-0005-0000-0000-0000750D0000}"/>
    <cellStyle name="Calculation 2 7 10 3 2" xfId="27446" xr:uid="{00000000-0005-0000-0000-0000760D0000}"/>
    <cellStyle name="Calculation 2 7 10 4" xfId="20440" xr:uid="{00000000-0005-0000-0000-0000770D0000}"/>
    <cellStyle name="Calculation 2 7 11" xfId="5240" xr:uid="{00000000-0005-0000-0000-0000780D0000}"/>
    <cellStyle name="Calculation 2 7 11 2" xfId="15556" xr:uid="{00000000-0005-0000-0000-0000790D0000}"/>
    <cellStyle name="Calculation 2 7 11 2 2" xfId="30388" xr:uid="{00000000-0005-0000-0000-00007A0D0000}"/>
    <cellStyle name="Calculation 2 7 11 3" xfId="22097" xr:uid="{00000000-0005-0000-0000-00007B0D0000}"/>
    <cellStyle name="Calculation 2 7 12" xfId="5398" xr:uid="{00000000-0005-0000-0000-00007C0D0000}"/>
    <cellStyle name="Calculation 2 7 12 2" xfId="15634" xr:uid="{00000000-0005-0000-0000-00007D0D0000}"/>
    <cellStyle name="Calculation 2 7 12 2 2" xfId="30466" xr:uid="{00000000-0005-0000-0000-00007E0D0000}"/>
    <cellStyle name="Calculation 2 7 12 3" xfId="22159" xr:uid="{00000000-0005-0000-0000-00007F0D0000}"/>
    <cellStyle name="Calculation 2 7 13" xfId="9393" xr:uid="{00000000-0005-0000-0000-0000800D0000}"/>
    <cellStyle name="Calculation 2 7 13 2" xfId="24699" xr:uid="{00000000-0005-0000-0000-0000810D0000}"/>
    <cellStyle name="Calculation 2 7 14" xfId="5803" xr:uid="{00000000-0005-0000-0000-0000820D0000}"/>
    <cellStyle name="Calculation 2 7 14 2" xfId="18412" xr:uid="{00000000-0005-0000-0000-0000830D0000}"/>
    <cellStyle name="Calculation 2 7 2" xfId="1310" xr:uid="{00000000-0005-0000-0000-0000840D0000}"/>
    <cellStyle name="Calculation 2 7 2 2" xfId="1814" xr:uid="{00000000-0005-0000-0000-0000850D0000}"/>
    <cellStyle name="Calculation 2 7 2 2 2" xfId="3975" xr:uid="{00000000-0005-0000-0000-0000860D0000}"/>
    <cellStyle name="Calculation 2 7 2 2 2 2" xfId="8024" xr:uid="{00000000-0005-0000-0000-0000870D0000}"/>
    <cellStyle name="Calculation 2 7 2 2 2 2 2" xfId="23815" xr:uid="{00000000-0005-0000-0000-0000880D0000}"/>
    <cellStyle name="Calculation 2 7 2 2 2 3" xfId="14308" xr:uid="{00000000-0005-0000-0000-0000890D0000}"/>
    <cellStyle name="Calculation 2 7 2 2 2 3 2" xfId="29140" xr:uid="{00000000-0005-0000-0000-00008A0D0000}"/>
    <cellStyle name="Calculation 2 7 2 2 2 4" xfId="21453" xr:uid="{00000000-0005-0000-0000-00008B0D0000}"/>
    <cellStyle name="Calculation 2 7 2 2 3" xfId="4792" xr:uid="{00000000-0005-0000-0000-00008C0D0000}"/>
    <cellStyle name="Calculation 2 7 2 2 3 2" xfId="8831" xr:uid="{00000000-0005-0000-0000-00008D0D0000}"/>
    <cellStyle name="Calculation 2 7 2 2 3 2 2" xfId="24329" xr:uid="{00000000-0005-0000-0000-00008E0D0000}"/>
    <cellStyle name="Calculation 2 7 2 2 3 3" xfId="15116" xr:uid="{00000000-0005-0000-0000-00008F0D0000}"/>
    <cellStyle name="Calculation 2 7 2 2 3 3 2" xfId="29948" xr:uid="{00000000-0005-0000-0000-0000900D0000}"/>
    <cellStyle name="Calculation 2 7 2 2 3 4" xfId="21867" xr:uid="{00000000-0005-0000-0000-0000910D0000}"/>
    <cellStyle name="Calculation 2 7 2 2 4" xfId="2782" xr:uid="{00000000-0005-0000-0000-0000920D0000}"/>
    <cellStyle name="Calculation 2 7 2 2 4 2" xfId="6873" xr:uid="{00000000-0005-0000-0000-0000930D0000}"/>
    <cellStyle name="Calculation 2 7 2 2 4 2 2" xfId="23080" xr:uid="{00000000-0005-0000-0000-0000940D0000}"/>
    <cellStyle name="Calculation 2 7 2 2 4 3" xfId="13120" xr:uid="{00000000-0005-0000-0000-0000950D0000}"/>
    <cellStyle name="Calculation 2 7 2 2 4 3 2" xfId="27952" xr:uid="{00000000-0005-0000-0000-0000960D0000}"/>
    <cellStyle name="Calculation 2 7 2 2 4 4" xfId="20740" xr:uid="{00000000-0005-0000-0000-0000970D0000}"/>
    <cellStyle name="Calculation 2 7 2 2 5" xfId="5946" xr:uid="{00000000-0005-0000-0000-0000980D0000}"/>
    <cellStyle name="Calculation 2 7 2 2 5 2" xfId="16138" xr:uid="{00000000-0005-0000-0000-0000990D0000}"/>
    <cellStyle name="Calculation 2 7 2 2 5 2 2" xfId="30970" xr:uid="{00000000-0005-0000-0000-00009A0D0000}"/>
    <cellStyle name="Calculation 2 7 2 2 5 3" xfId="22511" xr:uid="{00000000-0005-0000-0000-00009B0D0000}"/>
    <cellStyle name="Calculation 2 7 2 2 6" xfId="12208" xr:uid="{00000000-0005-0000-0000-00009C0D0000}"/>
    <cellStyle name="Calculation 2 7 2 2 6 2" xfId="27040" xr:uid="{00000000-0005-0000-0000-00009D0D0000}"/>
    <cellStyle name="Calculation 2 7 2 2 7" xfId="9804" xr:uid="{00000000-0005-0000-0000-00009E0D0000}"/>
    <cellStyle name="Calculation 2 7 2 2 7 2" xfId="20055" xr:uid="{00000000-0005-0000-0000-00009F0D0000}"/>
    <cellStyle name="Calculation 2 7 2 3" xfId="3609" xr:uid="{00000000-0005-0000-0000-0000A00D0000}"/>
    <cellStyle name="Calculation 2 7 2 3 2" xfId="7670" xr:uid="{00000000-0005-0000-0000-0000A10D0000}"/>
    <cellStyle name="Calculation 2 7 2 3 2 2" xfId="23580" xr:uid="{00000000-0005-0000-0000-0000A20D0000}"/>
    <cellStyle name="Calculation 2 7 2 3 3" xfId="13945" xr:uid="{00000000-0005-0000-0000-0000A30D0000}"/>
    <cellStyle name="Calculation 2 7 2 3 3 2" xfId="28777" xr:uid="{00000000-0005-0000-0000-0000A40D0000}"/>
    <cellStyle name="Calculation 2 7 2 3 4" xfId="21249" xr:uid="{00000000-0005-0000-0000-0000A50D0000}"/>
    <cellStyle name="Calculation 2 7 2 4" xfId="4372" xr:uid="{00000000-0005-0000-0000-0000A60D0000}"/>
    <cellStyle name="Calculation 2 7 2 4 2" xfId="8411" xr:uid="{00000000-0005-0000-0000-0000A70D0000}"/>
    <cellStyle name="Calculation 2 7 2 4 2 2" xfId="24069" xr:uid="{00000000-0005-0000-0000-0000A80D0000}"/>
    <cellStyle name="Calculation 2 7 2 4 3" xfId="14701" xr:uid="{00000000-0005-0000-0000-0000A90D0000}"/>
    <cellStyle name="Calculation 2 7 2 4 3 2" xfId="29533" xr:uid="{00000000-0005-0000-0000-0000AA0D0000}"/>
    <cellStyle name="Calculation 2 7 2 4 4" xfId="21637" xr:uid="{00000000-0005-0000-0000-0000AB0D0000}"/>
    <cellStyle name="Calculation 2 7 2 5" xfId="2362" xr:uid="{00000000-0005-0000-0000-0000AC0D0000}"/>
    <cellStyle name="Calculation 2 7 2 5 2" xfId="6474" xr:uid="{00000000-0005-0000-0000-0000AD0D0000}"/>
    <cellStyle name="Calculation 2 7 2 5 2 2" xfId="22844" xr:uid="{00000000-0005-0000-0000-0000AE0D0000}"/>
    <cellStyle name="Calculation 2 7 2 5 3" xfId="12701" xr:uid="{00000000-0005-0000-0000-0000AF0D0000}"/>
    <cellStyle name="Calculation 2 7 2 5 3 2" xfId="27533" xr:uid="{00000000-0005-0000-0000-0000B00D0000}"/>
    <cellStyle name="Calculation 2 7 2 5 4" xfId="20486" xr:uid="{00000000-0005-0000-0000-0000B10D0000}"/>
    <cellStyle name="Calculation 2 7 2 6" xfId="5487" xr:uid="{00000000-0005-0000-0000-0000B20D0000}"/>
    <cellStyle name="Calculation 2 7 2 6 2" xfId="15722" xr:uid="{00000000-0005-0000-0000-0000B30D0000}"/>
    <cellStyle name="Calculation 2 7 2 6 2 2" xfId="30554" xr:uid="{00000000-0005-0000-0000-0000B40D0000}"/>
    <cellStyle name="Calculation 2 7 2 6 3" xfId="22215" xr:uid="{00000000-0005-0000-0000-0000B50D0000}"/>
    <cellStyle name="Calculation 2 7 2 7" xfId="11737" xr:uid="{00000000-0005-0000-0000-0000B60D0000}"/>
    <cellStyle name="Calculation 2 7 2 7 2" xfId="26569" xr:uid="{00000000-0005-0000-0000-0000B70D0000}"/>
    <cellStyle name="Calculation 2 7 2 8" xfId="9408" xr:uid="{00000000-0005-0000-0000-0000B80D0000}"/>
    <cellStyle name="Calculation 2 7 2 8 2" xfId="19712" xr:uid="{00000000-0005-0000-0000-0000B90D0000}"/>
    <cellStyle name="Calculation 2 7 3" xfId="1444" xr:uid="{00000000-0005-0000-0000-0000BA0D0000}"/>
    <cellStyle name="Calculation 2 7 3 2" xfId="1945" xr:uid="{00000000-0005-0000-0000-0000BB0D0000}"/>
    <cellStyle name="Calculation 2 7 3 2 2" xfId="3397" xr:uid="{00000000-0005-0000-0000-0000BC0D0000}"/>
    <cellStyle name="Calculation 2 7 3 2 2 2" xfId="7460" xr:uid="{00000000-0005-0000-0000-0000BD0D0000}"/>
    <cellStyle name="Calculation 2 7 3 2 2 2 2" xfId="23449" xr:uid="{00000000-0005-0000-0000-0000BE0D0000}"/>
    <cellStyle name="Calculation 2 7 3 2 2 3" xfId="13734" xr:uid="{00000000-0005-0000-0000-0000BF0D0000}"/>
    <cellStyle name="Calculation 2 7 3 2 2 3 2" xfId="28566" xr:uid="{00000000-0005-0000-0000-0000C00D0000}"/>
    <cellStyle name="Calculation 2 7 3 2 2 4" xfId="21127" xr:uid="{00000000-0005-0000-0000-0000C10D0000}"/>
    <cellStyle name="Calculation 2 7 3 2 3" xfId="4924" xr:uid="{00000000-0005-0000-0000-0000C20D0000}"/>
    <cellStyle name="Calculation 2 7 3 2 3 2" xfId="8963" xr:uid="{00000000-0005-0000-0000-0000C30D0000}"/>
    <cellStyle name="Calculation 2 7 3 2 3 2 2" xfId="24429" xr:uid="{00000000-0005-0000-0000-0000C40D0000}"/>
    <cellStyle name="Calculation 2 7 3 2 3 3" xfId="15246" xr:uid="{00000000-0005-0000-0000-0000C50D0000}"/>
    <cellStyle name="Calculation 2 7 3 2 3 3 2" xfId="30078" xr:uid="{00000000-0005-0000-0000-0000C60D0000}"/>
    <cellStyle name="Calculation 2 7 3 2 3 4" xfId="21959" xr:uid="{00000000-0005-0000-0000-0000C70D0000}"/>
    <cellStyle name="Calculation 2 7 3 2 4" xfId="2914" xr:uid="{00000000-0005-0000-0000-0000C80D0000}"/>
    <cellStyle name="Calculation 2 7 3 2 4 2" xfId="6998" xr:uid="{00000000-0005-0000-0000-0000C90D0000}"/>
    <cellStyle name="Calculation 2 7 3 2 4 2 2" xfId="23172" xr:uid="{00000000-0005-0000-0000-0000CA0D0000}"/>
    <cellStyle name="Calculation 2 7 3 2 4 3" xfId="13252" xr:uid="{00000000-0005-0000-0000-0000CB0D0000}"/>
    <cellStyle name="Calculation 2 7 3 2 4 3 2" xfId="28084" xr:uid="{00000000-0005-0000-0000-0000CC0D0000}"/>
    <cellStyle name="Calculation 2 7 3 2 4 4" xfId="20840" xr:uid="{00000000-0005-0000-0000-0000CD0D0000}"/>
    <cellStyle name="Calculation 2 7 3 2 5" xfId="6075" xr:uid="{00000000-0005-0000-0000-0000CE0D0000}"/>
    <cellStyle name="Calculation 2 7 3 2 5 2" xfId="16262" xr:uid="{00000000-0005-0000-0000-0000CF0D0000}"/>
    <cellStyle name="Calculation 2 7 3 2 5 2 2" xfId="31094" xr:uid="{00000000-0005-0000-0000-0000D00D0000}"/>
    <cellStyle name="Calculation 2 7 3 2 5 3" xfId="22608" xr:uid="{00000000-0005-0000-0000-0000D10D0000}"/>
    <cellStyle name="Calculation 2 7 3 2 6" xfId="12332" xr:uid="{00000000-0005-0000-0000-0000D20D0000}"/>
    <cellStyle name="Calculation 2 7 3 2 6 2" xfId="27164" xr:uid="{00000000-0005-0000-0000-0000D30D0000}"/>
    <cellStyle name="Calculation 2 7 3 2 7" xfId="9929" xr:uid="{00000000-0005-0000-0000-0000D40D0000}"/>
    <cellStyle name="Calculation 2 7 3 2 7 2" xfId="20131" xr:uid="{00000000-0005-0000-0000-0000D50D0000}"/>
    <cellStyle name="Calculation 2 7 3 3" xfId="3705" xr:uid="{00000000-0005-0000-0000-0000D60D0000}"/>
    <cellStyle name="Calculation 2 7 3 3 2" xfId="7761" xr:uid="{00000000-0005-0000-0000-0000D70D0000}"/>
    <cellStyle name="Calculation 2 7 3 3 2 2" xfId="23643" xr:uid="{00000000-0005-0000-0000-0000D80D0000}"/>
    <cellStyle name="Calculation 2 7 3 3 3" xfId="14040" xr:uid="{00000000-0005-0000-0000-0000D90D0000}"/>
    <cellStyle name="Calculation 2 7 3 3 3 2" xfId="28872" xr:uid="{00000000-0005-0000-0000-0000DA0D0000}"/>
    <cellStyle name="Calculation 2 7 3 3 4" xfId="21303" xr:uid="{00000000-0005-0000-0000-0000DB0D0000}"/>
    <cellStyle name="Calculation 2 7 3 4" xfId="4504" xr:uid="{00000000-0005-0000-0000-0000DC0D0000}"/>
    <cellStyle name="Calculation 2 7 3 4 2" xfId="8543" xr:uid="{00000000-0005-0000-0000-0000DD0D0000}"/>
    <cellStyle name="Calculation 2 7 3 4 2 2" xfId="24169" xr:uid="{00000000-0005-0000-0000-0000DE0D0000}"/>
    <cellStyle name="Calculation 2 7 3 4 3" xfId="14831" xr:uid="{00000000-0005-0000-0000-0000DF0D0000}"/>
    <cellStyle name="Calculation 2 7 3 4 3 2" xfId="29663" xr:uid="{00000000-0005-0000-0000-0000E00D0000}"/>
    <cellStyle name="Calculation 2 7 3 4 4" xfId="21729" xr:uid="{00000000-0005-0000-0000-0000E10D0000}"/>
    <cellStyle name="Calculation 2 7 3 5" xfId="2494" xr:uid="{00000000-0005-0000-0000-0000E20D0000}"/>
    <cellStyle name="Calculation 2 7 3 5 2" xfId="6600" xr:uid="{00000000-0005-0000-0000-0000E30D0000}"/>
    <cellStyle name="Calculation 2 7 3 5 2 2" xfId="22938" xr:uid="{00000000-0005-0000-0000-0000E40D0000}"/>
    <cellStyle name="Calculation 2 7 3 5 3" xfId="12832" xr:uid="{00000000-0005-0000-0000-0000E50D0000}"/>
    <cellStyle name="Calculation 2 7 3 5 3 2" xfId="27664" xr:uid="{00000000-0005-0000-0000-0000E60D0000}"/>
    <cellStyle name="Calculation 2 7 3 5 4" xfId="20584" xr:uid="{00000000-0005-0000-0000-0000E70D0000}"/>
    <cellStyle name="Calculation 2 7 3 6" xfId="5617" xr:uid="{00000000-0005-0000-0000-0000E80D0000}"/>
    <cellStyle name="Calculation 2 7 3 6 2" xfId="15852" xr:uid="{00000000-0005-0000-0000-0000E90D0000}"/>
    <cellStyle name="Calculation 2 7 3 6 2 2" xfId="30684" xr:uid="{00000000-0005-0000-0000-0000EA0D0000}"/>
    <cellStyle name="Calculation 2 7 3 6 3" xfId="22313" xr:uid="{00000000-0005-0000-0000-0000EB0D0000}"/>
    <cellStyle name="Calculation 2 7 3 7" xfId="11861" xr:uid="{00000000-0005-0000-0000-0000EC0D0000}"/>
    <cellStyle name="Calculation 2 7 3 7 2" xfId="26693" xr:uid="{00000000-0005-0000-0000-0000ED0D0000}"/>
    <cellStyle name="Calculation 2 7 3 8" xfId="9534" xr:uid="{00000000-0005-0000-0000-0000EE0D0000}"/>
    <cellStyle name="Calculation 2 7 3 8 2" xfId="19836" xr:uid="{00000000-0005-0000-0000-0000EF0D0000}"/>
    <cellStyle name="Calculation 2 7 4" xfId="1418" xr:uid="{00000000-0005-0000-0000-0000F00D0000}"/>
    <cellStyle name="Calculation 2 7 4 2" xfId="1920" xr:uid="{00000000-0005-0000-0000-0000F10D0000}"/>
    <cellStyle name="Calculation 2 7 4 2 2" xfId="3125" xr:uid="{00000000-0005-0000-0000-0000F20D0000}"/>
    <cellStyle name="Calculation 2 7 4 2 2 2" xfId="7189" xr:uid="{00000000-0005-0000-0000-0000F30D0000}"/>
    <cellStyle name="Calculation 2 7 4 2 2 2 2" xfId="23262" xr:uid="{00000000-0005-0000-0000-0000F40D0000}"/>
    <cellStyle name="Calculation 2 7 4 2 2 3" xfId="13463" xr:uid="{00000000-0005-0000-0000-0000F50D0000}"/>
    <cellStyle name="Calculation 2 7 4 2 2 3 2" xfId="28295" xr:uid="{00000000-0005-0000-0000-0000F60D0000}"/>
    <cellStyle name="Calculation 2 7 4 2 2 4" xfId="20953" xr:uid="{00000000-0005-0000-0000-0000F70D0000}"/>
    <cellStyle name="Calculation 2 7 4 2 3" xfId="4898" xr:uid="{00000000-0005-0000-0000-0000F80D0000}"/>
    <cellStyle name="Calculation 2 7 4 2 3 2" xfId="8937" xr:uid="{00000000-0005-0000-0000-0000F90D0000}"/>
    <cellStyle name="Calculation 2 7 4 2 3 2 2" xfId="24403" xr:uid="{00000000-0005-0000-0000-0000FA0D0000}"/>
    <cellStyle name="Calculation 2 7 4 2 3 3" xfId="15221" xr:uid="{00000000-0005-0000-0000-0000FB0D0000}"/>
    <cellStyle name="Calculation 2 7 4 2 3 3 2" xfId="30053" xr:uid="{00000000-0005-0000-0000-0000FC0D0000}"/>
    <cellStyle name="Calculation 2 7 4 2 3 4" xfId="21935" xr:uid="{00000000-0005-0000-0000-0000FD0D0000}"/>
    <cellStyle name="Calculation 2 7 4 2 4" xfId="2888" xr:uid="{00000000-0005-0000-0000-0000FE0D0000}"/>
    <cellStyle name="Calculation 2 7 4 2 4 2" xfId="6973" xr:uid="{00000000-0005-0000-0000-0000FF0D0000}"/>
    <cellStyle name="Calculation 2 7 4 2 4 2 2" xfId="23148" xr:uid="{00000000-0005-0000-0000-0000000E0000}"/>
    <cellStyle name="Calculation 2 7 4 2 4 3" xfId="13226" xr:uid="{00000000-0005-0000-0000-0000010E0000}"/>
    <cellStyle name="Calculation 2 7 4 2 4 3 2" xfId="28058" xr:uid="{00000000-0005-0000-0000-0000020E0000}"/>
    <cellStyle name="Calculation 2 7 4 2 4 4" xfId="20814" xr:uid="{00000000-0005-0000-0000-0000030E0000}"/>
    <cellStyle name="Calculation 2 7 4 2 5" xfId="6051" xr:uid="{00000000-0005-0000-0000-0000040E0000}"/>
    <cellStyle name="Calculation 2 7 4 2 5 2" xfId="16238" xr:uid="{00000000-0005-0000-0000-0000050E0000}"/>
    <cellStyle name="Calculation 2 7 4 2 5 2 2" xfId="31070" xr:uid="{00000000-0005-0000-0000-0000060E0000}"/>
    <cellStyle name="Calculation 2 7 4 2 5 3" xfId="22584" xr:uid="{00000000-0005-0000-0000-0000070E0000}"/>
    <cellStyle name="Calculation 2 7 4 2 6" xfId="12308" xr:uid="{00000000-0005-0000-0000-0000080E0000}"/>
    <cellStyle name="Calculation 2 7 4 2 6 2" xfId="27140" xr:uid="{00000000-0005-0000-0000-0000090E0000}"/>
    <cellStyle name="Calculation 2 7 4 2 7" xfId="9904" xr:uid="{00000000-0005-0000-0000-00000A0E0000}"/>
    <cellStyle name="Calculation 2 7 4 2 7 2" xfId="20107" xr:uid="{00000000-0005-0000-0000-00000B0E0000}"/>
    <cellStyle name="Calculation 2 7 4 3" xfId="3833" xr:uid="{00000000-0005-0000-0000-00000C0E0000}"/>
    <cellStyle name="Calculation 2 7 4 3 2" xfId="7886" xr:uid="{00000000-0005-0000-0000-00000D0E0000}"/>
    <cellStyle name="Calculation 2 7 4 3 2 2" xfId="23726" xr:uid="{00000000-0005-0000-0000-00000E0E0000}"/>
    <cellStyle name="Calculation 2 7 4 3 3" xfId="14168" xr:uid="{00000000-0005-0000-0000-00000F0E0000}"/>
    <cellStyle name="Calculation 2 7 4 3 3 2" xfId="29000" xr:uid="{00000000-0005-0000-0000-0000100E0000}"/>
    <cellStyle name="Calculation 2 7 4 3 4" xfId="21374" xr:uid="{00000000-0005-0000-0000-0000110E0000}"/>
    <cellStyle name="Calculation 2 7 4 4" xfId="4478" xr:uid="{00000000-0005-0000-0000-0000120E0000}"/>
    <cellStyle name="Calculation 2 7 4 4 2" xfId="8517" xr:uid="{00000000-0005-0000-0000-0000130E0000}"/>
    <cellStyle name="Calculation 2 7 4 4 2 2" xfId="24143" xr:uid="{00000000-0005-0000-0000-0000140E0000}"/>
    <cellStyle name="Calculation 2 7 4 4 3" xfId="14806" xr:uid="{00000000-0005-0000-0000-0000150E0000}"/>
    <cellStyle name="Calculation 2 7 4 4 3 2" xfId="29638" xr:uid="{00000000-0005-0000-0000-0000160E0000}"/>
    <cellStyle name="Calculation 2 7 4 4 4" xfId="21705" xr:uid="{00000000-0005-0000-0000-0000170E0000}"/>
    <cellStyle name="Calculation 2 7 4 5" xfId="2468" xr:uid="{00000000-0005-0000-0000-0000180E0000}"/>
    <cellStyle name="Calculation 2 7 4 5 2" xfId="6574" xr:uid="{00000000-0005-0000-0000-0000190E0000}"/>
    <cellStyle name="Calculation 2 7 4 5 2 2" xfId="22912" xr:uid="{00000000-0005-0000-0000-00001A0E0000}"/>
    <cellStyle name="Calculation 2 7 4 5 3" xfId="12807" xr:uid="{00000000-0005-0000-0000-00001B0E0000}"/>
    <cellStyle name="Calculation 2 7 4 5 3 2" xfId="27639" xr:uid="{00000000-0005-0000-0000-00001C0E0000}"/>
    <cellStyle name="Calculation 2 7 4 5 4" xfId="20560" xr:uid="{00000000-0005-0000-0000-00001D0E0000}"/>
    <cellStyle name="Calculation 2 7 4 6" xfId="5592" xr:uid="{00000000-0005-0000-0000-00001E0E0000}"/>
    <cellStyle name="Calculation 2 7 4 6 2" xfId="15827" xr:uid="{00000000-0005-0000-0000-00001F0E0000}"/>
    <cellStyle name="Calculation 2 7 4 6 2 2" xfId="30659" xr:uid="{00000000-0005-0000-0000-0000200E0000}"/>
    <cellStyle name="Calculation 2 7 4 6 3" xfId="22288" xr:uid="{00000000-0005-0000-0000-0000210E0000}"/>
    <cellStyle name="Calculation 2 7 4 7" xfId="11837" xr:uid="{00000000-0005-0000-0000-0000220E0000}"/>
    <cellStyle name="Calculation 2 7 4 7 2" xfId="26669" xr:uid="{00000000-0005-0000-0000-0000230E0000}"/>
    <cellStyle name="Calculation 2 7 4 8" xfId="9509" xr:uid="{00000000-0005-0000-0000-0000240E0000}"/>
    <cellStyle name="Calculation 2 7 4 8 2" xfId="19812" xr:uid="{00000000-0005-0000-0000-0000250E0000}"/>
    <cellStyle name="Calculation 2 7 5" xfId="1429" xr:uid="{00000000-0005-0000-0000-0000260E0000}"/>
    <cellStyle name="Calculation 2 7 5 2" xfId="1930" xr:uid="{00000000-0005-0000-0000-0000270E0000}"/>
    <cellStyle name="Calculation 2 7 5 2 2" xfId="3521" xr:uid="{00000000-0005-0000-0000-0000280E0000}"/>
    <cellStyle name="Calculation 2 7 5 2 2 2" xfId="7583" xr:uid="{00000000-0005-0000-0000-0000290E0000}"/>
    <cellStyle name="Calculation 2 7 5 2 2 2 2" xfId="23531" xr:uid="{00000000-0005-0000-0000-00002A0E0000}"/>
    <cellStyle name="Calculation 2 7 5 2 2 3" xfId="13858" xr:uid="{00000000-0005-0000-0000-00002B0E0000}"/>
    <cellStyle name="Calculation 2 7 5 2 2 3 2" xfId="28690" xr:uid="{00000000-0005-0000-0000-00002C0E0000}"/>
    <cellStyle name="Calculation 2 7 5 2 2 4" xfId="21206" xr:uid="{00000000-0005-0000-0000-00002D0E0000}"/>
    <cellStyle name="Calculation 2 7 5 2 3" xfId="4909" xr:uid="{00000000-0005-0000-0000-00002E0E0000}"/>
    <cellStyle name="Calculation 2 7 5 2 3 2" xfId="8948" xr:uid="{00000000-0005-0000-0000-00002F0E0000}"/>
    <cellStyle name="Calculation 2 7 5 2 3 2 2" xfId="24414" xr:uid="{00000000-0005-0000-0000-0000300E0000}"/>
    <cellStyle name="Calculation 2 7 5 2 3 3" xfId="15231" xr:uid="{00000000-0005-0000-0000-0000310E0000}"/>
    <cellStyle name="Calculation 2 7 5 2 3 3 2" xfId="30063" xr:uid="{00000000-0005-0000-0000-0000320E0000}"/>
    <cellStyle name="Calculation 2 7 5 2 3 4" xfId="21944" xr:uid="{00000000-0005-0000-0000-0000330E0000}"/>
    <cellStyle name="Calculation 2 7 5 2 4" xfId="2899" xr:uid="{00000000-0005-0000-0000-0000340E0000}"/>
    <cellStyle name="Calculation 2 7 5 2 4 2" xfId="6983" xr:uid="{00000000-0005-0000-0000-0000350E0000}"/>
    <cellStyle name="Calculation 2 7 5 2 4 2 2" xfId="23157" xr:uid="{00000000-0005-0000-0000-0000360E0000}"/>
    <cellStyle name="Calculation 2 7 5 2 4 3" xfId="13237" xr:uid="{00000000-0005-0000-0000-0000370E0000}"/>
    <cellStyle name="Calculation 2 7 5 2 4 3 2" xfId="28069" xr:uid="{00000000-0005-0000-0000-0000380E0000}"/>
    <cellStyle name="Calculation 2 7 5 2 4 4" xfId="20825" xr:uid="{00000000-0005-0000-0000-0000390E0000}"/>
    <cellStyle name="Calculation 2 7 5 2 5" xfId="6060" xr:uid="{00000000-0005-0000-0000-00003A0E0000}"/>
    <cellStyle name="Calculation 2 7 5 2 5 2" xfId="16247" xr:uid="{00000000-0005-0000-0000-00003B0E0000}"/>
    <cellStyle name="Calculation 2 7 5 2 5 2 2" xfId="31079" xr:uid="{00000000-0005-0000-0000-00003C0E0000}"/>
    <cellStyle name="Calculation 2 7 5 2 5 3" xfId="22593" xr:uid="{00000000-0005-0000-0000-00003D0E0000}"/>
    <cellStyle name="Calculation 2 7 5 2 6" xfId="12317" xr:uid="{00000000-0005-0000-0000-00003E0E0000}"/>
    <cellStyle name="Calculation 2 7 5 2 6 2" xfId="27149" xr:uid="{00000000-0005-0000-0000-00003F0E0000}"/>
    <cellStyle name="Calculation 2 7 5 2 7" xfId="9914" xr:uid="{00000000-0005-0000-0000-0000400E0000}"/>
    <cellStyle name="Calculation 2 7 5 2 7 2" xfId="20116" xr:uid="{00000000-0005-0000-0000-0000410E0000}"/>
    <cellStyle name="Calculation 2 7 5 3" xfId="4132" xr:uid="{00000000-0005-0000-0000-0000420E0000}"/>
    <cellStyle name="Calculation 2 7 5 3 2" xfId="8176" xr:uid="{00000000-0005-0000-0000-0000430E0000}"/>
    <cellStyle name="Calculation 2 7 5 3 2 2" xfId="23908" xr:uid="{00000000-0005-0000-0000-0000440E0000}"/>
    <cellStyle name="Calculation 2 7 5 3 3" xfId="14464" xr:uid="{00000000-0005-0000-0000-0000450E0000}"/>
    <cellStyle name="Calculation 2 7 5 3 3 2" xfId="29296" xr:uid="{00000000-0005-0000-0000-0000460E0000}"/>
    <cellStyle name="Calculation 2 7 5 3 4" xfId="21535" xr:uid="{00000000-0005-0000-0000-0000470E0000}"/>
    <cellStyle name="Calculation 2 7 5 4" xfId="4489" xr:uid="{00000000-0005-0000-0000-0000480E0000}"/>
    <cellStyle name="Calculation 2 7 5 4 2" xfId="8528" xr:uid="{00000000-0005-0000-0000-0000490E0000}"/>
    <cellStyle name="Calculation 2 7 5 4 2 2" xfId="24154" xr:uid="{00000000-0005-0000-0000-00004A0E0000}"/>
    <cellStyle name="Calculation 2 7 5 4 3" xfId="14816" xr:uid="{00000000-0005-0000-0000-00004B0E0000}"/>
    <cellStyle name="Calculation 2 7 5 4 3 2" xfId="29648" xr:uid="{00000000-0005-0000-0000-00004C0E0000}"/>
    <cellStyle name="Calculation 2 7 5 4 4" xfId="21714" xr:uid="{00000000-0005-0000-0000-00004D0E0000}"/>
    <cellStyle name="Calculation 2 7 5 5" xfId="2479" xr:uid="{00000000-0005-0000-0000-00004E0E0000}"/>
    <cellStyle name="Calculation 2 7 5 5 2" xfId="6585" xr:uid="{00000000-0005-0000-0000-00004F0E0000}"/>
    <cellStyle name="Calculation 2 7 5 5 2 2" xfId="22923" xr:uid="{00000000-0005-0000-0000-0000500E0000}"/>
    <cellStyle name="Calculation 2 7 5 5 3" xfId="12817" xr:uid="{00000000-0005-0000-0000-0000510E0000}"/>
    <cellStyle name="Calculation 2 7 5 5 3 2" xfId="27649" xr:uid="{00000000-0005-0000-0000-0000520E0000}"/>
    <cellStyle name="Calculation 2 7 5 5 4" xfId="20569" xr:uid="{00000000-0005-0000-0000-0000530E0000}"/>
    <cellStyle name="Calculation 2 7 5 6" xfId="5602" xr:uid="{00000000-0005-0000-0000-0000540E0000}"/>
    <cellStyle name="Calculation 2 7 5 6 2" xfId="15837" xr:uid="{00000000-0005-0000-0000-0000550E0000}"/>
    <cellStyle name="Calculation 2 7 5 6 2 2" xfId="30669" xr:uid="{00000000-0005-0000-0000-0000560E0000}"/>
    <cellStyle name="Calculation 2 7 5 6 3" xfId="22298" xr:uid="{00000000-0005-0000-0000-0000570E0000}"/>
    <cellStyle name="Calculation 2 7 5 7" xfId="11846" xr:uid="{00000000-0005-0000-0000-0000580E0000}"/>
    <cellStyle name="Calculation 2 7 5 7 2" xfId="26678" xr:uid="{00000000-0005-0000-0000-0000590E0000}"/>
    <cellStyle name="Calculation 2 7 5 8" xfId="9519" xr:uid="{00000000-0005-0000-0000-00005A0E0000}"/>
    <cellStyle name="Calculation 2 7 5 8 2" xfId="19821" xr:uid="{00000000-0005-0000-0000-00005B0E0000}"/>
    <cellStyle name="Calculation 2 7 6" xfId="1721" xr:uid="{00000000-0005-0000-0000-00005C0E0000}"/>
    <cellStyle name="Calculation 2 7 6 2" xfId="3992" xr:uid="{00000000-0005-0000-0000-00005D0E0000}"/>
    <cellStyle name="Calculation 2 7 6 2 2" xfId="8039" xr:uid="{00000000-0005-0000-0000-00005E0E0000}"/>
    <cellStyle name="Calculation 2 7 6 2 2 2" xfId="23826" xr:uid="{00000000-0005-0000-0000-00005F0E0000}"/>
    <cellStyle name="Calculation 2 7 6 2 3" xfId="14325" xr:uid="{00000000-0005-0000-0000-0000600E0000}"/>
    <cellStyle name="Calculation 2 7 6 2 3 2" xfId="29157" xr:uid="{00000000-0005-0000-0000-0000610E0000}"/>
    <cellStyle name="Calculation 2 7 6 2 4" xfId="21465" xr:uid="{00000000-0005-0000-0000-0000620E0000}"/>
    <cellStyle name="Calculation 2 7 6 3" xfId="4714" xr:uid="{00000000-0005-0000-0000-0000630E0000}"/>
    <cellStyle name="Calculation 2 7 6 3 2" xfId="8753" xr:uid="{00000000-0005-0000-0000-0000640E0000}"/>
    <cellStyle name="Calculation 2 7 6 3 2 2" xfId="24283" xr:uid="{00000000-0005-0000-0000-0000650E0000}"/>
    <cellStyle name="Calculation 2 7 6 3 3" xfId="15038" xr:uid="{00000000-0005-0000-0000-0000660E0000}"/>
    <cellStyle name="Calculation 2 7 6 3 3 2" xfId="29870" xr:uid="{00000000-0005-0000-0000-0000670E0000}"/>
    <cellStyle name="Calculation 2 7 6 3 4" xfId="21821" xr:uid="{00000000-0005-0000-0000-0000680E0000}"/>
    <cellStyle name="Calculation 2 7 6 4" xfId="2704" xr:uid="{00000000-0005-0000-0000-0000690E0000}"/>
    <cellStyle name="Calculation 2 7 6 4 2" xfId="6795" xr:uid="{00000000-0005-0000-0000-00006A0E0000}"/>
    <cellStyle name="Calculation 2 7 6 4 2 2" xfId="23034" xr:uid="{00000000-0005-0000-0000-00006B0E0000}"/>
    <cellStyle name="Calculation 2 7 6 4 3" xfId="13042" xr:uid="{00000000-0005-0000-0000-00006C0E0000}"/>
    <cellStyle name="Calculation 2 7 6 4 3 2" xfId="27874" xr:uid="{00000000-0005-0000-0000-00006D0E0000}"/>
    <cellStyle name="Calculation 2 7 6 4 4" xfId="20694" xr:uid="{00000000-0005-0000-0000-00006E0E0000}"/>
    <cellStyle name="Calculation 2 7 6 5" xfId="5853" xr:uid="{00000000-0005-0000-0000-00006F0E0000}"/>
    <cellStyle name="Calculation 2 7 6 5 2" xfId="16045" xr:uid="{00000000-0005-0000-0000-0000700E0000}"/>
    <cellStyle name="Calculation 2 7 6 5 2 2" xfId="30877" xr:uid="{00000000-0005-0000-0000-0000710E0000}"/>
    <cellStyle name="Calculation 2 7 6 5 3" xfId="22450" xr:uid="{00000000-0005-0000-0000-0000720E0000}"/>
    <cellStyle name="Calculation 2 7 6 6" xfId="12115" xr:uid="{00000000-0005-0000-0000-0000730E0000}"/>
    <cellStyle name="Calculation 2 7 6 6 2" xfId="26947" xr:uid="{00000000-0005-0000-0000-0000740E0000}"/>
    <cellStyle name="Calculation 2 7 6 7" xfId="9726" xr:uid="{00000000-0005-0000-0000-0000750E0000}"/>
    <cellStyle name="Calculation 2 7 6 7 2" xfId="20024" xr:uid="{00000000-0005-0000-0000-0000760E0000}"/>
    <cellStyle name="Calculation 2 7 7" xfId="2230" xr:uid="{00000000-0005-0000-0000-0000770E0000}"/>
    <cellStyle name="Calculation 2 7 7 2" xfId="3602" xr:uid="{00000000-0005-0000-0000-0000780E0000}"/>
    <cellStyle name="Calculation 2 7 7 2 2" xfId="7663" xr:uid="{00000000-0005-0000-0000-0000790E0000}"/>
    <cellStyle name="Calculation 2 7 7 2 2 2" xfId="23575" xr:uid="{00000000-0005-0000-0000-00007A0E0000}"/>
    <cellStyle name="Calculation 2 7 7 2 3" xfId="13938" xr:uid="{00000000-0005-0000-0000-00007B0E0000}"/>
    <cellStyle name="Calculation 2 7 7 2 3 2" xfId="28770" xr:uid="{00000000-0005-0000-0000-00007C0E0000}"/>
    <cellStyle name="Calculation 2 7 7 2 4" xfId="21245" xr:uid="{00000000-0005-0000-0000-00007D0E0000}"/>
    <cellStyle name="Calculation 2 7 7 3" xfId="5198" xr:uid="{00000000-0005-0000-0000-00007E0E0000}"/>
    <cellStyle name="Calculation 2 7 7 3 2" xfId="9237" xr:uid="{00000000-0005-0000-0000-00007F0E0000}"/>
    <cellStyle name="Calculation 2 7 7 3 2 2" xfId="24575" xr:uid="{00000000-0005-0000-0000-0000800E0000}"/>
    <cellStyle name="Calculation 2 7 7 3 3" xfId="15516" xr:uid="{00000000-0005-0000-0000-0000810E0000}"/>
    <cellStyle name="Calculation 2 7 7 3 3 2" xfId="30348" xr:uid="{00000000-0005-0000-0000-0000820E0000}"/>
    <cellStyle name="Calculation 2 7 7 3 4" xfId="22082" xr:uid="{00000000-0005-0000-0000-0000830E0000}"/>
    <cellStyle name="Calculation 2 7 7 4" xfId="4228" xr:uid="{00000000-0005-0000-0000-0000840E0000}"/>
    <cellStyle name="Calculation 2 7 7 4 2" xfId="8269" xr:uid="{00000000-0005-0000-0000-0000850E0000}"/>
    <cellStyle name="Calculation 2 7 7 4 2 2" xfId="23964" xr:uid="{00000000-0005-0000-0000-0000860E0000}"/>
    <cellStyle name="Calculation 2 7 7 4 3" xfId="14560" xr:uid="{00000000-0005-0000-0000-0000870E0000}"/>
    <cellStyle name="Calculation 2 7 7 4 3 2" xfId="29392" xr:uid="{00000000-0005-0000-0000-0000880E0000}"/>
    <cellStyle name="Calculation 2 7 7 4 4" xfId="21589" xr:uid="{00000000-0005-0000-0000-0000890E0000}"/>
    <cellStyle name="Calculation 2 7 7 5" xfId="6344" xr:uid="{00000000-0005-0000-0000-00008A0E0000}"/>
    <cellStyle name="Calculation 2 7 7 5 2" xfId="22746" xr:uid="{00000000-0005-0000-0000-00008B0E0000}"/>
    <cellStyle name="Calculation 2 7 7 6" xfId="12598" xr:uid="{00000000-0005-0000-0000-00008C0E0000}"/>
    <cellStyle name="Calculation 2 7 7 6 2" xfId="27430" xr:uid="{00000000-0005-0000-0000-00008D0E0000}"/>
    <cellStyle name="Calculation 2 7 7 7" xfId="20425" xr:uid="{00000000-0005-0000-0000-00008E0E0000}"/>
    <cellStyle name="Calculation 2 7 8" xfId="3979" xr:uid="{00000000-0005-0000-0000-00008F0E0000}"/>
    <cellStyle name="Calculation 2 7 8 2" xfId="8028" xr:uid="{00000000-0005-0000-0000-0000900E0000}"/>
    <cellStyle name="Calculation 2 7 8 2 2" xfId="23818" xr:uid="{00000000-0005-0000-0000-0000910E0000}"/>
    <cellStyle name="Calculation 2 7 8 3" xfId="14312" xr:uid="{00000000-0005-0000-0000-0000920E0000}"/>
    <cellStyle name="Calculation 2 7 8 3 2" xfId="29144" xr:uid="{00000000-0005-0000-0000-0000930E0000}"/>
    <cellStyle name="Calculation 2 7 8 4" xfId="21456" xr:uid="{00000000-0005-0000-0000-0000940E0000}"/>
    <cellStyle name="Calculation 2 7 9" xfId="3341" xr:uid="{00000000-0005-0000-0000-0000950E0000}"/>
    <cellStyle name="Calculation 2 7 9 2" xfId="7404" xr:uid="{00000000-0005-0000-0000-0000960E0000}"/>
    <cellStyle name="Calculation 2 7 9 2 2" xfId="23409" xr:uid="{00000000-0005-0000-0000-0000970E0000}"/>
    <cellStyle name="Calculation 2 7 9 3" xfId="13678" xr:uid="{00000000-0005-0000-0000-0000980E0000}"/>
    <cellStyle name="Calculation 2 7 9 3 2" xfId="28510" xr:uid="{00000000-0005-0000-0000-0000990E0000}"/>
    <cellStyle name="Calculation 2 7 9 4" xfId="21096" xr:uid="{00000000-0005-0000-0000-00009A0E0000}"/>
    <cellStyle name="Calculation 2 8" xfId="969" xr:uid="{00000000-0005-0000-0000-00009B0E0000}"/>
    <cellStyle name="Calculation 2 8 10" xfId="2275" xr:uid="{00000000-0005-0000-0000-00009C0E0000}"/>
    <cellStyle name="Calculation 2 8 10 2" xfId="6387" xr:uid="{00000000-0005-0000-0000-00009D0E0000}"/>
    <cellStyle name="Calculation 2 8 10 2 2" xfId="22789" xr:uid="{00000000-0005-0000-0000-00009E0E0000}"/>
    <cellStyle name="Calculation 2 8 10 3" xfId="12615" xr:uid="{00000000-0005-0000-0000-00009F0E0000}"/>
    <cellStyle name="Calculation 2 8 10 3 2" xfId="27447" xr:uid="{00000000-0005-0000-0000-0000A00E0000}"/>
    <cellStyle name="Calculation 2 8 10 4" xfId="20441" xr:uid="{00000000-0005-0000-0000-0000A10E0000}"/>
    <cellStyle name="Calculation 2 8 11" xfId="5241" xr:uid="{00000000-0005-0000-0000-0000A20E0000}"/>
    <cellStyle name="Calculation 2 8 11 2" xfId="15557" xr:uid="{00000000-0005-0000-0000-0000A30E0000}"/>
    <cellStyle name="Calculation 2 8 11 2 2" xfId="30389" xr:uid="{00000000-0005-0000-0000-0000A40E0000}"/>
    <cellStyle name="Calculation 2 8 11 3" xfId="22098" xr:uid="{00000000-0005-0000-0000-0000A50E0000}"/>
    <cellStyle name="Calculation 2 8 12" xfId="5399" xr:uid="{00000000-0005-0000-0000-0000A60E0000}"/>
    <cellStyle name="Calculation 2 8 12 2" xfId="15635" xr:uid="{00000000-0005-0000-0000-0000A70E0000}"/>
    <cellStyle name="Calculation 2 8 12 2 2" xfId="30467" xr:uid="{00000000-0005-0000-0000-0000A80E0000}"/>
    <cellStyle name="Calculation 2 8 12 3" xfId="22160" xr:uid="{00000000-0005-0000-0000-0000A90E0000}"/>
    <cellStyle name="Calculation 2 8 13" xfId="9392" xr:uid="{00000000-0005-0000-0000-0000AA0E0000}"/>
    <cellStyle name="Calculation 2 8 13 2" xfId="24698" xr:uid="{00000000-0005-0000-0000-0000AB0E0000}"/>
    <cellStyle name="Calculation 2 8 14" xfId="6742" xr:uid="{00000000-0005-0000-0000-0000AC0E0000}"/>
    <cellStyle name="Calculation 2 8 14 2" xfId="18738" xr:uid="{00000000-0005-0000-0000-0000AD0E0000}"/>
    <cellStyle name="Calculation 2 8 2" xfId="1311" xr:uid="{00000000-0005-0000-0000-0000AE0E0000}"/>
    <cellStyle name="Calculation 2 8 2 2" xfId="1815" xr:uid="{00000000-0005-0000-0000-0000AF0E0000}"/>
    <cellStyle name="Calculation 2 8 2 2 2" xfId="3950" xr:uid="{00000000-0005-0000-0000-0000B00E0000}"/>
    <cellStyle name="Calculation 2 8 2 2 2 2" xfId="8000" xr:uid="{00000000-0005-0000-0000-0000B10E0000}"/>
    <cellStyle name="Calculation 2 8 2 2 2 2 2" xfId="23800" xr:uid="{00000000-0005-0000-0000-0000B20E0000}"/>
    <cellStyle name="Calculation 2 8 2 2 2 3" xfId="14283" xr:uid="{00000000-0005-0000-0000-0000B30E0000}"/>
    <cellStyle name="Calculation 2 8 2 2 2 3 2" xfId="29115" xr:uid="{00000000-0005-0000-0000-0000B40E0000}"/>
    <cellStyle name="Calculation 2 8 2 2 2 4" xfId="21442" xr:uid="{00000000-0005-0000-0000-0000B50E0000}"/>
    <cellStyle name="Calculation 2 8 2 2 3" xfId="4793" xr:uid="{00000000-0005-0000-0000-0000B60E0000}"/>
    <cellStyle name="Calculation 2 8 2 2 3 2" xfId="8832" xr:uid="{00000000-0005-0000-0000-0000B70E0000}"/>
    <cellStyle name="Calculation 2 8 2 2 3 2 2" xfId="24330" xr:uid="{00000000-0005-0000-0000-0000B80E0000}"/>
    <cellStyle name="Calculation 2 8 2 2 3 3" xfId="15117" xr:uid="{00000000-0005-0000-0000-0000B90E0000}"/>
    <cellStyle name="Calculation 2 8 2 2 3 3 2" xfId="29949" xr:uid="{00000000-0005-0000-0000-0000BA0E0000}"/>
    <cellStyle name="Calculation 2 8 2 2 3 4" xfId="21868" xr:uid="{00000000-0005-0000-0000-0000BB0E0000}"/>
    <cellStyle name="Calculation 2 8 2 2 4" xfId="2783" xr:uid="{00000000-0005-0000-0000-0000BC0E0000}"/>
    <cellStyle name="Calculation 2 8 2 2 4 2" xfId="6874" xr:uid="{00000000-0005-0000-0000-0000BD0E0000}"/>
    <cellStyle name="Calculation 2 8 2 2 4 2 2" xfId="23081" xr:uid="{00000000-0005-0000-0000-0000BE0E0000}"/>
    <cellStyle name="Calculation 2 8 2 2 4 3" xfId="13121" xr:uid="{00000000-0005-0000-0000-0000BF0E0000}"/>
    <cellStyle name="Calculation 2 8 2 2 4 3 2" xfId="27953" xr:uid="{00000000-0005-0000-0000-0000C00E0000}"/>
    <cellStyle name="Calculation 2 8 2 2 4 4" xfId="20741" xr:uid="{00000000-0005-0000-0000-0000C10E0000}"/>
    <cellStyle name="Calculation 2 8 2 2 5" xfId="5947" xr:uid="{00000000-0005-0000-0000-0000C20E0000}"/>
    <cellStyle name="Calculation 2 8 2 2 5 2" xfId="16139" xr:uid="{00000000-0005-0000-0000-0000C30E0000}"/>
    <cellStyle name="Calculation 2 8 2 2 5 2 2" xfId="30971" xr:uid="{00000000-0005-0000-0000-0000C40E0000}"/>
    <cellStyle name="Calculation 2 8 2 2 5 3" xfId="22512" xr:uid="{00000000-0005-0000-0000-0000C50E0000}"/>
    <cellStyle name="Calculation 2 8 2 2 6" xfId="12209" xr:uid="{00000000-0005-0000-0000-0000C60E0000}"/>
    <cellStyle name="Calculation 2 8 2 2 6 2" xfId="27041" xr:uid="{00000000-0005-0000-0000-0000C70E0000}"/>
    <cellStyle name="Calculation 2 8 2 2 7" xfId="9805" xr:uid="{00000000-0005-0000-0000-0000C80E0000}"/>
    <cellStyle name="Calculation 2 8 2 2 7 2" xfId="20056" xr:uid="{00000000-0005-0000-0000-0000C90E0000}"/>
    <cellStyle name="Calculation 2 8 2 3" xfId="3152" xr:uid="{00000000-0005-0000-0000-0000CA0E0000}"/>
    <cellStyle name="Calculation 2 8 2 3 2" xfId="7216" xr:uid="{00000000-0005-0000-0000-0000CB0E0000}"/>
    <cellStyle name="Calculation 2 8 2 3 2 2" xfId="23284" xr:uid="{00000000-0005-0000-0000-0000CC0E0000}"/>
    <cellStyle name="Calculation 2 8 2 3 3" xfId="13490" xr:uid="{00000000-0005-0000-0000-0000CD0E0000}"/>
    <cellStyle name="Calculation 2 8 2 3 3 2" xfId="28322" xr:uid="{00000000-0005-0000-0000-0000CE0E0000}"/>
    <cellStyle name="Calculation 2 8 2 3 4" xfId="20975" xr:uid="{00000000-0005-0000-0000-0000CF0E0000}"/>
    <cellStyle name="Calculation 2 8 2 4" xfId="4373" xr:uid="{00000000-0005-0000-0000-0000D00E0000}"/>
    <cellStyle name="Calculation 2 8 2 4 2" xfId="8412" xr:uid="{00000000-0005-0000-0000-0000D10E0000}"/>
    <cellStyle name="Calculation 2 8 2 4 2 2" xfId="24070" xr:uid="{00000000-0005-0000-0000-0000D20E0000}"/>
    <cellStyle name="Calculation 2 8 2 4 3" xfId="14702" xr:uid="{00000000-0005-0000-0000-0000D30E0000}"/>
    <cellStyle name="Calculation 2 8 2 4 3 2" xfId="29534" xr:uid="{00000000-0005-0000-0000-0000D40E0000}"/>
    <cellStyle name="Calculation 2 8 2 4 4" xfId="21638" xr:uid="{00000000-0005-0000-0000-0000D50E0000}"/>
    <cellStyle name="Calculation 2 8 2 5" xfId="2363" xr:uid="{00000000-0005-0000-0000-0000D60E0000}"/>
    <cellStyle name="Calculation 2 8 2 5 2" xfId="6475" xr:uid="{00000000-0005-0000-0000-0000D70E0000}"/>
    <cellStyle name="Calculation 2 8 2 5 2 2" xfId="22845" xr:uid="{00000000-0005-0000-0000-0000D80E0000}"/>
    <cellStyle name="Calculation 2 8 2 5 3" xfId="12702" xr:uid="{00000000-0005-0000-0000-0000D90E0000}"/>
    <cellStyle name="Calculation 2 8 2 5 3 2" xfId="27534" xr:uid="{00000000-0005-0000-0000-0000DA0E0000}"/>
    <cellStyle name="Calculation 2 8 2 5 4" xfId="20487" xr:uid="{00000000-0005-0000-0000-0000DB0E0000}"/>
    <cellStyle name="Calculation 2 8 2 6" xfId="5488" xr:uid="{00000000-0005-0000-0000-0000DC0E0000}"/>
    <cellStyle name="Calculation 2 8 2 6 2" xfId="15723" xr:uid="{00000000-0005-0000-0000-0000DD0E0000}"/>
    <cellStyle name="Calculation 2 8 2 6 2 2" xfId="30555" xr:uid="{00000000-0005-0000-0000-0000DE0E0000}"/>
    <cellStyle name="Calculation 2 8 2 6 3" xfId="22216" xr:uid="{00000000-0005-0000-0000-0000DF0E0000}"/>
    <cellStyle name="Calculation 2 8 2 7" xfId="11738" xr:uid="{00000000-0005-0000-0000-0000E00E0000}"/>
    <cellStyle name="Calculation 2 8 2 7 2" xfId="26570" xr:uid="{00000000-0005-0000-0000-0000E10E0000}"/>
    <cellStyle name="Calculation 2 8 2 8" xfId="9409" xr:uid="{00000000-0005-0000-0000-0000E20E0000}"/>
    <cellStyle name="Calculation 2 8 2 8 2" xfId="19713" xr:uid="{00000000-0005-0000-0000-0000E30E0000}"/>
    <cellStyle name="Calculation 2 8 3" xfId="1445" xr:uid="{00000000-0005-0000-0000-0000E40E0000}"/>
    <cellStyle name="Calculation 2 8 3 2" xfId="1946" xr:uid="{00000000-0005-0000-0000-0000E50E0000}"/>
    <cellStyle name="Calculation 2 8 3 2 2" xfId="3710" xr:uid="{00000000-0005-0000-0000-0000E60E0000}"/>
    <cellStyle name="Calculation 2 8 3 2 2 2" xfId="7766" xr:uid="{00000000-0005-0000-0000-0000E70E0000}"/>
    <cellStyle name="Calculation 2 8 3 2 2 2 2" xfId="23648" xr:uid="{00000000-0005-0000-0000-0000E80E0000}"/>
    <cellStyle name="Calculation 2 8 3 2 2 3" xfId="14045" xr:uid="{00000000-0005-0000-0000-0000E90E0000}"/>
    <cellStyle name="Calculation 2 8 3 2 2 3 2" xfId="28877" xr:uid="{00000000-0005-0000-0000-0000EA0E0000}"/>
    <cellStyle name="Calculation 2 8 3 2 2 4" xfId="21308" xr:uid="{00000000-0005-0000-0000-0000EB0E0000}"/>
    <cellStyle name="Calculation 2 8 3 2 3" xfId="4925" xr:uid="{00000000-0005-0000-0000-0000EC0E0000}"/>
    <cellStyle name="Calculation 2 8 3 2 3 2" xfId="8964" xr:uid="{00000000-0005-0000-0000-0000ED0E0000}"/>
    <cellStyle name="Calculation 2 8 3 2 3 2 2" xfId="24430" xr:uid="{00000000-0005-0000-0000-0000EE0E0000}"/>
    <cellStyle name="Calculation 2 8 3 2 3 3" xfId="15247" xr:uid="{00000000-0005-0000-0000-0000EF0E0000}"/>
    <cellStyle name="Calculation 2 8 3 2 3 3 2" xfId="30079" xr:uid="{00000000-0005-0000-0000-0000F00E0000}"/>
    <cellStyle name="Calculation 2 8 3 2 3 4" xfId="21960" xr:uid="{00000000-0005-0000-0000-0000F10E0000}"/>
    <cellStyle name="Calculation 2 8 3 2 4" xfId="2915" xr:uid="{00000000-0005-0000-0000-0000F20E0000}"/>
    <cellStyle name="Calculation 2 8 3 2 4 2" xfId="6999" xr:uid="{00000000-0005-0000-0000-0000F30E0000}"/>
    <cellStyle name="Calculation 2 8 3 2 4 2 2" xfId="23173" xr:uid="{00000000-0005-0000-0000-0000F40E0000}"/>
    <cellStyle name="Calculation 2 8 3 2 4 3" xfId="13253" xr:uid="{00000000-0005-0000-0000-0000F50E0000}"/>
    <cellStyle name="Calculation 2 8 3 2 4 3 2" xfId="28085" xr:uid="{00000000-0005-0000-0000-0000F60E0000}"/>
    <cellStyle name="Calculation 2 8 3 2 4 4" xfId="20841" xr:uid="{00000000-0005-0000-0000-0000F70E0000}"/>
    <cellStyle name="Calculation 2 8 3 2 5" xfId="6076" xr:uid="{00000000-0005-0000-0000-0000F80E0000}"/>
    <cellStyle name="Calculation 2 8 3 2 5 2" xfId="16263" xr:uid="{00000000-0005-0000-0000-0000F90E0000}"/>
    <cellStyle name="Calculation 2 8 3 2 5 2 2" xfId="31095" xr:uid="{00000000-0005-0000-0000-0000FA0E0000}"/>
    <cellStyle name="Calculation 2 8 3 2 5 3" xfId="22609" xr:uid="{00000000-0005-0000-0000-0000FB0E0000}"/>
    <cellStyle name="Calculation 2 8 3 2 6" xfId="12333" xr:uid="{00000000-0005-0000-0000-0000FC0E0000}"/>
    <cellStyle name="Calculation 2 8 3 2 6 2" xfId="27165" xr:uid="{00000000-0005-0000-0000-0000FD0E0000}"/>
    <cellStyle name="Calculation 2 8 3 2 7" xfId="9930" xr:uid="{00000000-0005-0000-0000-0000FE0E0000}"/>
    <cellStyle name="Calculation 2 8 3 2 7 2" xfId="20132" xr:uid="{00000000-0005-0000-0000-0000FF0E0000}"/>
    <cellStyle name="Calculation 2 8 3 3" xfId="4044" xr:uid="{00000000-0005-0000-0000-0000000F0000}"/>
    <cellStyle name="Calculation 2 8 3 3 2" xfId="8091" xr:uid="{00000000-0005-0000-0000-0000010F0000}"/>
    <cellStyle name="Calculation 2 8 3 3 2 2" xfId="23856" xr:uid="{00000000-0005-0000-0000-0000020F0000}"/>
    <cellStyle name="Calculation 2 8 3 3 3" xfId="14376" xr:uid="{00000000-0005-0000-0000-0000030F0000}"/>
    <cellStyle name="Calculation 2 8 3 3 3 2" xfId="29208" xr:uid="{00000000-0005-0000-0000-0000040F0000}"/>
    <cellStyle name="Calculation 2 8 3 3 4" xfId="21490" xr:uid="{00000000-0005-0000-0000-0000050F0000}"/>
    <cellStyle name="Calculation 2 8 3 4" xfId="4505" xr:uid="{00000000-0005-0000-0000-0000060F0000}"/>
    <cellStyle name="Calculation 2 8 3 4 2" xfId="8544" xr:uid="{00000000-0005-0000-0000-0000070F0000}"/>
    <cellStyle name="Calculation 2 8 3 4 2 2" xfId="24170" xr:uid="{00000000-0005-0000-0000-0000080F0000}"/>
    <cellStyle name="Calculation 2 8 3 4 3" xfId="14832" xr:uid="{00000000-0005-0000-0000-0000090F0000}"/>
    <cellStyle name="Calculation 2 8 3 4 3 2" xfId="29664" xr:uid="{00000000-0005-0000-0000-00000A0F0000}"/>
    <cellStyle name="Calculation 2 8 3 4 4" xfId="21730" xr:uid="{00000000-0005-0000-0000-00000B0F0000}"/>
    <cellStyle name="Calculation 2 8 3 5" xfId="2495" xr:uid="{00000000-0005-0000-0000-00000C0F0000}"/>
    <cellStyle name="Calculation 2 8 3 5 2" xfId="6601" xr:uid="{00000000-0005-0000-0000-00000D0F0000}"/>
    <cellStyle name="Calculation 2 8 3 5 2 2" xfId="22939" xr:uid="{00000000-0005-0000-0000-00000E0F0000}"/>
    <cellStyle name="Calculation 2 8 3 5 3" xfId="12833" xr:uid="{00000000-0005-0000-0000-00000F0F0000}"/>
    <cellStyle name="Calculation 2 8 3 5 3 2" xfId="27665" xr:uid="{00000000-0005-0000-0000-0000100F0000}"/>
    <cellStyle name="Calculation 2 8 3 5 4" xfId="20585" xr:uid="{00000000-0005-0000-0000-0000110F0000}"/>
    <cellStyle name="Calculation 2 8 3 6" xfId="5618" xr:uid="{00000000-0005-0000-0000-0000120F0000}"/>
    <cellStyle name="Calculation 2 8 3 6 2" xfId="15853" xr:uid="{00000000-0005-0000-0000-0000130F0000}"/>
    <cellStyle name="Calculation 2 8 3 6 2 2" xfId="30685" xr:uid="{00000000-0005-0000-0000-0000140F0000}"/>
    <cellStyle name="Calculation 2 8 3 6 3" xfId="22314" xr:uid="{00000000-0005-0000-0000-0000150F0000}"/>
    <cellStyle name="Calculation 2 8 3 7" xfId="11862" xr:uid="{00000000-0005-0000-0000-0000160F0000}"/>
    <cellStyle name="Calculation 2 8 3 7 2" xfId="26694" xr:uid="{00000000-0005-0000-0000-0000170F0000}"/>
    <cellStyle name="Calculation 2 8 3 8" xfId="9535" xr:uid="{00000000-0005-0000-0000-0000180F0000}"/>
    <cellStyle name="Calculation 2 8 3 8 2" xfId="19837" xr:uid="{00000000-0005-0000-0000-0000190F0000}"/>
    <cellStyle name="Calculation 2 8 4" xfId="1410" xr:uid="{00000000-0005-0000-0000-00001A0F0000}"/>
    <cellStyle name="Calculation 2 8 4 2" xfId="1912" xr:uid="{00000000-0005-0000-0000-00001B0F0000}"/>
    <cellStyle name="Calculation 2 8 4 2 2" xfId="4109" xr:uid="{00000000-0005-0000-0000-00001C0F0000}"/>
    <cellStyle name="Calculation 2 8 4 2 2 2" xfId="8155" xr:uid="{00000000-0005-0000-0000-00001D0F0000}"/>
    <cellStyle name="Calculation 2 8 4 2 2 2 2" xfId="23895" xr:uid="{00000000-0005-0000-0000-00001E0F0000}"/>
    <cellStyle name="Calculation 2 8 4 2 2 3" xfId="14441" xr:uid="{00000000-0005-0000-0000-00001F0F0000}"/>
    <cellStyle name="Calculation 2 8 4 2 2 3 2" xfId="29273" xr:uid="{00000000-0005-0000-0000-0000200F0000}"/>
    <cellStyle name="Calculation 2 8 4 2 2 4" xfId="21525" xr:uid="{00000000-0005-0000-0000-0000210F0000}"/>
    <cellStyle name="Calculation 2 8 4 2 3" xfId="4890" xr:uid="{00000000-0005-0000-0000-0000220F0000}"/>
    <cellStyle name="Calculation 2 8 4 2 3 2" xfId="8929" xr:uid="{00000000-0005-0000-0000-0000230F0000}"/>
    <cellStyle name="Calculation 2 8 4 2 3 2 2" xfId="24395" xr:uid="{00000000-0005-0000-0000-0000240F0000}"/>
    <cellStyle name="Calculation 2 8 4 2 3 3" xfId="15213" xr:uid="{00000000-0005-0000-0000-0000250F0000}"/>
    <cellStyle name="Calculation 2 8 4 2 3 3 2" xfId="30045" xr:uid="{00000000-0005-0000-0000-0000260F0000}"/>
    <cellStyle name="Calculation 2 8 4 2 3 4" xfId="21927" xr:uid="{00000000-0005-0000-0000-0000270F0000}"/>
    <cellStyle name="Calculation 2 8 4 2 4" xfId="2880" xr:uid="{00000000-0005-0000-0000-0000280F0000}"/>
    <cellStyle name="Calculation 2 8 4 2 4 2" xfId="6965" xr:uid="{00000000-0005-0000-0000-0000290F0000}"/>
    <cellStyle name="Calculation 2 8 4 2 4 2 2" xfId="23140" xr:uid="{00000000-0005-0000-0000-00002A0F0000}"/>
    <cellStyle name="Calculation 2 8 4 2 4 3" xfId="13218" xr:uid="{00000000-0005-0000-0000-00002B0F0000}"/>
    <cellStyle name="Calculation 2 8 4 2 4 3 2" xfId="28050" xr:uid="{00000000-0005-0000-0000-00002C0F0000}"/>
    <cellStyle name="Calculation 2 8 4 2 4 4" xfId="20806" xr:uid="{00000000-0005-0000-0000-00002D0F0000}"/>
    <cellStyle name="Calculation 2 8 4 2 5" xfId="6043" xr:uid="{00000000-0005-0000-0000-00002E0F0000}"/>
    <cellStyle name="Calculation 2 8 4 2 5 2" xfId="16230" xr:uid="{00000000-0005-0000-0000-00002F0F0000}"/>
    <cellStyle name="Calculation 2 8 4 2 5 2 2" xfId="31062" xr:uid="{00000000-0005-0000-0000-0000300F0000}"/>
    <cellStyle name="Calculation 2 8 4 2 5 3" xfId="22576" xr:uid="{00000000-0005-0000-0000-0000310F0000}"/>
    <cellStyle name="Calculation 2 8 4 2 6" xfId="12300" xr:uid="{00000000-0005-0000-0000-0000320F0000}"/>
    <cellStyle name="Calculation 2 8 4 2 6 2" xfId="27132" xr:uid="{00000000-0005-0000-0000-0000330F0000}"/>
    <cellStyle name="Calculation 2 8 4 2 7" xfId="9896" xr:uid="{00000000-0005-0000-0000-0000340F0000}"/>
    <cellStyle name="Calculation 2 8 4 2 7 2" xfId="20099" xr:uid="{00000000-0005-0000-0000-0000350F0000}"/>
    <cellStyle name="Calculation 2 8 4 3" xfId="3163" xr:uid="{00000000-0005-0000-0000-0000360F0000}"/>
    <cellStyle name="Calculation 2 8 4 3 2" xfId="7227" xr:uid="{00000000-0005-0000-0000-0000370F0000}"/>
    <cellStyle name="Calculation 2 8 4 3 2 2" xfId="23290" xr:uid="{00000000-0005-0000-0000-0000380F0000}"/>
    <cellStyle name="Calculation 2 8 4 3 3" xfId="13501" xr:uid="{00000000-0005-0000-0000-0000390F0000}"/>
    <cellStyle name="Calculation 2 8 4 3 3 2" xfId="28333" xr:uid="{00000000-0005-0000-0000-00003A0F0000}"/>
    <cellStyle name="Calculation 2 8 4 3 4" xfId="20981" xr:uid="{00000000-0005-0000-0000-00003B0F0000}"/>
    <cellStyle name="Calculation 2 8 4 4" xfId="4470" xr:uid="{00000000-0005-0000-0000-00003C0F0000}"/>
    <cellStyle name="Calculation 2 8 4 4 2" xfId="8509" xr:uid="{00000000-0005-0000-0000-00003D0F0000}"/>
    <cellStyle name="Calculation 2 8 4 4 2 2" xfId="24135" xr:uid="{00000000-0005-0000-0000-00003E0F0000}"/>
    <cellStyle name="Calculation 2 8 4 4 3" xfId="14798" xr:uid="{00000000-0005-0000-0000-00003F0F0000}"/>
    <cellStyle name="Calculation 2 8 4 4 3 2" xfId="29630" xr:uid="{00000000-0005-0000-0000-0000400F0000}"/>
    <cellStyle name="Calculation 2 8 4 4 4" xfId="21697" xr:uid="{00000000-0005-0000-0000-0000410F0000}"/>
    <cellStyle name="Calculation 2 8 4 5" xfId="2460" xr:uid="{00000000-0005-0000-0000-0000420F0000}"/>
    <cellStyle name="Calculation 2 8 4 5 2" xfId="6566" xr:uid="{00000000-0005-0000-0000-0000430F0000}"/>
    <cellStyle name="Calculation 2 8 4 5 2 2" xfId="22904" xr:uid="{00000000-0005-0000-0000-0000440F0000}"/>
    <cellStyle name="Calculation 2 8 4 5 3" xfId="12799" xr:uid="{00000000-0005-0000-0000-0000450F0000}"/>
    <cellStyle name="Calculation 2 8 4 5 3 2" xfId="27631" xr:uid="{00000000-0005-0000-0000-0000460F0000}"/>
    <cellStyle name="Calculation 2 8 4 5 4" xfId="20552" xr:uid="{00000000-0005-0000-0000-0000470F0000}"/>
    <cellStyle name="Calculation 2 8 4 6" xfId="5584" xr:uid="{00000000-0005-0000-0000-0000480F0000}"/>
    <cellStyle name="Calculation 2 8 4 6 2" xfId="15819" xr:uid="{00000000-0005-0000-0000-0000490F0000}"/>
    <cellStyle name="Calculation 2 8 4 6 2 2" xfId="30651" xr:uid="{00000000-0005-0000-0000-00004A0F0000}"/>
    <cellStyle name="Calculation 2 8 4 6 3" xfId="22280" xr:uid="{00000000-0005-0000-0000-00004B0F0000}"/>
    <cellStyle name="Calculation 2 8 4 7" xfId="11829" xr:uid="{00000000-0005-0000-0000-00004C0F0000}"/>
    <cellStyle name="Calculation 2 8 4 7 2" xfId="26661" xr:uid="{00000000-0005-0000-0000-00004D0F0000}"/>
    <cellStyle name="Calculation 2 8 4 8" xfId="9501" xr:uid="{00000000-0005-0000-0000-00004E0F0000}"/>
    <cellStyle name="Calculation 2 8 4 8 2" xfId="19804" xr:uid="{00000000-0005-0000-0000-00004F0F0000}"/>
    <cellStyle name="Calculation 2 8 5" xfId="1430" xr:uid="{00000000-0005-0000-0000-0000500F0000}"/>
    <cellStyle name="Calculation 2 8 5 2" xfId="1931" xr:uid="{00000000-0005-0000-0000-0000510F0000}"/>
    <cellStyle name="Calculation 2 8 5 2 2" xfId="4065" xr:uid="{00000000-0005-0000-0000-0000520F0000}"/>
    <cellStyle name="Calculation 2 8 5 2 2 2" xfId="8112" xr:uid="{00000000-0005-0000-0000-0000530F0000}"/>
    <cellStyle name="Calculation 2 8 5 2 2 2 2" xfId="23869" xr:uid="{00000000-0005-0000-0000-0000540F0000}"/>
    <cellStyle name="Calculation 2 8 5 2 2 3" xfId="14397" xr:uid="{00000000-0005-0000-0000-0000550F0000}"/>
    <cellStyle name="Calculation 2 8 5 2 2 3 2" xfId="29229" xr:uid="{00000000-0005-0000-0000-0000560F0000}"/>
    <cellStyle name="Calculation 2 8 5 2 2 4" xfId="21503" xr:uid="{00000000-0005-0000-0000-0000570F0000}"/>
    <cellStyle name="Calculation 2 8 5 2 3" xfId="4910" xr:uid="{00000000-0005-0000-0000-0000580F0000}"/>
    <cellStyle name="Calculation 2 8 5 2 3 2" xfId="8949" xr:uid="{00000000-0005-0000-0000-0000590F0000}"/>
    <cellStyle name="Calculation 2 8 5 2 3 2 2" xfId="24415" xr:uid="{00000000-0005-0000-0000-00005A0F0000}"/>
    <cellStyle name="Calculation 2 8 5 2 3 3" xfId="15232" xr:uid="{00000000-0005-0000-0000-00005B0F0000}"/>
    <cellStyle name="Calculation 2 8 5 2 3 3 2" xfId="30064" xr:uid="{00000000-0005-0000-0000-00005C0F0000}"/>
    <cellStyle name="Calculation 2 8 5 2 3 4" xfId="21945" xr:uid="{00000000-0005-0000-0000-00005D0F0000}"/>
    <cellStyle name="Calculation 2 8 5 2 4" xfId="2900" xr:uid="{00000000-0005-0000-0000-00005E0F0000}"/>
    <cellStyle name="Calculation 2 8 5 2 4 2" xfId="6984" xr:uid="{00000000-0005-0000-0000-00005F0F0000}"/>
    <cellStyle name="Calculation 2 8 5 2 4 2 2" xfId="23158" xr:uid="{00000000-0005-0000-0000-0000600F0000}"/>
    <cellStyle name="Calculation 2 8 5 2 4 3" xfId="13238" xr:uid="{00000000-0005-0000-0000-0000610F0000}"/>
    <cellStyle name="Calculation 2 8 5 2 4 3 2" xfId="28070" xr:uid="{00000000-0005-0000-0000-0000620F0000}"/>
    <cellStyle name="Calculation 2 8 5 2 4 4" xfId="20826" xr:uid="{00000000-0005-0000-0000-0000630F0000}"/>
    <cellStyle name="Calculation 2 8 5 2 5" xfId="6061" xr:uid="{00000000-0005-0000-0000-0000640F0000}"/>
    <cellStyle name="Calculation 2 8 5 2 5 2" xfId="16248" xr:uid="{00000000-0005-0000-0000-0000650F0000}"/>
    <cellStyle name="Calculation 2 8 5 2 5 2 2" xfId="31080" xr:uid="{00000000-0005-0000-0000-0000660F0000}"/>
    <cellStyle name="Calculation 2 8 5 2 5 3" xfId="22594" xr:uid="{00000000-0005-0000-0000-0000670F0000}"/>
    <cellStyle name="Calculation 2 8 5 2 6" xfId="12318" xr:uid="{00000000-0005-0000-0000-0000680F0000}"/>
    <cellStyle name="Calculation 2 8 5 2 6 2" xfId="27150" xr:uid="{00000000-0005-0000-0000-0000690F0000}"/>
    <cellStyle name="Calculation 2 8 5 2 7" xfId="9915" xr:uid="{00000000-0005-0000-0000-00006A0F0000}"/>
    <cellStyle name="Calculation 2 8 5 2 7 2" xfId="20117" xr:uid="{00000000-0005-0000-0000-00006B0F0000}"/>
    <cellStyle name="Calculation 2 8 5 3" xfId="4081" xr:uid="{00000000-0005-0000-0000-00006C0F0000}"/>
    <cellStyle name="Calculation 2 8 5 3 2" xfId="8127" xr:uid="{00000000-0005-0000-0000-00006D0F0000}"/>
    <cellStyle name="Calculation 2 8 5 3 2 2" xfId="23878" xr:uid="{00000000-0005-0000-0000-00006E0F0000}"/>
    <cellStyle name="Calculation 2 8 5 3 3" xfId="14413" xr:uid="{00000000-0005-0000-0000-00006F0F0000}"/>
    <cellStyle name="Calculation 2 8 5 3 3 2" xfId="29245" xr:uid="{00000000-0005-0000-0000-0000700F0000}"/>
    <cellStyle name="Calculation 2 8 5 3 4" xfId="21508" xr:uid="{00000000-0005-0000-0000-0000710F0000}"/>
    <cellStyle name="Calculation 2 8 5 4" xfId="4490" xr:uid="{00000000-0005-0000-0000-0000720F0000}"/>
    <cellStyle name="Calculation 2 8 5 4 2" xfId="8529" xr:uid="{00000000-0005-0000-0000-0000730F0000}"/>
    <cellStyle name="Calculation 2 8 5 4 2 2" xfId="24155" xr:uid="{00000000-0005-0000-0000-0000740F0000}"/>
    <cellStyle name="Calculation 2 8 5 4 3" xfId="14817" xr:uid="{00000000-0005-0000-0000-0000750F0000}"/>
    <cellStyle name="Calculation 2 8 5 4 3 2" xfId="29649" xr:uid="{00000000-0005-0000-0000-0000760F0000}"/>
    <cellStyle name="Calculation 2 8 5 4 4" xfId="21715" xr:uid="{00000000-0005-0000-0000-0000770F0000}"/>
    <cellStyle name="Calculation 2 8 5 5" xfId="2480" xr:uid="{00000000-0005-0000-0000-0000780F0000}"/>
    <cellStyle name="Calculation 2 8 5 5 2" xfId="6586" xr:uid="{00000000-0005-0000-0000-0000790F0000}"/>
    <cellStyle name="Calculation 2 8 5 5 2 2" xfId="22924" xr:uid="{00000000-0005-0000-0000-00007A0F0000}"/>
    <cellStyle name="Calculation 2 8 5 5 3" xfId="12818" xr:uid="{00000000-0005-0000-0000-00007B0F0000}"/>
    <cellStyle name="Calculation 2 8 5 5 3 2" xfId="27650" xr:uid="{00000000-0005-0000-0000-00007C0F0000}"/>
    <cellStyle name="Calculation 2 8 5 5 4" xfId="20570" xr:uid="{00000000-0005-0000-0000-00007D0F0000}"/>
    <cellStyle name="Calculation 2 8 5 6" xfId="5603" xr:uid="{00000000-0005-0000-0000-00007E0F0000}"/>
    <cellStyle name="Calculation 2 8 5 6 2" xfId="15838" xr:uid="{00000000-0005-0000-0000-00007F0F0000}"/>
    <cellStyle name="Calculation 2 8 5 6 2 2" xfId="30670" xr:uid="{00000000-0005-0000-0000-0000800F0000}"/>
    <cellStyle name="Calculation 2 8 5 6 3" xfId="22299" xr:uid="{00000000-0005-0000-0000-0000810F0000}"/>
    <cellStyle name="Calculation 2 8 5 7" xfId="11847" xr:uid="{00000000-0005-0000-0000-0000820F0000}"/>
    <cellStyle name="Calculation 2 8 5 7 2" xfId="26679" xr:uid="{00000000-0005-0000-0000-0000830F0000}"/>
    <cellStyle name="Calculation 2 8 5 8" xfId="9520" xr:uid="{00000000-0005-0000-0000-0000840F0000}"/>
    <cellStyle name="Calculation 2 8 5 8 2" xfId="19822" xr:uid="{00000000-0005-0000-0000-0000850F0000}"/>
    <cellStyle name="Calculation 2 8 6" xfId="1722" xr:uid="{00000000-0005-0000-0000-0000860F0000}"/>
    <cellStyle name="Calculation 2 8 6 2" xfId="3707" xr:uid="{00000000-0005-0000-0000-0000870F0000}"/>
    <cellStyle name="Calculation 2 8 6 2 2" xfId="7763" xr:uid="{00000000-0005-0000-0000-0000880F0000}"/>
    <cellStyle name="Calculation 2 8 6 2 2 2" xfId="23645" xr:uid="{00000000-0005-0000-0000-0000890F0000}"/>
    <cellStyle name="Calculation 2 8 6 2 3" xfId="14042" xr:uid="{00000000-0005-0000-0000-00008A0F0000}"/>
    <cellStyle name="Calculation 2 8 6 2 3 2" xfId="28874" xr:uid="{00000000-0005-0000-0000-00008B0F0000}"/>
    <cellStyle name="Calculation 2 8 6 2 4" xfId="21305" xr:uid="{00000000-0005-0000-0000-00008C0F0000}"/>
    <cellStyle name="Calculation 2 8 6 3" xfId="4715" xr:uid="{00000000-0005-0000-0000-00008D0F0000}"/>
    <cellStyle name="Calculation 2 8 6 3 2" xfId="8754" xr:uid="{00000000-0005-0000-0000-00008E0F0000}"/>
    <cellStyle name="Calculation 2 8 6 3 2 2" xfId="24284" xr:uid="{00000000-0005-0000-0000-00008F0F0000}"/>
    <cellStyle name="Calculation 2 8 6 3 3" xfId="15039" xr:uid="{00000000-0005-0000-0000-0000900F0000}"/>
    <cellStyle name="Calculation 2 8 6 3 3 2" xfId="29871" xr:uid="{00000000-0005-0000-0000-0000910F0000}"/>
    <cellStyle name="Calculation 2 8 6 3 4" xfId="21822" xr:uid="{00000000-0005-0000-0000-0000920F0000}"/>
    <cellStyle name="Calculation 2 8 6 4" xfId="2705" xr:uid="{00000000-0005-0000-0000-0000930F0000}"/>
    <cellStyle name="Calculation 2 8 6 4 2" xfId="6796" xr:uid="{00000000-0005-0000-0000-0000940F0000}"/>
    <cellStyle name="Calculation 2 8 6 4 2 2" xfId="23035" xr:uid="{00000000-0005-0000-0000-0000950F0000}"/>
    <cellStyle name="Calculation 2 8 6 4 3" xfId="13043" xr:uid="{00000000-0005-0000-0000-0000960F0000}"/>
    <cellStyle name="Calculation 2 8 6 4 3 2" xfId="27875" xr:uid="{00000000-0005-0000-0000-0000970F0000}"/>
    <cellStyle name="Calculation 2 8 6 4 4" xfId="20695" xr:uid="{00000000-0005-0000-0000-0000980F0000}"/>
    <cellStyle name="Calculation 2 8 6 5" xfId="5854" xr:uid="{00000000-0005-0000-0000-0000990F0000}"/>
    <cellStyle name="Calculation 2 8 6 5 2" xfId="16046" xr:uid="{00000000-0005-0000-0000-00009A0F0000}"/>
    <cellStyle name="Calculation 2 8 6 5 2 2" xfId="30878" xr:uid="{00000000-0005-0000-0000-00009B0F0000}"/>
    <cellStyle name="Calculation 2 8 6 5 3" xfId="22451" xr:uid="{00000000-0005-0000-0000-00009C0F0000}"/>
    <cellStyle name="Calculation 2 8 6 6" xfId="12116" xr:uid="{00000000-0005-0000-0000-00009D0F0000}"/>
    <cellStyle name="Calculation 2 8 6 6 2" xfId="26948" xr:uid="{00000000-0005-0000-0000-00009E0F0000}"/>
    <cellStyle name="Calculation 2 8 6 7" xfId="9727" xr:uid="{00000000-0005-0000-0000-00009F0F0000}"/>
    <cellStyle name="Calculation 2 8 6 7 2" xfId="20025" xr:uid="{00000000-0005-0000-0000-0000A00F0000}"/>
    <cellStyle name="Calculation 2 8 7" xfId="2229" xr:uid="{00000000-0005-0000-0000-0000A10F0000}"/>
    <cellStyle name="Calculation 2 8 7 2" xfId="4042" xr:uid="{00000000-0005-0000-0000-0000A20F0000}"/>
    <cellStyle name="Calculation 2 8 7 2 2" xfId="8089" xr:uid="{00000000-0005-0000-0000-0000A30F0000}"/>
    <cellStyle name="Calculation 2 8 7 2 2 2" xfId="23854" xr:uid="{00000000-0005-0000-0000-0000A40F0000}"/>
    <cellStyle name="Calculation 2 8 7 2 3" xfId="14374" xr:uid="{00000000-0005-0000-0000-0000A50F0000}"/>
    <cellStyle name="Calculation 2 8 7 2 3 2" xfId="29206" xr:uid="{00000000-0005-0000-0000-0000A60F0000}"/>
    <cellStyle name="Calculation 2 8 7 2 4" xfId="21488" xr:uid="{00000000-0005-0000-0000-0000A70F0000}"/>
    <cellStyle name="Calculation 2 8 7 3" xfId="5197" xr:uid="{00000000-0005-0000-0000-0000A80F0000}"/>
    <cellStyle name="Calculation 2 8 7 3 2" xfId="9236" xr:uid="{00000000-0005-0000-0000-0000A90F0000}"/>
    <cellStyle name="Calculation 2 8 7 3 2 2" xfId="24574" xr:uid="{00000000-0005-0000-0000-0000AA0F0000}"/>
    <cellStyle name="Calculation 2 8 7 3 3" xfId="15515" xr:uid="{00000000-0005-0000-0000-0000AB0F0000}"/>
    <cellStyle name="Calculation 2 8 7 3 3 2" xfId="30347" xr:uid="{00000000-0005-0000-0000-0000AC0F0000}"/>
    <cellStyle name="Calculation 2 8 7 3 4" xfId="22081" xr:uid="{00000000-0005-0000-0000-0000AD0F0000}"/>
    <cellStyle name="Calculation 2 8 7 4" xfId="4227" xr:uid="{00000000-0005-0000-0000-0000AE0F0000}"/>
    <cellStyle name="Calculation 2 8 7 4 2" xfId="8268" xr:uid="{00000000-0005-0000-0000-0000AF0F0000}"/>
    <cellStyle name="Calculation 2 8 7 4 2 2" xfId="23963" xr:uid="{00000000-0005-0000-0000-0000B00F0000}"/>
    <cellStyle name="Calculation 2 8 7 4 3" xfId="14559" xr:uid="{00000000-0005-0000-0000-0000B10F0000}"/>
    <cellStyle name="Calculation 2 8 7 4 3 2" xfId="29391" xr:uid="{00000000-0005-0000-0000-0000B20F0000}"/>
    <cellStyle name="Calculation 2 8 7 4 4" xfId="21588" xr:uid="{00000000-0005-0000-0000-0000B30F0000}"/>
    <cellStyle name="Calculation 2 8 7 5" xfId="6343" xr:uid="{00000000-0005-0000-0000-0000B40F0000}"/>
    <cellStyle name="Calculation 2 8 7 5 2" xfId="22745" xr:uid="{00000000-0005-0000-0000-0000B50F0000}"/>
    <cellStyle name="Calculation 2 8 7 6" xfId="12597" xr:uid="{00000000-0005-0000-0000-0000B60F0000}"/>
    <cellStyle name="Calculation 2 8 7 6 2" xfId="27429" xr:uid="{00000000-0005-0000-0000-0000B70F0000}"/>
    <cellStyle name="Calculation 2 8 7 7" xfId="20424" xr:uid="{00000000-0005-0000-0000-0000B80F0000}"/>
    <cellStyle name="Calculation 2 8 8" xfId="3919" xr:uid="{00000000-0005-0000-0000-0000B90F0000}"/>
    <cellStyle name="Calculation 2 8 8 2" xfId="7970" xr:uid="{00000000-0005-0000-0000-0000BA0F0000}"/>
    <cellStyle name="Calculation 2 8 8 2 2" xfId="23778" xr:uid="{00000000-0005-0000-0000-0000BB0F0000}"/>
    <cellStyle name="Calculation 2 8 8 3" xfId="14252" xr:uid="{00000000-0005-0000-0000-0000BC0F0000}"/>
    <cellStyle name="Calculation 2 8 8 3 2" xfId="29084" xr:uid="{00000000-0005-0000-0000-0000BD0F0000}"/>
    <cellStyle name="Calculation 2 8 8 4" xfId="21419" xr:uid="{00000000-0005-0000-0000-0000BE0F0000}"/>
    <cellStyle name="Calculation 2 8 9" xfId="4279" xr:uid="{00000000-0005-0000-0000-0000BF0F0000}"/>
    <cellStyle name="Calculation 2 8 9 2" xfId="8318" xr:uid="{00000000-0005-0000-0000-0000C00F0000}"/>
    <cellStyle name="Calculation 2 8 9 2 2" xfId="24010" xr:uid="{00000000-0005-0000-0000-0000C10F0000}"/>
    <cellStyle name="Calculation 2 8 9 3" xfId="14611" xr:uid="{00000000-0005-0000-0000-0000C20F0000}"/>
    <cellStyle name="Calculation 2 8 9 3 2" xfId="29443" xr:uid="{00000000-0005-0000-0000-0000C30F0000}"/>
    <cellStyle name="Calculation 2 8 9 4" xfId="21609" xr:uid="{00000000-0005-0000-0000-0000C40F0000}"/>
    <cellStyle name="Calculation 2 9" xfId="1304" xr:uid="{00000000-0005-0000-0000-0000C50F0000}"/>
    <cellStyle name="Calculation 2 9 2" xfId="1808" xr:uid="{00000000-0005-0000-0000-0000C60F0000}"/>
    <cellStyle name="Calculation 2 9 2 2" xfId="3803" xr:uid="{00000000-0005-0000-0000-0000C70F0000}"/>
    <cellStyle name="Calculation 2 9 2 2 2" xfId="7858" xr:uid="{00000000-0005-0000-0000-0000C80F0000}"/>
    <cellStyle name="Calculation 2 9 2 2 2 2" xfId="23710" xr:uid="{00000000-0005-0000-0000-0000C90F0000}"/>
    <cellStyle name="Calculation 2 9 2 2 3" xfId="14138" xr:uid="{00000000-0005-0000-0000-0000CA0F0000}"/>
    <cellStyle name="Calculation 2 9 2 2 3 2" xfId="28970" xr:uid="{00000000-0005-0000-0000-0000CB0F0000}"/>
    <cellStyle name="Calculation 2 9 2 2 4" xfId="21361" xr:uid="{00000000-0005-0000-0000-0000CC0F0000}"/>
    <cellStyle name="Calculation 2 9 2 3" xfId="4786" xr:uid="{00000000-0005-0000-0000-0000CD0F0000}"/>
    <cellStyle name="Calculation 2 9 2 3 2" xfId="8825" xr:uid="{00000000-0005-0000-0000-0000CE0F0000}"/>
    <cellStyle name="Calculation 2 9 2 3 2 2" xfId="24323" xr:uid="{00000000-0005-0000-0000-0000CF0F0000}"/>
    <cellStyle name="Calculation 2 9 2 3 3" xfId="15110" xr:uid="{00000000-0005-0000-0000-0000D00F0000}"/>
    <cellStyle name="Calculation 2 9 2 3 3 2" xfId="29942" xr:uid="{00000000-0005-0000-0000-0000D10F0000}"/>
    <cellStyle name="Calculation 2 9 2 3 4" xfId="21861" xr:uid="{00000000-0005-0000-0000-0000D20F0000}"/>
    <cellStyle name="Calculation 2 9 2 4" xfId="2776" xr:uid="{00000000-0005-0000-0000-0000D30F0000}"/>
    <cellStyle name="Calculation 2 9 2 4 2" xfId="6867" xr:uid="{00000000-0005-0000-0000-0000D40F0000}"/>
    <cellStyle name="Calculation 2 9 2 4 2 2" xfId="23074" xr:uid="{00000000-0005-0000-0000-0000D50F0000}"/>
    <cellStyle name="Calculation 2 9 2 4 3" xfId="13114" xr:uid="{00000000-0005-0000-0000-0000D60F0000}"/>
    <cellStyle name="Calculation 2 9 2 4 3 2" xfId="27946" xr:uid="{00000000-0005-0000-0000-0000D70F0000}"/>
    <cellStyle name="Calculation 2 9 2 4 4" xfId="20734" xr:uid="{00000000-0005-0000-0000-0000D80F0000}"/>
    <cellStyle name="Calculation 2 9 2 5" xfId="5940" xr:uid="{00000000-0005-0000-0000-0000D90F0000}"/>
    <cellStyle name="Calculation 2 9 2 5 2" xfId="16132" xr:uid="{00000000-0005-0000-0000-0000DA0F0000}"/>
    <cellStyle name="Calculation 2 9 2 5 2 2" xfId="30964" xr:uid="{00000000-0005-0000-0000-0000DB0F0000}"/>
    <cellStyle name="Calculation 2 9 2 5 3" xfId="22505" xr:uid="{00000000-0005-0000-0000-0000DC0F0000}"/>
    <cellStyle name="Calculation 2 9 2 6" xfId="12202" xr:uid="{00000000-0005-0000-0000-0000DD0F0000}"/>
    <cellStyle name="Calculation 2 9 2 6 2" xfId="27034" xr:uid="{00000000-0005-0000-0000-0000DE0F0000}"/>
    <cellStyle name="Calculation 2 9 2 7" xfId="9798" xr:uid="{00000000-0005-0000-0000-0000DF0F0000}"/>
    <cellStyle name="Calculation 2 9 2 7 2" xfId="20049" xr:uid="{00000000-0005-0000-0000-0000E00F0000}"/>
    <cellStyle name="Calculation 2 9 3" xfId="3645" xr:uid="{00000000-0005-0000-0000-0000E10F0000}"/>
    <cellStyle name="Calculation 2 9 3 2" xfId="7704" xr:uid="{00000000-0005-0000-0000-0000E20F0000}"/>
    <cellStyle name="Calculation 2 9 3 2 2" xfId="23604" xr:uid="{00000000-0005-0000-0000-0000E30F0000}"/>
    <cellStyle name="Calculation 2 9 3 3" xfId="13980" xr:uid="{00000000-0005-0000-0000-0000E40F0000}"/>
    <cellStyle name="Calculation 2 9 3 3 2" xfId="28812" xr:uid="{00000000-0005-0000-0000-0000E50F0000}"/>
    <cellStyle name="Calculation 2 9 3 4" xfId="21269" xr:uid="{00000000-0005-0000-0000-0000E60F0000}"/>
    <cellStyle name="Calculation 2 9 4" xfId="3362" xr:uid="{00000000-0005-0000-0000-0000E70F0000}"/>
    <cellStyle name="Calculation 2 9 4 2" xfId="7425" xr:uid="{00000000-0005-0000-0000-0000E80F0000}"/>
    <cellStyle name="Calculation 2 9 4 2 2" xfId="23426" xr:uid="{00000000-0005-0000-0000-0000E90F0000}"/>
    <cellStyle name="Calculation 2 9 4 3" xfId="13699" xr:uid="{00000000-0005-0000-0000-0000EA0F0000}"/>
    <cellStyle name="Calculation 2 9 4 3 2" xfId="28531" xr:uid="{00000000-0005-0000-0000-0000EB0F0000}"/>
    <cellStyle name="Calculation 2 9 4 4" xfId="21111" xr:uid="{00000000-0005-0000-0000-0000EC0F0000}"/>
    <cellStyle name="Calculation 2 9 5" xfId="2356" xr:uid="{00000000-0005-0000-0000-0000ED0F0000}"/>
    <cellStyle name="Calculation 2 9 5 2" xfId="6468" xr:uid="{00000000-0005-0000-0000-0000EE0F0000}"/>
    <cellStyle name="Calculation 2 9 5 2 2" xfId="22838" xr:uid="{00000000-0005-0000-0000-0000EF0F0000}"/>
    <cellStyle name="Calculation 2 9 5 3" xfId="12695" xr:uid="{00000000-0005-0000-0000-0000F00F0000}"/>
    <cellStyle name="Calculation 2 9 5 3 2" xfId="27527" xr:uid="{00000000-0005-0000-0000-0000F10F0000}"/>
    <cellStyle name="Calculation 2 9 5 4" xfId="20480" xr:uid="{00000000-0005-0000-0000-0000F20F0000}"/>
    <cellStyle name="Calculation 2 9 6" xfId="5481" xr:uid="{00000000-0005-0000-0000-0000F30F0000}"/>
    <cellStyle name="Calculation 2 9 6 2" xfId="15716" xr:uid="{00000000-0005-0000-0000-0000F40F0000}"/>
    <cellStyle name="Calculation 2 9 6 2 2" xfId="30548" xr:uid="{00000000-0005-0000-0000-0000F50F0000}"/>
    <cellStyle name="Calculation 2 9 6 3" xfId="22209" xr:uid="{00000000-0005-0000-0000-0000F60F0000}"/>
    <cellStyle name="Calculation 2 9 7" xfId="9321" xr:uid="{00000000-0005-0000-0000-0000F70F0000}"/>
    <cellStyle name="Calculation 2 9 7 2" xfId="24627" xr:uid="{00000000-0005-0000-0000-0000F80F0000}"/>
    <cellStyle name="Calculation 2 9 8" xfId="9402" xr:uid="{00000000-0005-0000-0000-0000F90F0000}"/>
    <cellStyle name="Calculation 2 9 8 2" xfId="19706" xr:uid="{00000000-0005-0000-0000-0000FA0F0000}"/>
    <cellStyle name="Calculation 3" xfId="970" xr:uid="{00000000-0005-0000-0000-0000FB0F0000}"/>
    <cellStyle name="Calculation 3 10" xfId="2276" xr:uid="{00000000-0005-0000-0000-0000FC0F0000}"/>
    <cellStyle name="Calculation 3 10 2" xfId="6388" xr:uid="{00000000-0005-0000-0000-0000FD0F0000}"/>
    <cellStyle name="Calculation 3 10 2 2" xfId="22790" xr:uid="{00000000-0005-0000-0000-0000FE0F0000}"/>
    <cellStyle name="Calculation 3 10 3" xfId="12616" xr:uid="{00000000-0005-0000-0000-0000FF0F0000}"/>
    <cellStyle name="Calculation 3 10 3 2" xfId="27448" xr:uid="{00000000-0005-0000-0000-000000100000}"/>
    <cellStyle name="Calculation 3 10 4" xfId="20442" xr:uid="{00000000-0005-0000-0000-000001100000}"/>
    <cellStyle name="Calculation 3 11" xfId="5242" xr:uid="{00000000-0005-0000-0000-000002100000}"/>
    <cellStyle name="Calculation 3 11 2" xfId="15558" xr:uid="{00000000-0005-0000-0000-000003100000}"/>
    <cellStyle name="Calculation 3 11 2 2" xfId="30390" xr:uid="{00000000-0005-0000-0000-000004100000}"/>
    <cellStyle name="Calculation 3 11 3" xfId="22099" xr:uid="{00000000-0005-0000-0000-000005100000}"/>
    <cellStyle name="Calculation 3 12" xfId="5400" xr:uid="{00000000-0005-0000-0000-000006100000}"/>
    <cellStyle name="Calculation 3 12 2" xfId="15636" xr:uid="{00000000-0005-0000-0000-000007100000}"/>
    <cellStyle name="Calculation 3 12 2 2" xfId="30468" xr:uid="{00000000-0005-0000-0000-000008100000}"/>
    <cellStyle name="Calculation 3 12 3" xfId="22161" xr:uid="{00000000-0005-0000-0000-000009100000}"/>
    <cellStyle name="Calculation 3 13" xfId="9391" xr:uid="{00000000-0005-0000-0000-00000A100000}"/>
    <cellStyle name="Calculation 3 13 2" xfId="24697" xr:uid="{00000000-0005-0000-0000-00000B100000}"/>
    <cellStyle name="Calculation 3 14" xfId="7136" xr:uid="{00000000-0005-0000-0000-00000C100000}"/>
    <cellStyle name="Calculation 3 14 2" xfId="18902" xr:uid="{00000000-0005-0000-0000-00000D100000}"/>
    <cellStyle name="Calculation 3 2" xfId="1312" xr:uid="{00000000-0005-0000-0000-00000E100000}"/>
    <cellStyle name="Calculation 3 2 2" xfId="1816" xr:uid="{00000000-0005-0000-0000-00000F100000}"/>
    <cellStyle name="Calculation 3 2 2 2" xfId="3632" xr:uid="{00000000-0005-0000-0000-000010100000}"/>
    <cellStyle name="Calculation 3 2 2 2 2" xfId="7691" xr:uid="{00000000-0005-0000-0000-000011100000}"/>
    <cellStyle name="Calculation 3 2 2 2 2 2" xfId="23597" xr:uid="{00000000-0005-0000-0000-000012100000}"/>
    <cellStyle name="Calculation 3 2 2 2 3" xfId="13967" xr:uid="{00000000-0005-0000-0000-000013100000}"/>
    <cellStyle name="Calculation 3 2 2 2 3 2" xfId="28799" xr:uid="{00000000-0005-0000-0000-000014100000}"/>
    <cellStyle name="Calculation 3 2 2 2 4" xfId="21262" xr:uid="{00000000-0005-0000-0000-000015100000}"/>
    <cellStyle name="Calculation 3 2 2 3" xfId="4794" xr:uid="{00000000-0005-0000-0000-000016100000}"/>
    <cellStyle name="Calculation 3 2 2 3 2" xfId="8833" xr:uid="{00000000-0005-0000-0000-000017100000}"/>
    <cellStyle name="Calculation 3 2 2 3 2 2" xfId="24331" xr:uid="{00000000-0005-0000-0000-000018100000}"/>
    <cellStyle name="Calculation 3 2 2 3 3" xfId="15118" xr:uid="{00000000-0005-0000-0000-000019100000}"/>
    <cellStyle name="Calculation 3 2 2 3 3 2" xfId="29950" xr:uid="{00000000-0005-0000-0000-00001A100000}"/>
    <cellStyle name="Calculation 3 2 2 3 4" xfId="21869" xr:uid="{00000000-0005-0000-0000-00001B100000}"/>
    <cellStyle name="Calculation 3 2 2 4" xfId="2784" xr:uid="{00000000-0005-0000-0000-00001C100000}"/>
    <cellStyle name="Calculation 3 2 2 4 2" xfId="6875" xr:uid="{00000000-0005-0000-0000-00001D100000}"/>
    <cellStyle name="Calculation 3 2 2 4 2 2" xfId="23082" xr:uid="{00000000-0005-0000-0000-00001E100000}"/>
    <cellStyle name="Calculation 3 2 2 4 3" xfId="13122" xr:uid="{00000000-0005-0000-0000-00001F100000}"/>
    <cellStyle name="Calculation 3 2 2 4 3 2" xfId="27954" xr:uid="{00000000-0005-0000-0000-000020100000}"/>
    <cellStyle name="Calculation 3 2 2 4 4" xfId="20742" xr:uid="{00000000-0005-0000-0000-000021100000}"/>
    <cellStyle name="Calculation 3 2 2 5" xfId="5948" xr:uid="{00000000-0005-0000-0000-000022100000}"/>
    <cellStyle name="Calculation 3 2 2 5 2" xfId="16140" xr:uid="{00000000-0005-0000-0000-000023100000}"/>
    <cellStyle name="Calculation 3 2 2 5 2 2" xfId="30972" xr:uid="{00000000-0005-0000-0000-000024100000}"/>
    <cellStyle name="Calculation 3 2 2 5 3" xfId="22513" xr:uid="{00000000-0005-0000-0000-000025100000}"/>
    <cellStyle name="Calculation 3 2 2 6" xfId="12210" xr:uid="{00000000-0005-0000-0000-000026100000}"/>
    <cellStyle name="Calculation 3 2 2 6 2" xfId="27042" xr:uid="{00000000-0005-0000-0000-000027100000}"/>
    <cellStyle name="Calculation 3 2 2 7" xfId="9806" xr:uid="{00000000-0005-0000-0000-000028100000}"/>
    <cellStyle name="Calculation 3 2 2 7 2" xfId="20057" xr:uid="{00000000-0005-0000-0000-000029100000}"/>
    <cellStyle name="Calculation 3 2 3" xfId="4012" xr:uid="{00000000-0005-0000-0000-00002A100000}"/>
    <cellStyle name="Calculation 3 2 3 2" xfId="8059" xr:uid="{00000000-0005-0000-0000-00002B100000}"/>
    <cellStyle name="Calculation 3 2 3 2 2" xfId="23836" xr:uid="{00000000-0005-0000-0000-00002C100000}"/>
    <cellStyle name="Calculation 3 2 3 3" xfId="14344" xr:uid="{00000000-0005-0000-0000-00002D100000}"/>
    <cellStyle name="Calculation 3 2 3 3 2" xfId="29176" xr:uid="{00000000-0005-0000-0000-00002E100000}"/>
    <cellStyle name="Calculation 3 2 3 4" xfId="21474" xr:uid="{00000000-0005-0000-0000-00002F100000}"/>
    <cellStyle name="Calculation 3 2 4" xfId="4374" xr:uid="{00000000-0005-0000-0000-000030100000}"/>
    <cellStyle name="Calculation 3 2 4 2" xfId="8413" xr:uid="{00000000-0005-0000-0000-000031100000}"/>
    <cellStyle name="Calculation 3 2 4 2 2" xfId="24071" xr:uid="{00000000-0005-0000-0000-000032100000}"/>
    <cellStyle name="Calculation 3 2 4 3" xfId="14703" xr:uid="{00000000-0005-0000-0000-000033100000}"/>
    <cellStyle name="Calculation 3 2 4 3 2" xfId="29535" xr:uid="{00000000-0005-0000-0000-000034100000}"/>
    <cellStyle name="Calculation 3 2 4 4" xfId="21639" xr:uid="{00000000-0005-0000-0000-000035100000}"/>
    <cellStyle name="Calculation 3 2 5" xfId="2364" xr:uid="{00000000-0005-0000-0000-000036100000}"/>
    <cellStyle name="Calculation 3 2 5 2" xfId="6476" xr:uid="{00000000-0005-0000-0000-000037100000}"/>
    <cellStyle name="Calculation 3 2 5 2 2" xfId="22846" xr:uid="{00000000-0005-0000-0000-000038100000}"/>
    <cellStyle name="Calculation 3 2 5 3" xfId="12703" xr:uid="{00000000-0005-0000-0000-000039100000}"/>
    <cellStyle name="Calculation 3 2 5 3 2" xfId="27535" xr:uid="{00000000-0005-0000-0000-00003A100000}"/>
    <cellStyle name="Calculation 3 2 5 4" xfId="20488" xr:uid="{00000000-0005-0000-0000-00003B100000}"/>
    <cellStyle name="Calculation 3 2 6" xfId="5489" xr:uid="{00000000-0005-0000-0000-00003C100000}"/>
    <cellStyle name="Calculation 3 2 6 2" xfId="15724" xr:uid="{00000000-0005-0000-0000-00003D100000}"/>
    <cellStyle name="Calculation 3 2 6 2 2" xfId="30556" xr:uid="{00000000-0005-0000-0000-00003E100000}"/>
    <cellStyle name="Calculation 3 2 6 3" xfId="22217" xr:uid="{00000000-0005-0000-0000-00003F100000}"/>
    <cellStyle name="Calculation 3 2 7" xfId="11739" xr:uid="{00000000-0005-0000-0000-000040100000}"/>
    <cellStyle name="Calculation 3 2 7 2" xfId="26571" xr:uid="{00000000-0005-0000-0000-000041100000}"/>
    <cellStyle name="Calculation 3 2 8" xfId="9410" xr:uid="{00000000-0005-0000-0000-000042100000}"/>
    <cellStyle name="Calculation 3 2 8 2" xfId="19714" xr:uid="{00000000-0005-0000-0000-000043100000}"/>
    <cellStyle name="Calculation 3 3" xfId="1446" xr:uid="{00000000-0005-0000-0000-000044100000}"/>
    <cellStyle name="Calculation 3 3 2" xfId="1947" xr:uid="{00000000-0005-0000-0000-000045100000}"/>
    <cellStyle name="Calculation 3 3 2 2" xfId="3552" xr:uid="{00000000-0005-0000-0000-000046100000}"/>
    <cellStyle name="Calculation 3 3 2 2 2" xfId="7614" xr:uid="{00000000-0005-0000-0000-000047100000}"/>
    <cellStyle name="Calculation 3 3 2 2 2 2" xfId="23549" xr:uid="{00000000-0005-0000-0000-000048100000}"/>
    <cellStyle name="Calculation 3 3 2 2 3" xfId="13888" xr:uid="{00000000-0005-0000-0000-000049100000}"/>
    <cellStyle name="Calculation 3 3 2 2 3 2" xfId="28720" xr:uid="{00000000-0005-0000-0000-00004A100000}"/>
    <cellStyle name="Calculation 3 3 2 2 4" xfId="21219" xr:uid="{00000000-0005-0000-0000-00004B100000}"/>
    <cellStyle name="Calculation 3 3 2 3" xfId="4926" xr:uid="{00000000-0005-0000-0000-00004C100000}"/>
    <cellStyle name="Calculation 3 3 2 3 2" xfId="8965" xr:uid="{00000000-0005-0000-0000-00004D100000}"/>
    <cellStyle name="Calculation 3 3 2 3 2 2" xfId="24431" xr:uid="{00000000-0005-0000-0000-00004E100000}"/>
    <cellStyle name="Calculation 3 3 2 3 3" xfId="15248" xr:uid="{00000000-0005-0000-0000-00004F100000}"/>
    <cellStyle name="Calculation 3 3 2 3 3 2" xfId="30080" xr:uid="{00000000-0005-0000-0000-000050100000}"/>
    <cellStyle name="Calculation 3 3 2 3 4" xfId="21961" xr:uid="{00000000-0005-0000-0000-000051100000}"/>
    <cellStyle name="Calculation 3 3 2 4" xfId="2916" xr:uid="{00000000-0005-0000-0000-000052100000}"/>
    <cellStyle name="Calculation 3 3 2 4 2" xfId="7000" xr:uid="{00000000-0005-0000-0000-000053100000}"/>
    <cellStyle name="Calculation 3 3 2 4 2 2" xfId="23174" xr:uid="{00000000-0005-0000-0000-000054100000}"/>
    <cellStyle name="Calculation 3 3 2 4 3" xfId="13254" xr:uid="{00000000-0005-0000-0000-000055100000}"/>
    <cellStyle name="Calculation 3 3 2 4 3 2" xfId="28086" xr:uid="{00000000-0005-0000-0000-000056100000}"/>
    <cellStyle name="Calculation 3 3 2 4 4" xfId="20842" xr:uid="{00000000-0005-0000-0000-000057100000}"/>
    <cellStyle name="Calculation 3 3 2 5" xfId="6077" xr:uid="{00000000-0005-0000-0000-000058100000}"/>
    <cellStyle name="Calculation 3 3 2 5 2" xfId="16264" xr:uid="{00000000-0005-0000-0000-000059100000}"/>
    <cellStyle name="Calculation 3 3 2 5 2 2" xfId="31096" xr:uid="{00000000-0005-0000-0000-00005A100000}"/>
    <cellStyle name="Calculation 3 3 2 5 3" xfId="22610" xr:uid="{00000000-0005-0000-0000-00005B100000}"/>
    <cellStyle name="Calculation 3 3 2 6" xfId="12334" xr:uid="{00000000-0005-0000-0000-00005C100000}"/>
    <cellStyle name="Calculation 3 3 2 6 2" xfId="27166" xr:uid="{00000000-0005-0000-0000-00005D100000}"/>
    <cellStyle name="Calculation 3 3 2 7" xfId="9931" xr:uid="{00000000-0005-0000-0000-00005E100000}"/>
    <cellStyle name="Calculation 3 3 2 7 2" xfId="20133" xr:uid="{00000000-0005-0000-0000-00005F100000}"/>
    <cellStyle name="Calculation 3 3 3" xfId="3470" xr:uid="{00000000-0005-0000-0000-000060100000}"/>
    <cellStyle name="Calculation 3 3 3 2" xfId="7533" xr:uid="{00000000-0005-0000-0000-000061100000}"/>
    <cellStyle name="Calculation 3 3 3 2 2" xfId="23500" xr:uid="{00000000-0005-0000-0000-000062100000}"/>
    <cellStyle name="Calculation 3 3 3 3" xfId="13807" xr:uid="{00000000-0005-0000-0000-000063100000}"/>
    <cellStyle name="Calculation 3 3 3 3 2" xfId="28639" xr:uid="{00000000-0005-0000-0000-000064100000}"/>
    <cellStyle name="Calculation 3 3 3 4" xfId="21175" xr:uid="{00000000-0005-0000-0000-000065100000}"/>
    <cellStyle name="Calculation 3 3 4" xfId="4506" xr:uid="{00000000-0005-0000-0000-000066100000}"/>
    <cellStyle name="Calculation 3 3 4 2" xfId="8545" xr:uid="{00000000-0005-0000-0000-000067100000}"/>
    <cellStyle name="Calculation 3 3 4 2 2" xfId="24171" xr:uid="{00000000-0005-0000-0000-000068100000}"/>
    <cellStyle name="Calculation 3 3 4 3" xfId="14833" xr:uid="{00000000-0005-0000-0000-000069100000}"/>
    <cellStyle name="Calculation 3 3 4 3 2" xfId="29665" xr:uid="{00000000-0005-0000-0000-00006A100000}"/>
    <cellStyle name="Calculation 3 3 4 4" xfId="21731" xr:uid="{00000000-0005-0000-0000-00006B100000}"/>
    <cellStyle name="Calculation 3 3 5" xfId="2496" xr:uid="{00000000-0005-0000-0000-00006C100000}"/>
    <cellStyle name="Calculation 3 3 5 2" xfId="6602" xr:uid="{00000000-0005-0000-0000-00006D100000}"/>
    <cellStyle name="Calculation 3 3 5 2 2" xfId="22940" xr:uid="{00000000-0005-0000-0000-00006E100000}"/>
    <cellStyle name="Calculation 3 3 5 3" xfId="12834" xr:uid="{00000000-0005-0000-0000-00006F100000}"/>
    <cellStyle name="Calculation 3 3 5 3 2" xfId="27666" xr:uid="{00000000-0005-0000-0000-000070100000}"/>
    <cellStyle name="Calculation 3 3 5 4" xfId="20586" xr:uid="{00000000-0005-0000-0000-000071100000}"/>
    <cellStyle name="Calculation 3 3 6" xfId="5619" xr:uid="{00000000-0005-0000-0000-000072100000}"/>
    <cellStyle name="Calculation 3 3 6 2" xfId="15854" xr:uid="{00000000-0005-0000-0000-000073100000}"/>
    <cellStyle name="Calculation 3 3 6 2 2" xfId="30686" xr:uid="{00000000-0005-0000-0000-000074100000}"/>
    <cellStyle name="Calculation 3 3 6 3" xfId="22315" xr:uid="{00000000-0005-0000-0000-000075100000}"/>
    <cellStyle name="Calculation 3 3 7" xfId="11863" xr:uid="{00000000-0005-0000-0000-000076100000}"/>
    <cellStyle name="Calculation 3 3 7 2" xfId="26695" xr:uid="{00000000-0005-0000-0000-000077100000}"/>
    <cellStyle name="Calculation 3 3 8" xfId="9536" xr:uid="{00000000-0005-0000-0000-000078100000}"/>
    <cellStyle name="Calculation 3 3 8 2" xfId="19838" xr:uid="{00000000-0005-0000-0000-000079100000}"/>
    <cellStyle name="Calculation 3 4" xfId="1409" xr:uid="{00000000-0005-0000-0000-00007A100000}"/>
    <cellStyle name="Calculation 3 4 2" xfId="1911" xr:uid="{00000000-0005-0000-0000-00007B100000}"/>
    <cellStyle name="Calculation 3 4 2 2" xfId="3557" xr:uid="{00000000-0005-0000-0000-00007C100000}"/>
    <cellStyle name="Calculation 3 4 2 2 2" xfId="7619" xr:uid="{00000000-0005-0000-0000-00007D100000}"/>
    <cellStyle name="Calculation 3 4 2 2 2 2" xfId="23551" xr:uid="{00000000-0005-0000-0000-00007E100000}"/>
    <cellStyle name="Calculation 3 4 2 2 3" xfId="13893" xr:uid="{00000000-0005-0000-0000-00007F100000}"/>
    <cellStyle name="Calculation 3 4 2 2 3 2" xfId="28725" xr:uid="{00000000-0005-0000-0000-000080100000}"/>
    <cellStyle name="Calculation 3 4 2 2 4" xfId="21221" xr:uid="{00000000-0005-0000-0000-000081100000}"/>
    <cellStyle name="Calculation 3 4 2 3" xfId="4889" xr:uid="{00000000-0005-0000-0000-000082100000}"/>
    <cellStyle name="Calculation 3 4 2 3 2" xfId="8928" xr:uid="{00000000-0005-0000-0000-000083100000}"/>
    <cellStyle name="Calculation 3 4 2 3 2 2" xfId="24394" xr:uid="{00000000-0005-0000-0000-000084100000}"/>
    <cellStyle name="Calculation 3 4 2 3 3" xfId="15212" xr:uid="{00000000-0005-0000-0000-000085100000}"/>
    <cellStyle name="Calculation 3 4 2 3 3 2" xfId="30044" xr:uid="{00000000-0005-0000-0000-000086100000}"/>
    <cellStyle name="Calculation 3 4 2 3 4" xfId="21926" xr:uid="{00000000-0005-0000-0000-000087100000}"/>
    <cellStyle name="Calculation 3 4 2 4" xfId="2879" xr:uid="{00000000-0005-0000-0000-000088100000}"/>
    <cellStyle name="Calculation 3 4 2 4 2" xfId="6964" xr:uid="{00000000-0005-0000-0000-000089100000}"/>
    <cellStyle name="Calculation 3 4 2 4 2 2" xfId="23139" xr:uid="{00000000-0005-0000-0000-00008A100000}"/>
    <cellStyle name="Calculation 3 4 2 4 3" xfId="13217" xr:uid="{00000000-0005-0000-0000-00008B100000}"/>
    <cellStyle name="Calculation 3 4 2 4 3 2" xfId="28049" xr:uid="{00000000-0005-0000-0000-00008C100000}"/>
    <cellStyle name="Calculation 3 4 2 4 4" xfId="20805" xr:uid="{00000000-0005-0000-0000-00008D100000}"/>
    <cellStyle name="Calculation 3 4 2 5" xfId="6042" xr:uid="{00000000-0005-0000-0000-00008E100000}"/>
    <cellStyle name="Calculation 3 4 2 5 2" xfId="16229" xr:uid="{00000000-0005-0000-0000-00008F100000}"/>
    <cellStyle name="Calculation 3 4 2 5 2 2" xfId="31061" xr:uid="{00000000-0005-0000-0000-000090100000}"/>
    <cellStyle name="Calculation 3 4 2 5 3" xfId="22575" xr:uid="{00000000-0005-0000-0000-000091100000}"/>
    <cellStyle name="Calculation 3 4 2 6" xfId="12299" xr:uid="{00000000-0005-0000-0000-000092100000}"/>
    <cellStyle name="Calculation 3 4 2 6 2" xfId="27131" xr:uid="{00000000-0005-0000-0000-000093100000}"/>
    <cellStyle name="Calculation 3 4 2 7" xfId="9895" xr:uid="{00000000-0005-0000-0000-000094100000}"/>
    <cellStyle name="Calculation 3 4 2 7 2" xfId="20098" xr:uid="{00000000-0005-0000-0000-000095100000}"/>
    <cellStyle name="Calculation 3 4 3" xfId="3964" xr:uid="{00000000-0005-0000-0000-000096100000}"/>
    <cellStyle name="Calculation 3 4 3 2" xfId="8014" xr:uid="{00000000-0005-0000-0000-000097100000}"/>
    <cellStyle name="Calculation 3 4 3 2 2" xfId="23807" xr:uid="{00000000-0005-0000-0000-000098100000}"/>
    <cellStyle name="Calculation 3 4 3 3" xfId="14297" xr:uid="{00000000-0005-0000-0000-000099100000}"/>
    <cellStyle name="Calculation 3 4 3 3 2" xfId="29129" xr:uid="{00000000-0005-0000-0000-00009A100000}"/>
    <cellStyle name="Calculation 3 4 3 4" xfId="21449" xr:uid="{00000000-0005-0000-0000-00009B100000}"/>
    <cellStyle name="Calculation 3 4 4" xfId="4469" xr:uid="{00000000-0005-0000-0000-00009C100000}"/>
    <cellStyle name="Calculation 3 4 4 2" xfId="8508" xr:uid="{00000000-0005-0000-0000-00009D100000}"/>
    <cellStyle name="Calculation 3 4 4 2 2" xfId="24134" xr:uid="{00000000-0005-0000-0000-00009E100000}"/>
    <cellStyle name="Calculation 3 4 4 3" xfId="14797" xr:uid="{00000000-0005-0000-0000-00009F100000}"/>
    <cellStyle name="Calculation 3 4 4 3 2" xfId="29629" xr:uid="{00000000-0005-0000-0000-0000A0100000}"/>
    <cellStyle name="Calculation 3 4 4 4" xfId="21696" xr:uid="{00000000-0005-0000-0000-0000A1100000}"/>
    <cellStyle name="Calculation 3 4 5" xfId="2459" xr:uid="{00000000-0005-0000-0000-0000A2100000}"/>
    <cellStyle name="Calculation 3 4 5 2" xfId="6565" xr:uid="{00000000-0005-0000-0000-0000A3100000}"/>
    <cellStyle name="Calculation 3 4 5 2 2" xfId="22903" xr:uid="{00000000-0005-0000-0000-0000A4100000}"/>
    <cellStyle name="Calculation 3 4 5 3" xfId="12798" xr:uid="{00000000-0005-0000-0000-0000A5100000}"/>
    <cellStyle name="Calculation 3 4 5 3 2" xfId="27630" xr:uid="{00000000-0005-0000-0000-0000A6100000}"/>
    <cellStyle name="Calculation 3 4 5 4" xfId="20551" xr:uid="{00000000-0005-0000-0000-0000A7100000}"/>
    <cellStyle name="Calculation 3 4 6" xfId="5583" xr:uid="{00000000-0005-0000-0000-0000A8100000}"/>
    <cellStyle name="Calculation 3 4 6 2" xfId="15818" xr:uid="{00000000-0005-0000-0000-0000A9100000}"/>
    <cellStyle name="Calculation 3 4 6 2 2" xfId="30650" xr:uid="{00000000-0005-0000-0000-0000AA100000}"/>
    <cellStyle name="Calculation 3 4 6 3" xfId="22279" xr:uid="{00000000-0005-0000-0000-0000AB100000}"/>
    <cellStyle name="Calculation 3 4 7" xfId="11828" xr:uid="{00000000-0005-0000-0000-0000AC100000}"/>
    <cellStyle name="Calculation 3 4 7 2" xfId="26660" xr:uid="{00000000-0005-0000-0000-0000AD100000}"/>
    <cellStyle name="Calculation 3 4 8" xfId="9500" xr:uid="{00000000-0005-0000-0000-0000AE100000}"/>
    <cellStyle name="Calculation 3 4 8 2" xfId="19803" xr:uid="{00000000-0005-0000-0000-0000AF100000}"/>
    <cellStyle name="Calculation 3 5" xfId="1431" xr:uid="{00000000-0005-0000-0000-0000B0100000}"/>
    <cellStyle name="Calculation 3 5 2" xfId="1932" xr:uid="{00000000-0005-0000-0000-0000B1100000}"/>
    <cellStyle name="Calculation 3 5 2 2" xfId="3935" xr:uid="{00000000-0005-0000-0000-0000B2100000}"/>
    <cellStyle name="Calculation 3 5 2 2 2" xfId="7985" xr:uid="{00000000-0005-0000-0000-0000B3100000}"/>
    <cellStyle name="Calculation 3 5 2 2 2 2" xfId="23787" xr:uid="{00000000-0005-0000-0000-0000B4100000}"/>
    <cellStyle name="Calculation 3 5 2 2 3" xfId="14268" xr:uid="{00000000-0005-0000-0000-0000B5100000}"/>
    <cellStyle name="Calculation 3 5 2 2 3 2" xfId="29100" xr:uid="{00000000-0005-0000-0000-0000B6100000}"/>
    <cellStyle name="Calculation 3 5 2 2 4" xfId="21429" xr:uid="{00000000-0005-0000-0000-0000B7100000}"/>
    <cellStyle name="Calculation 3 5 2 3" xfId="4911" xr:uid="{00000000-0005-0000-0000-0000B8100000}"/>
    <cellStyle name="Calculation 3 5 2 3 2" xfId="8950" xr:uid="{00000000-0005-0000-0000-0000B9100000}"/>
    <cellStyle name="Calculation 3 5 2 3 2 2" xfId="24416" xr:uid="{00000000-0005-0000-0000-0000BA100000}"/>
    <cellStyle name="Calculation 3 5 2 3 3" xfId="15233" xr:uid="{00000000-0005-0000-0000-0000BB100000}"/>
    <cellStyle name="Calculation 3 5 2 3 3 2" xfId="30065" xr:uid="{00000000-0005-0000-0000-0000BC100000}"/>
    <cellStyle name="Calculation 3 5 2 3 4" xfId="21946" xr:uid="{00000000-0005-0000-0000-0000BD100000}"/>
    <cellStyle name="Calculation 3 5 2 4" xfId="2901" xr:uid="{00000000-0005-0000-0000-0000BE100000}"/>
    <cellStyle name="Calculation 3 5 2 4 2" xfId="6985" xr:uid="{00000000-0005-0000-0000-0000BF100000}"/>
    <cellStyle name="Calculation 3 5 2 4 2 2" xfId="23159" xr:uid="{00000000-0005-0000-0000-0000C0100000}"/>
    <cellStyle name="Calculation 3 5 2 4 3" xfId="13239" xr:uid="{00000000-0005-0000-0000-0000C1100000}"/>
    <cellStyle name="Calculation 3 5 2 4 3 2" xfId="28071" xr:uid="{00000000-0005-0000-0000-0000C2100000}"/>
    <cellStyle name="Calculation 3 5 2 4 4" xfId="20827" xr:uid="{00000000-0005-0000-0000-0000C3100000}"/>
    <cellStyle name="Calculation 3 5 2 5" xfId="6062" xr:uid="{00000000-0005-0000-0000-0000C4100000}"/>
    <cellStyle name="Calculation 3 5 2 5 2" xfId="16249" xr:uid="{00000000-0005-0000-0000-0000C5100000}"/>
    <cellStyle name="Calculation 3 5 2 5 2 2" xfId="31081" xr:uid="{00000000-0005-0000-0000-0000C6100000}"/>
    <cellStyle name="Calculation 3 5 2 5 3" xfId="22595" xr:uid="{00000000-0005-0000-0000-0000C7100000}"/>
    <cellStyle name="Calculation 3 5 2 6" xfId="12319" xr:uid="{00000000-0005-0000-0000-0000C8100000}"/>
    <cellStyle name="Calculation 3 5 2 6 2" xfId="27151" xr:uid="{00000000-0005-0000-0000-0000C9100000}"/>
    <cellStyle name="Calculation 3 5 2 7" xfId="9916" xr:uid="{00000000-0005-0000-0000-0000CA100000}"/>
    <cellStyle name="Calculation 3 5 2 7 2" xfId="20118" xr:uid="{00000000-0005-0000-0000-0000CB100000}"/>
    <cellStyle name="Calculation 3 5 3" xfId="3606" xr:uid="{00000000-0005-0000-0000-0000CC100000}"/>
    <cellStyle name="Calculation 3 5 3 2" xfId="7667" xr:uid="{00000000-0005-0000-0000-0000CD100000}"/>
    <cellStyle name="Calculation 3 5 3 2 2" xfId="23577" xr:uid="{00000000-0005-0000-0000-0000CE100000}"/>
    <cellStyle name="Calculation 3 5 3 3" xfId="13942" xr:uid="{00000000-0005-0000-0000-0000CF100000}"/>
    <cellStyle name="Calculation 3 5 3 3 2" xfId="28774" xr:uid="{00000000-0005-0000-0000-0000D0100000}"/>
    <cellStyle name="Calculation 3 5 3 4" xfId="21247" xr:uid="{00000000-0005-0000-0000-0000D1100000}"/>
    <cellStyle name="Calculation 3 5 4" xfId="4491" xr:uid="{00000000-0005-0000-0000-0000D2100000}"/>
    <cellStyle name="Calculation 3 5 4 2" xfId="8530" xr:uid="{00000000-0005-0000-0000-0000D3100000}"/>
    <cellStyle name="Calculation 3 5 4 2 2" xfId="24156" xr:uid="{00000000-0005-0000-0000-0000D4100000}"/>
    <cellStyle name="Calculation 3 5 4 3" xfId="14818" xr:uid="{00000000-0005-0000-0000-0000D5100000}"/>
    <cellStyle name="Calculation 3 5 4 3 2" xfId="29650" xr:uid="{00000000-0005-0000-0000-0000D6100000}"/>
    <cellStyle name="Calculation 3 5 4 4" xfId="21716" xr:uid="{00000000-0005-0000-0000-0000D7100000}"/>
    <cellStyle name="Calculation 3 5 5" xfId="2481" xr:uid="{00000000-0005-0000-0000-0000D8100000}"/>
    <cellStyle name="Calculation 3 5 5 2" xfId="6587" xr:uid="{00000000-0005-0000-0000-0000D9100000}"/>
    <cellStyle name="Calculation 3 5 5 2 2" xfId="22925" xr:uid="{00000000-0005-0000-0000-0000DA100000}"/>
    <cellStyle name="Calculation 3 5 5 3" xfId="12819" xr:uid="{00000000-0005-0000-0000-0000DB100000}"/>
    <cellStyle name="Calculation 3 5 5 3 2" xfId="27651" xr:uid="{00000000-0005-0000-0000-0000DC100000}"/>
    <cellStyle name="Calculation 3 5 5 4" xfId="20571" xr:uid="{00000000-0005-0000-0000-0000DD100000}"/>
    <cellStyle name="Calculation 3 5 6" xfId="5604" xr:uid="{00000000-0005-0000-0000-0000DE100000}"/>
    <cellStyle name="Calculation 3 5 6 2" xfId="15839" xr:uid="{00000000-0005-0000-0000-0000DF100000}"/>
    <cellStyle name="Calculation 3 5 6 2 2" xfId="30671" xr:uid="{00000000-0005-0000-0000-0000E0100000}"/>
    <cellStyle name="Calculation 3 5 6 3" xfId="22300" xr:uid="{00000000-0005-0000-0000-0000E1100000}"/>
    <cellStyle name="Calculation 3 5 7" xfId="11848" xr:uid="{00000000-0005-0000-0000-0000E2100000}"/>
    <cellStyle name="Calculation 3 5 7 2" xfId="26680" xr:uid="{00000000-0005-0000-0000-0000E3100000}"/>
    <cellStyle name="Calculation 3 5 8" xfId="9521" xr:uid="{00000000-0005-0000-0000-0000E4100000}"/>
    <cellStyle name="Calculation 3 5 8 2" xfId="19823" xr:uid="{00000000-0005-0000-0000-0000E5100000}"/>
    <cellStyle name="Calculation 3 6" xfId="1723" xr:uid="{00000000-0005-0000-0000-0000E6100000}"/>
    <cellStyle name="Calculation 3 6 2" xfId="3940" xr:uid="{00000000-0005-0000-0000-0000E7100000}"/>
    <cellStyle name="Calculation 3 6 2 2" xfId="7990" xr:uid="{00000000-0005-0000-0000-0000E8100000}"/>
    <cellStyle name="Calculation 3 6 2 2 2" xfId="23791" xr:uid="{00000000-0005-0000-0000-0000E9100000}"/>
    <cellStyle name="Calculation 3 6 2 3" xfId="14273" xr:uid="{00000000-0005-0000-0000-0000EA100000}"/>
    <cellStyle name="Calculation 3 6 2 3 2" xfId="29105" xr:uid="{00000000-0005-0000-0000-0000EB100000}"/>
    <cellStyle name="Calculation 3 6 2 4" xfId="21433" xr:uid="{00000000-0005-0000-0000-0000EC100000}"/>
    <cellStyle name="Calculation 3 6 3" xfId="4716" xr:uid="{00000000-0005-0000-0000-0000ED100000}"/>
    <cellStyle name="Calculation 3 6 3 2" xfId="8755" xr:uid="{00000000-0005-0000-0000-0000EE100000}"/>
    <cellStyle name="Calculation 3 6 3 2 2" xfId="24285" xr:uid="{00000000-0005-0000-0000-0000EF100000}"/>
    <cellStyle name="Calculation 3 6 3 3" xfId="15040" xr:uid="{00000000-0005-0000-0000-0000F0100000}"/>
    <cellStyle name="Calculation 3 6 3 3 2" xfId="29872" xr:uid="{00000000-0005-0000-0000-0000F1100000}"/>
    <cellStyle name="Calculation 3 6 3 4" xfId="21823" xr:uid="{00000000-0005-0000-0000-0000F2100000}"/>
    <cellStyle name="Calculation 3 6 4" xfId="2706" xr:uid="{00000000-0005-0000-0000-0000F3100000}"/>
    <cellStyle name="Calculation 3 6 4 2" xfId="6797" xr:uid="{00000000-0005-0000-0000-0000F4100000}"/>
    <cellStyle name="Calculation 3 6 4 2 2" xfId="23036" xr:uid="{00000000-0005-0000-0000-0000F5100000}"/>
    <cellStyle name="Calculation 3 6 4 3" xfId="13044" xr:uid="{00000000-0005-0000-0000-0000F6100000}"/>
    <cellStyle name="Calculation 3 6 4 3 2" xfId="27876" xr:uid="{00000000-0005-0000-0000-0000F7100000}"/>
    <cellStyle name="Calculation 3 6 4 4" xfId="20696" xr:uid="{00000000-0005-0000-0000-0000F8100000}"/>
    <cellStyle name="Calculation 3 6 5" xfId="5855" xr:uid="{00000000-0005-0000-0000-0000F9100000}"/>
    <cellStyle name="Calculation 3 6 5 2" xfId="16047" xr:uid="{00000000-0005-0000-0000-0000FA100000}"/>
    <cellStyle name="Calculation 3 6 5 2 2" xfId="30879" xr:uid="{00000000-0005-0000-0000-0000FB100000}"/>
    <cellStyle name="Calculation 3 6 5 3" xfId="22452" xr:uid="{00000000-0005-0000-0000-0000FC100000}"/>
    <cellStyle name="Calculation 3 6 6" xfId="12117" xr:uid="{00000000-0005-0000-0000-0000FD100000}"/>
    <cellStyle name="Calculation 3 6 6 2" xfId="26949" xr:uid="{00000000-0005-0000-0000-0000FE100000}"/>
    <cellStyle name="Calculation 3 6 7" xfId="9728" xr:uid="{00000000-0005-0000-0000-0000FF100000}"/>
    <cellStyle name="Calculation 3 6 7 2" xfId="20026" xr:uid="{00000000-0005-0000-0000-000000110000}"/>
    <cellStyle name="Calculation 3 7" xfId="2228" xr:uid="{00000000-0005-0000-0000-000001110000}"/>
    <cellStyle name="Calculation 3 7 2" xfId="4145" xr:uid="{00000000-0005-0000-0000-000002110000}"/>
    <cellStyle name="Calculation 3 7 2 2" xfId="8189" xr:uid="{00000000-0005-0000-0000-000003110000}"/>
    <cellStyle name="Calculation 3 7 2 2 2" xfId="23918" xr:uid="{00000000-0005-0000-0000-000004110000}"/>
    <cellStyle name="Calculation 3 7 2 3" xfId="14477" xr:uid="{00000000-0005-0000-0000-000005110000}"/>
    <cellStyle name="Calculation 3 7 2 3 2" xfId="29309" xr:uid="{00000000-0005-0000-0000-000006110000}"/>
    <cellStyle name="Calculation 3 7 2 4" xfId="21545" xr:uid="{00000000-0005-0000-0000-000007110000}"/>
    <cellStyle name="Calculation 3 7 3" xfId="5196" xr:uid="{00000000-0005-0000-0000-000008110000}"/>
    <cellStyle name="Calculation 3 7 3 2" xfId="9235" xr:uid="{00000000-0005-0000-0000-000009110000}"/>
    <cellStyle name="Calculation 3 7 3 2 2" xfId="24573" xr:uid="{00000000-0005-0000-0000-00000A110000}"/>
    <cellStyle name="Calculation 3 7 3 3" xfId="15514" xr:uid="{00000000-0005-0000-0000-00000B110000}"/>
    <cellStyle name="Calculation 3 7 3 3 2" xfId="30346" xr:uid="{00000000-0005-0000-0000-00000C110000}"/>
    <cellStyle name="Calculation 3 7 3 4" xfId="22080" xr:uid="{00000000-0005-0000-0000-00000D110000}"/>
    <cellStyle name="Calculation 3 7 4" xfId="4226" xr:uid="{00000000-0005-0000-0000-00000E110000}"/>
    <cellStyle name="Calculation 3 7 4 2" xfId="8267" xr:uid="{00000000-0005-0000-0000-00000F110000}"/>
    <cellStyle name="Calculation 3 7 4 2 2" xfId="23962" xr:uid="{00000000-0005-0000-0000-000010110000}"/>
    <cellStyle name="Calculation 3 7 4 3" xfId="14558" xr:uid="{00000000-0005-0000-0000-000011110000}"/>
    <cellStyle name="Calculation 3 7 4 3 2" xfId="29390" xr:uid="{00000000-0005-0000-0000-000012110000}"/>
    <cellStyle name="Calculation 3 7 4 4" xfId="21587" xr:uid="{00000000-0005-0000-0000-000013110000}"/>
    <cellStyle name="Calculation 3 7 5" xfId="6342" xr:uid="{00000000-0005-0000-0000-000014110000}"/>
    <cellStyle name="Calculation 3 7 5 2" xfId="22744" xr:uid="{00000000-0005-0000-0000-000015110000}"/>
    <cellStyle name="Calculation 3 7 6" xfId="12596" xr:uid="{00000000-0005-0000-0000-000016110000}"/>
    <cellStyle name="Calculation 3 7 6 2" xfId="27428" xr:uid="{00000000-0005-0000-0000-000017110000}"/>
    <cellStyle name="Calculation 3 7 7" xfId="20423" xr:uid="{00000000-0005-0000-0000-000018110000}"/>
    <cellStyle name="Calculation 3 8" xfId="3991" xr:uid="{00000000-0005-0000-0000-000019110000}"/>
    <cellStyle name="Calculation 3 8 2" xfId="8038" xr:uid="{00000000-0005-0000-0000-00001A110000}"/>
    <cellStyle name="Calculation 3 8 2 2" xfId="23825" xr:uid="{00000000-0005-0000-0000-00001B110000}"/>
    <cellStyle name="Calculation 3 8 3" xfId="14324" xr:uid="{00000000-0005-0000-0000-00001C110000}"/>
    <cellStyle name="Calculation 3 8 3 2" xfId="29156" xr:uid="{00000000-0005-0000-0000-00001D110000}"/>
    <cellStyle name="Calculation 3 8 4" xfId="21464" xr:uid="{00000000-0005-0000-0000-00001E110000}"/>
    <cellStyle name="Calculation 3 9" xfId="3619" xr:uid="{00000000-0005-0000-0000-00001F110000}"/>
    <cellStyle name="Calculation 3 9 2" xfId="7679" xr:uid="{00000000-0005-0000-0000-000020110000}"/>
    <cellStyle name="Calculation 3 9 2 2" xfId="23589" xr:uid="{00000000-0005-0000-0000-000021110000}"/>
    <cellStyle name="Calculation 3 9 3" xfId="13954" xr:uid="{00000000-0005-0000-0000-000022110000}"/>
    <cellStyle name="Calculation 3 9 3 2" xfId="28786" xr:uid="{00000000-0005-0000-0000-000023110000}"/>
    <cellStyle name="Calculation 3 9 4" xfId="21253" xr:uid="{00000000-0005-0000-0000-000024110000}"/>
    <cellStyle name="Calculation 4" xfId="971" xr:uid="{00000000-0005-0000-0000-000025110000}"/>
    <cellStyle name="Calculation 4 10" xfId="2277" xr:uid="{00000000-0005-0000-0000-000026110000}"/>
    <cellStyle name="Calculation 4 10 2" xfId="6389" xr:uid="{00000000-0005-0000-0000-000027110000}"/>
    <cellStyle name="Calculation 4 10 2 2" xfId="22791" xr:uid="{00000000-0005-0000-0000-000028110000}"/>
    <cellStyle name="Calculation 4 10 3" xfId="12617" xr:uid="{00000000-0005-0000-0000-000029110000}"/>
    <cellStyle name="Calculation 4 10 3 2" xfId="27449" xr:uid="{00000000-0005-0000-0000-00002A110000}"/>
    <cellStyle name="Calculation 4 10 4" xfId="20443" xr:uid="{00000000-0005-0000-0000-00002B110000}"/>
    <cellStyle name="Calculation 4 11" xfId="5243" xr:uid="{00000000-0005-0000-0000-00002C110000}"/>
    <cellStyle name="Calculation 4 11 2" xfId="15559" xr:uid="{00000000-0005-0000-0000-00002D110000}"/>
    <cellStyle name="Calculation 4 11 2 2" xfId="30391" xr:uid="{00000000-0005-0000-0000-00002E110000}"/>
    <cellStyle name="Calculation 4 11 3" xfId="22100" xr:uid="{00000000-0005-0000-0000-00002F110000}"/>
    <cellStyle name="Calculation 4 12" xfId="5401" xr:uid="{00000000-0005-0000-0000-000030110000}"/>
    <cellStyle name="Calculation 4 12 2" xfId="15637" xr:uid="{00000000-0005-0000-0000-000031110000}"/>
    <cellStyle name="Calculation 4 12 2 2" xfId="30469" xr:uid="{00000000-0005-0000-0000-000032110000}"/>
    <cellStyle name="Calculation 4 12 3" xfId="22162" xr:uid="{00000000-0005-0000-0000-000033110000}"/>
    <cellStyle name="Calculation 4 13" xfId="9390" xr:uid="{00000000-0005-0000-0000-000034110000}"/>
    <cellStyle name="Calculation 4 13 2" xfId="24696" xr:uid="{00000000-0005-0000-0000-000035110000}"/>
    <cellStyle name="Calculation 4 14" xfId="6228" xr:uid="{00000000-0005-0000-0000-000036110000}"/>
    <cellStyle name="Calculation 4 14 2" xfId="18543" xr:uid="{00000000-0005-0000-0000-000037110000}"/>
    <cellStyle name="Calculation 4 2" xfId="1313" xr:uid="{00000000-0005-0000-0000-000038110000}"/>
    <cellStyle name="Calculation 4 2 2" xfId="1817" xr:uid="{00000000-0005-0000-0000-000039110000}"/>
    <cellStyle name="Calculation 4 2 2 2" xfId="4059" xr:uid="{00000000-0005-0000-0000-00003A110000}"/>
    <cellStyle name="Calculation 4 2 2 2 2" xfId="8106" xr:uid="{00000000-0005-0000-0000-00003B110000}"/>
    <cellStyle name="Calculation 4 2 2 2 2 2" xfId="23866" xr:uid="{00000000-0005-0000-0000-00003C110000}"/>
    <cellStyle name="Calculation 4 2 2 2 3" xfId="14391" xr:uid="{00000000-0005-0000-0000-00003D110000}"/>
    <cellStyle name="Calculation 4 2 2 2 3 2" xfId="29223" xr:uid="{00000000-0005-0000-0000-00003E110000}"/>
    <cellStyle name="Calculation 4 2 2 2 4" xfId="21500" xr:uid="{00000000-0005-0000-0000-00003F110000}"/>
    <cellStyle name="Calculation 4 2 2 3" xfId="4795" xr:uid="{00000000-0005-0000-0000-000040110000}"/>
    <cellStyle name="Calculation 4 2 2 3 2" xfId="8834" xr:uid="{00000000-0005-0000-0000-000041110000}"/>
    <cellStyle name="Calculation 4 2 2 3 2 2" xfId="24332" xr:uid="{00000000-0005-0000-0000-000042110000}"/>
    <cellStyle name="Calculation 4 2 2 3 3" xfId="15119" xr:uid="{00000000-0005-0000-0000-000043110000}"/>
    <cellStyle name="Calculation 4 2 2 3 3 2" xfId="29951" xr:uid="{00000000-0005-0000-0000-000044110000}"/>
    <cellStyle name="Calculation 4 2 2 3 4" xfId="21870" xr:uid="{00000000-0005-0000-0000-000045110000}"/>
    <cellStyle name="Calculation 4 2 2 4" xfId="2785" xr:uid="{00000000-0005-0000-0000-000046110000}"/>
    <cellStyle name="Calculation 4 2 2 4 2" xfId="6876" xr:uid="{00000000-0005-0000-0000-000047110000}"/>
    <cellStyle name="Calculation 4 2 2 4 2 2" xfId="23083" xr:uid="{00000000-0005-0000-0000-000048110000}"/>
    <cellStyle name="Calculation 4 2 2 4 3" xfId="13123" xr:uid="{00000000-0005-0000-0000-000049110000}"/>
    <cellStyle name="Calculation 4 2 2 4 3 2" xfId="27955" xr:uid="{00000000-0005-0000-0000-00004A110000}"/>
    <cellStyle name="Calculation 4 2 2 4 4" xfId="20743" xr:uid="{00000000-0005-0000-0000-00004B110000}"/>
    <cellStyle name="Calculation 4 2 2 5" xfId="5949" xr:uid="{00000000-0005-0000-0000-00004C110000}"/>
    <cellStyle name="Calculation 4 2 2 5 2" xfId="16141" xr:uid="{00000000-0005-0000-0000-00004D110000}"/>
    <cellStyle name="Calculation 4 2 2 5 2 2" xfId="30973" xr:uid="{00000000-0005-0000-0000-00004E110000}"/>
    <cellStyle name="Calculation 4 2 2 5 3" xfId="22514" xr:uid="{00000000-0005-0000-0000-00004F110000}"/>
    <cellStyle name="Calculation 4 2 2 6" xfId="12211" xr:uid="{00000000-0005-0000-0000-000050110000}"/>
    <cellStyle name="Calculation 4 2 2 6 2" xfId="27043" xr:uid="{00000000-0005-0000-0000-000051110000}"/>
    <cellStyle name="Calculation 4 2 2 7" xfId="9807" xr:uid="{00000000-0005-0000-0000-000052110000}"/>
    <cellStyle name="Calculation 4 2 2 7 2" xfId="20058" xr:uid="{00000000-0005-0000-0000-000053110000}"/>
    <cellStyle name="Calculation 4 2 3" xfId="3947" xr:uid="{00000000-0005-0000-0000-000054110000}"/>
    <cellStyle name="Calculation 4 2 3 2" xfId="7997" xr:uid="{00000000-0005-0000-0000-000055110000}"/>
    <cellStyle name="Calculation 4 2 3 2 2" xfId="23797" xr:uid="{00000000-0005-0000-0000-000056110000}"/>
    <cellStyle name="Calculation 4 2 3 3" xfId="14280" xr:uid="{00000000-0005-0000-0000-000057110000}"/>
    <cellStyle name="Calculation 4 2 3 3 2" xfId="29112" xr:uid="{00000000-0005-0000-0000-000058110000}"/>
    <cellStyle name="Calculation 4 2 3 4" xfId="21439" xr:uid="{00000000-0005-0000-0000-000059110000}"/>
    <cellStyle name="Calculation 4 2 4" xfId="4375" xr:uid="{00000000-0005-0000-0000-00005A110000}"/>
    <cellStyle name="Calculation 4 2 4 2" xfId="8414" xr:uid="{00000000-0005-0000-0000-00005B110000}"/>
    <cellStyle name="Calculation 4 2 4 2 2" xfId="24072" xr:uid="{00000000-0005-0000-0000-00005C110000}"/>
    <cellStyle name="Calculation 4 2 4 3" xfId="14704" xr:uid="{00000000-0005-0000-0000-00005D110000}"/>
    <cellStyle name="Calculation 4 2 4 3 2" xfId="29536" xr:uid="{00000000-0005-0000-0000-00005E110000}"/>
    <cellStyle name="Calculation 4 2 4 4" xfId="21640" xr:uid="{00000000-0005-0000-0000-00005F110000}"/>
    <cellStyle name="Calculation 4 2 5" xfId="2365" xr:uid="{00000000-0005-0000-0000-000060110000}"/>
    <cellStyle name="Calculation 4 2 5 2" xfId="6477" xr:uid="{00000000-0005-0000-0000-000061110000}"/>
    <cellStyle name="Calculation 4 2 5 2 2" xfId="22847" xr:uid="{00000000-0005-0000-0000-000062110000}"/>
    <cellStyle name="Calculation 4 2 5 3" xfId="12704" xr:uid="{00000000-0005-0000-0000-000063110000}"/>
    <cellStyle name="Calculation 4 2 5 3 2" xfId="27536" xr:uid="{00000000-0005-0000-0000-000064110000}"/>
    <cellStyle name="Calculation 4 2 5 4" xfId="20489" xr:uid="{00000000-0005-0000-0000-000065110000}"/>
    <cellStyle name="Calculation 4 2 6" xfId="5490" xr:uid="{00000000-0005-0000-0000-000066110000}"/>
    <cellStyle name="Calculation 4 2 6 2" xfId="15725" xr:uid="{00000000-0005-0000-0000-000067110000}"/>
    <cellStyle name="Calculation 4 2 6 2 2" xfId="30557" xr:uid="{00000000-0005-0000-0000-000068110000}"/>
    <cellStyle name="Calculation 4 2 6 3" xfId="22218" xr:uid="{00000000-0005-0000-0000-000069110000}"/>
    <cellStyle name="Calculation 4 2 7" xfId="11740" xr:uid="{00000000-0005-0000-0000-00006A110000}"/>
    <cellStyle name="Calculation 4 2 7 2" xfId="26572" xr:uid="{00000000-0005-0000-0000-00006B110000}"/>
    <cellStyle name="Calculation 4 2 8" xfId="9411" xr:uid="{00000000-0005-0000-0000-00006C110000}"/>
    <cellStyle name="Calculation 4 2 8 2" xfId="19715" xr:uid="{00000000-0005-0000-0000-00006D110000}"/>
    <cellStyle name="Calculation 4 3" xfId="1447" xr:uid="{00000000-0005-0000-0000-00006E110000}"/>
    <cellStyle name="Calculation 4 3 2" xfId="1948" xr:uid="{00000000-0005-0000-0000-00006F110000}"/>
    <cellStyle name="Calculation 4 3 2 2" xfId="3980" xr:uid="{00000000-0005-0000-0000-000070110000}"/>
    <cellStyle name="Calculation 4 3 2 2 2" xfId="8029" xr:uid="{00000000-0005-0000-0000-000071110000}"/>
    <cellStyle name="Calculation 4 3 2 2 2 2" xfId="23819" xr:uid="{00000000-0005-0000-0000-000072110000}"/>
    <cellStyle name="Calculation 4 3 2 2 3" xfId="14313" xr:uid="{00000000-0005-0000-0000-000073110000}"/>
    <cellStyle name="Calculation 4 3 2 2 3 2" xfId="29145" xr:uid="{00000000-0005-0000-0000-000074110000}"/>
    <cellStyle name="Calculation 4 3 2 2 4" xfId="21457" xr:uid="{00000000-0005-0000-0000-000075110000}"/>
    <cellStyle name="Calculation 4 3 2 3" xfId="4927" xr:uid="{00000000-0005-0000-0000-000076110000}"/>
    <cellStyle name="Calculation 4 3 2 3 2" xfId="8966" xr:uid="{00000000-0005-0000-0000-000077110000}"/>
    <cellStyle name="Calculation 4 3 2 3 2 2" xfId="24432" xr:uid="{00000000-0005-0000-0000-000078110000}"/>
    <cellStyle name="Calculation 4 3 2 3 3" xfId="15249" xr:uid="{00000000-0005-0000-0000-000079110000}"/>
    <cellStyle name="Calculation 4 3 2 3 3 2" xfId="30081" xr:uid="{00000000-0005-0000-0000-00007A110000}"/>
    <cellStyle name="Calculation 4 3 2 3 4" xfId="21962" xr:uid="{00000000-0005-0000-0000-00007B110000}"/>
    <cellStyle name="Calculation 4 3 2 4" xfId="2917" xr:uid="{00000000-0005-0000-0000-00007C110000}"/>
    <cellStyle name="Calculation 4 3 2 4 2" xfId="7001" xr:uid="{00000000-0005-0000-0000-00007D110000}"/>
    <cellStyle name="Calculation 4 3 2 4 2 2" xfId="23175" xr:uid="{00000000-0005-0000-0000-00007E110000}"/>
    <cellStyle name="Calculation 4 3 2 4 3" xfId="13255" xr:uid="{00000000-0005-0000-0000-00007F110000}"/>
    <cellStyle name="Calculation 4 3 2 4 3 2" xfId="28087" xr:uid="{00000000-0005-0000-0000-000080110000}"/>
    <cellStyle name="Calculation 4 3 2 4 4" xfId="20843" xr:uid="{00000000-0005-0000-0000-000081110000}"/>
    <cellStyle name="Calculation 4 3 2 5" xfId="6078" xr:uid="{00000000-0005-0000-0000-000082110000}"/>
    <cellStyle name="Calculation 4 3 2 5 2" xfId="16265" xr:uid="{00000000-0005-0000-0000-000083110000}"/>
    <cellStyle name="Calculation 4 3 2 5 2 2" xfId="31097" xr:uid="{00000000-0005-0000-0000-000084110000}"/>
    <cellStyle name="Calculation 4 3 2 5 3" xfId="22611" xr:uid="{00000000-0005-0000-0000-000085110000}"/>
    <cellStyle name="Calculation 4 3 2 6" xfId="12335" xr:uid="{00000000-0005-0000-0000-000086110000}"/>
    <cellStyle name="Calculation 4 3 2 6 2" xfId="27167" xr:uid="{00000000-0005-0000-0000-000087110000}"/>
    <cellStyle name="Calculation 4 3 2 7" xfId="9932" xr:uid="{00000000-0005-0000-0000-000088110000}"/>
    <cellStyle name="Calculation 4 3 2 7 2" xfId="20134" xr:uid="{00000000-0005-0000-0000-000089110000}"/>
    <cellStyle name="Calculation 4 3 3" xfId="4053" xr:uid="{00000000-0005-0000-0000-00008A110000}"/>
    <cellStyle name="Calculation 4 3 3 2" xfId="8100" xr:uid="{00000000-0005-0000-0000-00008B110000}"/>
    <cellStyle name="Calculation 4 3 3 2 2" xfId="23862" xr:uid="{00000000-0005-0000-0000-00008C110000}"/>
    <cellStyle name="Calculation 4 3 3 3" xfId="14385" xr:uid="{00000000-0005-0000-0000-00008D110000}"/>
    <cellStyle name="Calculation 4 3 3 3 2" xfId="29217" xr:uid="{00000000-0005-0000-0000-00008E110000}"/>
    <cellStyle name="Calculation 4 3 3 4" xfId="21496" xr:uid="{00000000-0005-0000-0000-00008F110000}"/>
    <cellStyle name="Calculation 4 3 4" xfId="4507" xr:uid="{00000000-0005-0000-0000-000090110000}"/>
    <cellStyle name="Calculation 4 3 4 2" xfId="8546" xr:uid="{00000000-0005-0000-0000-000091110000}"/>
    <cellStyle name="Calculation 4 3 4 2 2" xfId="24172" xr:uid="{00000000-0005-0000-0000-000092110000}"/>
    <cellStyle name="Calculation 4 3 4 3" xfId="14834" xr:uid="{00000000-0005-0000-0000-000093110000}"/>
    <cellStyle name="Calculation 4 3 4 3 2" xfId="29666" xr:uid="{00000000-0005-0000-0000-000094110000}"/>
    <cellStyle name="Calculation 4 3 4 4" xfId="21732" xr:uid="{00000000-0005-0000-0000-000095110000}"/>
    <cellStyle name="Calculation 4 3 5" xfId="2497" xr:uid="{00000000-0005-0000-0000-000096110000}"/>
    <cellStyle name="Calculation 4 3 5 2" xfId="6603" xr:uid="{00000000-0005-0000-0000-000097110000}"/>
    <cellStyle name="Calculation 4 3 5 2 2" xfId="22941" xr:uid="{00000000-0005-0000-0000-000098110000}"/>
    <cellStyle name="Calculation 4 3 5 3" xfId="12835" xr:uid="{00000000-0005-0000-0000-000099110000}"/>
    <cellStyle name="Calculation 4 3 5 3 2" xfId="27667" xr:uid="{00000000-0005-0000-0000-00009A110000}"/>
    <cellStyle name="Calculation 4 3 5 4" xfId="20587" xr:uid="{00000000-0005-0000-0000-00009B110000}"/>
    <cellStyle name="Calculation 4 3 6" xfId="5620" xr:uid="{00000000-0005-0000-0000-00009C110000}"/>
    <cellStyle name="Calculation 4 3 6 2" xfId="15855" xr:uid="{00000000-0005-0000-0000-00009D110000}"/>
    <cellStyle name="Calculation 4 3 6 2 2" xfId="30687" xr:uid="{00000000-0005-0000-0000-00009E110000}"/>
    <cellStyle name="Calculation 4 3 6 3" xfId="22316" xr:uid="{00000000-0005-0000-0000-00009F110000}"/>
    <cellStyle name="Calculation 4 3 7" xfId="11864" xr:uid="{00000000-0005-0000-0000-0000A0110000}"/>
    <cellStyle name="Calculation 4 3 7 2" xfId="26696" xr:uid="{00000000-0005-0000-0000-0000A1110000}"/>
    <cellStyle name="Calculation 4 3 8" xfId="9537" xr:uid="{00000000-0005-0000-0000-0000A2110000}"/>
    <cellStyle name="Calculation 4 3 8 2" xfId="19839" xr:uid="{00000000-0005-0000-0000-0000A3110000}"/>
    <cellStyle name="Calculation 4 4" xfId="1419" xr:uid="{00000000-0005-0000-0000-0000A4110000}"/>
    <cellStyle name="Calculation 4 4 2" xfId="1921" xr:uid="{00000000-0005-0000-0000-0000A5110000}"/>
    <cellStyle name="Calculation 4 4 2 2" xfId="3765" xr:uid="{00000000-0005-0000-0000-0000A6110000}"/>
    <cellStyle name="Calculation 4 4 2 2 2" xfId="7821" xr:uid="{00000000-0005-0000-0000-0000A7110000}"/>
    <cellStyle name="Calculation 4 4 2 2 2 2" xfId="23682" xr:uid="{00000000-0005-0000-0000-0000A8110000}"/>
    <cellStyle name="Calculation 4 4 2 2 3" xfId="14100" xr:uid="{00000000-0005-0000-0000-0000A9110000}"/>
    <cellStyle name="Calculation 4 4 2 2 3 2" xfId="28932" xr:uid="{00000000-0005-0000-0000-0000AA110000}"/>
    <cellStyle name="Calculation 4 4 2 2 4" xfId="21338" xr:uid="{00000000-0005-0000-0000-0000AB110000}"/>
    <cellStyle name="Calculation 4 4 2 3" xfId="4899" xr:uid="{00000000-0005-0000-0000-0000AC110000}"/>
    <cellStyle name="Calculation 4 4 2 3 2" xfId="8938" xr:uid="{00000000-0005-0000-0000-0000AD110000}"/>
    <cellStyle name="Calculation 4 4 2 3 2 2" xfId="24404" xr:uid="{00000000-0005-0000-0000-0000AE110000}"/>
    <cellStyle name="Calculation 4 4 2 3 3" xfId="15222" xr:uid="{00000000-0005-0000-0000-0000AF110000}"/>
    <cellStyle name="Calculation 4 4 2 3 3 2" xfId="30054" xr:uid="{00000000-0005-0000-0000-0000B0110000}"/>
    <cellStyle name="Calculation 4 4 2 3 4" xfId="21936" xr:uid="{00000000-0005-0000-0000-0000B1110000}"/>
    <cellStyle name="Calculation 4 4 2 4" xfId="2889" xr:uid="{00000000-0005-0000-0000-0000B2110000}"/>
    <cellStyle name="Calculation 4 4 2 4 2" xfId="6974" xr:uid="{00000000-0005-0000-0000-0000B3110000}"/>
    <cellStyle name="Calculation 4 4 2 4 2 2" xfId="23149" xr:uid="{00000000-0005-0000-0000-0000B4110000}"/>
    <cellStyle name="Calculation 4 4 2 4 3" xfId="13227" xr:uid="{00000000-0005-0000-0000-0000B5110000}"/>
    <cellStyle name="Calculation 4 4 2 4 3 2" xfId="28059" xr:uid="{00000000-0005-0000-0000-0000B6110000}"/>
    <cellStyle name="Calculation 4 4 2 4 4" xfId="20815" xr:uid="{00000000-0005-0000-0000-0000B7110000}"/>
    <cellStyle name="Calculation 4 4 2 5" xfId="6052" xr:uid="{00000000-0005-0000-0000-0000B8110000}"/>
    <cellStyle name="Calculation 4 4 2 5 2" xfId="16239" xr:uid="{00000000-0005-0000-0000-0000B9110000}"/>
    <cellStyle name="Calculation 4 4 2 5 2 2" xfId="31071" xr:uid="{00000000-0005-0000-0000-0000BA110000}"/>
    <cellStyle name="Calculation 4 4 2 5 3" xfId="22585" xr:uid="{00000000-0005-0000-0000-0000BB110000}"/>
    <cellStyle name="Calculation 4 4 2 6" xfId="12309" xr:uid="{00000000-0005-0000-0000-0000BC110000}"/>
    <cellStyle name="Calculation 4 4 2 6 2" xfId="27141" xr:uid="{00000000-0005-0000-0000-0000BD110000}"/>
    <cellStyle name="Calculation 4 4 2 7" xfId="9905" xr:uid="{00000000-0005-0000-0000-0000BE110000}"/>
    <cellStyle name="Calculation 4 4 2 7 2" xfId="20108" xr:uid="{00000000-0005-0000-0000-0000BF110000}"/>
    <cellStyle name="Calculation 4 4 3" xfId="3783" xr:uid="{00000000-0005-0000-0000-0000C0110000}"/>
    <cellStyle name="Calculation 4 4 3 2" xfId="7838" xr:uid="{00000000-0005-0000-0000-0000C1110000}"/>
    <cellStyle name="Calculation 4 4 3 2 2" xfId="23694" xr:uid="{00000000-0005-0000-0000-0000C2110000}"/>
    <cellStyle name="Calculation 4 4 3 3" xfId="14118" xr:uid="{00000000-0005-0000-0000-0000C3110000}"/>
    <cellStyle name="Calculation 4 4 3 3 2" xfId="28950" xr:uid="{00000000-0005-0000-0000-0000C4110000}"/>
    <cellStyle name="Calculation 4 4 3 4" xfId="21346" xr:uid="{00000000-0005-0000-0000-0000C5110000}"/>
    <cellStyle name="Calculation 4 4 4" xfId="4479" xr:uid="{00000000-0005-0000-0000-0000C6110000}"/>
    <cellStyle name="Calculation 4 4 4 2" xfId="8518" xr:uid="{00000000-0005-0000-0000-0000C7110000}"/>
    <cellStyle name="Calculation 4 4 4 2 2" xfId="24144" xr:uid="{00000000-0005-0000-0000-0000C8110000}"/>
    <cellStyle name="Calculation 4 4 4 3" xfId="14807" xr:uid="{00000000-0005-0000-0000-0000C9110000}"/>
    <cellStyle name="Calculation 4 4 4 3 2" xfId="29639" xr:uid="{00000000-0005-0000-0000-0000CA110000}"/>
    <cellStyle name="Calculation 4 4 4 4" xfId="21706" xr:uid="{00000000-0005-0000-0000-0000CB110000}"/>
    <cellStyle name="Calculation 4 4 5" xfId="2469" xr:uid="{00000000-0005-0000-0000-0000CC110000}"/>
    <cellStyle name="Calculation 4 4 5 2" xfId="6575" xr:uid="{00000000-0005-0000-0000-0000CD110000}"/>
    <cellStyle name="Calculation 4 4 5 2 2" xfId="22913" xr:uid="{00000000-0005-0000-0000-0000CE110000}"/>
    <cellStyle name="Calculation 4 4 5 3" xfId="12808" xr:uid="{00000000-0005-0000-0000-0000CF110000}"/>
    <cellStyle name="Calculation 4 4 5 3 2" xfId="27640" xr:uid="{00000000-0005-0000-0000-0000D0110000}"/>
    <cellStyle name="Calculation 4 4 5 4" xfId="20561" xr:uid="{00000000-0005-0000-0000-0000D1110000}"/>
    <cellStyle name="Calculation 4 4 6" xfId="5593" xr:uid="{00000000-0005-0000-0000-0000D2110000}"/>
    <cellStyle name="Calculation 4 4 6 2" xfId="15828" xr:uid="{00000000-0005-0000-0000-0000D3110000}"/>
    <cellStyle name="Calculation 4 4 6 2 2" xfId="30660" xr:uid="{00000000-0005-0000-0000-0000D4110000}"/>
    <cellStyle name="Calculation 4 4 6 3" xfId="22289" xr:uid="{00000000-0005-0000-0000-0000D5110000}"/>
    <cellStyle name="Calculation 4 4 7" xfId="11838" xr:uid="{00000000-0005-0000-0000-0000D6110000}"/>
    <cellStyle name="Calculation 4 4 7 2" xfId="26670" xr:uid="{00000000-0005-0000-0000-0000D7110000}"/>
    <cellStyle name="Calculation 4 4 8" xfId="9510" xr:uid="{00000000-0005-0000-0000-0000D8110000}"/>
    <cellStyle name="Calculation 4 4 8 2" xfId="19813" xr:uid="{00000000-0005-0000-0000-0000D9110000}"/>
    <cellStyle name="Calculation 4 5" xfId="1432" xr:uid="{00000000-0005-0000-0000-0000DA110000}"/>
    <cellStyle name="Calculation 4 5 2" xfId="1933" xr:uid="{00000000-0005-0000-0000-0000DB110000}"/>
    <cellStyle name="Calculation 4 5 2 2" xfId="4070" xr:uid="{00000000-0005-0000-0000-0000DC110000}"/>
    <cellStyle name="Calculation 4 5 2 2 2" xfId="8117" xr:uid="{00000000-0005-0000-0000-0000DD110000}"/>
    <cellStyle name="Calculation 4 5 2 2 2 2" xfId="23870" xr:uid="{00000000-0005-0000-0000-0000DE110000}"/>
    <cellStyle name="Calculation 4 5 2 2 3" xfId="14402" xr:uid="{00000000-0005-0000-0000-0000DF110000}"/>
    <cellStyle name="Calculation 4 5 2 2 3 2" xfId="29234" xr:uid="{00000000-0005-0000-0000-0000E0110000}"/>
    <cellStyle name="Calculation 4 5 2 2 4" xfId="21504" xr:uid="{00000000-0005-0000-0000-0000E1110000}"/>
    <cellStyle name="Calculation 4 5 2 3" xfId="4912" xr:uid="{00000000-0005-0000-0000-0000E2110000}"/>
    <cellStyle name="Calculation 4 5 2 3 2" xfId="8951" xr:uid="{00000000-0005-0000-0000-0000E3110000}"/>
    <cellStyle name="Calculation 4 5 2 3 2 2" xfId="24417" xr:uid="{00000000-0005-0000-0000-0000E4110000}"/>
    <cellStyle name="Calculation 4 5 2 3 3" xfId="15234" xr:uid="{00000000-0005-0000-0000-0000E5110000}"/>
    <cellStyle name="Calculation 4 5 2 3 3 2" xfId="30066" xr:uid="{00000000-0005-0000-0000-0000E6110000}"/>
    <cellStyle name="Calculation 4 5 2 3 4" xfId="21947" xr:uid="{00000000-0005-0000-0000-0000E7110000}"/>
    <cellStyle name="Calculation 4 5 2 4" xfId="2902" xr:uid="{00000000-0005-0000-0000-0000E8110000}"/>
    <cellStyle name="Calculation 4 5 2 4 2" xfId="6986" xr:uid="{00000000-0005-0000-0000-0000E9110000}"/>
    <cellStyle name="Calculation 4 5 2 4 2 2" xfId="23160" xr:uid="{00000000-0005-0000-0000-0000EA110000}"/>
    <cellStyle name="Calculation 4 5 2 4 3" xfId="13240" xr:uid="{00000000-0005-0000-0000-0000EB110000}"/>
    <cellStyle name="Calculation 4 5 2 4 3 2" xfId="28072" xr:uid="{00000000-0005-0000-0000-0000EC110000}"/>
    <cellStyle name="Calculation 4 5 2 4 4" xfId="20828" xr:uid="{00000000-0005-0000-0000-0000ED110000}"/>
    <cellStyle name="Calculation 4 5 2 5" xfId="6063" xr:uid="{00000000-0005-0000-0000-0000EE110000}"/>
    <cellStyle name="Calculation 4 5 2 5 2" xfId="16250" xr:uid="{00000000-0005-0000-0000-0000EF110000}"/>
    <cellStyle name="Calculation 4 5 2 5 2 2" xfId="31082" xr:uid="{00000000-0005-0000-0000-0000F0110000}"/>
    <cellStyle name="Calculation 4 5 2 5 3" xfId="22596" xr:uid="{00000000-0005-0000-0000-0000F1110000}"/>
    <cellStyle name="Calculation 4 5 2 6" xfId="12320" xr:uid="{00000000-0005-0000-0000-0000F2110000}"/>
    <cellStyle name="Calculation 4 5 2 6 2" xfId="27152" xr:uid="{00000000-0005-0000-0000-0000F3110000}"/>
    <cellStyle name="Calculation 4 5 2 7" xfId="9917" xr:uid="{00000000-0005-0000-0000-0000F4110000}"/>
    <cellStyle name="Calculation 4 5 2 7 2" xfId="20119" xr:uid="{00000000-0005-0000-0000-0000F5110000}"/>
    <cellStyle name="Calculation 4 5 3" xfId="3179" xr:uid="{00000000-0005-0000-0000-0000F6110000}"/>
    <cellStyle name="Calculation 4 5 3 2" xfId="7243" xr:uid="{00000000-0005-0000-0000-0000F7110000}"/>
    <cellStyle name="Calculation 4 5 3 2 2" xfId="23301" xr:uid="{00000000-0005-0000-0000-0000F8110000}"/>
    <cellStyle name="Calculation 4 5 3 3" xfId="13517" xr:uid="{00000000-0005-0000-0000-0000F9110000}"/>
    <cellStyle name="Calculation 4 5 3 3 2" xfId="28349" xr:uid="{00000000-0005-0000-0000-0000FA110000}"/>
    <cellStyle name="Calculation 4 5 3 4" xfId="20991" xr:uid="{00000000-0005-0000-0000-0000FB110000}"/>
    <cellStyle name="Calculation 4 5 4" xfId="4492" xr:uid="{00000000-0005-0000-0000-0000FC110000}"/>
    <cellStyle name="Calculation 4 5 4 2" xfId="8531" xr:uid="{00000000-0005-0000-0000-0000FD110000}"/>
    <cellStyle name="Calculation 4 5 4 2 2" xfId="24157" xr:uid="{00000000-0005-0000-0000-0000FE110000}"/>
    <cellStyle name="Calculation 4 5 4 3" xfId="14819" xr:uid="{00000000-0005-0000-0000-0000FF110000}"/>
    <cellStyle name="Calculation 4 5 4 3 2" xfId="29651" xr:uid="{00000000-0005-0000-0000-000000120000}"/>
    <cellStyle name="Calculation 4 5 4 4" xfId="21717" xr:uid="{00000000-0005-0000-0000-000001120000}"/>
    <cellStyle name="Calculation 4 5 5" xfId="2482" xr:uid="{00000000-0005-0000-0000-000002120000}"/>
    <cellStyle name="Calculation 4 5 5 2" xfId="6588" xr:uid="{00000000-0005-0000-0000-000003120000}"/>
    <cellStyle name="Calculation 4 5 5 2 2" xfId="22926" xr:uid="{00000000-0005-0000-0000-000004120000}"/>
    <cellStyle name="Calculation 4 5 5 3" xfId="12820" xr:uid="{00000000-0005-0000-0000-000005120000}"/>
    <cellStyle name="Calculation 4 5 5 3 2" xfId="27652" xr:uid="{00000000-0005-0000-0000-000006120000}"/>
    <cellStyle name="Calculation 4 5 5 4" xfId="20572" xr:uid="{00000000-0005-0000-0000-000007120000}"/>
    <cellStyle name="Calculation 4 5 6" xfId="5605" xr:uid="{00000000-0005-0000-0000-000008120000}"/>
    <cellStyle name="Calculation 4 5 6 2" xfId="15840" xr:uid="{00000000-0005-0000-0000-000009120000}"/>
    <cellStyle name="Calculation 4 5 6 2 2" xfId="30672" xr:uid="{00000000-0005-0000-0000-00000A120000}"/>
    <cellStyle name="Calculation 4 5 6 3" xfId="22301" xr:uid="{00000000-0005-0000-0000-00000B120000}"/>
    <cellStyle name="Calculation 4 5 7" xfId="11849" xr:uid="{00000000-0005-0000-0000-00000C120000}"/>
    <cellStyle name="Calculation 4 5 7 2" xfId="26681" xr:uid="{00000000-0005-0000-0000-00000D120000}"/>
    <cellStyle name="Calculation 4 5 8" xfId="9522" xr:uid="{00000000-0005-0000-0000-00000E120000}"/>
    <cellStyle name="Calculation 4 5 8 2" xfId="19824" xr:uid="{00000000-0005-0000-0000-00000F120000}"/>
    <cellStyle name="Calculation 4 6" xfId="1724" xr:uid="{00000000-0005-0000-0000-000010120000}"/>
    <cellStyle name="Calculation 4 6 2" xfId="3622" xr:uid="{00000000-0005-0000-0000-000011120000}"/>
    <cellStyle name="Calculation 4 6 2 2" xfId="7682" xr:uid="{00000000-0005-0000-0000-000012120000}"/>
    <cellStyle name="Calculation 4 6 2 2 2" xfId="23591" xr:uid="{00000000-0005-0000-0000-000013120000}"/>
    <cellStyle name="Calculation 4 6 2 3" xfId="13957" xr:uid="{00000000-0005-0000-0000-000014120000}"/>
    <cellStyle name="Calculation 4 6 2 3 2" xfId="28789" xr:uid="{00000000-0005-0000-0000-000015120000}"/>
    <cellStyle name="Calculation 4 6 2 4" xfId="21255" xr:uid="{00000000-0005-0000-0000-000016120000}"/>
    <cellStyle name="Calculation 4 6 3" xfId="4717" xr:uid="{00000000-0005-0000-0000-000017120000}"/>
    <cellStyle name="Calculation 4 6 3 2" xfId="8756" xr:uid="{00000000-0005-0000-0000-000018120000}"/>
    <cellStyle name="Calculation 4 6 3 2 2" xfId="24286" xr:uid="{00000000-0005-0000-0000-000019120000}"/>
    <cellStyle name="Calculation 4 6 3 3" xfId="15041" xr:uid="{00000000-0005-0000-0000-00001A120000}"/>
    <cellStyle name="Calculation 4 6 3 3 2" xfId="29873" xr:uid="{00000000-0005-0000-0000-00001B120000}"/>
    <cellStyle name="Calculation 4 6 3 4" xfId="21824" xr:uid="{00000000-0005-0000-0000-00001C120000}"/>
    <cellStyle name="Calculation 4 6 4" xfId="2707" xr:uid="{00000000-0005-0000-0000-00001D120000}"/>
    <cellStyle name="Calculation 4 6 4 2" xfId="6798" xr:uid="{00000000-0005-0000-0000-00001E120000}"/>
    <cellStyle name="Calculation 4 6 4 2 2" xfId="23037" xr:uid="{00000000-0005-0000-0000-00001F120000}"/>
    <cellStyle name="Calculation 4 6 4 3" xfId="13045" xr:uid="{00000000-0005-0000-0000-000020120000}"/>
    <cellStyle name="Calculation 4 6 4 3 2" xfId="27877" xr:uid="{00000000-0005-0000-0000-000021120000}"/>
    <cellStyle name="Calculation 4 6 4 4" xfId="20697" xr:uid="{00000000-0005-0000-0000-000022120000}"/>
    <cellStyle name="Calculation 4 6 5" xfId="5856" xr:uid="{00000000-0005-0000-0000-000023120000}"/>
    <cellStyle name="Calculation 4 6 5 2" xfId="16048" xr:uid="{00000000-0005-0000-0000-000024120000}"/>
    <cellStyle name="Calculation 4 6 5 2 2" xfId="30880" xr:uid="{00000000-0005-0000-0000-000025120000}"/>
    <cellStyle name="Calculation 4 6 5 3" xfId="22453" xr:uid="{00000000-0005-0000-0000-000026120000}"/>
    <cellStyle name="Calculation 4 6 6" xfId="12118" xr:uid="{00000000-0005-0000-0000-000027120000}"/>
    <cellStyle name="Calculation 4 6 6 2" xfId="26950" xr:uid="{00000000-0005-0000-0000-000028120000}"/>
    <cellStyle name="Calculation 4 6 7" xfId="9729" xr:uid="{00000000-0005-0000-0000-000029120000}"/>
    <cellStyle name="Calculation 4 6 7 2" xfId="20027" xr:uid="{00000000-0005-0000-0000-00002A120000}"/>
    <cellStyle name="Calculation 4 7" xfId="2227" xr:uid="{00000000-0005-0000-0000-00002B120000}"/>
    <cellStyle name="Calculation 4 7 2" xfId="3544" xr:uid="{00000000-0005-0000-0000-00002C120000}"/>
    <cellStyle name="Calculation 4 7 2 2" xfId="7606" xr:uid="{00000000-0005-0000-0000-00002D120000}"/>
    <cellStyle name="Calculation 4 7 2 2 2" xfId="23544" xr:uid="{00000000-0005-0000-0000-00002E120000}"/>
    <cellStyle name="Calculation 4 7 2 3" xfId="13880" xr:uid="{00000000-0005-0000-0000-00002F120000}"/>
    <cellStyle name="Calculation 4 7 2 3 2" xfId="28712" xr:uid="{00000000-0005-0000-0000-000030120000}"/>
    <cellStyle name="Calculation 4 7 2 4" xfId="21217" xr:uid="{00000000-0005-0000-0000-000031120000}"/>
    <cellStyle name="Calculation 4 7 3" xfId="5195" xr:uid="{00000000-0005-0000-0000-000032120000}"/>
    <cellStyle name="Calculation 4 7 3 2" xfId="9234" xr:uid="{00000000-0005-0000-0000-000033120000}"/>
    <cellStyle name="Calculation 4 7 3 2 2" xfId="24572" xr:uid="{00000000-0005-0000-0000-000034120000}"/>
    <cellStyle name="Calculation 4 7 3 3" xfId="15513" xr:uid="{00000000-0005-0000-0000-000035120000}"/>
    <cellStyle name="Calculation 4 7 3 3 2" xfId="30345" xr:uid="{00000000-0005-0000-0000-000036120000}"/>
    <cellStyle name="Calculation 4 7 3 4" xfId="22079" xr:uid="{00000000-0005-0000-0000-000037120000}"/>
    <cellStyle name="Calculation 4 7 4" xfId="4225" xr:uid="{00000000-0005-0000-0000-000038120000}"/>
    <cellStyle name="Calculation 4 7 4 2" xfId="8266" xr:uid="{00000000-0005-0000-0000-000039120000}"/>
    <cellStyle name="Calculation 4 7 4 2 2" xfId="23961" xr:uid="{00000000-0005-0000-0000-00003A120000}"/>
    <cellStyle name="Calculation 4 7 4 3" xfId="14557" xr:uid="{00000000-0005-0000-0000-00003B120000}"/>
    <cellStyle name="Calculation 4 7 4 3 2" xfId="29389" xr:uid="{00000000-0005-0000-0000-00003C120000}"/>
    <cellStyle name="Calculation 4 7 4 4" xfId="21586" xr:uid="{00000000-0005-0000-0000-00003D120000}"/>
    <cellStyle name="Calculation 4 7 5" xfId="6341" xr:uid="{00000000-0005-0000-0000-00003E120000}"/>
    <cellStyle name="Calculation 4 7 5 2" xfId="22743" xr:uid="{00000000-0005-0000-0000-00003F120000}"/>
    <cellStyle name="Calculation 4 7 6" xfId="12595" xr:uid="{00000000-0005-0000-0000-000040120000}"/>
    <cellStyle name="Calculation 4 7 6 2" xfId="27427" xr:uid="{00000000-0005-0000-0000-000041120000}"/>
    <cellStyle name="Calculation 4 7 7" xfId="20422" xr:uid="{00000000-0005-0000-0000-000042120000}"/>
    <cellStyle name="Calculation 4 8" xfId="3862" xr:uid="{00000000-0005-0000-0000-000043120000}"/>
    <cellStyle name="Calculation 4 8 2" xfId="7914" xr:uid="{00000000-0005-0000-0000-000044120000}"/>
    <cellStyle name="Calculation 4 8 2 2" xfId="23747" xr:uid="{00000000-0005-0000-0000-000045120000}"/>
    <cellStyle name="Calculation 4 8 3" xfId="14197" xr:uid="{00000000-0005-0000-0000-000046120000}"/>
    <cellStyle name="Calculation 4 8 3 2" xfId="29029" xr:uid="{00000000-0005-0000-0000-000047120000}"/>
    <cellStyle name="Calculation 4 8 4" xfId="21389" xr:uid="{00000000-0005-0000-0000-000048120000}"/>
    <cellStyle name="Calculation 4 9" xfId="3194" xr:uid="{00000000-0005-0000-0000-000049120000}"/>
    <cellStyle name="Calculation 4 9 2" xfId="7258" xr:uid="{00000000-0005-0000-0000-00004A120000}"/>
    <cellStyle name="Calculation 4 9 2 2" xfId="23311" xr:uid="{00000000-0005-0000-0000-00004B120000}"/>
    <cellStyle name="Calculation 4 9 3" xfId="13532" xr:uid="{00000000-0005-0000-0000-00004C120000}"/>
    <cellStyle name="Calculation 4 9 3 2" xfId="28364" xr:uid="{00000000-0005-0000-0000-00004D120000}"/>
    <cellStyle name="Calculation 4 9 4" xfId="21001" xr:uid="{00000000-0005-0000-0000-00004E120000}"/>
    <cellStyle name="Calculation 5" xfId="972" xr:uid="{00000000-0005-0000-0000-00004F120000}"/>
    <cellStyle name="Calculation 5 10" xfId="2278" xr:uid="{00000000-0005-0000-0000-000050120000}"/>
    <cellStyle name="Calculation 5 10 2" xfId="6390" xr:uid="{00000000-0005-0000-0000-000051120000}"/>
    <cellStyle name="Calculation 5 10 2 2" xfId="22792" xr:uid="{00000000-0005-0000-0000-000052120000}"/>
    <cellStyle name="Calculation 5 10 3" xfId="12618" xr:uid="{00000000-0005-0000-0000-000053120000}"/>
    <cellStyle name="Calculation 5 10 3 2" xfId="27450" xr:uid="{00000000-0005-0000-0000-000054120000}"/>
    <cellStyle name="Calculation 5 10 4" xfId="20444" xr:uid="{00000000-0005-0000-0000-000055120000}"/>
    <cellStyle name="Calculation 5 11" xfId="5244" xr:uid="{00000000-0005-0000-0000-000056120000}"/>
    <cellStyle name="Calculation 5 11 2" xfId="15560" xr:uid="{00000000-0005-0000-0000-000057120000}"/>
    <cellStyle name="Calculation 5 11 2 2" xfId="30392" xr:uid="{00000000-0005-0000-0000-000058120000}"/>
    <cellStyle name="Calculation 5 11 3" xfId="22101" xr:uid="{00000000-0005-0000-0000-000059120000}"/>
    <cellStyle name="Calculation 5 12" xfId="5402" xr:uid="{00000000-0005-0000-0000-00005A120000}"/>
    <cellStyle name="Calculation 5 12 2" xfId="15638" xr:uid="{00000000-0005-0000-0000-00005B120000}"/>
    <cellStyle name="Calculation 5 12 2 2" xfId="30470" xr:uid="{00000000-0005-0000-0000-00005C120000}"/>
    <cellStyle name="Calculation 5 12 3" xfId="22163" xr:uid="{00000000-0005-0000-0000-00005D120000}"/>
    <cellStyle name="Calculation 5 13" xfId="9389" xr:uid="{00000000-0005-0000-0000-00005E120000}"/>
    <cellStyle name="Calculation 5 13 2" xfId="24695" xr:uid="{00000000-0005-0000-0000-00005F120000}"/>
    <cellStyle name="Calculation 5 14" xfId="5758" xr:uid="{00000000-0005-0000-0000-000060120000}"/>
    <cellStyle name="Calculation 5 14 2" xfId="18379" xr:uid="{00000000-0005-0000-0000-000061120000}"/>
    <cellStyle name="Calculation 5 2" xfId="1314" xr:uid="{00000000-0005-0000-0000-000062120000}"/>
    <cellStyle name="Calculation 5 2 2" xfId="1818" xr:uid="{00000000-0005-0000-0000-000063120000}"/>
    <cellStyle name="Calculation 5 2 2 2" xfId="3515" xr:uid="{00000000-0005-0000-0000-000064120000}"/>
    <cellStyle name="Calculation 5 2 2 2 2" xfId="7577" xr:uid="{00000000-0005-0000-0000-000065120000}"/>
    <cellStyle name="Calculation 5 2 2 2 2 2" xfId="23527" xr:uid="{00000000-0005-0000-0000-000066120000}"/>
    <cellStyle name="Calculation 5 2 2 2 3" xfId="13852" xr:uid="{00000000-0005-0000-0000-000067120000}"/>
    <cellStyle name="Calculation 5 2 2 2 3 2" xfId="28684" xr:uid="{00000000-0005-0000-0000-000068120000}"/>
    <cellStyle name="Calculation 5 2 2 2 4" xfId="21202" xr:uid="{00000000-0005-0000-0000-000069120000}"/>
    <cellStyle name="Calculation 5 2 2 3" xfId="4796" xr:uid="{00000000-0005-0000-0000-00006A120000}"/>
    <cellStyle name="Calculation 5 2 2 3 2" xfId="8835" xr:uid="{00000000-0005-0000-0000-00006B120000}"/>
    <cellStyle name="Calculation 5 2 2 3 2 2" xfId="24333" xr:uid="{00000000-0005-0000-0000-00006C120000}"/>
    <cellStyle name="Calculation 5 2 2 3 3" xfId="15120" xr:uid="{00000000-0005-0000-0000-00006D120000}"/>
    <cellStyle name="Calculation 5 2 2 3 3 2" xfId="29952" xr:uid="{00000000-0005-0000-0000-00006E120000}"/>
    <cellStyle name="Calculation 5 2 2 3 4" xfId="21871" xr:uid="{00000000-0005-0000-0000-00006F120000}"/>
    <cellStyle name="Calculation 5 2 2 4" xfId="2786" xr:uid="{00000000-0005-0000-0000-000070120000}"/>
    <cellStyle name="Calculation 5 2 2 4 2" xfId="6877" xr:uid="{00000000-0005-0000-0000-000071120000}"/>
    <cellStyle name="Calculation 5 2 2 4 2 2" xfId="23084" xr:uid="{00000000-0005-0000-0000-000072120000}"/>
    <cellStyle name="Calculation 5 2 2 4 3" xfId="13124" xr:uid="{00000000-0005-0000-0000-000073120000}"/>
    <cellStyle name="Calculation 5 2 2 4 3 2" xfId="27956" xr:uid="{00000000-0005-0000-0000-000074120000}"/>
    <cellStyle name="Calculation 5 2 2 4 4" xfId="20744" xr:uid="{00000000-0005-0000-0000-000075120000}"/>
    <cellStyle name="Calculation 5 2 2 5" xfId="5950" xr:uid="{00000000-0005-0000-0000-000076120000}"/>
    <cellStyle name="Calculation 5 2 2 5 2" xfId="16142" xr:uid="{00000000-0005-0000-0000-000077120000}"/>
    <cellStyle name="Calculation 5 2 2 5 2 2" xfId="30974" xr:uid="{00000000-0005-0000-0000-000078120000}"/>
    <cellStyle name="Calculation 5 2 2 5 3" xfId="22515" xr:uid="{00000000-0005-0000-0000-000079120000}"/>
    <cellStyle name="Calculation 5 2 2 6" xfId="12212" xr:uid="{00000000-0005-0000-0000-00007A120000}"/>
    <cellStyle name="Calculation 5 2 2 6 2" xfId="27044" xr:uid="{00000000-0005-0000-0000-00007B120000}"/>
    <cellStyle name="Calculation 5 2 2 7" xfId="9808" xr:uid="{00000000-0005-0000-0000-00007C120000}"/>
    <cellStyle name="Calculation 5 2 2 7 2" xfId="20059" xr:uid="{00000000-0005-0000-0000-00007D120000}"/>
    <cellStyle name="Calculation 5 2 3" xfId="3464" xr:uid="{00000000-0005-0000-0000-00007E120000}"/>
    <cellStyle name="Calculation 5 2 3 2" xfId="7527" xr:uid="{00000000-0005-0000-0000-00007F120000}"/>
    <cellStyle name="Calculation 5 2 3 2 2" xfId="23494" xr:uid="{00000000-0005-0000-0000-000080120000}"/>
    <cellStyle name="Calculation 5 2 3 3" xfId="13801" xr:uid="{00000000-0005-0000-0000-000081120000}"/>
    <cellStyle name="Calculation 5 2 3 3 2" xfId="28633" xr:uid="{00000000-0005-0000-0000-000082120000}"/>
    <cellStyle name="Calculation 5 2 3 4" xfId="21169" xr:uid="{00000000-0005-0000-0000-000083120000}"/>
    <cellStyle name="Calculation 5 2 4" xfId="4376" xr:uid="{00000000-0005-0000-0000-000084120000}"/>
    <cellStyle name="Calculation 5 2 4 2" xfId="8415" xr:uid="{00000000-0005-0000-0000-000085120000}"/>
    <cellStyle name="Calculation 5 2 4 2 2" xfId="24073" xr:uid="{00000000-0005-0000-0000-000086120000}"/>
    <cellStyle name="Calculation 5 2 4 3" xfId="14705" xr:uid="{00000000-0005-0000-0000-000087120000}"/>
    <cellStyle name="Calculation 5 2 4 3 2" xfId="29537" xr:uid="{00000000-0005-0000-0000-000088120000}"/>
    <cellStyle name="Calculation 5 2 4 4" xfId="21641" xr:uid="{00000000-0005-0000-0000-000089120000}"/>
    <cellStyle name="Calculation 5 2 5" xfId="2366" xr:uid="{00000000-0005-0000-0000-00008A120000}"/>
    <cellStyle name="Calculation 5 2 5 2" xfId="6478" xr:uid="{00000000-0005-0000-0000-00008B120000}"/>
    <cellStyle name="Calculation 5 2 5 2 2" xfId="22848" xr:uid="{00000000-0005-0000-0000-00008C120000}"/>
    <cellStyle name="Calculation 5 2 5 3" xfId="12705" xr:uid="{00000000-0005-0000-0000-00008D120000}"/>
    <cellStyle name="Calculation 5 2 5 3 2" xfId="27537" xr:uid="{00000000-0005-0000-0000-00008E120000}"/>
    <cellStyle name="Calculation 5 2 5 4" xfId="20490" xr:uid="{00000000-0005-0000-0000-00008F120000}"/>
    <cellStyle name="Calculation 5 2 6" xfId="5491" xr:uid="{00000000-0005-0000-0000-000090120000}"/>
    <cellStyle name="Calculation 5 2 6 2" xfId="15726" xr:uid="{00000000-0005-0000-0000-000091120000}"/>
    <cellStyle name="Calculation 5 2 6 2 2" xfId="30558" xr:uid="{00000000-0005-0000-0000-000092120000}"/>
    <cellStyle name="Calculation 5 2 6 3" xfId="22219" xr:uid="{00000000-0005-0000-0000-000093120000}"/>
    <cellStyle name="Calculation 5 2 7" xfId="11741" xr:uid="{00000000-0005-0000-0000-000094120000}"/>
    <cellStyle name="Calculation 5 2 7 2" xfId="26573" xr:uid="{00000000-0005-0000-0000-000095120000}"/>
    <cellStyle name="Calculation 5 2 8" xfId="9412" xr:uid="{00000000-0005-0000-0000-000096120000}"/>
    <cellStyle name="Calculation 5 2 8 2" xfId="19716" xr:uid="{00000000-0005-0000-0000-000097120000}"/>
    <cellStyle name="Calculation 5 3" xfId="1448" xr:uid="{00000000-0005-0000-0000-000098120000}"/>
    <cellStyle name="Calculation 5 3 2" xfId="1949" xr:uid="{00000000-0005-0000-0000-000099120000}"/>
    <cellStyle name="Calculation 5 3 2 2" xfId="3951" xr:uid="{00000000-0005-0000-0000-00009A120000}"/>
    <cellStyle name="Calculation 5 3 2 2 2" xfId="8001" xr:uid="{00000000-0005-0000-0000-00009B120000}"/>
    <cellStyle name="Calculation 5 3 2 2 2 2" xfId="23801" xr:uid="{00000000-0005-0000-0000-00009C120000}"/>
    <cellStyle name="Calculation 5 3 2 2 3" xfId="14284" xr:uid="{00000000-0005-0000-0000-00009D120000}"/>
    <cellStyle name="Calculation 5 3 2 2 3 2" xfId="29116" xr:uid="{00000000-0005-0000-0000-00009E120000}"/>
    <cellStyle name="Calculation 5 3 2 2 4" xfId="21443" xr:uid="{00000000-0005-0000-0000-00009F120000}"/>
    <cellStyle name="Calculation 5 3 2 3" xfId="4928" xr:uid="{00000000-0005-0000-0000-0000A0120000}"/>
    <cellStyle name="Calculation 5 3 2 3 2" xfId="8967" xr:uid="{00000000-0005-0000-0000-0000A1120000}"/>
    <cellStyle name="Calculation 5 3 2 3 2 2" xfId="24433" xr:uid="{00000000-0005-0000-0000-0000A2120000}"/>
    <cellStyle name="Calculation 5 3 2 3 3" xfId="15250" xr:uid="{00000000-0005-0000-0000-0000A3120000}"/>
    <cellStyle name="Calculation 5 3 2 3 3 2" xfId="30082" xr:uid="{00000000-0005-0000-0000-0000A4120000}"/>
    <cellStyle name="Calculation 5 3 2 3 4" xfId="21963" xr:uid="{00000000-0005-0000-0000-0000A5120000}"/>
    <cellStyle name="Calculation 5 3 2 4" xfId="2918" xr:uid="{00000000-0005-0000-0000-0000A6120000}"/>
    <cellStyle name="Calculation 5 3 2 4 2" xfId="7002" xr:uid="{00000000-0005-0000-0000-0000A7120000}"/>
    <cellStyle name="Calculation 5 3 2 4 2 2" xfId="23176" xr:uid="{00000000-0005-0000-0000-0000A8120000}"/>
    <cellStyle name="Calculation 5 3 2 4 3" xfId="13256" xr:uid="{00000000-0005-0000-0000-0000A9120000}"/>
    <cellStyle name="Calculation 5 3 2 4 3 2" xfId="28088" xr:uid="{00000000-0005-0000-0000-0000AA120000}"/>
    <cellStyle name="Calculation 5 3 2 4 4" xfId="20844" xr:uid="{00000000-0005-0000-0000-0000AB120000}"/>
    <cellStyle name="Calculation 5 3 2 5" xfId="6079" xr:uid="{00000000-0005-0000-0000-0000AC120000}"/>
    <cellStyle name="Calculation 5 3 2 5 2" xfId="16266" xr:uid="{00000000-0005-0000-0000-0000AD120000}"/>
    <cellStyle name="Calculation 5 3 2 5 2 2" xfId="31098" xr:uid="{00000000-0005-0000-0000-0000AE120000}"/>
    <cellStyle name="Calculation 5 3 2 5 3" xfId="22612" xr:uid="{00000000-0005-0000-0000-0000AF120000}"/>
    <cellStyle name="Calculation 5 3 2 6" xfId="12336" xr:uid="{00000000-0005-0000-0000-0000B0120000}"/>
    <cellStyle name="Calculation 5 3 2 6 2" xfId="27168" xr:uid="{00000000-0005-0000-0000-0000B1120000}"/>
    <cellStyle name="Calculation 5 3 2 7" xfId="9933" xr:uid="{00000000-0005-0000-0000-0000B2120000}"/>
    <cellStyle name="Calculation 5 3 2 7 2" xfId="20135" xr:uid="{00000000-0005-0000-0000-0000B3120000}"/>
    <cellStyle name="Calculation 5 3 3" xfId="3452" xr:uid="{00000000-0005-0000-0000-0000B4120000}"/>
    <cellStyle name="Calculation 5 3 3 2" xfId="7515" xr:uid="{00000000-0005-0000-0000-0000B5120000}"/>
    <cellStyle name="Calculation 5 3 3 2 2" xfId="23486" xr:uid="{00000000-0005-0000-0000-0000B6120000}"/>
    <cellStyle name="Calculation 5 3 3 3" xfId="13789" xr:uid="{00000000-0005-0000-0000-0000B7120000}"/>
    <cellStyle name="Calculation 5 3 3 3 2" xfId="28621" xr:uid="{00000000-0005-0000-0000-0000B8120000}"/>
    <cellStyle name="Calculation 5 3 3 4" xfId="21161" xr:uid="{00000000-0005-0000-0000-0000B9120000}"/>
    <cellStyle name="Calculation 5 3 4" xfId="4508" xr:uid="{00000000-0005-0000-0000-0000BA120000}"/>
    <cellStyle name="Calculation 5 3 4 2" xfId="8547" xr:uid="{00000000-0005-0000-0000-0000BB120000}"/>
    <cellStyle name="Calculation 5 3 4 2 2" xfId="24173" xr:uid="{00000000-0005-0000-0000-0000BC120000}"/>
    <cellStyle name="Calculation 5 3 4 3" xfId="14835" xr:uid="{00000000-0005-0000-0000-0000BD120000}"/>
    <cellStyle name="Calculation 5 3 4 3 2" xfId="29667" xr:uid="{00000000-0005-0000-0000-0000BE120000}"/>
    <cellStyle name="Calculation 5 3 4 4" xfId="21733" xr:uid="{00000000-0005-0000-0000-0000BF120000}"/>
    <cellStyle name="Calculation 5 3 5" xfId="2498" xr:uid="{00000000-0005-0000-0000-0000C0120000}"/>
    <cellStyle name="Calculation 5 3 5 2" xfId="6604" xr:uid="{00000000-0005-0000-0000-0000C1120000}"/>
    <cellStyle name="Calculation 5 3 5 2 2" xfId="22942" xr:uid="{00000000-0005-0000-0000-0000C2120000}"/>
    <cellStyle name="Calculation 5 3 5 3" xfId="12836" xr:uid="{00000000-0005-0000-0000-0000C3120000}"/>
    <cellStyle name="Calculation 5 3 5 3 2" xfId="27668" xr:uid="{00000000-0005-0000-0000-0000C4120000}"/>
    <cellStyle name="Calculation 5 3 5 4" xfId="20588" xr:uid="{00000000-0005-0000-0000-0000C5120000}"/>
    <cellStyle name="Calculation 5 3 6" xfId="5621" xr:uid="{00000000-0005-0000-0000-0000C6120000}"/>
    <cellStyle name="Calculation 5 3 6 2" xfId="15856" xr:uid="{00000000-0005-0000-0000-0000C7120000}"/>
    <cellStyle name="Calculation 5 3 6 2 2" xfId="30688" xr:uid="{00000000-0005-0000-0000-0000C8120000}"/>
    <cellStyle name="Calculation 5 3 6 3" xfId="22317" xr:uid="{00000000-0005-0000-0000-0000C9120000}"/>
    <cellStyle name="Calculation 5 3 7" xfId="11865" xr:uid="{00000000-0005-0000-0000-0000CA120000}"/>
    <cellStyle name="Calculation 5 3 7 2" xfId="26697" xr:uid="{00000000-0005-0000-0000-0000CB120000}"/>
    <cellStyle name="Calculation 5 3 8" xfId="9538" xr:uid="{00000000-0005-0000-0000-0000CC120000}"/>
    <cellStyle name="Calculation 5 3 8 2" xfId="19840" xr:uid="{00000000-0005-0000-0000-0000CD120000}"/>
    <cellStyle name="Calculation 5 4" xfId="1507" xr:uid="{00000000-0005-0000-0000-0000CE120000}"/>
    <cellStyle name="Calculation 5 4 2" xfId="2004" xr:uid="{00000000-0005-0000-0000-0000CF120000}"/>
    <cellStyle name="Calculation 5 4 2 2" xfId="3652" xr:uid="{00000000-0005-0000-0000-0000D0120000}"/>
    <cellStyle name="Calculation 5 4 2 2 2" xfId="7711" xr:uid="{00000000-0005-0000-0000-0000D1120000}"/>
    <cellStyle name="Calculation 5 4 2 2 2 2" xfId="23609" xr:uid="{00000000-0005-0000-0000-0000D2120000}"/>
    <cellStyle name="Calculation 5 4 2 2 3" xfId="13987" xr:uid="{00000000-0005-0000-0000-0000D3120000}"/>
    <cellStyle name="Calculation 5 4 2 2 3 2" xfId="28819" xr:uid="{00000000-0005-0000-0000-0000D4120000}"/>
    <cellStyle name="Calculation 5 4 2 2 4" xfId="21274" xr:uid="{00000000-0005-0000-0000-0000D5120000}"/>
    <cellStyle name="Calculation 5 4 2 3" xfId="4972" xr:uid="{00000000-0005-0000-0000-0000D6120000}"/>
    <cellStyle name="Calculation 5 4 2 3 2" xfId="9011" xr:uid="{00000000-0005-0000-0000-0000D7120000}"/>
    <cellStyle name="Calculation 5 4 2 3 2 2" xfId="24477" xr:uid="{00000000-0005-0000-0000-0000D8120000}"/>
    <cellStyle name="Calculation 5 4 2 3 3" xfId="15294" xr:uid="{00000000-0005-0000-0000-0000D9120000}"/>
    <cellStyle name="Calculation 5 4 2 3 3 2" xfId="30126" xr:uid="{00000000-0005-0000-0000-0000DA120000}"/>
    <cellStyle name="Calculation 5 4 2 3 4" xfId="22003" xr:uid="{00000000-0005-0000-0000-0000DB120000}"/>
    <cellStyle name="Calculation 5 4 2 4" xfId="2962" xr:uid="{00000000-0005-0000-0000-0000DC120000}"/>
    <cellStyle name="Calculation 5 4 2 4 2" xfId="7042" xr:uid="{00000000-0005-0000-0000-0000DD120000}"/>
    <cellStyle name="Calculation 5 4 2 4 2 2" xfId="23216" xr:uid="{00000000-0005-0000-0000-0000DE120000}"/>
    <cellStyle name="Calculation 5 4 2 4 3" xfId="13300" xr:uid="{00000000-0005-0000-0000-0000DF120000}"/>
    <cellStyle name="Calculation 5 4 2 4 3 2" xfId="28132" xr:uid="{00000000-0005-0000-0000-0000E0120000}"/>
    <cellStyle name="Calculation 5 4 2 4 4" xfId="20888" xr:uid="{00000000-0005-0000-0000-0000E1120000}"/>
    <cellStyle name="Calculation 5 4 2 5" xfId="6134" xr:uid="{00000000-0005-0000-0000-0000E2120000}"/>
    <cellStyle name="Calculation 5 4 2 5 2" xfId="16321" xr:uid="{00000000-0005-0000-0000-0000E3120000}"/>
    <cellStyle name="Calculation 5 4 2 5 2 2" xfId="31153" xr:uid="{00000000-0005-0000-0000-0000E4120000}"/>
    <cellStyle name="Calculation 5 4 2 5 3" xfId="22667" xr:uid="{00000000-0005-0000-0000-0000E5120000}"/>
    <cellStyle name="Calculation 5 4 2 6" xfId="12391" xr:uid="{00000000-0005-0000-0000-0000E6120000}"/>
    <cellStyle name="Calculation 5 4 2 6 2" xfId="27223" xr:uid="{00000000-0005-0000-0000-0000E7120000}"/>
    <cellStyle name="Calculation 5 4 2 7" xfId="9973" xr:uid="{00000000-0005-0000-0000-0000E8120000}"/>
    <cellStyle name="Calculation 5 4 2 7 2" xfId="20171" xr:uid="{00000000-0005-0000-0000-0000E9120000}"/>
    <cellStyle name="Calculation 5 4 3" xfId="3178" xr:uid="{00000000-0005-0000-0000-0000EA120000}"/>
    <cellStyle name="Calculation 5 4 3 2" xfId="7242" xr:uid="{00000000-0005-0000-0000-0000EB120000}"/>
    <cellStyle name="Calculation 5 4 3 2 2" xfId="23300" xr:uid="{00000000-0005-0000-0000-0000EC120000}"/>
    <cellStyle name="Calculation 5 4 3 3" xfId="13516" xr:uid="{00000000-0005-0000-0000-0000ED120000}"/>
    <cellStyle name="Calculation 5 4 3 3 2" xfId="28348" xr:uid="{00000000-0005-0000-0000-0000EE120000}"/>
    <cellStyle name="Calculation 5 4 3 4" xfId="20990" xr:uid="{00000000-0005-0000-0000-0000EF120000}"/>
    <cellStyle name="Calculation 5 4 4" xfId="4552" xr:uid="{00000000-0005-0000-0000-0000F0120000}"/>
    <cellStyle name="Calculation 5 4 4 2" xfId="8591" xr:uid="{00000000-0005-0000-0000-0000F1120000}"/>
    <cellStyle name="Calculation 5 4 4 2 2" xfId="24217" xr:uid="{00000000-0005-0000-0000-0000F2120000}"/>
    <cellStyle name="Calculation 5 4 4 3" xfId="14879" xr:uid="{00000000-0005-0000-0000-0000F3120000}"/>
    <cellStyle name="Calculation 5 4 4 3 2" xfId="29711" xr:uid="{00000000-0005-0000-0000-0000F4120000}"/>
    <cellStyle name="Calculation 5 4 4 4" xfId="21773" xr:uid="{00000000-0005-0000-0000-0000F5120000}"/>
    <cellStyle name="Calculation 5 4 5" xfId="2542" xr:uid="{00000000-0005-0000-0000-0000F6120000}"/>
    <cellStyle name="Calculation 5 4 5 2" xfId="6648" xr:uid="{00000000-0005-0000-0000-0000F7120000}"/>
    <cellStyle name="Calculation 5 4 5 2 2" xfId="22986" xr:uid="{00000000-0005-0000-0000-0000F8120000}"/>
    <cellStyle name="Calculation 5 4 5 3" xfId="12880" xr:uid="{00000000-0005-0000-0000-0000F9120000}"/>
    <cellStyle name="Calculation 5 4 5 3 2" xfId="27712" xr:uid="{00000000-0005-0000-0000-0000FA120000}"/>
    <cellStyle name="Calculation 5 4 5 4" xfId="20628" xr:uid="{00000000-0005-0000-0000-0000FB120000}"/>
    <cellStyle name="Calculation 5 4 6" xfId="5665" xr:uid="{00000000-0005-0000-0000-0000FC120000}"/>
    <cellStyle name="Calculation 5 4 6 2" xfId="15900" xr:uid="{00000000-0005-0000-0000-0000FD120000}"/>
    <cellStyle name="Calculation 5 4 6 2 2" xfId="30732" xr:uid="{00000000-0005-0000-0000-0000FE120000}"/>
    <cellStyle name="Calculation 5 4 6 3" xfId="22361" xr:uid="{00000000-0005-0000-0000-0000FF120000}"/>
    <cellStyle name="Calculation 5 4 7" xfId="11920" xr:uid="{00000000-0005-0000-0000-000000130000}"/>
    <cellStyle name="Calculation 5 4 7 2" xfId="26752" xr:uid="{00000000-0005-0000-0000-000001130000}"/>
    <cellStyle name="Calculation 5 4 8" xfId="9578" xr:uid="{00000000-0005-0000-0000-000002130000}"/>
    <cellStyle name="Calculation 5 4 8 2" xfId="19880" xr:uid="{00000000-0005-0000-0000-000003130000}"/>
    <cellStyle name="Calculation 5 5" xfId="1433" xr:uid="{00000000-0005-0000-0000-000004130000}"/>
    <cellStyle name="Calculation 5 5 2" xfId="1934" xr:uid="{00000000-0005-0000-0000-000005130000}"/>
    <cellStyle name="Calculation 5 5 2 2" xfId="3121" xr:uid="{00000000-0005-0000-0000-000006130000}"/>
    <cellStyle name="Calculation 5 5 2 2 2" xfId="7186" xr:uid="{00000000-0005-0000-0000-000007130000}"/>
    <cellStyle name="Calculation 5 5 2 2 2 2" xfId="23260" xr:uid="{00000000-0005-0000-0000-000008130000}"/>
    <cellStyle name="Calculation 5 5 2 2 3" xfId="13459" xr:uid="{00000000-0005-0000-0000-000009130000}"/>
    <cellStyle name="Calculation 5 5 2 2 3 2" xfId="28291" xr:uid="{00000000-0005-0000-0000-00000A130000}"/>
    <cellStyle name="Calculation 5 5 2 2 4" xfId="20950" xr:uid="{00000000-0005-0000-0000-00000B130000}"/>
    <cellStyle name="Calculation 5 5 2 3" xfId="4913" xr:uid="{00000000-0005-0000-0000-00000C130000}"/>
    <cellStyle name="Calculation 5 5 2 3 2" xfId="8952" xr:uid="{00000000-0005-0000-0000-00000D130000}"/>
    <cellStyle name="Calculation 5 5 2 3 2 2" xfId="24418" xr:uid="{00000000-0005-0000-0000-00000E130000}"/>
    <cellStyle name="Calculation 5 5 2 3 3" xfId="15235" xr:uid="{00000000-0005-0000-0000-00000F130000}"/>
    <cellStyle name="Calculation 5 5 2 3 3 2" xfId="30067" xr:uid="{00000000-0005-0000-0000-000010130000}"/>
    <cellStyle name="Calculation 5 5 2 3 4" xfId="21948" xr:uid="{00000000-0005-0000-0000-000011130000}"/>
    <cellStyle name="Calculation 5 5 2 4" xfId="2903" xr:uid="{00000000-0005-0000-0000-000012130000}"/>
    <cellStyle name="Calculation 5 5 2 4 2" xfId="6987" xr:uid="{00000000-0005-0000-0000-000013130000}"/>
    <cellStyle name="Calculation 5 5 2 4 2 2" xfId="23161" xr:uid="{00000000-0005-0000-0000-000014130000}"/>
    <cellStyle name="Calculation 5 5 2 4 3" xfId="13241" xr:uid="{00000000-0005-0000-0000-000015130000}"/>
    <cellStyle name="Calculation 5 5 2 4 3 2" xfId="28073" xr:uid="{00000000-0005-0000-0000-000016130000}"/>
    <cellStyle name="Calculation 5 5 2 4 4" xfId="20829" xr:uid="{00000000-0005-0000-0000-000017130000}"/>
    <cellStyle name="Calculation 5 5 2 5" xfId="6064" xr:uid="{00000000-0005-0000-0000-000018130000}"/>
    <cellStyle name="Calculation 5 5 2 5 2" xfId="16251" xr:uid="{00000000-0005-0000-0000-000019130000}"/>
    <cellStyle name="Calculation 5 5 2 5 2 2" xfId="31083" xr:uid="{00000000-0005-0000-0000-00001A130000}"/>
    <cellStyle name="Calculation 5 5 2 5 3" xfId="22597" xr:uid="{00000000-0005-0000-0000-00001B130000}"/>
    <cellStyle name="Calculation 5 5 2 6" xfId="12321" xr:uid="{00000000-0005-0000-0000-00001C130000}"/>
    <cellStyle name="Calculation 5 5 2 6 2" xfId="27153" xr:uid="{00000000-0005-0000-0000-00001D130000}"/>
    <cellStyle name="Calculation 5 5 2 7" xfId="9918" xr:uid="{00000000-0005-0000-0000-00001E130000}"/>
    <cellStyle name="Calculation 5 5 2 7 2" xfId="20120" xr:uid="{00000000-0005-0000-0000-00001F130000}"/>
    <cellStyle name="Calculation 5 5 3" xfId="3431" xr:uid="{00000000-0005-0000-0000-000020130000}"/>
    <cellStyle name="Calculation 5 5 3 2" xfId="7494" xr:uid="{00000000-0005-0000-0000-000021130000}"/>
    <cellStyle name="Calculation 5 5 3 2 2" xfId="23471" xr:uid="{00000000-0005-0000-0000-000022130000}"/>
    <cellStyle name="Calculation 5 5 3 3" xfId="13768" xr:uid="{00000000-0005-0000-0000-000023130000}"/>
    <cellStyle name="Calculation 5 5 3 3 2" xfId="28600" xr:uid="{00000000-0005-0000-0000-000024130000}"/>
    <cellStyle name="Calculation 5 5 3 4" xfId="21147" xr:uid="{00000000-0005-0000-0000-000025130000}"/>
    <cellStyle name="Calculation 5 5 4" xfId="4493" xr:uid="{00000000-0005-0000-0000-000026130000}"/>
    <cellStyle name="Calculation 5 5 4 2" xfId="8532" xr:uid="{00000000-0005-0000-0000-000027130000}"/>
    <cellStyle name="Calculation 5 5 4 2 2" xfId="24158" xr:uid="{00000000-0005-0000-0000-000028130000}"/>
    <cellStyle name="Calculation 5 5 4 3" xfId="14820" xr:uid="{00000000-0005-0000-0000-000029130000}"/>
    <cellStyle name="Calculation 5 5 4 3 2" xfId="29652" xr:uid="{00000000-0005-0000-0000-00002A130000}"/>
    <cellStyle name="Calculation 5 5 4 4" xfId="21718" xr:uid="{00000000-0005-0000-0000-00002B130000}"/>
    <cellStyle name="Calculation 5 5 5" xfId="2483" xr:uid="{00000000-0005-0000-0000-00002C130000}"/>
    <cellStyle name="Calculation 5 5 5 2" xfId="6589" xr:uid="{00000000-0005-0000-0000-00002D130000}"/>
    <cellStyle name="Calculation 5 5 5 2 2" xfId="22927" xr:uid="{00000000-0005-0000-0000-00002E130000}"/>
    <cellStyle name="Calculation 5 5 5 3" xfId="12821" xr:uid="{00000000-0005-0000-0000-00002F130000}"/>
    <cellStyle name="Calculation 5 5 5 3 2" xfId="27653" xr:uid="{00000000-0005-0000-0000-000030130000}"/>
    <cellStyle name="Calculation 5 5 5 4" xfId="20573" xr:uid="{00000000-0005-0000-0000-000031130000}"/>
    <cellStyle name="Calculation 5 5 6" xfId="5606" xr:uid="{00000000-0005-0000-0000-000032130000}"/>
    <cellStyle name="Calculation 5 5 6 2" xfId="15841" xr:uid="{00000000-0005-0000-0000-000033130000}"/>
    <cellStyle name="Calculation 5 5 6 2 2" xfId="30673" xr:uid="{00000000-0005-0000-0000-000034130000}"/>
    <cellStyle name="Calculation 5 5 6 3" xfId="22302" xr:uid="{00000000-0005-0000-0000-000035130000}"/>
    <cellStyle name="Calculation 5 5 7" xfId="11850" xr:uid="{00000000-0005-0000-0000-000036130000}"/>
    <cellStyle name="Calculation 5 5 7 2" xfId="26682" xr:uid="{00000000-0005-0000-0000-000037130000}"/>
    <cellStyle name="Calculation 5 5 8" xfId="9523" xr:uid="{00000000-0005-0000-0000-000038130000}"/>
    <cellStyle name="Calculation 5 5 8 2" xfId="19825" xr:uid="{00000000-0005-0000-0000-000039130000}"/>
    <cellStyle name="Calculation 5 6" xfId="1725" xr:uid="{00000000-0005-0000-0000-00003A130000}"/>
    <cellStyle name="Calculation 5 6 2" xfId="4054" xr:uid="{00000000-0005-0000-0000-00003B130000}"/>
    <cellStyle name="Calculation 5 6 2 2" xfId="8101" xr:uid="{00000000-0005-0000-0000-00003C130000}"/>
    <cellStyle name="Calculation 5 6 2 2 2" xfId="23863" xr:uid="{00000000-0005-0000-0000-00003D130000}"/>
    <cellStyle name="Calculation 5 6 2 3" xfId="14386" xr:uid="{00000000-0005-0000-0000-00003E130000}"/>
    <cellStyle name="Calculation 5 6 2 3 2" xfId="29218" xr:uid="{00000000-0005-0000-0000-00003F130000}"/>
    <cellStyle name="Calculation 5 6 2 4" xfId="21497" xr:uid="{00000000-0005-0000-0000-000040130000}"/>
    <cellStyle name="Calculation 5 6 3" xfId="4718" xr:uid="{00000000-0005-0000-0000-000041130000}"/>
    <cellStyle name="Calculation 5 6 3 2" xfId="8757" xr:uid="{00000000-0005-0000-0000-000042130000}"/>
    <cellStyle name="Calculation 5 6 3 2 2" xfId="24287" xr:uid="{00000000-0005-0000-0000-000043130000}"/>
    <cellStyle name="Calculation 5 6 3 3" xfId="15042" xr:uid="{00000000-0005-0000-0000-000044130000}"/>
    <cellStyle name="Calculation 5 6 3 3 2" xfId="29874" xr:uid="{00000000-0005-0000-0000-000045130000}"/>
    <cellStyle name="Calculation 5 6 3 4" xfId="21825" xr:uid="{00000000-0005-0000-0000-000046130000}"/>
    <cellStyle name="Calculation 5 6 4" xfId="2708" xr:uid="{00000000-0005-0000-0000-000047130000}"/>
    <cellStyle name="Calculation 5 6 4 2" xfId="6799" xr:uid="{00000000-0005-0000-0000-000048130000}"/>
    <cellStyle name="Calculation 5 6 4 2 2" xfId="23038" xr:uid="{00000000-0005-0000-0000-000049130000}"/>
    <cellStyle name="Calculation 5 6 4 3" xfId="13046" xr:uid="{00000000-0005-0000-0000-00004A130000}"/>
    <cellStyle name="Calculation 5 6 4 3 2" xfId="27878" xr:uid="{00000000-0005-0000-0000-00004B130000}"/>
    <cellStyle name="Calculation 5 6 4 4" xfId="20698" xr:uid="{00000000-0005-0000-0000-00004C130000}"/>
    <cellStyle name="Calculation 5 6 5" xfId="5857" xr:uid="{00000000-0005-0000-0000-00004D130000}"/>
    <cellStyle name="Calculation 5 6 5 2" xfId="16049" xr:uid="{00000000-0005-0000-0000-00004E130000}"/>
    <cellStyle name="Calculation 5 6 5 2 2" xfId="30881" xr:uid="{00000000-0005-0000-0000-00004F130000}"/>
    <cellStyle name="Calculation 5 6 5 3" xfId="22454" xr:uid="{00000000-0005-0000-0000-000050130000}"/>
    <cellStyle name="Calculation 5 6 6" xfId="12119" xr:uid="{00000000-0005-0000-0000-000051130000}"/>
    <cellStyle name="Calculation 5 6 6 2" xfId="26951" xr:uid="{00000000-0005-0000-0000-000052130000}"/>
    <cellStyle name="Calculation 5 6 7" xfId="9730" xr:uid="{00000000-0005-0000-0000-000053130000}"/>
    <cellStyle name="Calculation 5 6 7 2" xfId="20028" xr:uid="{00000000-0005-0000-0000-000054130000}"/>
    <cellStyle name="Calculation 5 7" xfId="2226" xr:uid="{00000000-0005-0000-0000-000055130000}"/>
    <cellStyle name="Calculation 5 7 2" xfId="4141" xr:uid="{00000000-0005-0000-0000-000056130000}"/>
    <cellStyle name="Calculation 5 7 2 2" xfId="8185" xr:uid="{00000000-0005-0000-0000-000057130000}"/>
    <cellStyle name="Calculation 5 7 2 2 2" xfId="23914" xr:uid="{00000000-0005-0000-0000-000058130000}"/>
    <cellStyle name="Calculation 5 7 2 3" xfId="14473" xr:uid="{00000000-0005-0000-0000-000059130000}"/>
    <cellStyle name="Calculation 5 7 2 3 2" xfId="29305" xr:uid="{00000000-0005-0000-0000-00005A130000}"/>
    <cellStyle name="Calculation 5 7 2 4" xfId="21541" xr:uid="{00000000-0005-0000-0000-00005B130000}"/>
    <cellStyle name="Calculation 5 7 3" xfId="5194" xr:uid="{00000000-0005-0000-0000-00005C130000}"/>
    <cellStyle name="Calculation 5 7 3 2" xfId="9233" xr:uid="{00000000-0005-0000-0000-00005D130000}"/>
    <cellStyle name="Calculation 5 7 3 2 2" xfId="24571" xr:uid="{00000000-0005-0000-0000-00005E130000}"/>
    <cellStyle name="Calculation 5 7 3 3" xfId="15512" xr:uid="{00000000-0005-0000-0000-00005F130000}"/>
    <cellStyle name="Calculation 5 7 3 3 2" xfId="30344" xr:uid="{00000000-0005-0000-0000-000060130000}"/>
    <cellStyle name="Calculation 5 7 3 4" xfId="22078" xr:uid="{00000000-0005-0000-0000-000061130000}"/>
    <cellStyle name="Calculation 5 7 4" xfId="4224" xr:uid="{00000000-0005-0000-0000-000062130000}"/>
    <cellStyle name="Calculation 5 7 4 2" xfId="8265" xr:uid="{00000000-0005-0000-0000-000063130000}"/>
    <cellStyle name="Calculation 5 7 4 2 2" xfId="23960" xr:uid="{00000000-0005-0000-0000-000064130000}"/>
    <cellStyle name="Calculation 5 7 4 3" xfId="14556" xr:uid="{00000000-0005-0000-0000-000065130000}"/>
    <cellStyle name="Calculation 5 7 4 3 2" xfId="29388" xr:uid="{00000000-0005-0000-0000-000066130000}"/>
    <cellStyle name="Calculation 5 7 4 4" xfId="21585" xr:uid="{00000000-0005-0000-0000-000067130000}"/>
    <cellStyle name="Calculation 5 7 5" xfId="6340" xr:uid="{00000000-0005-0000-0000-000068130000}"/>
    <cellStyle name="Calculation 5 7 5 2" xfId="22742" xr:uid="{00000000-0005-0000-0000-000069130000}"/>
    <cellStyle name="Calculation 5 7 6" xfId="12594" xr:uid="{00000000-0005-0000-0000-00006A130000}"/>
    <cellStyle name="Calculation 5 7 6 2" xfId="27426" xr:uid="{00000000-0005-0000-0000-00006B130000}"/>
    <cellStyle name="Calculation 5 7 7" xfId="20421" xr:uid="{00000000-0005-0000-0000-00006C130000}"/>
    <cellStyle name="Calculation 5 8" xfId="3560" xr:uid="{00000000-0005-0000-0000-00006D130000}"/>
    <cellStyle name="Calculation 5 8 2" xfId="7622" xr:uid="{00000000-0005-0000-0000-00006E130000}"/>
    <cellStyle name="Calculation 5 8 2 2" xfId="23552" xr:uid="{00000000-0005-0000-0000-00006F130000}"/>
    <cellStyle name="Calculation 5 8 3" xfId="13896" xr:uid="{00000000-0005-0000-0000-000070130000}"/>
    <cellStyle name="Calculation 5 8 3 2" xfId="28728" xr:uid="{00000000-0005-0000-0000-000071130000}"/>
    <cellStyle name="Calculation 5 8 4" xfId="21222" xr:uid="{00000000-0005-0000-0000-000072130000}"/>
    <cellStyle name="Calculation 5 9" xfId="3136" xr:uid="{00000000-0005-0000-0000-000073130000}"/>
    <cellStyle name="Calculation 5 9 2" xfId="7200" xr:uid="{00000000-0005-0000-0000-000074130000}"/>
    <cellStyle name="Calculation 5 9 2 2" xfId="23272" xr:uid="{00000000-0005-0000-0000-000075130000}"/>
    <cellStyle name="Calculation 5 9 3" xfId="13474" xr:uid="{00000000-0005-0000-0000-000076130000}"/>
    <cellStyle name="Calculation 5 9 3 2" xfId="28306" xr:uid="{00000000-0005-0000-0000-000077130000}"/>
    <cellStyle name="Calculation 5 9 4" xfId="20963" xr:uid="{00000000-0005-0000-0000-000078130000}"/>
    <cellStyle name="Calculation 6" xfId="973" xr:uid="{00000000-0005-0000-0000-000079130000}"/>
    <cellStyle name="Calculation 6 10" xfId="2279" xr:uid="{00000000-0005-0000-0000-00007A130000}"/>
    <cellStyle name="Calculation 6 10 2" xfId="6391" xr:uid="{00000000-0005-0000-0000-00007B130000}"/>
    <cellStyle name="Calculation 6 10 2 2" xfId="22793" xr:uid="{00000000-0005-0000-0000-00007C130000}"/>
    <cellStyle name="Calculation 6 10 3" xfId="12619" xr:uid="{00000000-0005-0000-0000-00007D130000}"/>
    <cellStyle name="Calculation 6 10 3 2" xfId="27451" xr:uid="{00000000-0005-0000-0000-00007E130000}"/>
    <cellStyle name="Calculation 6 10 4" xfId="20445" xr:uid="{00000000-0005-0000-0000-00007F130000}"/>
    <cellStyle name="Calculation 6 11" xfId="5245" xr:uid="{00000000-0005-0000-0000-000080130000}"/>
    <cellStyle name="Calculation 6 11 2" xfId="15561" xr:uid="{00000000-0005-0000-0000-000081130000}"/>
    <cellStyle name="Calculation 6 11 2 2" xfId="30393" xr:uid="{00000000-0005-0000-0000-000082130000}"/>
    <cellStyle name="Calculation 6 11 3" xfId="22102" xr:uid="{00000000-0005-0000-0000-000083130000}"/>
    <cellStyle name="Calculation 6 12" xfId="5403" xr:uid="{00000000-0005-0000-0000-000084130000}"/>
    <cellStyle name="Calculation 6 12 2" xfId="15639" xr:uid="{00000000-0005-0000-0000-000085130000}"/>
    <cellStyle name="Calculation 6 12 2 2" xfId="30471" xr:uid="{00000000-0005-0000-0000-000086130000}"/>
    <cellStyle name="Calculation 6 12 3" xfId="22164" xr:uid="{00000000-0005-0000-0000-000087130000}"/>
    <cellStyle name="Calculation 6 13" xfId="9388" xr:uid="{00000000-0005-0000-0000-000088130000}"/>
    <cellStyle name="Calculation 6 13 2" xfId="24694" xr:uid="{00000000-0005-0000-0000-000089130000}"/>
    <cellStyle name="Calculation 6 14" xfId="6694" xr:uid="{00000000-0005-0000-0000-00008A130000}"/>
    <cellStyle name="Calculation 6 14 2" xfId="18705" xr:uid="{00000000-0005-0000-0000-00008B130000}"/>
    <cellStyle name="Calculation 6 2" xfId="1315" xr:uid="{00000000-0005-0000-0000-00008C130000}"/>
    <cellStyle name="Calculation 6 2 2" xfId="1819" xr:uid="{00000000-0005-0000-0000-00008D130000}"/>
    <cellStyle name="Calculation 6 2 2 2" xfId="4104" xr:uid="{00000000-0005-0000-0000-00008E130000}"/>
    <cellStyle name="Calculation 6 2 2 2 2" xfId="8150" xr:uid="{00000000-0005-0000-0000-00008F130000}"/>
    <cellStyle name="Calculation 6 2 2 2 2 2" xfId="23893" xr:uid="{00000000-0005-0000-0000-000090130000}"/>
    <cellStyle name="Calculation 6 2 2 2 3" xfId="14436" xr:uid="{00000000-0005-0000-0000-000091130000}"/>
    <cellStyle name="Calculation 6 2 2 2 3 2" xfId="29268" xr:uid="{00000000-0005-0000-0000-000092130000}"/>
    <cellStyle name="Calculation 6 2 2 2 4" xfId="21523" xr:uid="{00000000-0005-0000-0000-000093130000}"/>
    <cellStyle name="Calculation 6 2 2 3" xfId="4797" xr:uid="{00000000-0005-0000-0000-000094130000}"/>
    <cellStyle name="Calculation 6 2 2 3 2" xfId="8836" xr:uid="{00000000-0005-0000-0000-000095130000}"/>
    <cellStyle name="Calculation 6 2 2 3 2 2" xfId="24334" xr:uid="{00000000-0005-0000-0000-000096130000}"/>
    <cellStyle name="Calculation 6 2 2 3 3" xfId="15121" xr:uid="{00000000-0005-0000-0000-000097130000}"/>
    <cellStyle name="Calculation 6 2 2 3 3 2" xfId="29953" xr:uid="{00000000-0005-0000-0000-000098130000}"/>
    <cellStyle name="Calculation 6 2 2 3 4" xfId="21872" xr:uid="{00000000-0005-0000-0000-000099130000}"/>
    <cellStyle name="Calculation 6 2 2 4" xfId="2787" xr:uid="{00000000-0005-0000-0000-00009A130000}"/>
    <cellStyle name="Calculation 6 2 2 4 2" xfId="6878" xr:uid="{00000000-0005-0000-0000-00009B130000}"/>
    <cellStyle name="Calculation 6 2 2 4 2 2" xfId="23085" xr:uid="{00000000-0005-0000-0000-00009C130000}"/>
    <cellStyle name="Calculation 6 2 2 4 3" xfId="13125" xr:uid="{00000000-0005-0000-0000-00009D130000}"/>
    <cellStyle name="Calculation 6 2 2 4 3 2" xfId="27957" xr:uid="{00000000-0005-0000-0000-00009E130000}"/>
    <cellStyle name="Calculation 6 2 2 4 4" xfId="20745" xr:uid="{00000000-0005-0000-0000-00009F130000}"/>
    <cellStyle name="Calculation 6 2 2 5" xfId="5951" xr:uid="{00000000-0005-0000-0000-0000A0130000}"/>
    <cellStyle name="Calculation 6 2 2 5 2" xfId="16143" xr:uid="{00000000-0005-0000-0000-0000A1130000}"/>
    <cellStyle name="Calculation 6 2 2 5 2 2" xfId="30975" xr:uid="{00000000-0005-0000-0000-0000A2130000}"/>
    <cellStyle name="Calculation 6 2 2 5 3" xfId="22516" xr:uid="{00000000-0005-0000-0000-0000A3130000}"/>
    <cellStyle name="Calculation 6 2 2 6" xfId="12213" xr:uid="{00000000-0005-0000-0000-0000A4130000}"/>
    <cellStyle name="Calculation 6 2 2 6 2" xfId="27045" xr:uid="{00000000-0005-0000-0000-0000A5130000}"/>
    <cellStyle name="Calculation 6 2 2 7" xfId="9809" xr:uid="{00000000-0005-0000-0000-0000A6130000}"/>
    <cellStyle name="Calculation 6 2 2 7 2" xfId="20060" xr:uid="{00000000-0005-0000-0000-0000A7130000}"/>
    <cellStyle name="Calculation 6 2 3" xfId="3944" xr:uid="{00000000-0005-0000-0000-0000A8130000}"/>
    <cellStyle name="Calculation 6 2 3 2" xfId="7994" xr:uid="{00000000-0005-0000-0000-0000A9130000}"/>
    <cellStyle name="Calculation 6 2 3 2 2" xfId="23795" xr:uid="{00000000-0005-0000-0000-0000AA130000}"/>
    <cellStyle name="Calculation 6 2 3 3" xfId="14277" xr:uid="{00000000-0005-0000-0000-0000AB130000}"/>
    <cellStyle name="Calculation 6 2 3 3 2" xfId="29109" xr:uid="{00000000-0005-0000-0000-0000AC130000}"/>
    <cellStyle name="Calculation 6 2 3 4" xfId="21437" xr:uid="{00000000-0005-0000-0000-0000AD130000}"/>
    <cellStyle name="Calculation 6 2 4" xfId="4377" xr:uid="{00000000-0005-0000-0000-0000AE130000}"/>
    <cellStyle name="Calculation 6 2 4 2" xfId="8416" xr:uid="{00000000-0005-0000-0000-0000AF130000}"/>
    <cellStyle name="Calculation 6 2 4 2 2" xfId="24074" xr:uid="{00000000-0005-0000-0000-0000B0130000}"/>
    <cellStyle name="Calculation 6 2 4 3" xfId="14706" xr:uid="{00000000-0005-0000-0000-0000B1130000}"/>
    <cellStyle name="Calculation 6 2 4 3 2" xfId="29538" xr:uid="{00000000-0005-0000-0000-0000B2130000}"/>
    <cellStyle name="Calculation 6 2 4 4" xfId="21642" xr:uid="{00000000-0005-0000-0000-0000B3130000}"/>
    <cellStyle name="Calculation 6 2 5" xfId="2367" xr:uid="{00000000-0005-0000-0000-0000B4130000}"/>
    <cellStyle name="Calculation 6 2 5 2" xfId="6479" xr:uid="{00000000-0005-0000-0000-0000B5130000}"/>
    <cellStyle name="Calculation 6 2 5 2 2" xfId="22849" xr:uid="{00000000-0005-0000-0000-0000B6130000}"/>
    <cellStyle name="Calculation 6 2 5 3" xfId="12706" xr:uid="{00000000-0005-0000-0000-0000B7130000}"/>
    <cellStyle name="Calculation 6 2 5 3 2" xfId="27538" xr:uid="{00000000-0005-0000-0000-0000B8130000}"/>
    <cellStyle name="Calculation 6 2 5 4" xfId="20491" xr:uid="{00000000-0005-0000-0000-0000B9130000}"/>
    <cellStyle name="Calculation 6 2 6" xfId="5492" xr:uid="{00000000-0005-0000-0000-0000BA130000}"/>
    <cellStyle name="Calculation 6 2 6 2" xfId="15727" xr:uid="{00000000-0005-0000-0000-0000BB130000}"/>
    <cellStyle name="Calculation 6 2 6 2 2" xfId="30559" xr:uid="{00000000-0005-0000-0000-0000BC130000}"/>
    <cellStyle name="Calculation 6 2 6 3" xfId="22220" xr:uid="{00000000-0005-0000-0000-0000BD130000}"/>
    <cellStyle name="Calculation 6 2 7" xfId="11742" xr:uid="{00000000-0005-0000-0000-0000BE130000}"/>
    <cellStyle name="Calculation 6 2 7 2" xfId="26574" xr:uid="{00000000-0005-0000-0000-0000BF130000}"/>
    <cellStyle name="Calculation 6 2 8" xfId="9413" xr:uid="{00000000-0005-0000-0000-0000C0130000}"/>
    <cellStyle name="Calculation 6 2 8 2" xfId="19717" xr:uid="{00000000-0005-0000-0000-0000C1130000}"/>
    <cellStyle name="Calculation 6 3" xfId="1449" xr:uid="{00000000-0005-0000-0000-0000C2130000}"/>
    <cellStyle name="Calculation 6 3 2" xfId="1950" xr:uid="{00000000-0005-0000-0000-0000C3130000}"/>
    <cellStyle name="Calculation 6 3 2 2" xfId="3480" xr:uid="{00000000-0005-0000-0000-0000C4130000}"/>
    <cellStyle name="Calculation 6 3 2 2 2" xfId="7542" xr:uid="{00000000-0005-0000-0000-0000C5130000}"/>
    <cellStyle name="Calculation 6 3 2 2 2 2" xfId="23506" xr:uid="{00000000-0005-0000-0000-0000C6130000}"/>
    <cellStyle name="Calculation 6 3 2 2 3" xfId="13817" xr:uid="{00000000-0005-0000-0000-0000C7130000}"/>
    <cellStyle name="Calculation 6 3 2 2 3 2" xfId="28649" xr:uid="{00000000-0005-0000-0000-0000C8130000}"/>
    <cellStyle name="Calculation 6 3 2 2 4" xfId="21182" xr:uid="{00000000-0005-0000-0000-0000C9130000}"/>
    <cellStyle name="Calculation 6 3 2 3" xfId="4929" xr:uid="{00000000-0005-0000-0000-0000CA130000}"/>
    <cellStyle name="Calculation 6 3 2 3 2" xfId="8968" xr:uid="{00000000-0005-0000-0000-0000CB130000}"/>
    <cellStyle name="Calculation 6 3 2 3 2 2" xfId="24434" xr:uid="{00000000-0005-0000-0000-0000CC130000}"/>
    <cellStyle name="Calculation 6 3 2 3 3" xfId="15251" xr:uid="{00000000-0005-0000-0000-0000CD130000}"/>
    <cellStyle name="Calculation 6 3 2 3 3 2" xfId="30083" xr:uid="{00000000-0005-0000-0000-0000CE130000}"/>
    <cellStyle name="Calculation 6 3 2 3 4" xfId="21964" xr:uid="{00000000-0005-0000-0000-0000CF130000}"/>
    <cellStyle name="Calculation 6 3 2 4" xfId="2919" xr:uid="{00000000-0005-0000-0000-0000D0130000}"/>
    <cellStyle name="Calculation 6 3 2 4 2" xfId="7003" xr:uid="{00000000-0005-0000-0000-0000D1130000}"/>
    <cellStyle name="Calculation 6 3 2 4 2 2" xfId="23177" xr:uid="{00000000-0005-0000-0000-0000D2130000}"/>
    <cellStyle name="Calculation 6 3 2 4 3" xfId="13257" xr:uid="{00000000-0005-0000-0000-0000D3130000}"/>
    <cellStyle name="Calculation 6 3 2 4 3 2" xfId="28089" xr:uid="{00000000-0005-0000-0000-0000D4130000}"/>
    <cellStyle name="Calculation 6 3 2 4 4" xfId="20845" xr:uid="{00000000-0005-0000-0000-0000D5130000}"/>
    <cellStyle name="Calculation 6 3 2 5" xfId="6080" xr:uid="{00000000-0005-0000-0000-0000D6130000}"/>
    <cellStyle name="Calculation 6 3 2 5 2" xfId="16267" xr:uid="{00000000-0005-0000-0000-0000D7130000}"/>
    <cellStyle name="Calculation 6 3 2 5 2 2" xfId="31099" xr:uid="{00000000-0005-0000-0000-0000D8130000}"/>
    <cellStyle name="Calculation 6 3 2 5 3" xfId="22613" xr:uid="{00000000-0005-0000-0000-0000D9130000}"/>
    <cellStyle name="Calculation 6 3 2 6" xfId="12337" xr:uid="{00000000-0005-0000-0000-0000DA130000}"/>
    <cellStyle name="Calculation 6 3 2 6 2" xfId="27169" xr:uid="{00000000-0005-0000-0000-0000DB130000}"/>
    <cellStyle name="Calculation 6 3 2 7" xfId="9934" xr:uid="{00000000-0005-0000-0000-0000DC130000}"/>
    <cellStyle name="Calculation 6 3 2 7 2" xfId="20136" xr:uid="{00000000-0005-0000-0000-0000DD130000}"/>
    <cellStyle name="Calculation 6 3 3" xfId="4089" xr:uid="{00000000-0005-0000-0000-0000DE130000}"/>
    <cellStyle name="Calculation 6 3 3 2" xfId="8135" xr:uid="{00000000-0005-0000-0000-0000DF130000}"/>
    <cellStyle name="Calculation 6 3 3 2 2" xfId="23883" xr:uid="{00000000-0005-0000-0000-0000E0130000}"/>
    <cellStyle name="Calculation 6 3 3 3" xfId="14421" xr:uid="{00000000-0005-0000-0000-0000E1130000}"/>
    <cellStyle name="Calculation 6 3 3 3 2" xfId="29253" xr:uid="{00000000-0005-0000-0000-0000E2130000}"/>
    <cellStyle name="Calculation 6 3 3 4" xfId="21513" xr:uid="{00000000-0005-0000-0000-0000E3130000}"/>
    <cellStyle name="Calculation 6 3 4" xfId="4509" xr:uid="{00000000-0005-0000-0000-0000E4130000}"/>
    <cellStyle name="Calculation 6 3 4 2" xfId="8548" xr:uid="{00000000-0005-0000-0000-0000E5130000}"/>
    <cellStyle name="Calculation 6 3 4 2 2" xfId="24174" xr:uid="{00000000-0005-0000-0000-0000E6130000}"/>
    <cellStyle name="Calculation 6 3 4 3" xfId="14836" xr:uid="{00000000-0005-0000-0000-0000E7130000}"/>
    <cellStyle name="Calculation 6 3 4 3 2" xfId="29668" xr:uid="{00000000-0005-0000-0000-0000E8130000}"/>
    <cellStyle name="Calculation 6 3 4 4" xfId="21734" xr:uid="{00000000-0005-0000-0000-0000E9130000}"/>
    <cellStyle name="Calculation 6 3 5" xfId="2499" xr:uid="{00000000-0005-0000-0000-0000EA130000}"/>
    <cellStyle name="Calculation 6 3 5 2" xfId="6605" xr:uid="{00000000-0005-0000-0000-0000EB130000}"/>
    <cellStyle name="Calculation 6 3 5 2 2" xfId="22943" xr:uid="{00000000-0005-0000-0000-0000EC130000}"/>
    <cellStyle name="Calculation 6 3 5 3" xfId="12837" xr:uid="{00000000-0005-0000-0000-0000ED130000}"/>
    <cellStyle name="Calculation 6 3 5 3 2" xfId="27669" xr:uid="{00000000-0005-0000-0000-0000EE130000}"/>
    <cellStyle name="Calculation 6 3 5 4" xfId="20589" xr:uid="{00000000-0005-0000-0000-0000EF130000}"/>
    <cellStyle name="Calculation 6 3 6" xfId="5622" xr:uid="{00000000-0005-0000-0000-0000F0130000}"/>
    <cellStyle name="Calculation 6 3 6 2" xfId="15857" xr:uid="{00000000-0005-0000-0000-0000F1130000}"/>
    <cellStyle name="Calculation 6 3 6 2 2" xfId="30689" xr:uid="{00000000-0005-0000-0000-0000F2130000}"/>
    <cellStyle name="Calculation 6 3 6 3" xfId="22318" xr:uid="{00000000-0005-0000-0000-0000F3130000}"/>
    <cellStyle name="Calculation 6 3 7" xfId="11866" xr:uid="{00000000-0005-0000-0000-0000F4130000}"/>
    <cellStyle name="Calculation 6 3 7 2" xfId="26698" xr:uid="{00000000-0005-0000-0000-0000F5130000}"/>
    <cellStyle name="Calculation 6 3 8" xfId="9539" xr:uid="{00000000-0005-0000-0000-0000F6130000}"/>
    <cellStyle name="Calculation 6 3 8 2" xfId="19841" xr:uid="{00000000-0005-0000-0000-0000F7130000}"/>
    <cellStyle name="Calculation 6 4" xfId="1408" xr:uid="{00000000-0005-0000-0000-0000F8130000}"/>
    <cellStyle name="Calculation 6 4 2" xfId="1910" xr:uid="{00000000-0005-0000-0000-0000F9130000}"/>
    <cellStyle name="Calculation 6 4 2 2" xfId="3957" xr:uid="{00000000-0005-0000-0000-0000FA130000}"/>
    <cellStyle name="Calculation 6 4 2 2 2" xfId="8007" xr:uid="{00000000-0005-0000-0000-0000FB130000}"/>
    <cellStyle name="Calculation 6 4 2 2 2 2" xfId="23803" xr:uid="{00000000-0005-0000-0000-0000FC130000}"/>
    <cellStyle name="Calculation 6 4 2 2 3" xfId="14290" xr:uid="{00000000-0005-0000-0000-0000FD130000}"/>
    <cellStyle name="Calculation 6 4 2 2 3 2" xfId="29122" xr:uid="{00000000-0005-0000-0000-0000FE130000}"/>
    <cellStyle name="Calculation 6 4 2 2 4" xfId="21445" xr:uid="{00000000-0005-0000-0000-0000FF130000}"/>
    <cellStyle name="Calculation 6 4 2 3" xfId="4888" xr:uid="{00000000-0005-0000-0000-000000140000}"/>
    <cellStyle name="Calculation 6 4 2 3 2" xfId="8927" xr:uid="{00000000-0005-0000-0000-000001140000}"/>
    <cellStyle name="Calculation 6 4 2 3 2 2" xfId="24393" xr:uid="{00000000-0005-0000-0000-000002140000}"/>
    <cellStyle name="Calculation 6 4 2 3 3" xfId="15211" xr:uid="{00000000-0005-0000-0000-000003140000}"/>
    <cellStyle name="Calculation 6 4 2 3 3 2" xfId="30043" xr:uid="{00000000-0005-0000-0000-000004140000}"/>
    <cellStyle name="Calculation 6 4 2 3 4" xfId="21925" xr:uid="{00000000-0005-0000-0000-000005140000}"/>
    <cellStyle name="Calculation 6 4 2 4" xfId="2878" xr:uid="{00000000-0005-0000-0000-000006140000}"/>
    <cellStyle name="Calculation 6 4 2 4 2" xfId="6963" xr:uid="{00000000-0005-0000-0000-000007140000}"/>
    <cellStyle name="Calculation 6 4 2 4 2 2" xfId="23138" xr:uid="{00000000-0005-0000-0000-000008140000}"/>
    <cellStyle name="Calculation 6 4 2 4 3" xfId="13216" xr:uid="{00000000-0005-0000-0000-000009140000}"/>
    <cellStyle name="Calculation 6 4 2 4 3 2" xfId="28048" xr:uid="{00000000-0005-0000-0000-00000A140000}"/>
    <cellStyle name="Calculation 6 4 2 4 4" xfId="20804" xr:uid="{00000000-0005-0000-0000-00000B140000}"/>
    <cellStyle name="Calculation 6 4 2 5" xfId="6041" xr:uid="{00000000-0005-0000-0000-00000C140000}"/>
    <cellStyle name="Calculation 6 4 2 5 2" xfId="16228" xr:uid="{00000000-0005-0000-0000-00000D140000}"/>
    <cellStyle name="Calculation 6 4 2 5 2 2" xfId="31060" xr:uid="{00000000-0005-0000-0000-00000E140000}"/>
    <cellStyle name="Calculation 6 4 2 5 3" xfId="22574" xr:uid="{00000000-0005-0000-0000-00000F140000}"/>
    <cellStyle name="Calculation 6 4 2 6" xfId="12298" xr:uid="{00000000-0005-0000-0000-000010140000}"/>
    <cellStyle name="Calculation 6 4 2 6 2" xfId="27130" xr:uid="{00000000-0005-0000-0000-000011140000}"/>
    <cellStyle name="Calculation 6 4 2 7" xfId="9894" xr:uid="{00000000-0005-0000-0000-000012140000}"/>
    <cellStyle name="Calculation 6 4 2 7 2" xfId="20097" xr:uid="{00000000-0005-0000-0000-000013140000}"/>
    <cellStyle name="Calculation 6 4 3" xfId="4039" xr:uid="{00000000-0005-0000-0000-000014140000}"/>
    <cellStyle name="Calculation 6 4 3 2" xfId="8086" xr:uid="{00000000-0005-0000-0000-000015140000}"/>
    <cellStyle name="Calculation 6 4 3 2 2" xfId="23852" xr:uid="{00000000-0005-0000-0000-000016140000}"/>
    <cellStyle name="Calculation 6 4 3 3" xfId="14371" xr:uid="{00000000-0005-0000-0000-000017140000}"/>
    <cellStyle name="Calculation 6 4 3 3 2" xfId="29203" xr:uid="{00000000-0005-0000-0000-000018140000}"/>
    <cellStyle name="Calculation 6 4 3 4" xfId="21486" xr:uid="{00000000-0005-0000-0000-000019140000}"/>
    <cellStyle name="Calculation 6 4 4" xfId="4468" xr:uid="{00000000-0005-0000-0000-00001A140000}"/>
    <cellStyle name="Calculation 6 4 4 2" xfId="8507" xr:uid="{00000000-0005-0000-0000-00001B140000}"/>
    <cellStyle name="Calculation 6 4 4 2 2" xfId="24133" xr:uid="{00000000-0005-0000-0000-00001C140000}"/>
    <cellStyle name="Calculation 6 4 4 3" xfId="14796" xr:uid="{00000000-0005-0000-0000-00001D140000}"/>
    <cellStyle name="Calculation 6 4 4 3 2" xfId="29628" xr:uid="{00000000-0005-0000-0000-00001E140000}"/>
    <cellStyle name="Calculation 6 4 4 4" xfId="21695" xr:uid="{00000000-0005-0000-0000-00001F140000}"/>
    <cellStyle name="Calculation 6 4 5" xfId="2458" xr:uid="{00000000-0005-0000-0000-000020140000}"/>
    <cellStyle name="Calculation 6 4 5 2" xfId="6564" xr:uid="{00000000-0005-0000-0000-000021140000}"/>
    <cellStyle name="Calculation 6 4 5 2 2" xfId="22902" xr:uid="{00000000-0005-0000-0000-000022140000}"/>
    <cellStyle name="Calculation 6 4 5 3" xfId="12797" xr:uid="{00000000-0005-0000-0000-000023140000}"/>
    <cellStyle name="Calculation 6 4 5 3 2" xfId="27629" xr:uid="{00000000-0005-0000-0000-000024140000}"/>
    <cellStyle name="Calculation 6 4 5 4" xfId="20550" xr:uid="{00000000-0005-0000-0000-000025140000}"/>
    <cellStyle name="Calculation 6 4 6" xfId="5582" xr:uid="{00000000-0005-0000-0000-000026140000}"/>
    <cellStyle name="Calculation 6 4 6 2" xfId="15817" xr:uid="{00000000-0005-0000-0000-000027140000}"/>
    <cellStyle name="Calculation 6 4 6 2 2" xfId="30649" xr:uid="{00000000-0005-0000-0000-000028140000}"/>
    <cellStyle name="Calculation 6 4 6 3" xfId="22278" xr:uid="{00000000-0005-0000-0000-000029140000}"/>
    <cellStyle name="Calculation 6 4 7" xfId="11827" xr:uid="{00000000-0005-0000-0000-00002A140000}"/>
    <cellStyle name="Calculation 6 4 7 2" xfId="26659" xr:uid="{00000000-0005-0000-0000-00002B140000}"/>
    <cellStyle name="Calculation 6 4 8" xfId="9499" xr:uid="{00000000-0005-0000-0000-00002C140000}"/>
    <cellStyle name="Calculation 6 4 8 2" xfId="19802" xr:uid="{00000000-0005-0000-0000-00002D140000}"/>
    <cellStyle name="Calculation 6 5" xfId="1434" xr:uid="{00000000-0005-0000-0000-00002E140000}"/>
    <cellStyle name="Calculation 6 5 2" xfId="1935" xr:uid="{00000000-0005-0000-0000-00002F140000}"/>
    <cellStyle name="Calculation 6 5 2 2" xfId="3436" xr:uid="{00000000-0005-0000-0000-000030140000}"/>
    <cellStyle name="Calculation 6 5 2 2 2" xfId="7499" xr:uid="{00000000-0005-0000-0000-000031140000}"/>
    <cellStyle name="Calculation 6 5 2 2 2 2" xfId="23475" xr:uid="{00000000-0005-0000-0000-000032140000}"/>
    <cellStyle name="Calculation 6 5 2 2 3" xfId="13773" xr:uid="{00000000-0005-0000-0000-000033140000}"/>
    <cellStyle name="Calculation 6 5 2 2 3 2" xfId="28605" xr:uid="{00000000-0005-0000-0000-000034140000}"/>
    <cellStyle name="Calculation 6 5 2 2 4" xfId="21151" xr:uid="{00000000-0005-0000-0000-000035140000}"/>
    <cellStyle name="Calculation 6 5 2 3" xfId="4914" xr:uid="{00000000-0005-0000-0000-000036140000}"/>
    <cellStyle name="Calculation 6 5 2 3 2" xfId="8953" xr:uid="{00000000-0005-0000-0000-000037140000}"/>
    <cellStyle name="Calculation 6 5 2 3 2 2" xfId="24419" xr:uid="{00000000-0005-0000-0000-000038140000}"/>
    <cellStyle name="Calculation 6 5 2 3 3" xfId="15236" xr:uid="{00000000-0005-0000-0000-000039140000}"/>
    <cellStyle name="Calculation 6 5 2 3 3 2" xfId="30068" xr:uid="{00000000-0005-0000-0000-00003A140000}"/>
    <cellStyle name="Calculation 6 5 2 3 4" xfId="21949" xr:uid="{00000000-0005-0000-0000-00003B140000}"/>
    <cellStyle name="Calculation 6 5 2 4" xfId="2904" xr:uid="{00000000-0005-0000-0000-00003C140000}"/>
    <cellStyle name="Calculation 6 5 2 4 2" xfId="6988" xr:uid="{00000000-0005-0000-0000-00003D140000}"/>
    <cellStyle name="Calculation 6 5 2 4 2 2" xfId="23162" xr:uid="{00000000-0005-0000-0000-00003E140000}"/>
    <cellStyle name="Calculation 6 5 2 4 3" xfId="13242" xr:uid="{00000000-0005-0000-0000-00003F140000}"/>
    <cellStyle name="Calculation 6 5 2 4 3 2" xfId="28074" xr:uid="{00000000-0005-0000-0000-000040140000}"/>
    <cellStyle name="Calculation 6 5 2 4 4" xfId="20830" xr:uid="{00000000-0005-0000-0000-000041140000}"/>
    <cellStyle name="Calculation 6 5 2 5" xfId="6065" xr:uid="{00000000-0005-0000-0000-000042140000}"/>
    <cellStyle name="Calculation 6 5 2 5 2" xfId="16252" xr:uid="{00000000-0005-0000-0000-000043140000}"/>
    <cellStyle name="Calculation 6 5 2 5 2 2" xfId="31084" xr:uid="{00000000-0005-0000-0000-000044140000}"/>
    <cellStyle name="Calculation 6 5 2 5 3" xfId="22598" xr:uid="{00000000-0005-0000-0000-000045140000}"/>
    <cellStyle name="Calculation 6 5 2 6" xfId="12322" xr:uid="{00000000-0005-0000-0000-000046140000}"/>
    <cellStyle name="Calculation 6 5 2 6 2" xfId="27154" xr:uid="{00000000-0005-0000-0000-000047140000}"/>
    <cellStyle name="Calculation 6 5 2 7" xfId="9919" xr:uid="{00000000-0005-0000-0000-000048140000}"/>
    <cellStyle name="Calculation 6 5 2 7 2" xfId="20121" xr:uid="{00000000-0005-0000-0000-000049140000}"/>
    <cellStyle name="Calculation 6 5 3" xfId="3748" xr:uid="{00000000-0005-0000-0000-00004A140000}"/>
    <cellStyle name="Calculation 6 5 3 2" xfId="7804" xr:uid="{00000000-0005-0000-0000-00004B140000}"/>
    <cellStyle name="Calculation 6 5 3 2 2" xfId="23675" xr:uid="{00000000-0005-0000-0000-00004C140000}"/>
    <cellStyle name="Calculation 6 5 3 3" xfId="14083" xr:uid="{00000000-0005-0000-0000-00004D140000}"/>
    <cellStyle name="Calculation 6 5 3 3 2" xfId="28915" xr:uid="{00000000-0005-0000-0000-00004E140000}"/>
    <cellStyle name="Calculation 6 5 3 4" xfId="21331" xr:uid="{00000000-0005-0000-0000-00004F140000}"/>
    <cellStyle name="Calculation 6 5 4" xfId="4494" xr:uid="{00000000-0005-0000-0000-000050140000}"/>
    <cellStyle name="Calculation 6 5 4 2" xfId="8533" xr:uid="{00000000-0005-0000-0000-000051140000}"/>
    <cellStyle name="Calculation 6 5 4 2 2" xfId="24159" xr:uid="{00000000-0005-0000-0000-000052140000}"/>
    <cellStyle name="Calculation 6 5 4 3" xfId="14821" xr:uid="{00000000-0005-0000-0000-000053140000}"/>
    <cellStyle name="Calculation 6 5 4 3 2" xfId="29653" xr:uid="{00000000-0005-0000-0000-000054140000}"/>
    <cellStyle name="Calculation 6 5 4 4" xfId="21719" xr:uid="{00000000-0005-0000-0000-000055140000}"/>
    <cellStyle name="Calculation 6 5 5" xfId="2484" xr:uid="{00000000-0005-0000-0000-000056140000}"/>
    <cellStyle name="Calculation 6 5 5 2" xfId="6590" xr:uid="{00000000-0005-0000-0000-000057140000}"/>
    <cellStyle name="Calculation 6 5 5 2 2" xfId="22928" xr:uid="{00000000-0005-0000-0000-000058140000}"/>
    <cellStyle name="Calculation 6 5 5 3" xfId="12822" xr:uid="{00000000-0005-0000-0000-000059140000}"/>
    <cellStyle name="Calculation 6 5 5 3 2" xfId="27654" xr:uid="{00000000-0005-0000-0000-00005A140000}"/>
    <cellStyle name="Calculation 6 5 5 4" xfId="20574" xr:uid="{00000000-0005-0000-0000-00005B140000}"/>
    <cellStyle name="Calculation 6 5 6" xfId="5607" xr:uid="{00000000-0005-0000-0000-00005C140000}"/>
    <cellStyle name="Calculation 6 5 6 2" xfId="15842" xr:uid="{00000000-0005-0000-0000-00005D140000}"/>
    <cellStyle name="Calculation 6 5 6 2 2" xfId="30674" xr:uid="{00000000-0005-0000-0000-00005E140000}"/>
    <cellStyle name="Calculation 6 5 6 3" xfId="22303" xr:uid="{00000000-0005-0000-0000-00005F140000}"/>
    <cellStyle name="Calculation 6 5 7" xfId="11851" xr:uid="{00000000-0005-0000-0000-000060140000}"/>
    <cellStyle name="Calculation 6 5 7 2" xfId="26683" xr:uid="{00000000-0005-0000-0000-000061140000}"/>
    <cellStyle name="Calculation 6 5 8" xfId="9524" xr:uid="{00000000-0005-0000-0000-000062140000}"/>
    <cellStyle name="Calculation 6 5 8 2" xfId="19826" xr:uid="{00000000-0005-0000-0000-000063140000}"/>
    <cellStyle name="Calculation 6 6" xfId="1726" xr:uid="{00000000-0005-0000-0000-000064140000}"/>
    <cellStyle name="Calculation 6 6 2" xfId="3727" xr:uid="{00000000-0005-0000-0000-000065140000}"/>
    <cellStyle name="Calculation 6 6 2 2" xfId="7783" xr:uid="{00000000-0005-0000-0000-000066140000}"/>
    <cellStyle name="Calculation 6 6 2 2 2" xfId="23660" xr:uid="{00000000-0005-0000-0000-000067140000}"/>
    <cellStyle name="Calculation 6 6 2 3" xfId="14062" xr:uid="{00000000-0005-0000-0000-000068140000}"/>
    <cellStyle name="Calculation 6 6 2 3 2" xfId="28894" xr:uid="{00000000-0005-0000-0000-000069140000}"/>
    <cellStyle name="Calculation 6 6 2 4" xfId="21320" xr:uid="{00000000-0005-0000-0000-00006A140000}"/>
    <cellStyle name="Calculation 6 6 3" xfId="4719" xr:uid="{00000000-0005-0000-0000-00006B140000}"/>
    <cellStyle name="Calculation 6 6 3 2" xfId="8758" xr:uid="{00000000-0005-0000-0000-00006C140000}"/>
    <cellStyle name="Calculation 6 6 3 2 2" xfId="24288" xr:uid="{00000000-0005-0000-0000-00006D140000}"/>
    <cellStyle name="Calculation 6 6 3 3" xfId="15043" xr:uid="{00000000-0005-0000-0000-00006E140000}"/>
    <cellStyle name="Calculation 6 6 3 3 2" xfId="29875" xr:uid="{00000000-0005-0000-0000-00006F140000}"/>
    <cellStyle name="Calculation 6 6 3 4" xfId="21826" xr:uid="{00000000-0005-0000-0000-000070140000}"/>
    <cellStyle name="Calculation 6 6 4" xfId="2709" xr:uid="{00000000-0005-0000-0000-000071140000}"/>
    <cellStyle name="Calculation 6 6 4 2" xfId="6800" xr:uid="{00000000-0005-0000-0000-000072140000}"/>
    <cellStyle name="Calculation 6 6 4 2 2" xfId="23039" xr:uid="{00000000-0005-0000-0000-000073140000}"/>
    <cellStyle name="Calculation 6 6 4 3" xfId="13047" xr:uid="{00000000-0005-0000-0000-000074140000}"/>
    <cellStyle name="Calculation 6 6 4 3 2" xfId="27879" xr:uid="{00000000-0005-0000-0000-000075140000}"/>
    <cellStyle name="Calculation 6 6 4 4" xfId="20699" xr:uid="{00000000-0005-0000-0000-000076140000}"/>
    <cellStyle name="Calculation 6 6 5" xfId="5858" xr:uid="{00000000-0005-0000-0000-000077140000}"/>
    <cellStyle name="Calculation 6 6 5 2" xfId="16050" xr:uid="{00000000-0005-0000-0000-000078140000}"/>
    <cellStyle name="Calculation 6 6 5 2 2" xfId="30882" xr:uid="{00000000-0005-0000-0000-000079140000}"/>
    <cellStyle name="Calculation 6 6 5 3" xfId="22455" xr:uid="{00000000-0005-0000-0000-00007A140000}"/>
    <cellStyle name="Calculation 6 6 6" xfId="12120" xr:uid="{00000000-0005-0000-0000-00007B140000}"/>
    <cellStyle name="Calculation 6 6 6 2" xfId="26952" xr:uid="{00000000-0005-0000-0000-00007C140000}"/>
    <cellStyle name="Calculation 6 6 7" xfId="9731" xr:uid="{00000000-0005-0000-0000-00007D140000}"/>
    <cellStyle name="Calculation 6 6 7 2" xfId="20029" xr:uid="{00000000-0005-0000-0000-00007E140000}"/>
    <cellStyle name="Calculation 6 7" xfId="2225" xr:uid="{00000000-0005-0000-0000-00007F140000}"/>
    <cellStyle name="Calculation 6 7 2" xfId="3501" xr:uid="{00000000-0005-0000-0000-000080140000}"/>
    <cellStyle name="Calculation 6 7 2 2" xfId="7563" xr:uid="{00000000-0005-0000-0000-000081140000}"/>
    <cellStyle name="Calculation 6 7 2 2 2" xfId="23517" xr:uid="{00000000-0005-0000-0000-000082140000}"/>
    <cellStyle name="Calculation 6 7 2 3" xfId="13838" xr:uid="{00000000-0005-0000-0000-000083140000}"/>
    <cellStyle name="Calculation 6 7 2 3 2" xfId="28670" xr:uid="{00000000-0005-0000-0000-000084140000}"/>
    <cellStyle name="Calculation 6 7 2 4" xfId="21192" xr:uid="{00000000-0005-0000-0000-000085140000}"/>
    <cellStyle name="Calculation 6 7 3" xfId="5193" xr:uid="{00000000-0005-0000-0000-000086140000}"/>
    <cellStyle name="Calculation 6 7 3 2" xfId="9232" xr:uid="{00000000-0005-0000-0000-000087140000}"/>
    <cellStyle name="Calculation 6 7 3 2 2" xfId="24570" xr:uid="{00000000-0005-0000-0000-000088140000}"/>
    <cellStyle name="Calculation 6 7 3 3" xfId="15511" xr:uid="{00000000-0005-0000-0000-000089140000}"/>
    <cellStyle name="Calculation 6 7 3 3 2" xfId="30343" xr:uid="{00000000-0005-0000-0000-00008A140000}"/>
    <cellStyle name="Calculation 6 7 3 4" xfId="22077" xr:uid="{00000000-0005-0000-0000-00008B140000}"/>
    <cellStyle name="Calculation 6 7 4" xfId="4223" xr:uid="{00000000-0005-0000-0000-00008C140000}"/>
    <cellStyle name="Calculation 6 7 4 2" xfId="8264" xr:uid="{00000000-0005-0000-0000-00008D140000}"/>
    <cellStyle name="Calculation 6 7 4 2 2" xfId="23959" xr:uid="{00000000-0005-0000-0000-00008E140000}"/>
    <cellStyle name="Calculation 6 7 4 3" xfId="14555" xr:uid="{00000000-0005-0000-0000-00008F140000}"/>
    <cellStyle name="Calculation 6 7 4 3 2" xfId="29387" xr:uid="{00000000-0005-0000-0000-000090140000}"/>
    <cellStyle name="Calculation 6 7 4 4" xfId="21584" xr:uid="{00000000-0005-0000-0000-000091140000}"/>
    <cellStyle name="Calculation 6 7 5" xfId="6339" xr:uid="{00000000-0005-0000-0000-000092140000}"/>
    <cellStyle name="Calculation 6 7 5 2" xfId="22741" xr:uid="{00000000-0005-0000-0000-000093140000}"/>
    <cellStyle name="Calculation 6 7 6" xfId="12593" xr:uid="{00000000-0005-0000-0000-000094140000}"/>
    <cellStyle name="Calculation 6 7 6 2" xfId="27425" xr:uid="{00000000-0005-0000-0000-000095140000}"/>
    <cellStyle name="Calculation 6 7 7" xfId="20420" xr:uid="{00000000-0005-0000-0000-000096140000}"/>
    <cellStyle name="Calculation 6 8" xfId="3978" xr:uid="{00000000-0005-0000-0000-000097140000}"/>
    <cellStyle name="Calculation 6 8 2" xfId="8027" xr:uid="{00000000-0005-0000-0000-000098140000}"/>
    <cellStyle name="Calculation 6 8 2 2" xfId="23817" xr:uid="{00000000-0005-0000-0000-000099140000}"/>
    <cellStyle name="Calculation 6 8 3" xfId="14311" xr:uid="{00000000-0005-0000-0000-00009A140000}"/>
    <cellStyle name="Calculation 6 8 3 2" xfId="29143" xr:uid="{00000000-0005-0000-0000-00009B140000}"/>
    <cellStyle name="Calculation 6 8 4" xfId="21455" xr:uid="{00000000-0005-0000-0000-00009C140000}"/>
    <cellStyle name="Calculation 6 9" xfId="3354" xr:uid="{00000000-0005-0000-0000-00009D140000}"/>
    <cellStyle name="Calculation 6 9 2" xfId="7417" xr:uid="{00000000-0005-0000-0000-00009E140000}"/>
    <cellStyle name="Calculation 6 9 2 2" xfId="23419" xr:uid="{00000000-0005-0000-0000-00009F140000}"/>
    <cellStyle name="Calculation 6 9 3" xfId="13691" xr:uid="{00000000-0005-0000-0000-0000A0140000}"/>
    <cellStyle name="Calculation 6 9 3 2" xfId="28523" xr:uid="{00000000-0005-0000-0000-0000A1140000}"/>
    <cellStyle name="Calculation 6 9 4" xfId="21104" xr:uid="{00000000-0005-0000-0000-0000A2140000}"/>
    <cellStyle name="Calculation 7" xfId="974" xr:uid="{00000000-0005-0000-0000-0000A3140000}"/>
    <cellStyle name="Calculation 7 10" xfId="2280" xr:uid="{00000000-0005-0000-0000-0000A4140000}"/>
    <cellStyle name="Calculation 7 10 2" xfId="6392" xr:uid="{00000000-0005-0000-0000-0000A5140000}"/>
    <cellStyle name="Calculation 7 10 2 2" xfId="22794" xr:uid="{00000000-0005-0000-0000-0000A6140000}"/>
    <cellStyle name="Calculation 7 10 3" xfId="12620" xr:uid="{00000000-0005-0000-0000-0000A7140000}"/>
    <cellStyle name="Calculation 7 10 3 2" xfId="27452" xr:uid="{00000000-0005-0000-0000-0000A8140000}"/>
    <cellStyle name="Calculation 7 10 4" xfId="20446" xr:uid="{00000000-0005-0000-0000-0000A9140000}"/>
    <cellStyle name="Calculation 7 11" xfId="5246" xr:uid="{00000000-0005-0000-0000-0000AA140000}"/>
    <cellStyle name="Calculation 7 11 2" xfId="15562" xr:uid="{00000000-0005-0000-0000-0000AB140000}"/>
    <cellStyle name="Calculation 7 11 2 2" xfId="30394" xr:uid="{00000000-0005-0000-0000-0000AC140000}"/>
    <cellStyle name="Calculation 7 11 3" xfId="22103" xr:uid="{00000000-0005-0000-0000-0000AD140000}"/>
    <cellStyle name="Calculation 7 12" xfId="5404" xr:uid="{00000000-0005-0000-0000-0000AE140000}"/>
    <cellStyle name="Calculation 7 12 2" xfId="15640" xr:uid="{00000000-0005-0000-0000-0000AF140000}"/>
    <cellStyle name="Calculation 7 12 2 2" xfId="30472" xr:uid="{00000000-0005-0000-0000-0000B0140000}"/>
    <cellStyle name="Calculation 7 12 3" xfId="22165" xr:uid="{00000000-0005-0000-0000-0000B1140000}"/>
    <cellStyle name="Calculation 7 13" xfId="9387" xr:uid="{00000000-0005-0000-0000-0000B2140000}"/>
    <cellStyle name="Calculation 7 13 2" xfId="24693" xr:uid="{00000000-0005-0000-0000-0000B3140000}"/>
    <cellStyle name="Calculation 7 14" xfId="7088" xr:uid="{00000000-0005-0000-0000-0000B4140000}"/>
    <cellStyle name="Calculation 7 14 2" xfId="18869" xr:uid="{00000000-0005-0000-0000-0000B5140000}"/>
    <cellStyle name="Calculation 7 2" xfId="1316" xr:uid="{00000000-0005-0000-0000-0000B6140000}"/>
    <cellStyle name="Calculation 7 2 2" xfId="1820" xr:uid="{00000000-0005-0000-0000-0000B7140000}"/>
    <cellStyle name="Calculation 7 2 2 2" xfId="4040" xr:uid="{00000000-0005-0000-0000-0000B8140000}"/>
    <cellStyle name="Calculation 7 2 2 2 2" xfId="8087" xr:uid="{00000000-0005-0000-0000-0000B9140000}"/>
    <cellStyle name="Calculation 7 2 2 2 2 2" xfId="23853" xr:uid="{00000000-0005-0000-0000-0000BA140000}"/>
    <cellStyle name="Calculation 7 2 2 2 3" xfId="14372" xr:uid="{00000000-0005-0000-0000-0000BB140000}"/>
    <cellStyle name="Calculation 7 2 2 2 3 2" xfId="29204" xr:uid="{00000000-0005-0000-0000-0000BC140000}"/>
    <cellStyle name="Calculation 7 2 2 2 4" xfId="21487" xr:uid="{00000000-0005-0000-0000-0000BD140000}"/>
    <cellStyle name="Calculation 7 2 2 3" xfId="4798" xr:uid="{00000000-0005-0000-0000-0000BE140000}"/>
    <cellStyle name="Calculation 7 2 2 3 2" xfId="8837" xr:uid="{00000000-0005-0000-0000-0000BF140000}"/>
    <cellStyle name="Calculation 7 2 2 3 2 2" xfId="24335" xr:uid="{00000000-0005-0000-0000-0000C0140000}"/>
    <cellStyle name="Calculation 7 2 2 3 3" xfId="15122" xr:uid="{00000000-0005-0000-0000-0000C1140000}"/>
    <cellStyle name="Calculation 7 2 2 3 3 2" xfId="29954" xr:uid="{00000000-0005-0000-0000-0000C2140000}"/>
    <cellStyle name="Calculation 7 2 2 3 4" xfId="21873" xr:uid="{00000000-0005-0000-0000-0000C3140000}"/>
    <cellStyle name="Calculation 7 2 2 4" xfId="2788" xr:uid="{00000000-0005-0000-0000-0000C4140000}"/>
    <cellStyle name="Calculation 7 2 2 4 2" xfId="6879" xr:uid="{00000000-0005-0000-0000-0000C5140000}"/>
    <cellStyle name="Calculation 7 2 2 4 2 2" xfId="23086" xr:uid="{00000000-0005-0000-0000-0000C6140000}"/>
    <cellStyle name="Calculation 7 2 2 4 3" xfId="13126" xr:uid="{00000000-0005-0000-0000-0000C7140000}"/>
    <cellStyle name="Calculation 7 2 2 4 3 2" xfId="27958" xr:uid="{00000000-0005-0000-0000-0000C8140000}"/>
    <cellStyle name="Calculation 7 2 2 4 4" xfId="20746" xr:uid="{00000000-0005-0000-0000-0000C9140000}"/>
    <cellStyle name="Calculation 7 2 2 5" xfId="5952" xr:uid="{00000000-0005-0000-0000-0000CA140000}"/>
    <cellStyle name="Calculation 7 2 2 5 2" xfId="16144" xr:uid="{00000000-0005-0000-0000-0000CB140000}"/>
    <cellStyle name="Calculation 7 2 2 5 2 2" xfId="30976" xr:uid="{00000000-0005-0000-0000-0000CC140000}"/>
    <cellStyle name="Calculation 7 2 2 5 3" xfId="22517" xr:uid="{00000000-0005-0000-0000-0000CD140000}"/>
    <cellStyle name="Calculation 7 2 2 6" xfId="12214" xr:uid="{00000000-0005-0000-0000-0000CE140000}"/>
    <cellStyle name="Calculation 7 2 2 6 2" xfId="27046" xr:uid="{00000000-0005-0000-0000-0000CF140000}"/>
    <cellStyle name="Calculation 7 2 2 7" xfId="9810" xr:uid="{00000000-0005-0000-0000-0000D0140000}"/>
    <cellStyle name="Calculation 7 2 2 7 2" xfId="20061" xr:uid="{00000000-0005-0000-0000-0000D1140000}"/>
    <cellStyle name="Calculation 7 2 3" xfId="3248" xr:uid="{00000000-0005-0000-0000-0000D2140000}"/>
    <cellStyle name="Calculation 7 2 3 2" xfId="7312" xr:uid="{00000000-0005-0000-0000-0000D3140000}"/>
    <cellStyle name="Calculation 7 2 3 2 2" xfId="23351" xr:uid="{00000000-0005-0000-0000-0000D4140000}"/>
    <cellStyle name="Calculation 7 2 3 3" xfId="13585" xr:uid="{00000000-0005-0000-0000-0000D5140000}"/>
    <cellStyle name="Calculation 7 2 3 3 2" xfId="28417" xr:uid="{00000000-0005-0000-0000-0000D6140000}"/>
    <cellStyle name="Calculation 7 2 3 4" xfId="21038" xr:uid="{00000000-0005-0000-0000-0000D7140000}"/>
    <cellStyle name="Calculation 7 2 4" xfId="4378" xr:uid="{00000000-0005-0000-0000-0000D8140000}"/>
    <cellStyle name="Calculation 7 2 4 2" xfId="8417" xr:uid="{00000000-0005-0000-0000-0000D9140000}"/>
    <cellStyle name="Calculation 7 2 4 2 2" xfId="24075" xr:uid="{00000000-0005-0000-0000-0000DA140000}"/>
    <cellStyle name="Calculation 7 2 4 3" xfId="14707" xr:uid="{00000000-0005-0000-0000-0000DB140000}"/>
    <cellStyle name="Calculation 7 2 4 3 2" xfId="29539" xr:uid="{00000000-0005-0000-0000-0000DC140000}"/>
    <cellStyle name="Calculation 7 2 4 4" xfId="21643" xr:uid="{00000000-0005-0000-0000-0000DD140000}"/>
    <cellStyle name="Calculation 7 2 5" xfId="2368" xr:uid="{00000000-0005-0000-0000-0000DE140000}"/>
    <cellStyle name="Calculation 7 2 5 2" xfId="6480" xr:uid="{00000000-0005-0000-0000-0000DF140000}"/>
    <cellStyle name="Calculation 7 2 5 2 2" xfId="22850" xr:uid="{00000000-0005-0000-0000-0000E0140000}"/>
    <cellStyle name="Calculation 7 2 5 3" xfId="12707" xr:uid="{00000000-0005-0000-0000-0000E1140000}"/>
    <cellStyle name="Calculation 7 2 5 3 2" xfId="27539" xr:uid="{00000000-0005-0000-0000-0000E2140000}"/>
    <cellStyle name="Calculation 7 2 5 4" xfId="20492" xr:uid="{00000000-0005-0000-0000-0000E3140000}"/>
    <cellStyle name="Calculation 7 2 6" xfId="5493" xr:uid="{00000000-0005-0000-0000-0000E4140000}"/>
    <cellStyle name="Calculation 7 2 6 2" xfId="15728" xr:uid="{00000000-0005-0000-0000-0000E5140000}"/>
    <cellStyle name="Calculation 7 2 6 2 2" xfId="30560" xr:uid="{00000000-0005-0000-0000-0000E6140000}"/>
    <cellStyle name="Calculation 7 2 6 3" xfId="22221" xr:uid="{00000000-0005-0000-0000-0000E7140000}"/>
    <cellStyle name="Calculation 7 2 7" xfId="11743" xr:uid="{00000000-0005-0000-0000-0000E8140000}"/>
    <cellStyle name="Calculation 7 2 7 2" xfId="26575" xr:uid="{00000000-0005-0000-0000-0000E9140000}"/>
    <cellStyle name="Calculation 7 2 8" xfId="9414" xr:uid="{00000000-0005-0000-0000-0000EA140000}"/>
    <cellStyle name="Calculation 7 2 8 2" xfId="19718" xr:uid="{00000000-0005-0000-0000-0000EB140000}"/>
    <cellStyle name="Calculation 7 3" xfId="1450" xr:uid="{00000000-0005-0000-0000-0000EC140000}"/>
    <cellStyle name="Calculation 7 3 2" xfId="1951" xr:uid="{00000000-0005-0000-0000-0000ED140000}"/>
    <cellStyle name="Calculation 7 3 2 2" xfId="4100" xr:uid="{00000000-0005-0000-0000-0000EE140000}"/>
    <cellStyle name="Calculation 7 3 2 2 2" xfId="8146" xr:uid="{00000000-0005-0000-0000-0000EF140000}"/>
    <cellStyle name="Calculation 7 3 2 2 2 2" xfId="23891" xr:uid="{00000000-0005-0000-0000-0000F0140000}"/>
    <cellStyle name="Calculation 7 3 2 2 3" xfId="14432" xr:uid="{00000000-0005-0000-0000-0000F1140000}"/>
    <cellStyle name="Calculation 7 3 2 2 3 2" xfId="29264" xr:uid="{00000000-0005-0000-0000-0000F2140000}"/>
    <cellStyle name="Calculation 7 3 2 2 4" xfId="21521" xr:uid="{00000000-0005-0000-0000-0000F3140000}"/>
    <cellStyle name="Calculation 7 3 2 3" xfId="4930" xr:uid="{00000000-0005-0000-0000-0000F4140000}"/>
    <cellStyle name="Calculation 7 3 2 3 2" xfId="8969" xr:uid="{00000000-0005-0000-0000-0000F5140000}"/>
    <cellStyle name="Calculation 7 3 2 3 2 2" xfId="24435" xr:uid="{00000000-0005-0000-0000-0000F6140000}"/>
    <cellStyle name="Calculation 7 3 2 3 3" xfId="15252" xr:uid="{00000000-0005-0000-0000-0000F7140000}"/>
    <cellStyle name="Calculation 7 3 2 3 3 2" xfId="30084" xr:uid="{00000000-0005-0000-0000-0000F8140000}"/>
    <cellStyle name="Calculation 7 3 2 3 4" xfId="21965" xr:uid="{00000000-0005-0000-0000-0000F9140000}"/>
    <cellStyle name="Calculation 7 3 2 4" xfId="2920" xr:uid="{00000000-0005-0000-0000-0000FA140000}"/>
    <cellStyle name="Calculation 7 3 2 4 2" xfId="7004" xr:uid="{00000000-0005-0000-0000-0000FB140000}"/>
    <cellStyle name="Calculation 7 3 2 4 2 2" xfId="23178" xr:uid="{00000000-0005-0000-0000-0000FC140000}"/>
    <cellStyle name="Calculation 7 3 2 4 3" xfId="13258" xr:uid="{00000000-0005-0000-0000-0000FD140000}"/>
    <cellStyle name="Calculation 7 3 2 4 3 2" xfId="28090" xr:uid="{00000000-0005-0000-0000-0000FE140000}"/>
    <cellStyle name="Calculation 7 3 2 4 4" xfId="20846" xr:uid="{00000000-0005-0000-0000-0000FF140000}"/>
    <cellStyle name="Calculation 7 3 2 5" xfId="6081" xr:uid="{00000000-0005-0000-0000-000000150000}"/>
    <cellStyle name="Calculation 7 3 2 5 2" xfId="16268" xr:uid="{00000000-0005-0000-0000-000001150000}"/>
    <cellStyle name="Calculation 7 3 2 5 2 2" xfId="31100" xr:uid="{00000000-0005-0000-0000-000002150000}"/>
    <cellStyle name="Calculation 7 3 2 5 3" xfId="22614" xr:uid="{00000000-0005-0000-0000-000003150000}"/>
    <cellStyle name="Calculation 7 3 2 6" xfId="12338" xr:uid="{00000000-0005-0000-0000-000004150000}"/>
    <cellStyle name="Calculation 7 3 2 6 2" xfId="27170" xr:uid="{00000000-0005-0000-0000-000005150000}"/>
    <cellStyle name="Calculation 7 3 2 7" xfId="9935" xr:uid="{00000000-0005-0000-0000-000006150000}"/>
    <cellStyle name="Calculation 7 3 2 7 2" xfId="20137" xr:uid="{00000000-0005-0000-0000-000007150000}"/>
    <cellStyle name="Calculation 7 3 3" xfId="3981" xr:uid="{00000000-0005-0000-0000-000008150000}"/>
    <cellStyle name="Calculation 7 3 3 2" xfId="8030" xr:uid="{00000000-0005-0000-0000-000009150000}"/>
    <cellStyle name="Calculation 7 3 3 2 2" xfId="23820" xr:uid="{00000000-0005-0000-0000-00000A150000}"/>
    <cellStyle name="Calculation 7 3 3 3" xfId="14314" xr:uid="{00000000-0005-0000-0000-00000B150000}"/>
    <cellStyle name="Calculation 7 3 3 3 2" xfId="29146" xr:uid="{00000000-0005-0000-0000-00000C150000}"/>
    <cellStyle name="Calculation 7 3 3 4" xfId="21458" xr:uid="{00000000-0005-0000-0000-00000D150000}"/>
    <cellStyle name="Calculation 7 3 4" xfId="4510" xr:uid="{00000000-0005-0000-0000-00000E150000}"/>
    <cellStyle name="Calculation 7 3 4 2" xfId="8549" xr:uid="{00000000-0005-0000-0000-00000F150000}"/>
    <cellStyle name="Calculation 7 3 4 2 2" xfId="24175" xr:uid="{00000000-0005-0000-0000-000010150000}"/>
    <cellStyle name="Calculation 7 3 4 3" xfId="14837" xr:uid="{00000000-0005-0000-0000-000011150000}"/>
    <cellStyle name="Calculation 7 3 4 3 2" xfId="29669" xr:uid="{00000000-0005-0000-0000-000012150000}"/>
    <cellStyle name="Calculation 7 3 4 4" xfId="21735" xr:uid="{00000000-0005-0000-0000-000013150000}"/>
    <cellStyle name="Calculation 7 3 5" xfId="2500" xr:uid="{00000000-0005-0000-0000-000014150000}"/>
    <cellStyle name="Calculation 7 3 5 2" xfId="6606" xr:uid="{00000000-0005-0000-0000-000015150000}"/>
    <cellStyle name="Calculation 7 3 5 2 2" xfId="22944" xr:uid="{00000000-0005-0000-0000-000016150000}"/>
    <cellStyle name="Calculation 7 3 5 3" xfId="12838" xr:uid="{00000000-0005-0000-0000-000017150000}"/>
    <cellStyle name="Calculation 7 3 5 3 2" xfId="27670" xr:uid="{00000000-0005-0000-0000-000018150000}"/>
    <cellStyle name="Calculation 7 3 5 4" xfId="20590" xr:uid="{00000000-0005-0000-0000-000019150000}"/>
    <cellStyle name="Calculation 7 3 6" xfId="5623" xr:uid="{00000000-0005-0000-0000-00001A150000}"/>
    <cellStyle name="Calculation 7 3 6 2" xfId="15858" xr:uid="{00000000-0005-0000-0000-00001B150000}"/>
    <cellStyle name="Calculation 7 3 6 2 2" xfId="30690" xr:uid="{00000000-0005-0000-0000-00001C150000}"/>
    <cellStyle name="Calculation 7 3 6 3" xfId="22319" xr:uid="{00000000-0005-0000-0000-00001D150000}"/>
    <cellStyle name="Calculation 7 3 7" xfId="11867" xr:uid="{00000000-0005-0000-0000-00001E150000}"/>
    <cellStyle name="Calculation 7 3 7 2" xfId="26699" xr:uid="{00000000-0005-0000-0000-00001F150000}"/>
    <cellStyle name="Calculation 7 3 8" xfId="9540" xr:uid="{00000000-0005-0000-0000-000020150000}"/>
    <cellStyle name="Calculation 7 3 8 2" xfId="19842" xr:uid="{00000000-0005-0000-0000-000021150000}"/>
    <cellStyle name="Calculation 7 4" xfId="1407" xr:uid="{00000000-0005-0000-0000-000022150000}"/>
    <cellStyle name="Calculation 7 4 2" xfId="1909" xr:uid="{00000000-0005-0000-0000-000023150000}"/>
    <cellStyle name="Calculation 7 4 2 2" xfId="3520" xr:uid="{00000000-0005-0000-0000-000024150000}"/>
    <cellStyle name="Calculation 7 4 2 2 2" xfId="7582" xr:uid="{00000000-0005-0000-0000-000025150000}"/>
    <cellStyle name="Calculation 7 4 2 2 2 2" xfId="23530" xr:uid="{00000000-0005-0000-0000-000026150000}"/>
    <cellStyle name="Calculation 7 4 2 2 3" xfId="13857" xr:uid="{00000000-0005-0000-0000-000027150000}"/>
    <cellStyle name="Calculation 7 4 2 2 3 2" xfId="28689" xr:uid="{00000000-0005-0000-0000-000028150000}"/>
    <cellStyle name="Calculation 7 4 2 2 4" xfId="21205" xr:uid="{00000000-0005-0000-0000-000029150000}"/>
    <cellStyle name="Calculation 7 4 2 3" xfId="4887" xr:uid="{00000000-0005-0000-0000-00002A150000}"/>
    <cellStyle name="Calculation 7 4 2 3 2" xfId="8926" xr:uid="{00000000-0005-0000-0000-00002B150000}"/>
    <cellStyle name="Calculation 7 4 2 3 2 2" xfId="24392" xr:uid="{00000000-0005-0000-0000-00002C150000}"/>
    <cellStyle name="Calculation 7 4 2 3 3" xfId="15210" xr:uid="{00000000-0005-0000-0000-00002D150000}"/>
    <cellStyle name="Calculation 7 4 2 3 3 2" xfId="30042" xr:uid="{00000000-0005-0000-0000-00002E150000}"/>
    <cellStyle name="Calculation 7 4 2 3 4" xfId="21924" xr:uid="{00000000-0005-0000-0000-00002F150000}"/>
    <cellStyle name="Calculation 7 4 2 4" xfId="2877" xr:uid="{00000000-0005-0000-0000-000030150000}"/>
    <cellStyle name="Calculation 7 4 2 4 2" xfId="6962" xr:uid="{00000000-0005-0000-0000-000031150000}"/>
    <cellStyle name="Calculation 7 4 2 4 2 2" xfId="23137" xr:uid="{00000000-0005-0000-0000-000032150000}"/>
    <cellStyle name="Calculation 7 4 2 4 3" xfId="13215" xr:uid="{00000000-0005-0000-0000-000033150000}"/>
    <cellStyle name="Calculation 7 4 2 4 3 2" xfId="28047" xr:uid="{00000000-0005-0000-0000-000034150000}"/>
    <cellStyle name="Calculation 7 4 2 4 4" xfId="20803" xr:uid="{00000000-0005-0000-0000-000035150000}"/>
    <cellStyle name="Calculation 7 4 2 5" xfId="6040" xr:uid="{00000000-0005-0000-0000-000036150000}"/>
    <cellStyle name="Calculation 7 4 2 5 2" xfId="16227" xr:uid="{00000000-0005-0000-0000-000037150000}"/>
    <cellStyle name="Calculation 7 4 2 5 2 2" xfId="31059" xr:uid="{00000000-0005-0000-0000-000038150000}"/>
    <cellStyle name="Calculation 7 4 2 5 3" xfId="22573" xr:uid="{00000000-0005-0000-0000-000039150000}"/>
    <cellStyle name="Calculation 7 4 2 6" xfId="12297" xr:uid="{00000000-0005-0000-0000-00003A150000}"/>
    <cellStyle name="Calculation 7 4 2 6 2" xfId="27129" xr:uid="{00000000-0005-0000-0000-00003B150000}"/>
    <cellStyle name="Calculation 7 4 2 7" xfId="9893" xr:uid="{00000000-0005-0000-0000-00003C150000}"/>
    <cellStyle name="Calculation 7 4 2 7 2" xfId="20096" xr:uid="{00000000-0005-0000-0000-00003D150000}"/>
    <cellStyle name="Calculation 7 4 3" xfId="3568" xr:uid="{00000000-0005-0000-0000-00003E150000}"/>
    <cellStyle name="Calculation 7 4 3 2" xfId="7630" xr:uid="{00000000-0005-0000-0000-00003F150000}"/>
    <cellStyle name="Calculation 7 4 3 2 2" xfId="23556" xr:uid="{00000000-0005-0000-0000-000040150000}"/>
    <cellStyle name="Calculation 7 4 3 3" xfId="13904" xr:uid="{00000000-0005-0000-0000-000041150000}"/>
    <cellStyle name="Calculation 7 4 3 3 2" xfId="28736" xr:uid="{00000000-0005-0000-0000-000042150000}"/>
    <cellStyle name="Calculation 7 4 3 4" xfId="21226" xr:uid="{00000000-0005-0000-0000-000043150000}"/>
    <cellStyle name="Calculation 7 4 4" xfId="4467" xr:uid="{00000000-0005-0000-0000-000044150000}"/>
    <cellStyle name="Calculation 7 4 4 2" xfId="8506" xr:uid="{00000000-0005-0000-0000-000045150000}"/>
    <cellStyle name="Calculation 7 4 4 2 2" xfId="24132" xr:uid="{00000000-0005-0000-0000-000046150000}"/>
    <cellStyle name="Calculation 7 4 4 3" xfId="14795" xr:uid="{00000000-0005-0000-0000-000047150000}"/>
    <cellStyle name="Calculation 7 4 4 3 2" xfId="29627" xr:uid="{00000000-0005-0000-0000-000048150000}"/>
    <cellStyle name="Calculation 7 4 4 4" xfId="21694" xr:uid="{00000000-0005-0000-0000-000049150000}"/>
    <cellStyle name="Calculation 7 4 5" xfId="2457" xr:uid="{00000000-0005-0000-0000-00004A150000}"/>
    <cellStyle name="Calculation 7 4 5 2" xfId="6563" xr:uid="{00000000-0005-0000-0000-00004B150000}"/>
    <cellStyle name="Calculation 7 4 5 2 2" xfId="22901" xr:uid="{00000000-0005-0000-0000-00004C150000}"/>
    <cellStyle name="Calculation 7 4 5 3" xfId="12796" xr:uid="{00000000-0005-0000-0000-00004D150000}"/>
    <cellStyle name="Calculation 7 4 5 3 2" xfId="27628" xr:uid="{00000000-0005-0000-0000-00004E150000}"/>
    <cellStyle name="Calculation 7 4 5 4" xfId="20549" xr:uid="{00000000-0005-0000-0000-00004F150000}"/>
    <cellStyle name="Calculation 7 4 6" xfId="5581" xr:uid="{00000000-0005-0000-0000-000050150000}"/>
    <cellStyle name="Calculation 7 4 6 2" xfId="15816" xr:uid="{00000000-0005-0000-0000-000051150000}"/>
    <cellStyle name="Calculation 7 4 6 2 2" xfId="30648" xr:uid="{00000000-0005-0000-0000-000052150000}"/>
    <cellStyle name="Calculation 7 4 6 3" xfId="22277" xr:uid="{00000000-0005-0000-0000-000053150000}"/>
    <cellStyle name="Calculation 7 4 7" xfId="11826" xr:uid="{00000000-0005-0000-0000-000054150000}"/>
    <cellStyle name="Calculation 7 4 7 2" xfId="26658" xr:uid="{00000000-0005-0000-0000-000055150000}"/>
    <cellStyle name="Calculation 7 4 8" xfId="9498" xr:uid="{00000000-0005-0000-0000-000056150000}"/>
    <cellStyle name="Calculation 7 4 8 2" xfId="19801" xr:uid="{00000000-0005-0000-0000-000057150000}"/>
    <cellStyle name="Calculation 7 5" xfId="1435" xr:uid="{00000000-0005-0000-0000-000058150000}"/>
    <cellStyle name="Calculation 7 5 2" xfId="1936" xr:uid="{00000000-0005-0000-0000-000059150000}"/>
    <cellStyle name="Calculation 7 5 2 2" xfId="3895" xr:uid="{00000000-0005-0000-0000-00005A150000}"/>
    <cellStyle name="Calculation 7 5 2 2 2" xfId="7946" xr:uid="{00000000-0005-0000-0000-00005B150000}"/>
    <cellStyle name="Calculation 7 5 2 2 2 2" xfId="23766" xr:uid="{00000000-0005-0000-0000-00005C150000}"/>
    <cellStyle name="Calculation 7 5 2 2 3" xfId="14228" xr:uid="{00000000-0005-0000-0000-00005D150000}"/>
    <cellStyle name="Calculation 7 5 2 2 3 2" xfId="29060" xr:uid="{00000000-0005-0000-0000-00005E150000}"/>
    <cellStyle name="Calculation 7 5 2 2 4" xfId="21407" xr:uid="{00000000-0005-0000-0000-00005F150000}"/>
    <cellStyle name="Calculation 7 5 2 3" xfId="4915" xr:uid="{00000000-0005-0000-0000-000060150000}"/>
    <cellStyle name="Calculation 7 5 2 3 2" xfId="8954" xr:uid="{00000000-0005-0000-0000-000061150000}"/>
    <cellStyle name="Calculation 7 5 2 3 2 2" xfId="24420" xr:uid="{00000000-0005-0000-0000-000062150000}"/>
    <cellStyle name="Calculation 7 5 2 3 3" xfId="15237" xr:uid="{00000000-0005-0000-0000-000063150000}"/>
    <cellStyle name="Calculation 7 5 2 3 3 2" xfId="30069" xr:uid="{00000000-0005-0000-0000-000064150000}"/>
    <cellStyle name="Calculation 7 5 2 3 4" xfId="21950" xr:uid="{00000000-0005-0000-0000-000065150000}"/>
    <cellStyle name="Calculation 7 5 2 4" xfId="2905" xr:uid="{00000000-0005-0000-0000-000066150000}"/>
    <cellStyle name="Calculation 7 5 2 4 2" xfId="6989" xr:uid="{00000000-0005-0000-0000-000067150000}"/>
    <cellStyle name="Calculation 7 5 2 4 2 2" xfId="23163" xr:uid="{00000000-0005-0000-0000-000068150000}"/>
    <cellStyle name="Calculation 7 5 2 4 3" xfId="13243" xr:uid="{00000000-0005-0000-0000-000069150000}"/>
    <cellStyle name="Calculation 7 5 2 4 3 2" xfId="28075" xr:uid="{00000000-0005-0000-0000-00006A150000}"/>
    <cellStyle name="Calculation 7 5 2 4 4" xfId="20831" xr:uid="{00000000-0005-0000-0000-00006B150000}"/>
    <cellStyle name="Calculation 7 5 2 5" xfId="6066" xr:uid="{00000000-0005-0000-0000-00006C150000}"/>
    <cellStyle name="Calculation 7 5 2 5 2" xfId="16253" xr:uid="{00000000-0005-0000-0000-00006D150000}"/>
    <cellStyle name="Calculation 7 5 2 5 2 2" xfId="31085" xr:uid="{00000000-0005-0000-0000-00006E150000}"/>
    <cellStyle name="Calculation 7 5 2 5 3" xfId="22599" xr:uid="{00000000-0005-0000-0000-00006F150000}"/>
    <cellStyle name="Calculation 7 5 2 6" xfId="12323" xr:uid="{00000000-0005-0000-0000-000070150000}"/>
    <cellStyle name="Calculation 7 5 2 6 2" xfId="27155" xr:uid="{00000000-0005-0000-0000-000071150000}"/>
    <cellStyle name="Calculation 7 5 2 7" xfId="9920" xr:uid="{00000000-0005-0000-0000-000072150000}"/>
    <cellStyle name="Calculation 7 5 2 7 2" xfId="20122" xr:uid="{00000000-0005-0000-0000-000073150000}"/>
    <cellStyle name="Calculation 7 5 3" xfId="3877" xr:uid="{00000000-0005-0000-0000-000074150000}"/>
    <cellStyle name="Calculation 7 5 3 2" xfId="7929" xr:uid="{00000000-0005-0000-0000-000075150000}"/>
    <cellStyle name="Calculation 7 5 3 2 2" xfId="23756" xr:uid="{00000000-0005-0000-0000-000076150000}"/>
    <cellStyle name="Calculation 7 5 3 3" xfId="14212" xr:uid="{00000000-0005-0000-0000-000077150000}"/>
    <cellStyle name="Calculation 7 5 3 3 2" xfId="29044" xr:uid="{00000000-0005-0000-0000-000078150000}"/>
    <cellStyle name="Calculation 7 5 3 4" xfId="21398" xr:uid="{00000000-0005-0000-0000-000079150000}"/>
    <cellStyle name="Calculation 7 5 4" xfId="4495" xr:uid="{00000000-0005-0000-0000-00007A150000}"/>
    <cellStyle name="Calculation 7 5 4 2" xfId="8534" xr:uid="{00000000-0005-0000-0000-00007B150000}"/>
    <cellStyle name="Calculation 7 5 4 2 2" xfId="24160" xr:uid="{00000000-0005-0000-0000-00007C150000}"/>
    <cellStyle name="Calculation 7 5 4 3" xfId="14822" xr:uid="{00000000-0005-0000-0000-00007D150000}"/>
    <cellStyle name="Calculation 7 5 4 3 2" xfId="29654" xr:uid="{00000000-0005-0000-0000-00007E150000}"/>
    <cellStyle name="Calculation 7 5 4 4" xfId="21720" xr:uid="{00000000-0005-0000-0000-00007F150000}"/>
    <cellStyle name="Calculation 7 5 5" xfId="2485" xr:uid="{00000000-0005-0000-0000-000080150000}"/>
    <cellStyle name="Calculation 7 5 5 2" xfId="6591" xr:uid="{00000000-0005-0000-0000-000081150000}"/>
    <cellStyle name="Calculation 7 5 5 2 2" xfId="22929" xr:uid="{00000000-0005-0000-0000-000082150000}"/>
    <cellStyle name="Calculation 7 5 5 3" xfId="12823" xr:uid="{00000000-0005-0000-0000-000083150000}"/>
    <cellStyle name="Calculation 7 5 5 3 2" xfId="27655" xr:uid="{00000000-0005-0000-0000-000084150000}"/>
    <cellStyle name="Calculation 7 5 5 4" xfId="20575" xr:uid="{00000000-0005-0000-0000-000085150000}"/>
    <cellStyle name="Calculation 7 5 6" xfId="5608" xr:uid="{00000000-0005-0000-0000-000086150000}"/>
    <cellStyle name="Calculation 7 5 6 2" xfId="15843" xr:uid="{00000000-0005-0000-0000-000087150000}"/>
    <cellStyle name="Calculation 7 5 6 2 2" xfId="30675" xr:uid="{00000000-0005-0000-0000-000088150000}"/>
    <cellStyle name="Calculation 7 5 6 3" xfId="22304" xr:uid="{00000000-0005-0000-0000-000089150000}"/>
    <cellStyle name="Calculation 7 5 7" xfId="11852" xr:uid="{00000000-0005-0000-0000-00008A150000}"/>
    <cellStyle name="Calculation 7 5 7 2" xfId="26684" xr:uid="{00000000-0005-0000-0000-00008B150000}"/>
    <cellStyle name="Calculation 7 5 8" xfId="9525" xr:uid="{00000000-0005-0000-0000-00008C150000}"/>
    <cellStyle name="Calculation 7 5 8 2" xfId="19827" xr:uid="{00000000-0005-0000-0000-00008D150000}"/>
    <cellStyle name="Calculation 7 6" xfId="1727" xr:uid="{00000000-0005-0000-0000-00008E150000}"/>
    <cellStyle name="Calculation 7 6 2" xfId="3590" xr:uid="{00000000-0005-0000-0000-00008F150000}"/>
    <cellStyle name="Calculation 7 6 2 2" xfId="7652" xr:uid="{00000000-0005-0000-0000-000090150000}"/>
    <cellStyle name="Calculation 7 6 2 2 2" xfId="23568" xr:uid="{00000000-0005-0000-0000-000091150000}"/>
    <cellStyle name="Calculation 7 6 2 3" xfId="13926" xr:uid="{00000000-0005-0000-0000-000092150000}"/>
    <cellStyle name="Calculation 7 6 2 3 2" xfId="28758" xr:uid="{00000000-0005-0000-0000-000093150000}"/>
    <cellStyle name="Calculation 7 6 2 4" xfId="21237" xr:uid="{00000000-0005-0000-0000-000094150000}"/>
    <cellStyle name="Calculation 7 6 3" xfId="4720" xr:uid="{00000000-0005-0000-0000-000095150000}"/>
    <cellStyle name="Calculation 7 6 3 2" xfId="8759" xr:uid="{00000000-0005-0000-0000-000096150000}"/>
    <cellStyle name="Calculation 7 6 3 2 2" xfId="24289" xr:uid="{00000000-0005-0000-0000-000097150000}"/>
    <cellStyle name="Calculation 7 6 3 3" xfId="15044" xr:uid="{00000000-0005-0000-0000-000098150000}"/>
    <cellStyle name="Calculation 7 6 3 3 2" xfId="29876" xr:uid="{00000000-0005-0000-0000-000099150000}"/>
    <cellStyle name="Calculation 7 6 3 4" xfId="21827" xr:uid="{00000000-0005-0000-0000-00009A150000}"/>
    <cellStyle name="Calculation 7 6 4" xfId="2710" xr:uid="{00000000-0005-0000-0000-00009B150000}"/>
    <cellStyle name="Calculation 7 6 4 2" xfId="6801" xr:uid="{00000000-0005-0000-0000-00009C150000}"/>
    <cellStyle name="Calculation 7 6 4 2 2" xfId="23040" xr:uid="{00000000-0005-0000-0000-00009D150000}"/>
    <cellStyle name="Calculation 7 6 4 3" xfId="13048" xr:uid="{00000000-0005-0000-0000-00009E150000}"/>
    <cellStyle name="Calculation 7 6 4 3 2" xfId="27880" xr:uid="{00000000-0005-0000-0000-00009F150000}"/>
    <cellStyle name="Calculation 7 6 4 4" xfId="20700" xr:uid="{00000000-0005-0000-0000-0000A0150000}"/>
    <cellStyle name="Calculation 7 6 5" xfId="5859" xr:uid="{00000000-0005-0000-0000-0000A1150000}"/>
    <cellStyle name="Calculation 7 6 5 2" xfId="16051" xr:uid="{00000000-0005-0000-0000-0000A2150000}"/>
    <cellStyle name="Calculation 7 6 5 2 2" xfId="30883" xr:uid="{00000000-0005-0000-0000-0000A3150000}"/>
    <cellStyle name="Calculation 7 6 5 3" xfId="22456" xr:uid="{00000000-0005-0000-0000-0000A4150000}"/>
    <cellStyle name="Calculation 7 6 6" xfId="12121" xr:uid="{00000000-0005-0000-0000-0000A5150000}"/>
    <cellStyle name="Calculation 7 6 6 2" xfId="26953" xr:uid="{00000000-0005-0000-0000-0000A6150000}"/>
    <cellStyle name="Calculation 7 6 7" xfId="9732" xr:uid="{00000000-0005-0000-0000-0000A7150000}"/>
    <cellStyle name="Calculation 7 6 7 2" xfId="20030" xr:uid="{00000000-0005-0000-0000-0000A8150000}"/>
    <cellStyle name="Calculation 7 7" xfId="2224" xr:uid="{00000000-0005-0000-0000-0000A9150000}"/>
    <cellStyle name="Calculation 7 7 2" xfId="3578" xr:uid="{00000000-0005-0000-0000-0000AA150000}"/>
    <cellStyle name="Calculation 7 7 2 2" xfId="7640" xr:uid="{00000000-0005-0000-0000-0000AB150000}"/>
    <cellStyle name="Calculation 7 7 2 2 2" xfId="23562" xr:uid="{00000000-0005-0000-0000-0000AC150000}"/>
    <cellStyle name="Calculation 7 7 2 3" xfId="13914" xr:uid="{00000000-0005-0000-0000-0000AD150000}"/>
    <cellStyle name="Calculation 7 7 2 3 2" xfId="28746" xr:uid="{00000000-0005-0000-0000-0000AE150000}"/>
    <cellStyle name="Calculation 7 7 2 4" xfId="21231" xr:uid="{00000000-0005-0000-0000-0000AF150000}"/>
    <cellStyle name="Calculation 7 7 3" xfId="5192" xr:uid="{00000000-0005-0000-0000-0000B0150000}"/>
    <cellStyle name="Calculation 7 7 3 2" xfId="9231" xr:uid="{00000000-0005-0000-0000-0000B1150000}"/>
    <cellStyle name="Calculation 7 7 3 2 2" xfId="24569" xr:uid="{00000000-0005-0000-0000-0000B2150000}"/>
    <cellStyle name="Calculation 7 7 3 3" xfId="15510" xr:uid="{00000000-0005-0000-0000-0000B3150000}"/>
    <cellStyle name="Calculation 7 7 3 3 2" xfId="30342" xr:uid="{00000000-0005-0000-0000-0000B4150000}"/>
    <cellStyle name="Calculation 7 7 3 4" xfId="22076" xr:uid="{00000000-0005-0000-0000-0000B5150000}"/>
    <cellStyle name="Calculation 7 7 4" xfId="4222" xr:uid="{00000000-0005-0000-0000-0000B6150000}"/>
    <cellStyle name="Calculation 7 7 4 2" xfId="8263" xr:uid="{00000000-0005-0000-0000-0000B7150000}"/>
    <cellStyle name="Calculation 7 7 4 2 2" xfId="23958" xr:uid="{00000000-0005-0000-0000-0000B8150000}"/>
    <cellStyle name="Calculation 7 7 4 3" xfId="14554" xr:uid="{00000000-0005-0000-0000-0000B9150000}"/>
    <cellStyle name="Calculation 7 7 4 3 2" xfId="29386" xr:uid="{00000000-0005-0000-0000-0000BA150000}"/>
    <cellStyle name="Calculation 7 7 4 4" xfId="21583" xr:uid="{00000000-0005-0000-0000-0000BB150000}"/>
    <cellStyle name="Calculation 7 7 5" xfId="6338" xr:uid="{00000000-0005-0000-0000-0000BC150000}"/>
    <cellStyle name="Calculation 7 7 5 2" xfId="22740" xr:uid="{00000000-0005-0000-0000-0000BD150000}"/>
    <cellStyle name="Calculation 7 7 6" xfId="12592" xr:uid="{00000000-0005-0000-0000-0000BE150000}"/>
    <cellStyle name="Calculation 7 7 6 2" xfId="27424" xr:uid="{00000000-0005-0000-0000-0000BF150000}"/>
    <cellStyle name="Calculation 7 7 7" xfId="20419" xr:uid="{00000000-0005-0000-0000-0000C0150000}"/>
    <cellStyle name="Calculation 7 8" xfId="4129" xr:uid="{00000000-0005-0000-0000-0000C1150000}"/>
    <cellStyle name="Calculation 7 8 2" xfId="8173" xr:uid="{00000000-0005-0000-0000-0000C2150000}"/>
    <cellStyle name="Calculation 7 8 2 2" xfId="23907" xr:uid="{00000000-0005-0000-0000-0000C3150000}"/>
    <cellStyle name="Calculation 7 8 3" xfId="14461" xr:uid="{00000000-0005-0000-0000-0000C4150000}"/>
    <cellStyle name="Calculation 7 8 3 2" xfId="29293" xr:uid="{00000000-0005-0000-0000-0000C5150000}"/>
    <cellStyle name="Calculation 7 8 4" xfId="21534" xr:uid="{00000000-0005-0000-0000-0000C6150000}"/>
    <cellStyle name="Calculation 7 9" xfId="3307" xr:uid="{00000000-0005-0000-0000-0000C7150000}"/>
    <cellStyle name="Calculation 7 9 2" xfId="7371" xr:uid="{00000000-0005-0000-0000-0000C8150000}"/>
    <cellStyle name="Calculation 7 9 2 2" xfId="23390" xr:uid="{00000000-0005-0000-0000-0000C9150000}"/>
    <cellStyle name="Calculation 7 9 3" xfId="13644" xr:uid="{00000000-0005-0000-0000-0000CA150000}"/>
    <cellStyle name="Calculation 7 9 3 2" xfId="28476" xr:uid="{00000000-0005-0000-0000-0000CB150000}"/>
    <cellStyle name="Calculation 7 9 4" xfId="21077" xr:uid="{00000000-0005-0000-0000-0000CC150000}"/>
    <cellStyle name="Calculation 8" xfId="975" xr:uid="{00000000-0005-0000-0000-0000CD150000}"/>
    <cellStyle name="Calculation 8 10" xfId="2281" xr:uid="{00000000-0005-0000-0000-0000CE150000}"/>
    <cellStyle name="Calculation 8 10 2" xfId="6393" xr:uid="{00000000-0005-0000-0000-0000CF150000}"/>
    <cellStyle name="Calculation 8 10 2 2" xfId="22795" xr:uid="{00000000-0005-0000-0000-0000D0150000}"/>
    <cellStyle name="Calculation 8 10 3" xfId="12621" xr:uid="{00000000-0005-0000-0000-0000D1150000}"/>
    <cellStyle name="Calculation 8 10 3 2" xfId="27453" xr:uid="{00000000-0005-0000-0000-0000D2150000}"/>
    <cellStyle name="Calculation 8 10 4" xfId="20447" xr:uid="{00000000-0005-0000-0000-0000D3150000}"/>
    <cellStyle name="Calculation 8 11" xfId="5247" xr:uid="{00000000-0005-0000-0000-0000D4150000}"/>
    <cellStyle name="Calculation 8 11 2" xfId="15563" xr:uid="{00000000-0005-0000-0000-0000D5150000}"/>
    <cellStyle name="Calculation 8 11 2 2" xfId="30395" xr:uid="{00000000-0005-0000-0000-0000D6150000}"/>
    <cellStyle name="Calculation 8 11 3" xfId="22104" xr:uid="{00000000-0005-0000-0000-0000D7150000}"/>
    <cellStyle name="Calculation 8 12" xfId="5405" xr:uid="{00000000-0005-0000-0000-0000D8150000}"/>
    <cellStyle name="Calculation 8 12 2" xfId="15641" xr:uid="{00000000-0005-0000-0000-0000D9150000}"/>
    <cellStyle name="Calculation 8 12 2 2" xfId="30473" xr:uid="{00000000-0005-0000-0000-0000DA150000}"/>
    <cellStyle name="Calculation 8 12 3" xfId="22166" xr:uid="{00000000-0005-0000-0000-0000DB150000}"/>
    <cellStyle name="Calculation 8 13" xfId="9386" xr:uid="{00000000-0005-0000-0000-0000DC150000}"/>
    <cellStyle name="Calculation 8 13 2" xfId="24692" xr:uid="{00000000-0005-0000-0000-0000DD150000}"/>
    <cellStyle name="Calculation 8 14" xfId="6180" xr:uid="{00000000-0005-0000-0000-0000DE150000}"/>
    <cellStyle name="Calculation 8 14 2" xfId="18510" xr:uid="{00000000-0005-0000-0000-0000DF150000}"/>
    <cellStyle name="Calculation 8 2" xfId="1317" xr:uid="{00000000-0005-0000-0000-0000E0150000}"/>
    <cellStyle name="Calculation 8 2 2" xfId="1821" xr:uid="{00000000-0005-0000-0000-0000E1150000}"/>
    <cellStyle name="Calculation 8 2 2 2" xfId="3963" xr:uid="{00000000-0005-0000-0000-0000E2150000}"/>
    <cellStyle name="Calculation 8 2 2 2 2" xfId="8013" xr:uid="{00000000-0005-0000-0000-0000E3150000}"/>
    <cellStyle name="Calculation 8 2 2 2 2 2" xfId="23806" xr:uid="{00000000-0005-0000-0000-0000E4150000}"/>
    <cellStyle name="Calculation 8 2 2 2 3" xfId="14296" xr:uid="{00000000-0005-0000-0000-0000E5150000}"/>
    <cellStyle name="Calculation 8 2 2 2 3 2" xfId="29128" xr:uid="{00000000-0005-0000-0000-0000E6150000}"/>
    <cellStyle name="Calculation 8 2 2 2 4" xfId="21448" xr:uid="{00000000-0005-0000-0000-0000E7150000}"/>
    <cellStyle name="Calculation 8 2 2 3" xfId="4799" xr:uid="{00000000-0005-0000-0000-0000E8150000}"/>
    <cellStyle name="Calculation 8 2 2 3 2" xfId="8838" xr:uid="{00000000-0005-0000-0000-0000E9150000}"/>
    <cellStyle name="Calculation 8 2 2 3 2 2" xfId="24336" xr:uid="{00000000-0005-0000-0000-0000EA150000}"/>
    <cellStyle name="Calculation 8 2 2 3 3" xfId="15123" xr:uid="{00000000-0005-0000-0000-0000EB150000}"/>
    <cellStyle name="Calculation 8 2 2 3 3 2" xfId="29955" xr:uid="{00000000-0005-0000-0000-0000EC150000}"/>
    <cellStyle name="Calculation 8 2 2 3 4" xfId="21874" xr:uid="{00000000-0005-0000-0000-0000ED150000}"/>
    <cellStyle name="Calculation 8 2 2 4" xfId="2789" xr:uid="{00000000-0005-0000-0000-0000EE150000}"/>
    <cellStyle name="Calculation 8 2 2 4 2" xfId="6880" xr:uid="{00000000-0005-0000-0000-0000EF150000}"/>
    <cellStyle name="Calculation 8 2 2 4 2 2" xfId="23087" xr:uid="{00000000-0005-0000-0000-0000F0150000}"/>
    <cellStyle name="Calculation 8 2 2 4 3" xfId="13127" xr:uid="{00000000-0005-0000-0000-0000F1150000}"/>
    <cellStyle name="Calculation 8 2 2 4 3 2" xfId="27959" xr:uid="{00000000-0005-0000-0000-0000F2150000}"/>
    <cellStyle name="Calculation 8 2 2 4 4" xfId="20747" xr:uid="{00000000-0005-0000-0000-0000F3150000}"/>
    <cellStyle name="Calculation 8 2 2 5" xfId="5953" xr:uid="{00000000-0005-0000-0000-0000F4150000}"/>
    <cellStyle name="Calculation 8 2 2 5 2" xfId="16145" xr:uid="{00000000-0005-0000-0000-0000F5150000}"/>
    <cellStyle name="Calculation 8 2 2 5 2 2" xfId="30977" xr:uid="{00000000-0005-0000-0000-0000F6150000}"/>
    <cellStyle name="Calculation 8 2 2 5 3" xfId="22518" xr:uid="{00000000-0005-0000-0000-0000F7150000}"/>
    <cellStyle name="Calculation 8 2 2 6" xfId="12215" xr:uid="{00000000-0005-0000-0000-0000F8150000}"/>
    <cellStyle name="Calculation 8 2 2 6 2" xfId="27047" xr:uid="{00000000-0005-0000-0000-0000F9150000}"/>
    <cellStyle name="Calculation 8 2 2 7" xfId="9811" xr:uid="{00000000-0005-0000-0000-0000FA150000}"/>
    <cellStyle name="Calculation 8 2 2 7 2" xfId="20062" xr:uid="{00000000-0005-0000-0000-0000FB150000}"/>
    <cellStyle name="Calculation 8 2 3" xfId="4091" xr:uid="{00000000-0005-0000-0000-0000FC150000}"/>
    <cellStyle name="Calculation 8 2 3 2" xfId="8137" xr:uid="{00000000-0005-0000-0000-0000FD150000}"/>
    <cellStyle name="Calculation 8 2 3 2 2" xfId="23885" xr:uid="{00000000-0005-0000-0000-0000FE150000}"/>
    <cellStyle name="Calculation 8 2 3 3" xfId="14423" xr:uid="{00000000-0005-0000-0000-0000FF150000}"/>
    <cellStyle name="Calculation 8 2 3 3 2" xfId="29255" xr:uid="{00000000-0005-0000-0000-000000160000}"/>
    <cellStyle name="Calculation 8 2 3 4" xfId="21515" xr:uid="{00000000-0005-0000-0000-000001160000}"/>
    <cellStyle name="Calculation 8 2 4" xfId="4379" xr:uid="{00000000-0005-0000-0000-000002160000}"/>
    <cellStyle name="Calculation 8 2 4 2" xfId="8418" xr:uid="{00000000-0005-0000-0000-000003160000}"/>
    <cellStyle name="Calculation 8 2 4 2 2" xfId="24076" xr:uid="{00000000-0005-0000-0000-000004160000}"/>
    <cellStyle name="Calculation 8 2 4 3" xfId="14708" xr:uid="{00000000-0005-0000-0000-000005160000}"/>
    <cellStyle name="Calculation 8 2 4 3 2" xfId="29540" xr:uid="{00000000-0005-0000-0000-000006160000}"/>
    <cellStyle name="Calculation 8 2 4 4" xfId="21644" xr:uid="{00000000-0005-0000-0000-000007160000}"/>
    <cellStyle name="Calculation 8 2 5" xfId="2369" xr:uid="{00000000-0005-0000-0000-000008160000}"/>
    <cellStyle name="Calculation 8 2 5 2" xfId="6481" xr:uid="{00000000-0005-0000-0000-000009160000}"/>
    <cellStyle name="Calculation 8 2 5 2 2" xfId="22851" xr:uid="{00000000-0005-0000-0000-00000A160000}"/>
    <cellStyle name="Calculation 8 2 5 3" xfId="12708" xr:uid="{00000000-0005-0000-0000-00000B160000}"/>
    <cellStyle name="Calculation 8 2 5 3 2" xfId="27540" xr:uid="{00000000-0005-0000-0000-00000C160000}"/>
    <cellStyle name="Calculation 8 2 5 4" xfId="20493" xr:uid="{00000000-0005-0000-0000-00000D160000}"/>
    <cellStyle name="Calculation 8 2 6" xfId="5494" xr:uid="{00000000-0005-0000-0000-00000E160000}"/>
    <cellStyle name="Calculation 8 2 6 2" xfId="15729" xr:uid="{00000000-0005-0000-0000-00000F160000}"/>
    <cellStyle name="Calculation 8 2 6 2 2" xfId="30561" xr:uid="{00000000-0005-0000-0000-000010160000}"/>
    <cellStyle name="Calculation 8 2 6 3" xfId="22222" xr:uid="{00000000-0005-0000-0000-000011160000}"/>
    <cellStyle name="Calculation 8 2 7" xfId="11744" xr:uid="{00000000-0005-0000-0000-000012160000}"/>
    <cellStyle name="Calculation 8 2 7 2" xfId="26576" xr:uid="{00000000-0005-0000-0000-000013160000}"/>
    <cellStyle name="Calculation 8 2 8" xfId="9415" xr:uid="{00000000-0005-0000-0000-000014160000}"/>
    <cellStyle name="Calculation 8 2 8 2" xfId="19719" xr:uid="{00000000-0005-0000-0000-000015160000}"/>
    <cellStyle name="Calculation 8 3" xfId="1451" xr:uid="{00000000-0005-0000-0000-000016160000}"/>
    <cellStyle name="Calculation 8 3 2" xfId="1952" xr:uid="{00000000-0005-0000-0000-000017160000}"/>
    <cellStyle name="Calculation 8 3 2 2" xfId="3523" xr:uid="{00000000-0005-0000-0000-000018160000}"/>
    <cellStyle name="Calculation 8 3 2 2 2" xfId="7585" xr:uid="{00000000-0005-0000-0000-000019160000}"/>
    <cellStyle name="Calculation 8 3 2 2 2 2" xfId="23533" xr:uid="{00000000-0005-0000-0000-00001A160000}"/>
    <cellStyle name="Calculation 8 3 2 2 3" xfId="13860" xr:uid="{00000000-0005-0000-0000-00001B160000}"/>
    <cellStyle name="Calculation 8 3 2 2 3 2" xfId="28692" xr:uid="{00000000-0005-0000-0000-00001C160000}"/>
    <cellStyle name="Calculation 8 3 2 2 4" xfId="21208" xr:uid="{00000000-0005-0000-0000-00001D160000}"/>
    <cellStyle name="Calculation 8 3 2 3" xfId="4931" xr:uid="{00000000-0005-0000-0000-00001E160000}"/>
    <cellStyle name="Calculation 8 3 2 3 2" xfId="8970" xr:uid="{00000000-0005-0000-0000-00001F160000}"/>
    <cellStyle name="Calculation 8 3 2 3 2 2" xfId="24436" xr:uid="{00000000-0005-0000-0000-000020160000}"/>
    <cellStyle name="Calculation 8 3 2 3 3" xfId="15253" xr:uid="{00000000-0005-0000-0000-000021160000}"/>
    <cellStyle name="Calculation 8 3 2 3 3 2" xfId="30085" xr:uid="{00000000-0005-0000-0000-000022160000}"/>
    <cellStyle name="Calculation 8 3 2 3 4" xfId="21966" xr:uid="{00000000-0005-0000-0000-000023160000}"/>
    <cellStyle name="Calculation 8 3 2 4" xfId="2921" xr:uid="{00000000-0005-0000-0000-000024160000}"/>
    <cellStyle name="Calculation 8 3 2 4 2" xfId="7005" xr:uid="{00000000-0005-0000-0000-000025160000}"/>
    <cellStyle name="Calculation 8 3 2 4 2 2" xfId="23179" xr:uid="{00000000-0005-0000-0000-000026160000}"/>
    <cellStyle name="Calculation 8 3 2 4 3" xfId="13259" xr:uid="{00000000-0005-0000-0000-000027160000}"/>
    <cellStyle name="Calculation 8 3 2 4 3 2" xfId="28091" xr:uid="{00000000-0005-0000-0000-000028160000}"/>
    <cellStyle name="Calculation 8 3 2 4 4" xfId="20847" xr:uid="{00000000-0005-0000-0000-000029160000}"/>
    <cellStyle name="Calculation 8 3 2 5" xfId="6082" xr:uid="{00000000-0005-0000-0000-00002A160000}"/>
    <cellStyle name="Calculation 8 3 2 5 2" xfId="16269" xr:uid="{00000000-0005-0000-0000-00002B160000}"/>
    <cellStyle name="Calculation 8 3 2 5 2 2" xfId="31101" xr:uid="{00000000-0005-0000-0000-00002C160000}"/>
    <cellStyle name="Calculation 8 3 2 5 3" xfId="22615" xr:uid="{00000000-0005-0000-0000-00002D160000}"/>
    <cellStyle name="Calculation 8 3 2 6" xfId="12339" xr:uid="{00000000-0005-0000-0000-00002E160000}"/>
    <cellStyle name="Calculation 8 3 2 6 2" xfId="27171" xr:uid="{00000000-0005-0000-0000-00002F160000}"/>
    <cellStyle name="Calculation 8 3 2 7" xfId="9936" xr:uid="{00000000-0005-0000-0000-000030160000}"/>
    <cellStyle name="Calculation 8 3 2 7 2" xfId="20138" xr:uid="{00000000-0005-0000-0000-000031160000}"/>
    <cellStyle name="Calculation 8 3 3" xfId="3570" xr:uid="{00000000-0005-0000-0000-000032160000}"/>
    <cellStyle name="Calculation 8 3 3 2" xfId="7632" xr:uid="{00000000-0005-0000-0000-000033160000}"/>
    <cellStyle name="Calculation 8 3 3 2 2" xfId="23558" xr:uid="{00000000-0005-0000-0000-000034160000}"/>
    <cellStyle name="Calculation 8 3 3 3" xfId="13906" xr:uid="{00000000-0005-0000-0000-000035160000}"/>
    <cellStyle name="Calculation 8 3 3 3 2" xfId="28738" xr:uid="{00000000-0005-0000-0000-000036160000}"/>
    <cellStyle name="Calculation 8 3 3 4" xfId="21228" xr:uid="{00000000-0005-0000-0000-000037160000}"/>
    <cellStyle name="Calculation 8 3 4" xfId="4511" xr:uid="{00000000-0005-0000-0000-000038160000}"/>
    <cellStyle name="Calculation 8 3 4 2" xfId="8550" xr:uid="{00000000-0005-0000-0000-000039160000}"/>
    <cellStyle name="Calculation 8 3 4 2 2" xfId="24176" xr:uid="{00000000-0005-0000-0000-00003A160000}"/>
    <cellStyle name="Calculation 8 3 4 3" xfId="14838" xr:uid="{00000000-0005-0000-0000-00003B160000}"/>
    <cellStyle name="Calculation 8 3 4 3 2" xfId="29670" xr:uid="{00000000-0005-0000-0000-00003C160000}"/>
    <cellStyle name="Calculation 8 3 4 4" xfId="21736" xr:uid="{00000000-0005-0000-0000-00003D160000}"/>
    <cellStyle name="Calculation 8 3 5" xfId="2501" xr:uid="{00000000-0005-0000-0000-00003E160000}"/>
    <cellStyle name="Calculation 8 3 5 2" xfId="6607" xr:uid="{00000000-0005-0000-0000-00003F160000}"/>
    <cellStyle name="Calculation 8 3 5 2 2" xfId="22945" xr:uid="{00000000-0005-0000-0000-000040160000}"/>
    <cellStyle name="Calculation 8 3 5 3" xfId="12839" xr:uid="{00000000-0005-0000-0000-000041160000}"/>
    <cellStyle name="Calculation 8 3 5 3 2" xfId="27671" xr:uid="{00000000-0005-0000-0000-000042160000}"/>
    <cellStyle name="Calculation 8 3 5 4" xfId="20591" xr:uid="{00000000-0005-0000-0000-000043160000}"/>
    <cellStyle name="Calculation 8 3 6" xfId="5624" xr:uid="{00000000-0005-0000-0000-000044160000}"/>
    <cellStyle name="Calculation 8 3 6 2" xfId="15859" xr:uid="{00000000-0005-0000-0000-000045160000}"/>
    <cellStyle name="Calculation 8 3 6 2 2" xfId="30691" xr:uid="{00000000-0005-0000-0000-000046160000}"/>
    <cellStyle name="Calculation 8 3 6 3" xfId="22320" xr:uid="{00000000-0005-0000-0000-000047160000}"/>
    <cellStyle name="Calculation 8 3 7" xfId="11868" xr:uid="{00000000-0005-0000-0000-000048160000}"/>
    <cellStyle name="Calculation 8 3 7 2" xfId="26700" xr:uid="{00000000-0005-0000-0000-000049160000}"/>
    <cellStyle name="Calculation 8 3 8" xfId="9541" xr:uid="{00000000-0005-0000-0000-00004A160000}"/>
    <cellStyle name="Calculation 8 3 8 2" xfId="19843" xr:uid="{00000000-0005-0000-0000-00004B160000}"/>
    <cellStyle name="Calculation 8 4" xfId="1406" xr:uid="{00000000-0005-0000-0000-00004C160000}"/>
    <cellStyle name="Calculation 8 4 2" xfId="1908" xr:uid="{00000000-0005-0000-0000-00004D160000}"/>
    <cellStyle name="Calculation 8 4 2 2" xfId="3593" xr:uid="{00000000-0005-0000-0000-00004E160000}"/>
    <cellStyle name="Calculation 8 4 2 2 2" xfId="7655" xr:uid="{00000000-0005-0000-0000-00004F160000}"/>
    <cellStyle name="Calculation 8 4 2 2 2 2" xfId="23571" xr:uid="{00000000-0005-0000-0000-000050160000}"/>
    <cellStyle name="Calculation 8 4 2 2 3" xfId="13929" xr:uid="{00000000-0005-0000-0000-000051160000}"/>
    <cellStyle name="Calculation 8 4 2 2 3 2" xfId="28761" xr:uid="{00000000-0005-0000-0000-000052160000}"/>
    <cellStyle name="Calculation 8 4 2 2 4" xfId="21240" xr:uid="{00000000-0005-0000-0000-000053160000}"/>
    <cellStyle name="Calculation 8 4 2 3" xfId="4886" xr:uid="{00000000-0005-0000-0000-000054160000}"/>
    <cellStyle name="Calculation 8 4 2 3 2" xfId="8925" xr:uid="{00000000-0005-0000-0000-000055160000}"/>
    <cellStyle name="Calculation 8 4 2 3 2 2" xfId="24391" xr:uid="{00000000-0005-0000-0000-000056160000}"/>
    <cellStyle name="Calculation 8 4 2 3 3" xfId="15209" xr:uid="{00000000-0005-0000-0000-000057160000}"/>
    <cellStyle name="Calculation 8 4 2 3 3 2" xfId="30041" xr:uid="{00000000-0005-0000-0000-000058160000}"/>
    <cellStyle name="Calculation 8 4 2 3 4" xfId="21923" xr:uid="{00000000-0005-0000-0000-000059160000}"/>
    <cellStyle name="Calculation 8 4 2 4" xfId="2876" xr:uid="{00000000-0005-0000-0000-00005A160000}"/>
    <cellStyle name="Calculation 8 4 2 4 2" xfId="6961" xr:uid="{00000000-0005-0000-0000-00005B160000}"/>
    <cellStyle name="Calculation 8 4 2 4 2 2" xfId="23136" xr:uid="{00000000-0005-0000-0000-00005C160000}"/>
    <cellStyle name="Calculation 8 4 2 4 3" xfId="13214" xr:uid="{00000000-0005-0000-0000-00005D160000}"/>
    <cellStyle name="Calculation 8 4 2 4 3 2" xfId="28046" xr:uid="{00000000-0005-0000-0000-00005E160000}"/>
    <cellStyle name="Calculation 8 4 2 4 4" xfId="20802" xr:uid="{00000000-0005-0000-0000-00005F160000}"/>
    <cellStyle name="Calculation 8 4 2 5" xfId="6039" xr:uid="{00000000-0005-0000-0000-000060160000}"/>
    <cellStyle name="Calculation 8 4 2 5 2" xfId="16226" xr:uid="{00000000-0005-0000-0000-000061160000}"/>
    <cellStyle name="Calculation 8 4 2 5 2 2" xfId="31058" xr:uid="{00000000-0005-0000-0000-000062160000}"/>
    <cellStyle name="Calculation 8 4 2 5 3" xfId="22572" xr:uid="{00000000-0005-0000-0000-000063160000}"/>
    <cellStyle name="Calculation 8 4 2 6" xfId="12296" xr:uid="{00000000-0005-0000-0000-000064160000}"/>
    <cellStyle name="Calculation 8 4 2 6 2" xfId="27128" xr:uid="{00000000-0005-0000-0000-000065160000}"/>
    <cellStyle name="Calculation 8 4 2 7" xfId="9892" xr:uid="{00000000-0005-0000-0000-000066160000}"/>
    <cellStyle name="Calculation 8 4 2 7 2" xfId="20095" xr:uid="{00000000-0005-0000-0000-000067160000}"/>
    <cellStyle name="Calculation 8 4 3" xfId="3982" xr:uid="{00000000-0005-0000-0000-000068160000}"/>
    <cellStyle name="Calculation 8 4 3 2" xfId="8031" xr:uid="{00000000-0005-0000-0000-000069160000}"/>
    <cellStyle name="Calculation 8 4 3 2 2" xfId="23821" xr:uid="{00000000-0005-0000-0000-00006A160000}"/>
    <cellStyle name="Calculation 8 4 3 3" xfId="14315" xr:uid="{00000000-0005-0000-0000-00006B160000}"/>
    <cellStyle name="Calculation 8 4 3 3 2" xfId="29147" xr:uid="{00000000-0005-0000-0000-00006C160000}"/>
    <cellStyle name="Calculation 8 4 3 4" xfId="21459" xr:uid="{00000000-0005-0000-0000-00006D160000}"/>
    <cellStyle name="Calculation 8 4 4" xfId="4466" xr:uid="{00000000-0005-0000-0000-00006E160000}"/>
    <cellStyle name="Calculation 8 4 4 2" xfId="8505" xr:uid="{00000000-0005-0000-0000-00006F160000}"/>
    <cellStyle name="Calculation 8 4 4 2 2" xfId="24131" xr:uid="{00000000-0005-0000-0000-000070160000}"/>
    <cellStyle name="Calculation 8 4 4 3" xfId="14794" xr:uid="{00000000-0005-0000-0000-000071160000}"/>
    <cellStyle name="Calculation 8 4 4 3 2" xfId="29626" xr:uid="{00000000-0005-0000-0000-000072160000}"/>
    <cellStyle name="Calculation 8 4 4 4" xfId="21693" xr:uid="{00000000-0005-0000-0000-000073160000}"/>
    <cellStyle name="Calculation 8 4 5" xfId="2456" xr:uid="{00000000-0005-0000-0000-000074160000}"/>
    <cellStyle name="Calculation 8 4 5 2" xfId="6562" xr:uid="{00000000-0005-0000-0000-000075160000}"/>
    <cellStyle name="Calculation 8 4 5 2 2" xfId="22900" xr:uid="{00000000-0005-0000-0000-000076160000}"/>
    <cellStyle name="Calculation 8 4 5 3" xfId="12795" xr:uid="{00000000-0005-0000-0000-000077160000}"/>
    <cellStyle name="Calculation 8 4 5 3 2" xfId="27627" xr:uid="{00000000-0005-0000-0000-000078160000}"/>
    <cellStyle name="Calculation 8 4 5 4" xfId="20548" xr:uid="{00000000-0005-0000-0000-000079160000}"/>
    <cellStyle name="Calculation 8 4 6" xfId="5580" xr:uid="{00000000-0005-0000-0000-00007A160000}"/>
    <cellStyle name="Calculation 8 4 6 2" xfId="15815" xr:uid="{00000000-0005-0000-0000-00007B160000}"/>
    <cellStyle name="Calculation 8 4 6 2 2" xfId="30647" xr:uid="{00000000-0005-0000-0000-00007C160000}"/>
    <cellStyle name="Calculation 8 4 6 3" xfId="22276" xr:uid="{00000000-0005-0000-0000-00007D160000}"/>
    <cellStyle name="Calculation 8 4 7" xfId="11825" xr:uid="{00000000-0005-0000-0000-00007E160000}"/>
    <cellStyle name="Calculation 8 4 7 2" xfId="26657" xr:uid="{00000000-0005-0000-0000-00007F160000}"/>
    <cellStyle name="Calculation 8 4 8" xfId="9497" xr:uid="{00000000-0005-0000-0000-000080160000}"/>
    <cellStyle name="Calculation 8 4 8 2" xfId="19800" xr:uid="{00000000-0005-0000-0000-000081160000}"/>
    <cellStyle name="Calculation 8 5" xfId="1436" xr:uid="{00000000-0005-0000-0000-000082160000}"/>
    <cellStyle name="Calculation 8 5 2" xfId="1937" xr:uid="{00000000-0005-0000-0000-000083160000}"/>
    <cellStyle name="Calculation 8 5 2 2" xfId="3680" xr:uid="{00000000-0005-0000-0000-000084160000}"/>
    <cellStyle name="Calculation 8 5 2 2 2" xfId="7738" xr:uid="{00000000-0005-0000-0000-000085160000}"/>
    <cellStyle name="Calculation 8 5 2 2 2 2" xfId="23628" xr:uid="{00000000-0005-0000-0000-000086160000}"/>
    <cellStyle name="Calculation 8 5 2 2 3" xfId="14015" xr:uid="{00000000-0005-0000-0000-000087160000}"/>
    <cellStyle name="Calculation 8 5 2 2 3 2" xfId="28847" xr:uid="{00000000-0005-0000-0000-000088160000}"/>
    <cellStyle name="Calculation 8 5 2 2 4" xfId="21288" xr:uid="{00000000-0005-0000-0000-000089160000}"/>
    <cellStyle name="Calculation 8 5 2 3" xfId="4916" xr:uid="{00000000-0005-0000-0000-00008A160000}"/>
    <cellStyle name="Calculation 8 5 2 3 2" xfId="8955" xr:uid="{00000000-0005-0000-0000-00008B160000}"/>
    <cellStyle name="Calculation 8 5 2 3 2 2" xfId="24421" xr:uid="{00000000-0005-0000-0000-00008C160000}"/>
    <cellStyle name="Calculation 8 5 2 3 3" xfId="15238" xr:uid="{00000000-0005-0000-0000-00008D160000}"/>
    <cellStyle name="Calculation 8 5 2 3 3 2" xfId="30070" xr:uid="{00000000-0005-0000-0000-00008E160000}"/>
    <cellStyle name="Calculation 8 5 2 3 4" xfId="21951" xr:uid="{00000000-0005-0000-0000-00008F160000}"/>
    <cellStyle name="Calculation 8 5 2 4" xfId="2906" xr:uid="{00000000-0005-0000-0000-000090160000}"/>
    <cellStyle name="Calculation 8 5 2 4 2" xfId="6990" xr:uid="{00000000-0005-0000-0000-000091160000}"/>
    <cellStyle name="Calculation 8 5 2 4 2 2" xfId="23164" xr:uid="{00000000-0005-0000-0000-000092160000}"/>
    <cellStyle name="Calculation 8 5 2 4 3" xfId="13244" xr:uid="{00000000-0005-0000-0000-000093160000}"/>
    <cellStyle name="Calculation 8 5 2 4 3 2" xfId="28076" xr:uid="{00000000-0005-0000-0000-000094160000}"/>
    <cellStyle name="Calculation 8 5 2 4 4" xfId="20832" xr:uid="{00000000-0005-0000-0000-000095160000}"/>
    <cellStyle name="Calculation 8 5 2 5" xfId="6067" xr:uid="{00000000-0005-0000-0000-000096160000}"/>
    <cellStyle name="Calculation 8 5 2 5 2" xfId="16254" xr:uid="{00000000-0005-0000-0000-000097160000}"/>
    <cellStyle name="Calculation 8 5 2 5 2 2" xfId="31086" xr:uid="{00000000-0005-0000-0000-000098160000}"/>
    <cellStyle name="Calculation 8 5 2 5 3" xfId="22600" xr:uid="{00000000-0005-0000-0000-000099160000}"/>
    <cellStyle name="Calculation 8 5 2 6" xfId="12324" xr:uid="{00000000-0005-0000-0000-00009A160000}"/>
    <cellStyle name="Calculation 8 5 2 6 2" xfId="27156" xr:uid="{00000000-0005-0000-0000-00009B160000}"/>
    <cellStyle name="Calculation 8 5 2 7" xfId="9921" xr:uid="{00000000-0005-0000-0000-00009C160000}"/>
    <cellStyle name="Calculation 8 5 2 7 2" xfId="20123" xr:uid="{00000000-0005-0000-0000-00009D160000}"/>
    <cellStyle name="Calculation 8 5 3" xfId="3753" xr:uid="{00000000-0005-0000-0000-00009E160000}"/>
    <cellStyle name="Calculation 8 5 3 2" xfId="7809" xr:uid="{00000000-0005-0000-0000-00009F160000}"/>
    <cellStyle name="Calculation 8 5 3 2 2" xfId="23678" xr:uid="{00000000-0005-0000-0000-0000A0160000}"/>
    <cellStyle name="Calculation 8 5 3 3" xfId="14088" xr:uid="{00000000-0005-0000-0000-0000A1160000}"/>
    <cellStyle name="Calculation 8 5 3 3 2" xfId="28920" xr:uid="{00000000-0005-0000-0000-0000A2160000}"/>
    <cellStyle name="Calculation 8 5 3 4" xfId="21334" xr:uid="{00000000-0005-0000-0000-0000A3160000}"/>
    <cellStyle name="Calculation 8 5 4" xfId="4496" xr:uid="{00000000-0005-0000-0000-0000A4160000}"/>
    <cellStyle name="Calculation 8 5 4 2" xfId="8535" xr:uid="{00000000-0005-0000-0000-0000A5160000}"/>
    <cellStyle name="Calculation 8 5 4 2 2" xfId="24161" xr:uid="{00000000-0005-0000-0000-0000A6160000}"/>
    <cellStyle name="Calculation 8 5 4 3" xfId="14823" xr:uid="{00000000-0005-0000-0000-0000A7160000}"/>
    <cellStyle name="Calculation 8 5 4 3 2" xfId="29655" xr:uid="{00000000-0005-0000-0000-0000A8160000}"/>
    <cellStyle name="Calculation 8 5 4 4" xfId="21721" xr:uid="{00000000-0005-0000-0000-0000A9160000}"/>
    <cellStyle name="Calculation 8 5 5" xfId="2486" xr:uid="{00000000-0005-0000-0000-0000AA160000}"/>
    <cellStyle name="Calculation 8 5 5 2" xfId="6592" xr:uid="{00000000-0005-0000-0000-0000AB160000}"/>
    <cellStyle name="Calculation 8 5 5 2 2" xfId="22930" xr:uid="{00000000-0005-0000-0000-0000AC160000}"/>
    <cellStyle name="Calculation 8 5 5 3" xfId="12824" xr:uid="{00000000-0005-0000-0000-0000AD160000}"/>
    <cellStyle name="Calculation 8 5 5 3 2" xfId="27656" xr:uid="{00000000-0005-0000-0000-0000AE160000}"/>
    <cellStyle name="Calculation 8 5 5 4" xfId="20576" xr:uid="{00000000-0005-0000-0000-0000AF160000}"/>
    <cellStyle name="Calculation 8 5 6" xfId="5609" xr:uid="{00000000-0005-0000-0000-0000B0160000}"/>
    <cellStyle name="Calculation 8 5 6 2" xfId="15844" xr:uid="{00000000-0005-0000-0000-0000B1160000}"/>
    <cellStyle name="Calculation 8 5 6 2 2" xfId="30676" xr:uid="{00000000-0005-0000-0000-0000B2160000}"/>
    <cellStyle name="Calculation 8 5 6 3" xfId="22305" xr:uid="{00000000-0005-0000-0000-0000B3160000}"/>
    <cellStyle name="Calculation 8 5 7" xfId="11853" xr:uid="{00000000-0005-0000-0000-0000B4160000}"/>
    <cellStyle name="Calculation 8 5 7 2" xfId="26685" xr:uid="{00000000-0005-0000-0000-0000B5160000}"/>
    <cellStyle name="Calculation 8 5 8" xfId="9526" xr:uid="{00000000-0005-0000-0000-0000B6160000}"/>
    <cellStyle name="Calculation 8 5 8 2" xfId="19828" xr:uid="{00000000-0005-0000-0000-0000B7160000}"/>
    <cellStyle name="Calculation 8 6" xfId="1728" xr:uid="{00000000-0005-0000-0000-0000B8160000}"/>
    <cellStyle name="Calculation 8 6 2" xfId="3508" xr:uid="{00000000-0005-0000-0000-0000B9160000}"/>
    <cellStyle name="Calculation 8 6 2 2" xfId="7570" xr:uid="{00000000-0005-0000-0000-0000BA160000}"/>
    <cellStyle name="Calculation 8 6 2 2 2" xfId="23522" xr:uid="{00000000-0005-0000-0000-0000BB160000}"/>
    <cellStyle name="Calculation 8 6 2 3" xfId="13845" xr:uid="{00000000-0005-0000-0000-0000BC160000}"/>
    <cellStyle name="Calculation 8 6 2 3 2" xfId="28677" xr:uid="{00000000-0005-0000-0000-0000BD160000}"/>
    <cellStyle name="Calculation 8 6 2 4" xfId="21197" xr:uid="{00000000-0005-0000-0000-0000BE160000}"/>
    <cellStyle name="Calculation 8 6 3" xfId="4721" xr:uid="{00000000-0005-0000-0000-0000BF160000}"/>
    <cellStyle name="Calculation 8 6 3 2" xfId="8760" xr:uid="{00000000-0005-0000-0000-0000C0160000}"/>
    <cellStyle name="Calculation 8 6 3 2 2" xfId="24290" xr:uid="{00000000-0005-0000-0000-0000C1160000}"/>
    <cellStyle name="Calculation 8 6 3 3" xfId="15045" xr:uid="{00000000-0005-0000-0000-0000C2160000}"/>
    <cellStyle name="Calculation 8 6 3 3 2" xfId="29877" xr:uid="{00000000-0005-0000-0000-0000C3160000}"/>
    <cellStyle name="Calculation 8 6 3 4" xfId="21828" xr:uid="{00000000-0005-0000-0000-0000C4160000}"/>
    <cellStyle name="Calculation 8 6 4" xfId="2711" xr:uid="{00000000-0005-0000-0000-0000C5160000}"/>
    <cellStyle name="Calculation 8 6 4 2" xfId="6802" xr:uid="{00000000-0005-0000-0000-0000C6160000}"/>
    <cellStyle name="Calculation 8 6 4 2 2" xfId="23041" xr:uid="{00000000-0005-0000-0000-0000C7160000}"/>
    <cellStyle name="Calculation 8 6 4 3" xfId="13049" xr:uid="{00000000-0005-0000-0000-0000C8160000}"/>
    <cellStyle name="Calculation 8 6 4 3 2" xfId="27881" xr:uid="{00000000-0005-0000-0000-0000C9160000}"/>
    <cellStyle name="Calculation 8 6 4 4" xfId="20701" xr:uid="{00000000-0005-0000-0000-0000CA160000}"/>
    <cellStyle name="Calculation 8 6 5" xfId="5860" xr:uid="{00000000-0005-0000-0000-0000CB160000}"/>
    <cellStyle name="Calculation 8 6 5 2" xfId="16052" xr:uid="{00000000-0005-0000-0000-0000CC160000}"/>
    <cellStyle name="Calculation 8 6 5 2 2" xfId="30884" xr:uid="{00000000-0005-0000-0000-0000CD160000}"/>
    <cellStyle name="Calculation 8 6 5 3" xfId="22457" xr:uid="{00000000-0005-0000-0000-0000CE160000}"/>
    <cellStyle name="Calculation 8 6 6" xfId="12122" xr:uid="{00000000-0005-0000-0000-0000CF160000}"/>
    <cellStyle name="Calculation 8 6 6 2" xfId="26954" xr:uid="{00000000-0005-0000-0000-0000D0160000}"/>
    <cellStyle name="Calculation 8 6 7" xfId="9733" xr:uid="{00000000-0005-0000-0000-0000D1160000}"/>
    <cellStyle name="Calculation 8 6 7 2" xfId="20031" xr:uid="{00000000-0005-0000-0000-0000D2160000}"/>
    <cellStyle name="Calculation 8 7" xfId="2223" xr:uid="{00000000-0005-0000-0000-0000D3160000}"/>
    <cellStyle name="Calculation 8 7 2" xfId="3476" xr:uid="{00000000-0005-0000-0000-0000D4160000}"/>
    <cellStyle name="Calculation 8 7 2 2" xfId="7538" xr:uid="{00000000-0005-0000-0000-0000D5160000}"/>
    <cellStyle name="Calculation 8 7 2 2 2" xfId="23504" xr:uid="{00000000-0005-0000-0000-0000D6160000}"/>
    <cellStyle name="Calculation 8 7 2 3" xfId="13813" xr:uid="{00000000-0005-0000-0000-0000D7160000}"/>
    <cellStyle name="Calculation 8 7 2 3 2" xfId="28645" xr:uid="{00000000-0005-0000-0000-0000D8160000}"/>
    <cellStyle name="Calculation 8 7 2 4" xfId="21180" xr:uid="{00000000-0005-0000-0000-0000D9160000}"/>
    <cellStyle name="Calculation 8 7 3" xfId="5191" xr:uid="{00000000-0005-0000-0000-0000DA160000}"/>
    <cellStyle name="Calculation 8 7 3 2" xfId="9230" xr:uid="{00000000-0005-0000-0000-0000DB160000}"/>
    <cellStyle name="Calculation 8 7 3 2 2" xfId="24568" xr:uid="{00000000-0005-0000-0000-0000DC160000}"/>
    <cellStyle name="Calculation 8 7 3 3" xfId="15509" xr:uid="{00000000-0005-0000-0000-0000DD160000}"/>
    <cellStyle name="Calculation 8 7 3 3 2" xfId="30341" xr:uid="{00000000-0005-0000-0000-0000DE160000}"/>
    <cellStyle name="Calculation 8 7 3 4" xfId="22075" xr:uid="{00000000-0005-0000-0000-0000DF160000}"/>
    <cellStyle name="Calculation 8 7 4" xfId="4221" xr:uid="{00000000-0005-0000-0000-0000E0160000}"/>
    <cellStyle name="Calculation 8 7 4 2" xfId="8262" xr:uid="{00000000-0005-0000-0000-0000E1160000}"/>
    <cellStyle name="Calculation 8 7 4 2 2" xfId="23957" xr:uid="{00000000-0005-0000-0000-0000E2160000}"/>
    <cellStyle name="Calculation 8 7 4 3" xfId="14553" xr:uid="{00000000-0005-0000-0000-0000E3160000}"/>
    <cellStyle name="Calculation 8 7 4 3 2" xfId="29385" xr:uid="{00000000-0005-0000-0000-0000E4160000}"/>
    <cellStyle name="Calculation 8 7 4 4" xfId="21582" xr:uid="{00000000-0005-0000-0000-0000E5160000}"/>
    <cellStyle name="Calculation 8 7 5" xfId="6337" xr:uid="{00000000-0005-0000-0000-0000E6160000}"/>
    <cellStyle name="Calculation 8 7 5 2" xfId="22739" xr:uid="{00000000-0005-0000-0000-0000E7160000}"/>
    <cellStyle name="Calculation 8 7 6" xfId="12591" xr:uid="{00000000-0005-0000-0000-0000E8160000}"/>
    <cellStyle name="Calculation 8 7 6 2" xfId="27423" xr:uid="{00000000-0005-0000-0000-0000E9160000}"/>
    <cellStyle name="Calculation 8 7 7" xfId="20418" xr:uid="{00000000-0005-0000-0000-0000EA160000}"/>
    <cellStyle name="Calculation 8 8" xfId="3465" xr:uid="{00000000-0005-0000-0000-0000EB160000}"/>
    <cellStyle name="Calculation 8 8 2" xfId="7528" xr:uid="{00000000-0005-0000-0000-0000EC160000}"/>
    <cellStyle name="Calculation 8 8 2 2" xfId="23495" xr:uid="{00000000-0005-0000-0000-0000ED160000}"/>
    <cellStyle name="Calculation 8 8 3" xfId="13802" xr:uid="{00000000-0005-0000-0000-0000EE160000}"/>
    <cellStyle name="Calculation 8 8 3 2" xfId="28634" xr:uid="{00000000-0005-0000-0000-0000EF160000}"/>
    <cellStyle name="Calculation 8 8 4" xfId="21170" xr:uid="{00000000-0005-0000-0000-0000F0160000}"/>
    <cellStyle name="Calculation 8 9" xfId="3184" xr:uid="{00000000-0005-0000-0000-0000F1160000}"/>
    <cellStyle name="Calculation 8 9 2" xfId="7248" xr:uid="{00000000-0005-0000-0000-0000F2160000}"/>
    <cellStyle name="Calculation 8 9 2 2" xfId="23306" xr:uid="{00000000-0005-0000-0000-0000F3160000}"/>
    <cellStyle name="Calculation 8 9 3" xfId="13522" xr:uid="{00000000-0005-0000-0000-0000F4160000}"/>
    <cellStyle name="Calculation 8 9 3 2" xfId="28354" xr:uid="{00000000-0005-0000-0000-0000F5160000}"/>
    <cellStyle name="Calculation 8 9 4" xfId="20996" xr:uid="{00000000-0005-0000-0000-0000F6160000}"/>
    <cellStyle name="Calculation 9" xfId="961" xr:uid="{00000000-0005-0000-0000-0000F7160000}"/>
    <cellStyle name="Calculation 9 10" xfId="2267" xr:uid="{00000000-0005-0000-0000-0000F8160000}"/>
    <cellStyle name="Calculation 9 10 2" xfId="6379" xr:uid="{00000000-0005-0000-0000-0000F9160000}"/>
    <cellStyle name="Calculation 9 10 2 2" xfId="22781" xr:uid="{00000000-0005-0000-0000-0000FA160000}"/>
    <cellStyle name="Calculation 9 10 3" xfId="12607" xr:uid="{00000000-0005-0000-0000-0000FB160000}"/>
    <cellStyle name="Calculation 9 10 3 2" xfId="27439" xr:uid="{00000000-0005-0000-0000-0000FC160000}"/>
    <cellStyle name="Calculation 9 10 4" xfId="20433" xr:uid="{00000000-0005-0000-0000-0000FD160000}"/>
    <cellStyle name="Calculation 9 11" xfId="5233" xr:uid="{00000000-0005-0000-0000-0000FE160000}"/>
    <cellStyle name="Calculation 9 11 2" xfId="15549" xr:uid="{00000000-0005-0000-0000-0000FF160000}"/>
    <cellStyle name="Calculation 9 11 2 2" xfId="30381" xr:uid="{00000000-0005-0000-0000-000000170000}"/>
    <cellStyle name="Calculation 9 11 3" xfId="22090" xr:uid="{00000000-0005-0000-0000-000001170000}"/>
    <cellStyle name="Calculation 9 12" xfId="5391" xr:uid="{00000000-0005-0000-0000-000002170000}"/>
    <cellStyle name="Calculation 9 12 2" xfId="15627" xr:uid="{00000000-0005-0000-0000-000003170000}"/>
    <cellStyle name="Calculation 9 12 2 2" xfId="30459" xr:uid="{00000000-0005-0000-0000-000004170000}"/>
    <cellStyle name="Calculation 9 12 3" xfId="22152" xr:uid="{00000000-0005-0000-0000-000005170000}"/>
    <cellStyle name="Calculation 9 13" xfId="9400" xr:uid="{00000000-0005-0000-0000-000006170000}"/>
    <cellStyle name="Calculation 9 13 2" xfId="24706" xr:uid="{00000000-0005-0000-0000-000007170000}"/>
    <cellStyle name="Calculation 9 14" xfId="6975" xr:uid="{00000000-0005-0000-0000-000008170000}"/>
    <cellStyle name="Calculation 9 14 2" xfId="18836" xr:uid="{00000000-0005-0000-0000-000009170000}"/>
    <cellStyle name="Calculation 9 2" xfId="1303" xr:uid="{00000000-0005-0000-0000-00000A170000}"/>
    <cellStyle name="Calculation 9 2 2" xfId="1807" xr:uid="{00000000-0005-0000-0000-00000B170000}"/>
    <cellStyle name="Calculation 9 2 2 2" xfId="3514" xr:uid="{00000000-0005-0000-0000-00000C170000}"/>
    <cellStyle name="Calculation 9 2 2 2 2" xfId="7576" xr:uid="{00000000-0005-0000-0000-00000D170000}"/>
    <cellStyle name="Calculation 9 2 2 2 2 2" xfId="23526" xr:uid="{00000000-0005-0000-0000-00000E170000}"/>
    <cellStyle name="Calculation 9 2 2 2 3" xfId="13851" xr:uid="{00000000-0005-0000-0000-00000F170000}"/>
    <cellStyle name="Calculation 9 2 2 2 3 2" xfId="28683" xr:uid="{00000000-0005-0000-0000-000010170000}"/>
    <cellStyle name="Calculation 9 2 2 2 4" xfId="21201" xr:uid="{00000000-0005-0000-0000-000011170000}"/>
    <cellStyle name="Calculation 9 2 2 3" xfId="4785" xr:uid="{00000000-0005-0000-0000-000012170000}"/>
    <cellStyle name="Calculation 9 2 2 3 2" xfId="8824" xr:uid="{00000000-0005-0000-0000-000013170000}"/>
    <cellStyle name="Calculation 9 2 2 3 2 2" xfId="24322" xr:uid="{00000000-0005-0000-0000-000014170000}"/>
    <cellStyle name="Calculation 9 2 2 3 3" xfId="15109" xr:uid="{00000000-0005-0000-0000-000015170000}"/>
    <cellStyle name="Calculation 9 2 2 3 3 2" xfId="29941" xr:uid="{00000000-0005-0000-0000-000016170000}"/>
    <cellStyle name="Calculation 9 2 2 3 4" xfId="21860" xr:uid="{00000000-0005-0000-0000-000017170000}"/>
    <cellStyle name="Calculation 9 2 2 4" xfId="2775" xr:uid="{00000000-0005-0000-0000-000018170000}"/>
    <cellStyle name="Calculation 9 2 2 4 2" xfId="6866" xr:uid="{00000000-0005-0000-0000-000019170000}"/>
    <cellStyle name="Calculation 9 2 2 4 2 2" xfId="23073" xr:uid="{00000000-0005-0000-0000-00001A170000}"/>
    <cellStyle name="Calculation 9 2 2 4 3" xfId="13113" xr:uid="{00000000-0005-0000-0000-00001B170000}"/>
    <cellStyle name="Calculation 9 2 2 4 3 2" xfId="27945" xr:uid="{00000000-0005-0000-0000-00001C170000}"/>
    <cellStyle name="Calculation 9 2 2 4 4" xfId="20733" xr:uid="{00000000-0005-0000-0000-00001D170000}"/>
    <cellStyle name="Calculation 9 2 2 5" xfId="5939" xr:uid="{00000000-0005-0000-0000-00001E170000}"/>
    <cellStyle name="Calculation 9 2 2 5 2" xfId="16131" xr:uid="{00000000-0005-0000-0000-00001F170000}"/>
    <cellStyle name="Calculation 9 2 2 5 2 2" xfId="30963" xr:uid="{00000000-0005-0000-0000-000020170000}"/>
    <cellStyle name="Calculation 9 2 2 5 3" xfId="22504" xr:uid="{00000000-0005-0000-0000-000021170000}"/>
    <cellStyle name="Calculation 9 2 2 6" xfId="12201" xr:uid="{00000000-0005-0000-0000-000022170000}"/>
    <cellStyle name="Calculation 9 2 2 6 2" xfId="27033" xr:uid="{00000000-0005-0000-0000-000023170000}"/>
    <cellStyle name="Calculation 9 2 2 7" xfId="9797" xr:uid="{00000000-0005-0000-0000-000024170000}"/>
    <cellStyle name="Calculation 9 2 2 7 2" xfId="20048" xr:uid="{00000000-0005-0000-0000-000025170000}"/>
    <cellStyle name="Calculation 9 2 3" xfId="3715" xr:uid="{00000000-0005-0000-0000-000026170000}"/>
    <cellStyle name="Calculation 9 2 3 2" xfId="7771" xr:uid="{00000000-0005-0000-0000-000027170000}"/>
    <cellStyle name="Calculation 9 2 3 2 2" xfId="23652" xr:uid="{00000000-0005-0000-0000-000028170000}"/>
    <cellStyle name="Calculation 9 2 3 3" xfId="14050" xr:uid="{00000000-0005-0000-0000-000029170000}"/>
    <cellStyle name="Calculation 9 2 3 3 2" xfId="28882" xr:uid="{00000000-0005-0000-0000-00002A170000}"/>
    <cellStyle name="Calculation 9 2 3 4" xfId="21312" xr:uid="{00000000-0005-0000-0000-00002B170000}"/>
    <cellStyle name="Calculation 9 2 4" xfId="3363" xr:uid="{00000000-0005-0000-0000-00002C170000}"/>
    <cellStyle name="Calculation 9 2 4 2" xfId="7426" xr:uid="{00000000-0005-0000-0000-00002D170000}"/>
    <cellStyle name="Calculation 9 2 4 2 2" xfId="23427" xr:uid="{00000000-0005-0000-0000-00002E170000}"/>
    <cellStyle name="Calculation 9 2 4 3" xfId="13700" xr:uid="{00000000-0005-0000-0000-00002F170000}"/>
    <cellStyle name="Calculation 9 2 4 3 2" xfId="28532" xr:uid="{00000000-0005-0000-0000-000030170000}"/>
    <cellStyle name="Calculation 9 2 4 4" xfId="21112" xr:uid="{00000000-0005-0000-0000-000031170000}"/>
    <cellStyle name="Calculation 9 2 5" xfId="2355" xr:uid="{00000000-0005-0000-0000-000032170000}"/>
    <cellStyle name="Calculation 9 2 5 2" xfId="6467" xr:uid="{00000000-0005-0000-0000-000033170000}"/>
    <cellStyle name="Calculation 9 2 5 2 2" xfId="22837" xr:uid="{00000000-0005-0000-0000-000034170000}"/>
    <cellStyle name="Calculation 9 2 5 3" xfId="12694" xr:uid="{00000000-0005-0000-0000-000035170000}"/>
    <cellStyle name="Calculation 9 2 5 3 2" xfId="27526" xr:uid="{00000000-0005-0000-0000-000036170000}"/>
    <cellStyle name="Calculation 9 2 5 4" xfId="20479" xr:uid="{00000000-0005-0000-0000-000037170000}"/>
    <cellStyle name="Calculation 9 2 6" xfId="5480" xr:uid="{00000000-0005-0000-0000-000038170000}"/>
    <cellStyle name="Calculation 9 2 6 2" xfId="15715" xr:uid="{00000000-0005-0000-0000-000039170000}"/>
    <cellStyle name="Calculation 9 2 6 2 2" xfId="30547" xr:uid="{00000000-0005-0000-0000-00003A170000}"/>
    <cellStyle name="Calculation 9 2 6 3" xfId="22208" xr:uid="{00000000-0005-0000-0000-00003B170000}"/>
    <cellStyle name="Calculation 9 2 7" xfId="9322" xr:uid="{00000000-0005-0000-0000-00003C170000}"/>
    <cellStyle name="Calculation 9 2 7 2" xfId="24628" xr:uid="{00000000-0005-0000-0000-00003D170000}"/>
    <cellStyle name="Calculation 9 2 8" xfId="9401" xr:uid="{00000000-0005-0000-0000-00003E170000}"/>
    <cellStyle name="Calculation 9 2 8 2" xfId="19705" xr:uid="{00000000-0005-0000-0000-00003F170000}"/>
    <cellStyle name="Calculation 9 3" xfId="1437" xr:uid="{00000000-0005-0000-0000-000040170000}"/>
    <cellStyle name="Calculation 9 3 2" xfId="1938" xr:uid="{00000000-0005-0000-0000-000041170000}"/>
    <cellStyle name="Calculation 9 3 2 2" xfId="3649" xr:uid="{00000000-0005-0000-0000-000042170000}"/>
    <cellStyle name="Calculation 9 3 2 2 2" xfId="7708" xr:uid="{00000000-0005-0000-0000-000043170000}"/>
    <cellStyle name="Calculation 9 3 2 2 2 2" xfId="23607" xr:uid="{00000000-0005-0000-0000-000044170000}"/>
    <cellStyle name="Calculation 9 3 2 2 3" xfId="13984" xr:uid="{00000000-0005-0000-0000-000045170000}"/>
    <cellStyle name="Calculation 9 3 2 2 3 2" xfId="28816" xr:uid="{00000000-0005-0000-0000-000046170000}"/>
    <cellStyle name="Calculation 9 3 2 2 4" xfId="21272" xr:uid="{00000000-0005-0000-0000-000047170000}"/>
    <cellStyle name="Calculation 9 3 2 3" xfId="4917" xr:uid="{00000000-0005-0000-0000-000048170000}"/>
    <cellStyle name="Calculation 9 3 2 3 2" xfId="8956" xr:uid="{00000000-0005-0000-0000-000049170000}"/>
    <cellStyle name="Calculation 9 3 2 3 2 2" xfId="24422" xr:uid="{00000000-0005-0000-0000-00004A170000}"/>
    <cellStyle name="Calculation 9 3 2 3 3" xfId="15239" xr:uid="{00000000-0005-0000-0000-00004B170000}"/>
    <cellStyle name="Calculation 9 3 2 3 3 2" xfId="30071" xr:uid="{00000000-0005-0000-0000-00004C170000}"/>
    <cellStyle name="Calculation 9 3 2 3 4" xfId="21952" xr:uid="{00000000-0005-0000-0000-00004D170000}"/>
    <cellStyle name="Calculation 9 3 2 4" xfId="2907" xr:uid="{00000000-0005-0000-0000-00004E170000}"/>
    <cellStyle name="Calculation 9 3 2 4 2" xfId="6991" xr:uid="{00000000-0005-0000-0000-00004F170000}"/>
    <cellStyle name="Calculation 9 3 2 4 2 2" xfId="23165" xr:uid="{00000000-0005-0000-0000-000050170000}"/>
    <cellStyle name="Calculation 9 3 2 4 3" xfId="13245" xr:uid="{00000000-0005-0000-0000-000051170000}"/>
    <cellStyle name="Calculation 9 3 2 4 3 2" xfId="28077" xr:uid="{00000000-0005-0000-0000-000052170000}"/>
    <cellStyle name="Calculation 9 3 2 4 4" xfId="20833" xr:uid="{00000000-0005-0000-0000-000053170000}"/>
    <cellStyle name="Calculation 9 3 2 5" xfId="6068" xr:uid="{00000000-0005-0000-0000-000054170000}"/>
    <cellStyle name="Calculation 9 3 2 5 2" xfId="16255" xr:uid="{00000000-0005-0000-0000-000055170000}"/>
    <cellStyle name="Calculation 9 3 2 5 2 2" xfId="31087" xr:uid="{00000000-0005-0000-0000-000056170000}"/>
    <cellStyle name="Calculation 9 3 2 5 3" xfId="22601" xr:uid="{00000000-0005-0000-0000-000057170000}"/>
    <cellStyle name="Calculation 9 3 2 6" xfId="12325" xr:uid="{00000000-0005-0000-0000-000058170000}"/>
    <cellStyle name="Calculation 9 3 2 6 2" xfId="27157" xr:uid="{00000000-0005-0000-0000-000059170000}"/>
    <cellStyle name="Calculation 9 3 2 7" xfId="9922" xr:uid="{00000000-0005-0000-0000-00005A170000}"/>
    <cellStyle name="Calculation 9 3 2 7 2" xfId="20124" xr:uid="{00000000-0005-0000-0000-00005B170000}"/>
    <cellStyle name="Calculation 9 3 3" xfId="3454" xr:uid="{00000000-0005-0000-0000-00005C170000}"/>
    <cellStyle name="Calculation 9 3 3 2" xfId="7517" xr:uid="{00000000-0005-0000-0000-00005D170000}"/>
    <cellStyle name="Calculation 9 3 3 2 2" xfId="23487" xr:uid="{00000000-0005-0000-0000-00005E170000}"/>
    <cellStyle name="Calculation 9 3 3 3" xfId="13791" xr:uid="{00000000-0005-0000-0000-00005F170000}"/>
    <cellStyle name="Calculation 9 3 3 3 2" xfId="28623" xr:uid="{00000000-0005-0000-0000-000060170000}"/>
    <cellStyle name="Calculation 9 3 3 4" xfId="21162" xr:uid="{00000000-0005-0000-0000-000061170000}"/>
    <cellStyle name="Calculation 9 3 4" xfId="4497" xr:uid="{00000000-0005-0000-0000-000062170000}"/>
    <cellStyle name="Calculation 9 3 4 2" xfId="8536" xr:uid="{00000000-0005-0000-0000-000063170000}"/>
    <cellStyle name="Calculation 9 3 4 2 2" xfId="24162" xr:uid="{00000000-0005-0000-0000-000064170000}"/>
    <cellStyle name="Calculation 9 3 4 3" xfId="14824" xr:uid="{00000000-0005-0000-0000-000065170000}"/>
    <cellStyle name="Calculation 9 3 4 3 2" xfId="29656" xr:uid="{00000000-0005-0000-0000-000066170000}"/>
    <cellStyle name="Calculation 9 3 4 4" xfId="21722" xr:uid="{00000000-0005-0000-0000-000067170000}"/>
    <cellStyle name="Calculation 9 3 5" xfId="2487" xr:uid="{00000000-0005-0000-0000-000068170000}"/>
    <cellStyle name="Calculation 9 3 5 2" xfId="6593" xr:uid="{00000000-0005-0000-0000-000069170000}"/>
    <cellStyle name="Calculation 9 3 5 2 2" xfId="22931" xr:uid="{00000000-0005-0000-0000-00006A170000}"/>
    <cellStyle name="Calculation 9 3 5 3" xfId="12825" xr:uid="{00000000-0005-0000-0000-00006B170000}"/>
    <cellStyle name="Calculation 9 3 5 3 2" xfId="27657" xr:uid="{00000000-0005-0000-0000-00006C170000}"/>
    <cellStyle name="Calculation 9 3 5 4" xfId="20577" xr:uid="{00000000-0005-0000-0000-00006D170000}"/>
    <cellStyle name="Calculation 9 3 6" xfId="5610" xr:uid="{00000000-0005-0000-0000-00006E170000}"/>
    <cellStyle name="Calculation 9 3 6 2" xfId="15845" xr:uid="{00000000-0005-0000-0000-00006F170000}"/>
    <cellStyle name="Calculation 9 3 6 2 2" xfId="30677" xr:uid="{00000000-0005-0000-0000-000070170000}"/>
    <cellStyle name="Calculation 9 3 6 3" xfId="22306" xr:uid="{00000000-0005-0000-0000-000071170000}"/>
    <cellStyle name="Calculation 9 3 7" xfId="11854" xr:uid="{00000000-0005-0000-0000-000072170000}"/>
    <cellStyle name="Calculation 9 3 7 2" xfId="26686" xr:uid="{00000000-0005-0000-0000-000073170000}"/>
    <cellStyle name="Calculation 9 3 8" xfId="9527" xr:uid="{00000000-0005-0000-0000-000074170000}"/>
    <cellStyle name="Calculation 9 3 8 2" xfId="19829" xr:uid="{00000000-0005-0000-0000-000075170000}"/>
    <cellStyle name="Calculation 9 4" xfId="1417" xr:uid="{00000000-0005-0000-0000-000076170000}"/>
    <cellStyle name="Calculation 9 4 2" xfId="1919" xr:uid="{00000000-0005-0000-0000-000077170000}"/>
    <cellStyle name="Calculation 9 4 2 2" xfId="3760" xr:uid="{00000000-0005-0000-0000-000078170000}"/>
    <cellStyle name="Calculation 9 4 2 2 2" xfId="7816" xr:uid="{00000000-0005-0000-0000-000079170000}"/>
    <cellStyle name="Calculation 9 4 2 2 2 2" xfId="23681" xr:uid="{00000000-0005-0000-0000-00007A170000}"/>
    <cellStyle name="Calculation 9 4 2 2 3" xfId="14095" xr:uid="{00000000-0005-0000-0000-00007B170000}"/>
    <cellStyle name="Calculation 9 4 2 2 3 2" xfId="28927" xr:uid="{00000000-0005-0000-0000-00007C170000}"/>
    <cellStyle name="Calculation 9 4 2 2 4" xfId="21337" xr:uid="{00000000-0005-0000-0000-00007D170000}"/>
    <cellStyle name="Calculation 9 4 2 3" xfId="4897" xr:uid="{00000000-0005-0000-0000-00007E170000}"/>
    <cellStyle name="Calculation 9 4 2 3 2" xfId="8936" xr:uid="{00000000-0005-0000-0000-00007F170000}"/>
    <cellStyle name="Calculation 9 4 2 3 2 2" xfId="24402" xr:uid="{00000000-0005-0000-0000-000080170000}"/>
    <cellStyle name="Calculation 9 4 2 3 3" xfId="15220" xr:uid="{00000000-0005-0000-0000-000081170000}"/>
    <cellStyle name="Calculation 9 4 2 3 3 2" xfId="30052" xr:uid="{00000000-0005-0000-0000-000082170000}"/>
    <cellStyle name="Calculation 9 4 2 3 4" xfId="21934" xr:uid="{00000000-0005-0000-0000-000083170000}"/>
    <cellStyle name="Calculation 9 4 2 4" xfId="2887" xr:uid="{00000000-0005-0000-0000-000084170000}"/>
    <cellStyle name="Calculation 9 4 2 4 2" xfId="6972" xr:uid="{00000000-0005-0000-0000-000085170000}"/>
    <cellStyle name="Calculation 9 4 2 4 2 2" xfId="23147" xr:uid="{00000000-0005-0000-0000-000086170000}"/>
    <cellStyle name="Calculation 9 4 2 4 3" xfId="13225" xr:uid="{00000000-0005-0000-0000-000087170000}"/>
    <cellStyle name="Calculation 9 4 2 4 3 2" xfId="28057" xr:uid="{00000000-0005-0000-0000-000088170000}"/>
    <cellStyle name="Calculation 9 4 2 4 4" xfId="20813" xr:uid="{00000000-0005-0000-0000-000089170000}"/>
    <cellStyle name="Calculation 9 4 2 5" xfId="6050" xr:uid="{00000000-0005-0000-0000-00008A170000}"/>
    <cellStyle name="Calculation 9 4 2 5 2" xfId="16237" xr:uid="{00000000-0005-0000-0000-00008B170000}"/>
    <cellStyle name="Calculation 9 4 2 5 2 2" xfId="31069" xr:uid="{00000000-0005-0000-0000-00008C170000}"/>
    <cellStyle name="Calculation 9 4 2 5 3" xfId="22583" xr:uid="{00000000-0005-0000-0000-00008D170000}"/>
    <cellStyle name="Calculation 9 4 2 6" xfId="12307" xr:uid="{00000000-0005-0000-0000-00008E170000}"/>
    <cellStyle name="Calculation 9 4 2 6 2" xfId="27139" xr:uid="{00000000-0005-0000-0000-00008F170000}"/>
    <cellStyle name="Calculation 9 4 2 7" xfId="9903" xr:uid="{00000000-0005-0000-0000-000090170000}"/>
    <cellStyle name="Calculation 9 4 2 7 2" xfId="20106" xr:uid="{00000000-0005-0000-0000-000091170000}"/>
    <cellStyle name="Calculation 9 4 3" xfId="3721" xr:uid="{00000000-0005-0000-0000-000092170000}"/>
    <cellStyle name="Calculation 9 4 3 2" xfId="7777" xr:uid="{00000000-0005-0000-0000-000093170000}"/>
    <cellStyle name="Calculation 9 4 3 2 2" xfId="23657" xr:uid="{00000000-0005-0000-0000-000094170000}"/>
    <cellStyle name="Calculation 9 4 3 3" xfId="14056" xr:uid="{00000000-0005-0000-0000-000095170000}"/>
    <cellStyle name="Calculation 9 4 3 3 2" xfId="28888" xr:uid="{00000000-0005-0000-0000-000096170000}"/>
    <cellStyle name="Calculation 9 4 3 4" xfId="21317" xr:uid="{00000000-0005-0000-0000-000097170000}"/>
    <cellStyle name="Calculation 9 4 4" xfId="4477" xr:uid="{00000000-0005-0000-0000-000098170000}"/>
    <cellStyle name="Calculation 9 4 4 2" xfId="8516" xr:uid="{00000000-0005-0000-0000-000099170000}"/>
    <cellStyle name="Calculation 9 4 4 2 2" xfId="24142" xr:uid="{00000000-0005-0000-0000-00009A170000}"/>
    <cellStyle name="Calculation 9 4 4 3" xfId="14805" xr:uid="{00000000-0005-0000-0000-00009B170000}"/>
    <cellStyle name="Calculation 9 4 4 3 2" xfId="29637" xr:uid="{00000000-0005-0000-0000-00009C170000}"/>
    <cellStyle name="Calculation 9 4 4 4" xfId="21704" xr:uid="{00000000-0005-0000-0000-00009D170000}"/>
    <cellStyle name="Calculation 9 4 5" xfId="2467" xr:uid="{00000000-0005-0000-0000-00009E170000}"/>
    <cellStyle name="Calculation 9 4 5 2" xfId="6573" xr:uid="{00000000-0005-0000-0000-00009F170000}"/>
    <cellStyle name="Calculation 9 4 5 2 2" xfId="22911" xr:uid="{00000000-0005-0000-0000-0000A0170000}"/>
    <cellStyle name="Calculation 9 4 5 3" xfId="12806" xr:uid="{00000000-0005-0000-0000-0000A1170000}"/>
    <cellStyle name="Calculation 9 4 5 3 2" xfId="27638" xr:uid="{00000000-0005-0000-0000-0000A2170000}"/>
    <cellStyle name="Calculation 9 4 5 4" xfId="20559" xr:uid="{00000000-0005-0000-0000-0000A3170000}"/>
    <cellStyle name="Calculation 9 4 6" xfId="5591" xr:uid="{00000000-0005-0000-0000-0000A4170000}"/>
    <cellStyle name="Calculation 9 4 6 2" xfId="15826" xr:uid="{00000000-0005-0000-0000-0000A5170000}"/>
    <cellStyle name="Calculation 9 4 6 2 2" xfId="30658" xr:uid="{00000000-0005-0000-0000-0000A6170000}"/>
    <cellStyle name="Calculation 9 4 6 3" xfId="22287" xr:uid="{00000000-0005-0000-0000-0000A7170000}"/>
    <cellStyle name="Calculation 9 4 7" xfId="11836" xr:uid="{00000000-0005-0000-0000-0000A8170000}"/>
    <cellStyle name="Calculation 9 4 7 2" xfId="26668" xr:uid="{00000000-0005-0000-0000-0000A9170000}"/>
    <cellStyle name="Calculation 9 4 8" xfId="9508" xr:uid="{00000000-0005-0000-0000-0000AA170000}"/>
    <cellStyle name="Calculation 9 4 8 2" xfId="19811" xr:uid="{00000000-0005-0000-0000-0000AB170000}"/>
    <cellStyle name="Calculation 9 5" xfId="1423" xr:uid="{00000000-0005-0000-0000-0000AC170000}"/>
    <cellStyle name="Calculation 9 5 2" xfId="1924" xr:uid="{00000000-0005-0000-0000-0000AD170000}"/>
    <cellStyle name="Calculation 9 5 2 2" xfId="3870" xr:uid="{00000000-0005-0000-0000-0000AE170000}"/>
    <cellStyle name="Calculation 9 5 2 2 2" xfId="7922" xr:uid="{00000000-0005-0000-0000-0000AF170000}"/>
    <cellStyle name="Calculation 9 5 2 2 2 2" xfId="23751" xr:uid="{00000000-0005-0000-0000-0000B0170000}"/>
    <cellStyle name="Calculation 9 5 2 2 3" xfId="14205" xr:uid="{00000000-0005-0000-0000-0000B1170000}"/>
    <cellStyle name="Calculation 9 5 2 2 3 2" xfId="29037" xr:uid="{00000000-0005-0000-0000-0000B2170000}"/>
    <cellStyle name="Calculation 9 5 2 2 4" xfId="21393" xr:uid="{00000000-0005-0000-0000-0000B3170000}"/>
    <cellStyle name="Calculation 9 5 2 3" xfId="4903" xr:uid="{00000000-0005-0000-0000-0000B4170000}"/>
    <cellStyle name="Calculation 9 5 2 3 2" xfId="8942" xr:uid="{00000000-0005-0000-0000-0000B5170000}"/>
    <cellStyle name="Calculation 9 5 2 3 2 2" xfId="24408" xr:uid="{00000000-0005-0000-0000-0000B6170000}"/>
    <cellStyle name="Calculation 9 5 2 3 3" xfId="15225" xr:uid="{00000000-0005-0000-0000-0000B7170000}"/>
    <cellStyle name="Calculation 9 5 2 3 3 2" xfId="30057" xr:uid="{00000000-0005-0000-0000-0000B8170000}"/>
    <cellStyle name="Calculation 9 5 2 3 4" xfId="21938" xr:uid="{00000000-0005-0000-0000-0000B9170000}"/>
    <cellStyle name="Calculation 9 5 2 4" xfId="2893" xr:uid="{00000000-0005-0000-0000-0000BA170000}"/>
    <cellStyle name="Calculation 9 5 2 4 2" xfId="6977" xr:uid="{00000000-0005-0000-0000-0000BB170000}"/>
    <cellStyle name="Calculation 9 5 2 4 2 2" xfId="23151" xr:uid="{00000000-0005-0000-0000-0000BC170000}"/>
    <cellStyle name="Calculation 9 5 2 4 3" xfId="13231" xr:uid="{00000000-0005-0000-0000-0000BD170000}"/>
    <cellStyle name="Calculation 9 5 2 4 3 2" xfId="28063" xr:uid="{00000000-0005-0000-0000-0000BE170000}"/>
    <cellStyle name="Calculation 9 5 2 4 4" xfId="20819" xr:uid="{00000000-0005-0000-0000-0000BF170000}"/>
    <cellStyle name="Calculation 9 5 2 5" xfId="6054" xr:uid="{00000000-0005-0000-0000-0000C0170000}"/>
    <cellStyle name="Calculation 9 5 2 5 2" xfId="16241" xr:uid="{00000000-0005-0000-0000-0000C1170000}"/>
    <cellStyle name="Calculation 9 5 2 5 2 2" xfId="31073" xr:uid="{00000000-0005-0000-0000-0000C2170000}"/>
    <cellStyle name="Calculation 9 5 2 5 3" xfId="22587" xr:uid="{00000000-0005-0000-0000-0000C3170000}"/>
    <cellStyle name="Calculation 9 5 2 6" xfId="12311" xr:uid="{00000000-0005-0000-0000-0000C4170000}"/>
    <cellStyle name="Calculation 9 5 2 6 2" xfId="27143" xr:uid="{00000000-0005-0000-0000-0000C5170000}"/>
    <cellStyle name="Calculation 9 5 2 7" xfId="9908" xr:uid="{00000000-0005-0000-0000-0000C6170000}"/>
    <cellStyle name="Calculation 9 5 2 7 2" xfId="20110" xr:uid="{00000000-0005-0000-0000-0000C7170000}"/>
    <cellStyle name="Calculation 9 5 3" xfId="3939" xr:uid="{00000000-0005-0000-0000-0000C8170000}"/>
    <cellStyle name="Calculation 9 5 3 2" xfId="7989" xr:uid="{00000000-0005-0000-0000-0000C9170000}"/>
    <cellStyle name="Calculation 9 5 3 2 2" xfId="23790" xr:uid="{00000000-0005-0000-0000-0000CA170000}"/>
    <cellStyle name="Calculation 9 5 3 3" xfId="14272" xr:uid="{00000000-0005-0000-0000-0000CB170000}"/>
    <cellStyle name="Calculation 9 5 3 3 2" xfId="29104" xr:uid="{00000000-0005-0000-0000-0000CC170000}"/>
    <cellStyle name="Calculation 9 5 3 4" xfId="21432" xr:uid="{00000000-0005-0000-0000-0000CD170000}"/>
    <cellStyle name="Calculation 9 5 4" xfId="4483" xr:uid="{00000000-0005-0000-0000-0000CE170000}"/>
    <cellStyle name="Calculation 9 5 4 2" xfId="8522" xr:uid="{00000000-0005-0000-0000-0000CF170000}"/>
    <cellStyle name="Calculation 9 5 4 2 2" xfId="24148" xr:uid="{00000000-0005-0000-0000-0000D0170000}"/>
    <cellStyle name="Calculation 9 5 4 3" xfId="14810" xr:uid="{00000000-0005-0000-0000-0000D1170000}"/>
    <cellStyle name="Calculation 9 5 4 3 2" xfId="29642" xr:uid="{00000000-0005-0000-0000-0000D2170000}"/>
    <cellStyle name="Calculation 9 5 4 4" xfId="21708" xr:uid="{00000000-0005-0000-0000-0000D3170000}"/>
    <cellStyle name="Calculation 9 5 5" xfId="2473" xr:uid="{00000000-0005-0000-0000-0000D4170000}"/>
    <cellStyle name="Calculation 9 5 5 2" xfId="6579" xr:uid="{00000000-0005-0000-0000-0000D5170000}"/>
    <cellStyle name="Calculation 9 5 5 2 2" xfId="22917" xr:uid="{00000000-0005-0000-0000-0000D6170000}"/>
    <cellStyle name="Calculation 9 5 5 3" xfId="12811" xr:uid="{00000000-0005-0000-0000-0000D7170000}"/>
    <cellStyle name="Calculation 9 5 5 3 2" xfId="27643" xr:uid="{00000000-0005-0000-0000-0000D8170000}"/>
    <cellStyle name="Calculation 9 5 5 4" xfId="20563" xr:uid="{00000000-0005-0000-0000-0000D9170000}"/>
    <cellStyle name="Calculation 9 5 6" xfId="5596" xr:uid="{00000000-0005-0000-0000-0000DA170000}"/>
    <cellStyle name="Calculation 9 5 6 2" xfId="15831" xr:uid="{00000000-0005-0000-0000-0000DB170000}"/>
    <cellStyle name="Calculation 9 5 6 2 2" xfId="30663" xr:uid="{00000000-0005-0000-0000-0000DC170000}"/>
    <cellStyle name="Calculation 9 5 6 3" xfId="22292" xr:uid="{00000000-0005-0000-0000-0000DD170000}"/>
    <cellStyle name="Calculation 9 5 7" xfId="11840" xr:uid="{00000000-0005-0000-0000-0000DE170000}"/>
    <cellStyle name="Calculation 9 5 7 2" xfId="26672" xr:uid="{00000000-0005-0000-0000-0000DF170000}"/>
    <cellStyle name="Calculation 9 5 8" xfId="9513" xr:uid="{00000000-0005-0000-0000-0000E0170000}"/>
    <cellStyle name="Calculation 9 5 8 2" xfId="19815" xr:uid="{00000000-0005-0000-0000-0000E1170000}"/>
    <cellStyle name="Calculation 9 6" xfId="1714" xr:uid="{00000000-0005-0000-0000-0000E2170000}"/>
    <cellStyle name="Calculation 9 6 2" xfId="3755" xr:uid="{00000000-0005-0000-0000-0000E3170000}"/>
    <cellStyle name="Calculation 9 6 2 2" xfId="7811" xr:uid="{00000000-0005-0000-0000-0000E4170000}"/>
    <cellStyle name="Calculation 9 6 2 2 2" xfId="23679" xr:uid="{00000000-0005-0000-0000-0000E5170000}"/>
    <cellStyle name="Calculation 9 6 2 3" xfId="14090" xr:uid="{00000000-0005-0000-0000-0000E6170000}"/>
    <cellStyle name="Calculation 9 6 2 3 2" xfId="28922" xr:uid="{00000000-0005-0000-0000-0000E7170000}"/>
    <cellStyle name="Calculation 9 6 2 4" xfId="21335" xr:uid="{00000000-0005-0000-0000-0000E8170000}"/>
    <cellStyle name="Calculation 9 6 3" xfId="4707" xr:uid="{00000000-0005-0000-0000-0000E9170000}"/>
    <cellStyle name="Calculation 9 6 3 2" xfId="8746" xr:uid="{00000000-0005-0000-0000-0000EA170000}"/>
    <cellStyle name="Calculation 9 6 3 2 2" xfId="24276" xr:uid="{00000000-0005-0000-0000-0000EB170000}"/>
    <cellStyle name="Calculation 9 6 3 3" xfId="15031" xr:uid="{00000000-0005-0000-0000-0000EC170000}"/>
    <cellStyle name="Calculation 9 6 3 3 2" xfId="29863" xr:uid="{00000000-0005-0000-0000-0000ED170000}"/>
    <cellStyle name="Calculation 9 6 3 4" xfId="21814" xr:uid="{00000000-0005-0000-0000-0000EE170000}"/>
    <cellStyle name="Calculation 9 6 4" xfId="2697" xr:uid="{00000000-0005-0000-0000-0000EF170000}"/>
    <cellStyle name="Calculation 9 6 4 2" xfId="6788" xr:uid="{00000000-0005-0000-0000-0000F0170000}"/>
    <cellStyle name="Calculation 9 6 4 2 2" xfId="23027" xr:uid="{00000000-0005-0000-0000-0000F1170000}"/>
    <cellStyle name="Calculation 9 6 4 3" xfId="13035" xr:uid="{00000000-0005-0000-0000-0000F2170000}"/>
    <cellStyle name="Calculation 9 6 4 3 2" xfId="27867" xr:uid="{00000000-0005-0000-0000-0000F3170000}"/>
    <cellStyle name="Calculation 9 6 4 4" xfId="20687" xr:uid="{00000000-0005-0000-0000-0000F4170000}"/>
    <cellStyle name="Calculation 9 6 5" xfId="5846" xr:uid="{00000000-0005-0000-0000-0000F5170000}"/>
    <cellStyle name="Calculation 9 6 5 2" xfId="16038" xr:uid="{00000000-0005-0000-0000-0000F6170000}"/>
    <cellStyle name="Calculation 9 6 5 2 2" xfId="30870" xr:uid="{00000000-0005-0000-0000-0000F7170000}"/>
    <cellStyle name="Calculation 9 6 5 3" xfId="22443" xr:uid="{00000000-0005-0000-0000-0000F8170000}"/>
    <cellStyle name="Calculation 9 6 6" xfId="12108" xr:uid="{00000000-0005-0000-0000-0000F9170000}"/>
    <cellStyle name="Calculation 9 6 6 2" xfId="26940" xr:uid="{00000000-0005-0000-0000-0000FA170000}"/>
    <cellStyle name="Calculation 9 6 7" xfId="9719" xr:uid="{00000000-0005-0000-0000-0000FB170000}"/>
    <cellStyle name="Calculation 9 6 7 2" xfId="20017" xr:uid="{00000000-0005-0000-0000-0000FC170000}"/>
    <cellStyle name="Calculation 9 7" xfId="2237" xr:uid="{00000000-0005-0000-0000-0000FD170000}"/>
    <cellStyle name="Calculation 9 7 2" xfId="3908" xr:uid="{00000000-0005-0000-0000-0000FE170000}"/>
    <cellStyle name="Calculation 9 7 2 2" xfId="7959" xr:uid="{00000000-0005-0000-0000-0000FF170000}"/>
    <cellStyle name="Calculation 9 7 2 2 2" xfId="23772" xr:uid="{00000000-0005-0000-0000-000000180000}"/>
    <cellStyle name="Calculation 9 7 2 3" xfId="14241" xr:uid="{00000000-0005-0000-0000-000001180000}"/>
    <cellStyle name="Calculation 9 7 2 3 2" xfId="29073" xr:uid="{00000000-0005-0000-0000-000002180000}"/>
    <cellStyle name="Calculation 9 7 2 4" xfId="21413" xr:uid="{00000000-0005-0000-0000-000003180000}"/>
    <cellStyle name="Calculation 9 7 3" xfId="5205" xr:uid="{00000000-0005-0000-0000-000004180000}"/>
    <cellStyle name="Calculation 9 7 3 2" xfId="9244" xr:uid="{00000000-0005-0000-0000-000005180000}"/>
    <cellStyle name="Calculation 9 7 3 2 2" xfId="24582" xr:uid="{00000000-0005-0000-0000-000006180000}"/>
    <cellStyle name="Calculation 9 7 3 3" xfId="15523" xr:uid="{00000000-0005-0000-0000-000007180000}"/>
    <cellStyle name="Calculation 9 7 3 3 2" xfId="30355" xr:uid="{00000000-0005-0000-0000-000008180000}"/>
    <cellStyle name="Calculation 9 7 3 4" xfId="22089" xr:uid="{00000000-0005-0000-0000-000009180000}"/>
    <cellStyle name="Calculation 9 7 4" xfId="4235" xr:uid="{00000000-0005-0000-0000-00000A180000}"/>
    <cellStyle name="Calculation 9 7 4 2" xfId="8276" xr:uid="{00000000-0005-0000-0000-00000B180000}"/>
    <cellStyle name="Calculation 9 7 4 2 2" xfId="23971" xr:uid="{00000000-0005-0000-0000-00000C180000}"/>
    <cellStyle name="Calculation 9 7 4 3" xfId="14567" xr:uid="{00000000-0005-0000-0000-00000D180000}"/>
    <cellStyle name="Calculation 9 7 4 3 2" xfId="29399" xr:uid="{00000000-0005-0000-0000-00000E180000}"/>
    <cellStyle name="Calculation 9 7 4 4" xfId="21596" xr:uid="{00000000-0005-0000-0000-00000F180000}"/>
    <cellStyle name="Calculation 9 7 5" xfId="6351" xr:uid="{00000000-0005-0000-0000-000010180000}"/>
    <cellStyle name="Calculation 9 7 5 2" xfId="22753" xr:uid="{00000000-0005-0000-0000-000011180000}"/>
    <cellStyle name="Calculation 9 7 6" xfId="12605" xr:uid="{00000000-0005-0000-0000-000012180000}"/>
    <cellStyle name="Calculation 9 7 6 2" xfId="27437" xr:uid="{00000000-0005-0000-0000-000013180000}"/>
    <cellStyle name="Calculation 9 7 7" xfId="20432" xr:uid="{00000000-0005-0000-0000-000014180000}"/>
    <cellStyle name="Calculation 9 8" xfId="3892" xr:uid="{00000000-0005-0000-0000-000015180000}"/>
    <cellStyle name="Calculation 9 8 2" xfId="7943" xr:uid="{00000000-0005-0000-0000-000016180000}"/>
    <cellStyle name="Calculation 9 8 2 2" xfId="23765" xr:uid="{00000000-0005-0000-0000-000017180000}"/>
    <cellStyle name="Calculation 9 8 3" xfId="14225" xr:uid="{00000000-0005-0000-0000-000018180000}"/>
    <cellStyle name="Calculation 9 8 3 2" xfId="29057" xr:uid="{00000000-0005-0000-0000-000019180000}"/>
    <cellStyle name="Calculation 9 8 4" xfId="21406" xr:uid="{00000000-0005-0000-0000-00001A180000}"/>
    <cellStyle name="Calculation 9 9" xfId="3251" xr:uid="{00000000-0005-0000-0000-00001B180000}"/>
    <cellStyle name="Calculation 9 9 2" xfId="7315" xr:uid="{00000000-0005-0000-0000-00001C180000}"/>
    <cellStyle name="Calculation 9 9 2 2" xfId="23353" xr:uid="{00000000-0005-0000-0000-00001D180000}"/>
    <cellStyle name="Calculation 9 9 3" xfId="13588" xr:uid="{00000000-0005-0000-0000-00001E180000}"/>
    <cellStyle name="Calculation 9 9 3 2" xfId="28420" xr:uid="{00000000-0005-0000-0000-00001F180000}"/>
    <cellStyle name="Calculation 9 9 4" xfId="21040" xr:uid="{00000000-0005-0000-0000-000020180000}"/>
    <cellStyle name="Check Cell 2" xfId="977" xr:uid="{00000000-0005-0000-0000-000021180000}"/>
    <cellStyle name="Check Cell 2 2" xfId="978" xr:uid="{00000000-0005-0000-0000-000022180000}"/>
    <cellStyle name="Check Cell 2 3" xfId="979" xr:uid="{00000000-0005-0000-0000-000023180000}"/>
    <cellStyle name="Check Cell 2 4" xfId="980" xr:uid="{00000000-0005-0000-0000-000024180000}"/>
    <cellStyle name="Check Cell 2 5" xfId="981" xr:uid="{00000000-0005-0000-0000-000025180000}"/>
    <cellStyle name="Check Cell 2 6" xfId="982" xr:uid="{00000000-0005-0000-0000-000026180000}"/>
    <cellStyle name="Check Cell 2 7" xfId="983" xr:uid="{00000000-0005-0000-0000-000027180000}"/>
    <cellStyle name="Check Cell 2 8" xfId="984" xr:uid="{00000000-0005-0000-0000-000028180000}"/>
    <cellStyle name="Check Cell 3" xfId="985" xr:uid="{00000000-0005-0000-0000-000029180000}"/>
    <cellStyle name="Check Cell 4" xfId="986" xr:uid="{00000000-0005-0000-0000-00002A180000}"/>
    <cellStyle name="Check Cell 5" xfId="987" xr:uid="{00000000-0005-0000-0000-00002B180000}"/>
    <cellStyle name="Check Cell 6" xfId="988" xr:uid="{00000000-0005-0000-0000-00002C180000}"/>
    <cellStyle name="Check Cell 7" xfId="989" xr:uid="{00000000-0005-0000-0000-00002D180000}"/>
    <cellStyle name="Check Cell 8" xfId="990" xr:uid="{00000000-0005-0000-0000-00002E180000}"/>
    <cellStyle name="Check Cell 9" xfId="976" xr:uid="{00000000-0005-0000-0000-00002F180000}"/>
    <cellStyle name="Comma" xfId="33021" builtinId="3"/>
    <cellStyle name="Comma 2" xfId="4" xr:uid="{00000000-0005-0000-0000-000031180000}"/>
    <cellStyle name="Comma 2 2" xfId="993" xr:uid="{00000000-0005-0000-0000-000032180000}"/>
    <cellStyle name="Comma 2 2 2" xfId="994" xr:uid="{00000000-0005-0000-0000-000033180000}"/>
    <cellStyle name="Comma 2 3" xfId="992" xr:uid="{00000000-0005-0000-0000-000034180000}"/>
    <cellStyle name="Comma 2 4" xfId="1387" xr:uid="{00000000-0005-0000-0000-000035180000}"/>
    <cellStyle name="Comma 3" xfId="6" xr:uid="{00000000-0005-0000-0000-000036180000}"/>
    <cellStyle name="Comma 3 2" xfId="996" xr:uid="{00000000-0005-0000-0000-000037180000}"/>
    <cellStyle name="Comma 3 3" xfId="997" xr:uid="{00000000-0005-0000-0000-000038180000}"/>
    <cellStyle name="Comma 3 4" xfId="998" xr:uid="{00000000-0005-0000-0000-000039180000}"/>
    <cellStyle name="Comma 3 5" xfId="999" xr:uid="{00000000-0005-0000-0000-00003A180000}"/>
    <cellStyle name="Comma 3 6" xfId="1000" xr:uid="{00000000-0005-0000-0000-00003B180000}"/>
    <cellStyle name="Comma 3 7" xfId="1001" xr:uid="{00000000-0005-0000-0000-00003C180000}"/>
    <cellStyle name="Comma 3 8" xfId="1002" xr:uid="{00000000-0005-0000-0000-00003D180000}"/>
    <cellStyle name="Comma 3 9" xfId="995" xr:uid="{00000000-0005-0000-0000-00003E180000}"/>
    <cellStyle name="Comma 4" xfId="1003" xr:uid="{00000000-0005-0000-0000-00003F180000}"/>
    <cellStyle name="Comma 4 2" xfId="1004" xr:uid="{00000000-0005-0000-0000-000040180000}"/>
    <cellStyle name="Comma 5" xfId="991" xr:uid="{00000000-0005-0000-0000-000041180000}"/>
    <cellStyle name="Currency" xfId="20251" builtinId="4"/>
    <cellStyle name="Explanatory Text 2" xfId="1006" xr:uid="{00000000-0005-0000-0000-000043180000}"/>
    <cellStyle name="Explanatory Text 2 2" xfId="1007" xr:uid="{00000000-0005-0000-0000-000044180000}"/>
    <cellStyle name="Explanatory Text 2 3" xfId="1008" xr:uid="{00000000-0005-0000-0000-000045180000}"/>
    <cellStyle name="Explanatory Text 2 4" xfId="1009" xr:uid="{00000000-0005-0000-0000-000046180000}"/>
    <cellStyle name="Explanatory Text 2 5" xfId="1010" xr:uid="{00000000-0005-0000-0000-000047180000}"/>
    <cellStyle name="Explanatory Text 2 6" xfId="1011" xr:uid="{00000000-0005-0000-0000-000048180000}"/>
    <cellStyle name="Explanatory Text 2 7" xfId="1012" xr:uid="{00000000-0005-0000-0000-000049180000}"/>
    <cellStyle name="Explanatory Text 2 8" xfId="1013" xr:uid="{00000000-0005-0000-0000-00004A180000}"/>
    <cellStyle name="Explanatory Text 3" xfId="1014" xr:uid="{00000000-0005-0000-0000-00004B180000}"/>
    <cellStyle name="Explanatory Text 4" xfId="1015" xr:uid="{00000000-0005-0000-0000-00004C180000}"/>
    <cellStyle name="Explanatory Text 5" xfId="1016" xr:uid="{00000000-0005-0000-0000-00004D180000}"/>
    <cellStyle name="Explanatory Text 6" xfId="1017" xr:uid="{00000000-0005-0000-0000-00004E180000}"/>
    <cellStyle name="Explanatory Text 7" xfId="1018" xr:uid="{00000000-0005-0000-0000-00004F180000}"/>
    <cellStyle name="Explanatory Text 8" xfId="1019" xr:uid="{00000000-0005-0000-0000-000050180000}"/>
    <cellStyle name="Explanatory Text 9" xfId="1005" xr:uid="{00000000-0005-0000-0000-000051180000}"/>
    <cellStyle name="Good 10" xfId="1020" xr:uid="{00000000-0005-0000-0000-000052180000}"/>
    <cellStyle name="Good 2" xfId="1021" xr:uid="{00000000-0005-0000-0000-000053180000}"/>
    <cellStyle name="Good 2 2" xfId="1022" xr:uid="{00000000-0005-0000-0000-000054180000}"/>
    <cellStyle name="Good 2 3" xfId="1023" xr:uid="{00000000-0005-0000-0000-000055180000}"/>
    <cellStyle name="Good 2 4" xfId="1024" xr:uid="{00000000-0005-0000-0000-000056180000}"/>
    <cellStyle name="Good 2 5" xfId="1025" xr:uid="{00000000-0005-0000-0000-000057180000}"/>
    <cellStyle name="Good 2 6" xfId="1026" xr:uid="{00000000-0005-0000-0000-000058180000}"/>
    <cellStyle name="Good 2 7" xfId="1027" xr:uid="{00000000-0005-0000-0000-000059180000}"/>
    <cellStyle name="Good 2 8" xfId="1028" xr:uid="{00000000-0005-0000-0000-00005A180000}"/>
    <cellStyle name="Good 3" xfId="1029" xr:uid="{00000000-0005-0000-0000-00005B180000}"/>
    <cellStyle name="Good 4" xfId="1030" xr:uid="{00000000-0005-0000-0000-00005C180000}"/>
    <cellStyle name="Good 5" xfId="1031" xr:uid="{00000000-0005-0000-0000-00005D180000}"/>
    <cellStyle name="Good 6" xfId="1032" xr:uid="{00000000-0005-0000-0000-00005E180000}"/>
    <cellStyle name="Good 7" xfId="1033" xr:uid="{00000000-0005-0000-0000-00005F180000}"/>
    <cellStyle name="Good 8" xfId="1034" xr:uid="{00000000-0005-0000-0000-000060180000}"/>
    <cellStyle name="Good 9" xfId="1035" xr:uid="{00000000-0005-0000-0000-000061180000}"/>
    <cellStyle name="Heading 1 2" xfId="1037" xr:uid="{00000000-0005-0000-0000-000062180000}"/>
    <cellStyle name="Heading 1 2 2" xfId="1038" xr:uid="{00000000-0005-0000-0000-000063180000}"/>
    <cellStyle name="Heading 1 2 3" xfId="1039" xr:uid="{00000000-0005-0000-0000-000064180000}"/>
    <cellStyle name="Heading 1 2 4" xfId="1040" xr:uid="{00000000-0005-0000-0000-000065180000}"/>
    <cellStyle name="Heading 1 2 5" xfId="1041" xr:uid="{00000000-0005-0000-0000-000066180000}"/>
    <cellStyle name="Heading 1 2 6" xfId="1042" xr:uid="{00000000-0005-0000-0000-000067180000}"/>
    <cellStyle name="Heading 1 2 7" xfId="1043" xr:uid="{00000000-0005-0000-0000-000068180000}"/>
    <cellStyle name="Heading 1 2 8" xfId="1044" xr:uid="{00000000-0005-0000-0000-000069180000}"/>
    <cellStyle name="Heading 1 3" xfId="1045" xr:uid="{00000000-0005-0000-0000-00006A180000}"/>
    <cellStyle name="Heading 1 4" xfId="1046" xr:uid="{00000000-0005-0000-0000-00006B180000}"/>
    <cellStyle name="Heading 1 5" xfId="1047" xr:uid="{00000000-0005-0000-0000-00006C180000}"/>
    <cellStyle name="Heading 1 6" xfId="1048" xr:uid="{00000000-0005-0000-0000-00006D180000}"/>
    <cellStyle name="Heading 1 7" xfId="1049" xr:uid="{00000000-0005-0000-0000-00006E180000}"/>
    <cellStyle name="Heading 1 8" xfId="1050" xr:uid="{00000000-0005-0000-0000-00006F180000}"/>
    <cellStyle name="Heading 1 9" xfId="1036" xr:uid="{00000000-0005-0000-0000-000070180000}"/>
    <cellStyle name="Heading 2 2" xfId="1052" xr:uid="{00000000-0005-0000-0000-000071180000}"/>
    <cellStyle name="Heading 2 2 2" xfId="1053" xr:uid="{00000000-0005-0000-0000-000072180000}"/>
    <cellStyle name="Heading 2 2 3" xfId="1054" xr:uid="{00000000-0005-0000-0000-000073180000}"/>
    <cellStyle name="Heading 2 2 4" xfId="1055" xr:uid="{00000000-0005-0000-0000-000074180000}"/>
    <cellStyle name="Heading 2 2 5" xfId="1056" xr:uid="{00000000-0005-0000-0000-000075180000}"/>
    <cellStyle name="Heading 2 2 6" xfId="1057" xr:uid="{00000000-0005-0000-0000-000076180000}"/>
    <cellStyle name="Heading 2 2 7" xfId="1058" xr:uid="{00000000-0005-0000-0000-000077180000}"/>
    <cellStyle name="Heading 2 2 8" xfId="1059" xr:uid="{00000000-0005-0000-0000-000078180000}"/>
    <cellStyle name="Heading 2 3" xfId="1060" xr:uid="{00000000-0005-0000-0000-000079180000}"/>
    <cellStyle name="Heading 2 4" xfId="1061" xr:uid="{00000000-0005-0000-0000-00007A180000}"/>
    <cellStyle name="Heading 2 5" xfId="1062" xr:uid="{00000000-0005-0000-0000-00007B180000}"/>
    <cellStyle name="Heading 2 6" xfId="1063" xr:uid="{00000000-0005-0000-0000-00007C180000}"/>
    <cellStyle name="Heading 2 7" xfId="1064" xr:uid="{00000000-0005-0000-0000-00007D180000}"/>
    <cellStyle name="Heading 2 8" xfId="1065" xr:uid="{00000000-0005-0000-0000-00007E180000}"/>
    <cellStyle name="Heading 2 9" xfId="1051" xr:uid="{00000000-0005-0000-0000-00007F180000}"/>
    <cellStyle name="Heading 3 2" xfId="1067" xr:uid="{00000000-0005-0000-0000-000080180000}"/>
    <cellStyle name="Heading 3 2 10" xfId="1730" xr:uid="{00000000-0005-0000-0000-000081180000}"/>
    <cellStyle name="Heading 3 2 10 2" xfId="3238" xr:uid="{00000000-0005-0000-0000-000082180000}"/>
    <cellStyle name="Heading 3 2 10 2 2" xfId="7302" xr:uid="{00000000-0005-0000-0000-000083180000}"/>
    <cellStyle name="Heading 3 2 10 2 2 2" xfId="17061" xr:uid="{00000000-0005-0000-0000-000084180000}"/>
    <cellStyle name="Heading 3 2 10 2 2 2 2" xfId="31893" xr:uid="{00000000-0005-0000-0000-000085180000}"/>
    <cellStyle name="Heading 3 2 10 2 2 3" xfId="23342" xr:uid="{00000000-0005-0000-0000-000086180000}"/>
    <cellStyle name="Heading 3 2 10 2 3" xfId="13575" xr:uid="{00000000-0005-0000-0000-000087180000}"/>
    <cellStyle name="Heading 3 2 10 2 3 2" xfId="28407" xr:uid="{00000000-0005-0000-0000-000088180000}"/>
    <cellStyle name="Heading 3 2 10 2 4" xfId="21030" xr:uid="{00000000-0005-0000-0000-000089180000}"/>
    <cellStyle name="Heading 3 2 10 3" xfId="5862" xr:uid="{00000000-0005-0000-0000-00008A180000}"/>
    <cellStyle name="Heading 3 2 10 3 2" xfId="16054" xr:uid="{00000000-0005-0000-0000-00008B180000}"/>
    <cellStyle name="Heading 3 2 10 3 2 2" xfId="30886" xr:uid="{00000000-0005-0000-0000-00008C180000}"/>
    <cellStyle name="Heading 3 2 10 3 3" xfId="22459" xr:uid="{00000000-0005-0000-0000-00008D180000}"/>
    <cellStyle name="Heading 3 2 10 4" xfId="12124" xr:uid="{00000000-0005-0000-0000-00008E180000}"/>
    <cellStyle name="Heading 3 2 10 4 2" xfId="26956" xr:uid="{00000000-0005-0000-0000-00008F180000}"/>
    <cellStyle name="Heading 3 2 10 5" xfId="20283" xr:uid="{00000000-0005-0000-0000-000090180000}"/>
    <cellStyle name="Heading 3 2 11" xfId="3297" xr:uid="{00000000-0005-0000-0000-000091180000}"/>
    <cellStyle name="Heading 3 2 11 2" xfId="7361" xr:uid="{00000000-0005-0000-0000-000092180000}"/>
    <cellStyle name="Heading 3 2 11 2 2" xfId="17102" xr:uid="{00000000-0005-0000-0000-000093180000}"/>
    <cellStyle name="Heading 3 2 11 2 2 2" xfId="31934" xr:uid="{00000000-0005-0000-0000-000094180000}"/>
    <cellStyle name="Heading 3 2 11 2 3" xfId="23384" xr:uid="{00000000-0005-0000-0000-000095180000}"/>
    <cellStyle name="Heading 3 2 11 3" xfId="13634" xr:uid="{00000000-0005-0000-0000-000096180000}"/>
    <cellStyle name="Heading 3 2 11 3 2" xfId="28466" xr:uid="{00000000-0005-0000-0000-000097180000}"/>
    <cellStyle name="Heading 3 2 11 4" xfId="21071" xr:uid="{00000000-0005-0000-0000-000098180000}"/>
    <cellStyle name="Heading 3 2 12" xfId="5388" xr:uid="{00000000-0005-0000-0000-000099180000}"/>
    <cellStyle name="Heading 3 2 12 2" xfId="22149" xr:uid="{00000000-0005-0000-0000-00009A180000}"/>
    <cellStyle name="Heading 3 2 13" xfId="20253" xr:uid="{00000000-0005-0000-0000-00009B180000}"/>
    <cellStyle name="Heading 3 2 2" xfId="1068" xr:uid="{00000000-0005-0000-0000-00009C180000}"/>
    <cellStyle name="Heading 3 2 2 2" xfId="1455" xr:uid="{00000000-0005-0000-0000-00009D180000}"/>
    <cellStyle name="Heading 3 2 2 2 2" xfId="1956" xr:uid="{00000000-0005-0000-0000-00009E180000}"/>
    <cellStyle name="Heading 3 2 2 2 2 2" xfId="4286" xr:uid="{00000000-0005-0000-0000-00009F180000}"/>
    <cellStyle name="Heading 3 2 2 2 2 2 2" xfId="8325" xr:uid="{00000000-0005-0000-0000-0000A0180000}"/>
    <cellStyle name="Heading 3 2 2 2 2 2 2 2" xfId="17607" xr:uid="{00000000-0005-0000-0000-0000A1180000}"/>
    <cellStyle name="Heading 3 2 2 2 2 2 2 2 2" xfId="32439" xr:uid="{00000000-0005-0000-0000-0000A2180000}"/>
    <cellStyle name="Heading 3 2 2 2 2 2 2 3" xfId="24015" xr:uid="{00000000-0005-0000-0000-0000A3180000}"/>
    <cellStyle name="Heading 3 2 2 2 2 2 3" xfId="14618" xr:uid="{00000000-0005-0000-0000-0000A4180000}"/>
    <cellStyle name="Heading 3 2 2 2 2 2 3 2" xfId="29450" xr:uid="{00000000-0005-0000-0000-0000A5180000}"/>
    <cellStyle name="Heading 3 2 2 2 2 2 4" xfId="21613" xr:uid="{00000000-0005-0000-0000-0000A6180000}"/>
    <cellStyle name="Heading 3 2 2 2 2 3" xfId="6086" xr:uid="{00000000-0005-0000-0000-0000A7180000}"/>
    <cellStyle name="Heading 3 2 2 2 2 3 2" xfId="16273" xr:uid="{00000000-0005-0000-0000-0000A8180000}"/>
    <cellStyle name="Heading 3 2 2 2 2 3 2 2" xfId="31105" xr:uid="{00000000-0005-0000-0000-0000A9180000}"/>
    <cellStyle name="Heading 3 2 2 2 2 3 3" xfId="22619" xr:uid="{00000000-0005-0000-0000-0000AA180000}"/>
    <cellStyle name="Heading 3 2 2 2 2 4" xfId="12343" xr:uid="{00000000-0005-0000-0000-0000AB180000}"/>
    <cellStyle name="Heading 3 2 2 2 2 4 2" xfId="27175" xr:uid="{00000000-0005-0000-0000-0000AC180000}"/>
    <cellStyle name="Heading 3 2 2 2 2 5" xfId="20331" xr:uid="{00000000-0005-0000-0000-0000AD180000}"/>
    <cellStyle name="Heading 3 2 2 2 3" xfId="3468" xr:uid="{00000000-0005-0000-0000-0000AE180000}"/>
    <cellStyle name="Heading 3 2 2 2 3 2" xfId="7531" xr:uid="{00000000-0005-0000-0000-0000AF180000}"/>
    <cellStyle name="Heading 3 2 2 2 3 2 2" xfId="17203" xr:uid="{00000000-0005-0000-0000-0000B0180000}"/>
    <cellStyle name="Heading 3 2 2 2 3 2 2 2" xfId="32035" xr:uid="{00000000-0005-0000-0000-0000B1180000}"/>
    <cellStyle name="Heading 3 2 2 2 3 2 3" xfId="23498" xr:uid="{00000000-0005-0000-0000-0000B2180000}"/>
    <cellStyle name="Heading 3 2 2 2 3 3" xfId="13805" xr:uid="{00000000-0005-0000-0000-0000B3180000}"/>
    <cellStyle name="Heading 3 2 2 2 3 3 2" xfId="28637" xr:uid="{00000000-0005-0000-0000-0000B4180000}"/>
    <cellStyle name="Heading 3 2 2 2 3 4" xfId="21173" xr:uid="{00000000-0005-0000-0000-0000B5180000}"/>
    <cellStyle name="Heading 3 2 2 2 4" xfId="11872" xr:uid="{00000000-0005-0000-0000-0000B6180000}"/>
    <cellStyle name="Heading 3 2 2 2 4 2" xfId="26704" xr:uid="{00000000-0005-0000-0000-0000B7180000}"/>
    <cellStyle name="Heading 3 2 2 2 5" xfId="20270" xr:uid="{00000000-0005-0000-0000-0000B8180000}"/>
    <cellStyle name="Heading 3 2 2 3" xfId="1731" xr:uid="{00000000-0005-0000-0000-0000B9180000}"/>
    <cellStyle name="Heading 3 2 2 3 2" xfId="4269" xr:uid="{00000000-0005-0000-0000-0000BA180000}"/>
    <cellStyle name="Heading 3 2 2 3 2 2" xfId="8308" xr:uid="{00000000-0005-0000-0000-0000BB180000}"/>
    <cellStyle name="Heading 3 2 2 3 2 2 2" xfId="17595" xr:uid="{00000000-0005-0000-0000-0000BC180000}"/>
    <cellStyle name="Heading 3 2 2 3 2 2 2 2" xfId="32427" xr:uid="{00000000-0005-0000-0000-0000BD180000}"/>
    <cellStyle name="Heading 3 2 2 3 2 2 3" xfId="24002" xr:uid="{00000000-0005-0000-0000-0000BE180000}"/>
    <cellStyle name="Heading 3 2 2 3 2 3" xfId="14601" xr:uid="{00000000-0005-0000-0000-0000BF180000}"/>
    <cellStyle name="Heading 3 2 2 3 2 3 2" xfId="29433" xr:uid="{00000000-0005-0000-0000-0000C0180000}"/>
    <cellStyle name="Heading 3 2 2 3 2 4" xfId="21602" xr:uid="{00000000-0005-0000-0000-0000C1180000}"/>
    <cellStyle name="Heading 3 2 2 3 3" xfId="5863" xr:uid="{00000000-0005-0000-0000-0000C2180000}"/>
    <cellStyle name="Heading 3 2 2 3 3 2" xfId="16055" xr:uid="{00000000-0005-0000-0000-0000C3180000}"/>
    <cellStyle name="Heading 3 2 2 3 3 2 2" xfId="30887" xr:uid="{00000000-0005-0000-0000-0000C4180000}"/>
    <cellStyle name="Heading 3 2 2 3 3 3" xfId="22460" xr:uid="{00000000-0005-0000-0000-0000C5180000}"/>
    <cellStyle name="Heading 3 2 2 3 4" xfId="12125" xr:uid="{00000000-0005-0000-0000-0000C6180000}"/>
    <cellStyle name="Heading 3 2 2 3 4 2" xfId="26957" xr:uid="{00000000-0005-0000-0000-0000C7180000}"/>
    <cellStyle name="Heading 3 2 2 3 5" xfId="20284" xr:uid="{00000000-0005-0000-0000-0000C8180000}"/>
    <cellStyle name="Heading 3 2 2 4" xfId="3149" xr:uid="{00000000-0005-0000-0000-0000C9180000}"/>
    <cellStyle name="Heading 3 2 2 4 2" xfId="7213" xr:uid="{00000000-0005-0000-0000-0000CA180000}"/>
    <cellStyle name="Heading 3 2 2 4 2 2" xfId="16992" xr:uid="{00000000-0005-0000-0000-0000CB180000}"/>
    <cellStyle name="Heading 3 2 2 4 2 2 2" xfId="31824" xr:uid="{00000000-0005-0000-0000-0000CC180000}"/>
    <cellStyle name="Heading 3 2 2 4 2 3" xfId="23282" xr:uid="{00000000-0005-0000-0000-0000CD180000}"/>
    <cellStyle name="Heading 3 2 2 4 3" xfId="13487" xr:uid="{00000000-0005-0000-0000-0000CE180000}"/>
    <cellStyle name="Heading 3 2 2 4 3 2" xfId="28319" xr:uid="{00000000-0005-0000-0000-0000CF180000}"/>
    <cellStyle name="Heading 3 2 2 4 4" xfId="20973" xr:uid="{00000000-0005-0000-0000-0000D0180000}"/>
    <cellStyle name="Heading 3 2 2 5" xfId="5387" xr:uid="{00000000-0005-0000-0000-0000D1180000}"/>
    <cellStyle name="Heading 3 2 2 5 2" xfId="22148" xr:uid="{00000000-0005-0000-0000-0000D2180000}"/>
    <cellStyle name="Heading 3 2 2 6" xfId="20254" xr:uid="{00000000-0005-0000-0000-0000D3180000}"/>
    <cellStyle name="Heading 3 2 3" xfId="1069" xr:uid="{00000000-0005-0000-0000-0000D4180000}"/>
    <cellStyle name="Heading 3 2 3 2" xfId="1456" xr:uid="{00000000-0005-0000-0000-0000D5180000}"/>
    <cellStyle name="Heading 3 2 3 2 2" xfId="1957" xr:uid="{00000000-0005-0000-0000-0000D6180000}"/>
    <cellStyle name="Heading 3 2 3 2 2 2" xfId="3311" xr:uid="{00000000-0005-0000-0000-0000D7180000}"/>
    <cellStyle name="Heading 3 2 3 2 2 2 2" xfId="7375" xr:uid="{00000000-0005-0000-0000-0000D8180000}"/>
    <cellStyle name="Heading 3 2 3 2 2 2 2 2" xfId="17110" xr:uid="{00000000-0005-0000-0000-0000D9180000}"/>
    <cellStyle name="Heading 3 2 3 2 2 2 2 2 2" xfId="31942" xr:uid="{00000000-0005-0000-0000-0000DA180000}"/>
    <cellStyle name="Heading 3 2 3 2 2 2 2 3" xfId="23393" xr:uid="{00000000-0005-0000-0000-0000DB180000}"/>
    <cellStyle name="Heading 3 2 3 2 2 2 3" xfId="13648" xr:uid="{00000000-0005-0000-0000-0000DC180000}"/>
    <cellStyle name="Heading 3 2 3 2 2 2 3 2" xfId="28480" xr:uid="{00000000-0005-0000-0000-0000DD180000}"/>
    <cellStyle name="Heading 3 2 3 2 2 2 4" xfId="21080" xr:uid="{00000000-0005-0000-0000-0000DE180000}"/>
    <cellStyle name="Heading 3 2 3 2 2 3" xfId="6087" xr:uid="{00000000-0005-0000-0000-0000DF180000}"/>
    <cellStyle name="Heading 3 2 3 2 2 3 2" xfId="16274" xr:uid="{00000000-0005-0000-0000-0000E0180000}"/>
    <cellStyle name="Heading 3 2 3 2 2 3 2 2" xfId="31106" xr:uid="{00000000-0005-0000-0000-0000E1180000}"/>
    <cellStyle name="Heading 3 2 3 2 2 3 3" xfId="22620" xr:uid="{00000000-0005-0000-0000-0000E2180000}"/>
    <cellStyle name="Heading 3 2 3 2 2 4" xfId="12344" xr:uid="{00000000-0005-0000-0000-0000E3180000}"/>
    <cellStyle name="Heading 3 2 3 2 2 4 2" xfId="27176" xr:uid="{00000000-0005-0000-0000-0000E4180000}"/>
    <cellStyle name="Heading 3 2 3 2 2 5" xfId="20332" xr:uid="{00000000-0005-0000-0000-0000E5180000}"/>
    <cellStyle name="Heading 3 2 3 2 3" xfId="3623" xr:uid="{00000000-0005-0000-0000-0000E6180000}"/>
    <cellStyle name="Heading 3 2 3 2 3 2" xfId="7683" xr:uid="{00000000-0005-0000-0000-0000E7180000}"/>
    <cellStyle name="Heading 3 2 3 2 3 2 2" xfId="17285" xr:uid="{00000000-0005-0000-0000-0000E8180000}"/>
    <cellStyle name="Heading 3 2 3 2 3 2 2 2" xfId="32117" xr:uid="{00000000-0005-0000-0000-0000E9180000}"/>
    <cellStyle name="Heading 3 2 3 2 3 2 3" xfId="23592" xr:uid="{00000000-0005-0000-0000-0000EA180000}"/>
    <cellStyle name="Heading 3 2 3 2 3 3" xfId="13958" xr:uid="{00000000-0005-0000-0000-0000EB180000}"/>
    <cellStyle name="Heading 3 2 3 2 3 3 2" xfId="28790" xr:uid="{00000000-0005-0000-0000-0000EC180000}"/>
    <cellStyle name="Heading 3 2 3 2 3 4" xfId="21256" xr:uid="{00000000-0005-0000-0000-0000ED180000}"/>
    <cellStyle name="Heading 3 2 3 2 4" xfId="11873" xr:uid="{00000000-0005-0000-0000-0000EE180000}"/>
    <cellStyle name="Heading 3 2 3 2 4 2" xfId="26705" xr:uid="{00000000-0005-0000-0000-0000EF180000}"/>
    <cellStyle name="Heading 3 2 3 2 5" xfId="20271" xr:uid="{00000000-0005-0000-0000-0000F0180000}"/>
    <cellStyle name="Heading 3 2 3 3" xfId="1732" xr:uid="{00000000-0005-0000-0000-0000F1180000}"/>
    <cellStyle name="Heading 3 2 3 3 2" xfId="3214" xr:uid="{00000000-0005-0000-0000-0000F2180000}"/>
    <cellStyle name="Heading 3 2 3 3 2 2" xfId="7278" xr:uid="{00000000-0005-0000-0000-0000F3180000}"/>
    <cellStyle name="Heading 3 2 3 3 2 2 2" xfId="17044" xr:uid="{00000000-0005-0000-0000-0000F4180000}"/>
    <cellStyle name="Heading 3 2 3 3 2 2 2 2" xfId="31876" xr:uid="{00000000-0005-0000-0000-0000F5180000}"/>
    <cellStyle name="Heading 3 2 3 3 2 2 3" xfId="23323" xr:uid="{00000000-0005-0000-0000-0000F6180000}"/>
    <cellStyle name="Heading 3 2 3 3 2 3" xfId="13552" xr:uid="{00000000-0005-0000-0000-0000F7180000}"/>
    <cellStyle name="Heading 3 2 3 3 2 3 2" xfId="28384" xr:uid="{00000000-0005-0000-0000-0000F8180000}"/>
    <cellStyle name="Heading 3 2 3 3 2 4" xfId="21013" xr:uid="{00000000-0005-0000-0000-0000F9180000}"/>
    <cellStyle name="Heading 3 2 3 3 3" xfId="5864" xr:uid="{00000000-0005-0000-0000-0000FA180000}"/>
    <cellStyle name="Heading 3 2 3 3 3 2" xfId="16056" xr:uid="{00000000-0005-0000-0000-0000FB180000}"/>
    <cellStyle name="Heading 3 2 3 3 3 2 2" xfId="30888" xr:uid="{00000000-0005-0000-0000-0000FC180000}"/>
    <cellStyle name="Heading 3 2 3 3 3 3" xfId="22461" xr:uid="{00000000-0005-0000-0000-0000FD180000}"/>
    <cellStyle name="Heading 3 2 3 3 4" xfId="12126" xr:uid="{00000000-0005-0000-0000-0000FE180000}"/>
    <cellStyle name="Heading 3 2 3 3 4 2" xfId="26958" xr:uid="{00000000-0005-0000-0000-0000FF180000}"/>
    <cellStyle name="Heading 3 2 3 3 5" xfId="20285" xr:uid="{00000000-0005-0000-0000-000000190000}"/>
    <cellStyle name="Heading 3 2 3 4" xfId="3265" xr:uid="{00000000-0005-0000-0000-000001190000}"/>
    <cellStyle name="Heading 3 2 3 4 2" xfId="7329" xr:uid="{00000000-0005-0000-0000-000002190000}"/>
    <cellStyle name="Heading 3 2 3 4 2 2" xfId="17074" xr:uid="{00000000-0005-0000-0000-000003190000}"/>
    <cellStyle name="Heading 3 2 3 4 2 2 2" xfId="31906" xr:uid="{00000000-0005-0000-0000-000004190000}"/>
    <cellStyle name="Heading 3 2 3 4 2 3" xfId="23363" xr:uid="{00000000-0005-0000-0000-000005190000}"/>
    <cellStyle name="Heading 3 2 3 4 3" xfId="13602" xr:uid="{00000000-0005-0000-0000-000006190000}"/>
    <cellStyle name="Heading 3 2 3 4 3 2" xfId="28434" xr:uid="{00000000-0005-0000-0000-000007190000}"/>
    <cellStyle name="Heading 3 2 3 4 4" xfId="21050" xr:uid="{00000000-0005-0000-0000-000008190000}"/>
    <cellStyle name="Heading 3 2 3 5" xfId="5386" xr:uid="{00000000-0005-0000-0000-000009190000}"/>
    <cellStyle name="Heading 3 2 3 5 2" xfId="22147" xr:uid="{00000000-0005-0000-0000-00000A190000}"/>
    <cellStyle name="Heading 3 2 3 6" xfId="20255" xr:uid="{00000000-0005-0000-0000-00000B190000}"/>
    <cellStyle name="Heading 3 2 4" xfId="1070" xr:uid="{00000000-0005-0000-0000-00000C190000}"/>
    <cellStyle name="Heading 3 2 4 2" xfId="1457" xr:uid="{00000000-0005-0000-0000-00000D190000}"/>
    <cellStyle name="Heading 3 2 4 2 2" xfId="1958" xr:uid="{00000000-0005-0000-0000-00000E190000}"/>
    <cellStyle name="Heading 3 2 4 2 2 2" xfId="3190" xr:uid="{00000000-0005-0000-0000-00000F190000}"/>
    <cellStyle name="Heading 3 2 4 2 2 2 2" xfId="7254" xr:uid="{00000000-0005-0000-0000-000010190000}"/>
    <cellStyle name="Heading 3 2 4 2 2 2 2 2" xfId="17024" xr:uid="{00000000-0005-0000-0000-000011190000}"/>
    <cellStyle name="Heading 3 2 4 2 2 2 2 2 2" xfId="31856" xr:uid="{00000000-0005-0000-0000-000012190000}"/>
    <cellStyle name="Heading 3 2 4 2 2 2 2 3" xfId="23308" xr:uid="{00000000-0005-0000-0000-000013190000}"/>
    <cellStyle name="Heading 3 2 4 2 2 2 3" xfId="13528" xr:uid="{00000000-0005-0000-0000-000014190000}"/>
    <cellStyle name="Heading 3 2 4 2 2 2 3 2" xfId="28360" xr:uid="{00000000-0005-0000-0000-000015190000}"/>
    <cellStyle name="Heading 3 2 4 2 2 2 4" xfId="20998" xr:uid="{00000000-0005-0000-0000-000016190000}"/>
    <cellStyle name="Heading 3 2 4 2 2 3" xfId="6088" xr:uid="{00000000-0005-0000-0000-000017190000}"/>
    <cellStyle name="Heading 3 2 4 2 2 3 2" xfId="16275" xr:uid="{00000000-0005-0000-0000-000018190000}"/>
    <cellStyle name="Heading 3 2 4 2 2 3 2 2" xfId="31107" xr:uid="{00000000-0005-0000-0000-000019190000}"/>
    <cellStyle name="Heading 3 2 4 2 2 3 3" xfId="22621" xr:uid="{00000000-0005-0000-0000-00001A190000}"/>
    <cellStyle name="Heading 3 2 4 2 2 4" xfId="12345" xr:uid="{00000000-0005-0000-0000-00001B190000}"/>
    <cellStyle name="Heading 3 2 4 2 2 4 2" xfId="27177" xr:uid="{00000000-0005-0000-0000-00001C190000}"/>
    <cellStyle name="Heading 3 2 4 2 2 5" xfId="20333" xr:uid="{00000000-0005-0000-0000-00001D190000}"/>
    <cellStyle name="Heading 3 2 4 2 3" xfId="3920" xr:uid="{00000000-0005-0000-0000-00001E190000}"/>
    <cellStyle name="Heading 3 2 4 2 3 2" xfId="7971" xr:uid="{00000000-0005-0000-0000-00001F190000}"/>
    <cellStyle name="Heading 3 2 4 2 3 2 2" xfId="17431" xr:uid="{00000000-0005-0000-0000-000020190000}"/>
    <cellStyle name="Heading 3 2 4 2 3 2 2 2" xfId="32263" xr:uid="{00000000-0005-0000-0000-000021190000}"/>
    <cellStyle name="Heading 3 2 4 2 3 2 3" xfId="23779" xr:uid="{00000000-0005-0000-0000-000022190000}"/>
    <cellStyle name="Heading 3 2 4 2 3 3" xfId="14253" xr:uid="{00000000-0005-0000-0000-000023190000}"/>
    <cellStyle name="Heading 3 2 4 2 3 3 2" xfId="29085" xr:uid="{00000000-0005-0000-0000-000024190000}"/>
    <cellStyle name="Heading 3 2 4 2 3 4" xfId="21420" xr:uid="{00000000-0005-0000-0000-000025190000}"/>
    <cellStyle name="Heading 3 2 4 2 4" xfId="11874" xr:uid="{00000000-0005-0000-0000-000026190000}"/>
    <cellStyle name="Heading 3 2 4 2 4 2" xfId="26706" xr:uid="{00000000-0005-0000-0000-000027190000}"/>
    <cellStyle name="Heading 3 2 4 2 5" xfId="20272" xr:uid="{00000000-0005-0000-0000-000028190000}"/>
    <cellStyle name="Heading 3 2 4 3" xfId="1733" xr:uid="{00000000-0005-0000-0000-000029190000}"/>
    <cellStyle name="Heading 3 2 4 3 2" xfId="4289" xr:uid="{00000000-0005-0000-0000-00002A190000}"/>
    <cellStyle name="Heading 3 2 4 3 2 2" xfId="8328" xr:uid="{00000000-0005-0000-0000-00002B190000}"/>
    <cellStyle name="Heading 3 2 4 3 2 2 2" xfId="17610" xr:uid="{00000000-0005-0000-0000-00002C190000}"/>
    <cellStyle name="Heading 3 2 4 3 2 2 2 2" xfId="32442" xr:uid="{00000000-0005-0000-0000-00002D190000}"/>
    <cellStyle name="Heading 3 2 4 3 2 2 3" xfId="24016" xr:uid="{00000000-0005-0000-0000-00002E190000}"/>
    <cellStyle name="Heading 3 2 4 3 2 3" xfId="14621" xr:uid="{00000000-0005-0000-0000-00002F190000}"/>
    <cellStyle name="Heading 3 2 4 3 2 3 2" xfId="29453" xr:uid="{00000000-0005-0000-0000-000030190000}"/>
    <cellStyle name="Heading 3 2 4 3 2 4" xfId="21614" xr:uid="{00000000-0005-0000-0000-000031190000}"/>
    <cellStyle name="Heading 3 2 4 3 3" xfId="5865" xr:uid="{00000000-0005-0000-0000-000032190000}"/>
    <cellStyle name="Heading 3 2 4 3 3 2" xfId="16057" xr:uid="{00000000-0005-0000-0000-000033190000}"/>
    <cellStyle name="Heading 3 2 4 3 3 2 2" xfId="30889" xr:uid="{00000000-0005-0000-0000-000034190000}"/>
    <cellStyle name="Heading 3 2 4 3 3 3" xfId="22462" xr:uid="{00000000-0005-0000-0000-000035190000}"/>
    <cellStyle name="Heading 3 2 4 3 4" xfId="12127" xr:uid="{00000000-0005-0000-0000-000036190000}"/>
    <cellStyle name="Heading 3 2 4 3 4 2" xfId="26959" xr:uid="{00000000-0005-0000-0000-000037190000}"/>
    <cellStyle name="Heading 3 2 4 3 5" xfId="20286" xr:uid="{00000000-0005-0000-0000-000038190000}"/>
    <cellStyle name="Heading 3 2 4 4" xfId="3196" xr:uid="{00000000-0005-0000-0000-000039190000}"/>
    <cellStyle name="Heading 3 2 4 4 2" xfId="7260" xr:uid="{00000000-0005-0000-0000-00003A190000}"/>
    <cellStyle name="Heading 3 2 4 4 2 2" xfId="17029" xr:uid="{00000000-0005-0000-0000-00003B190000}"/>
    <cellStyle name="Heading 3 2 4 4 2 2 2" xfId="31861" xr:uid="{00000000-0005-0000-0000-00003C190000}"/>
    <cellStyle name="Heading 3 2 4 4 2 3" xfId="23312" xr:uid="{00000000-0005-0000-0000-00003D190000}"/>
    <cellStyle name="Heading 3 2 4 4 3" xfId="13534" xr:uid="{00000000-0005-0000-0000-00003E190000}"/>
    <cellStyle name="Heading 3 2 4 4 3 2" xfId="28366" xr:uid="{00000000-0005-0000-0000-00003F190000}"/>
    <cellStyle name="Heading 3 2 4 4 4" xfId="21002" xr:uid="{00000000-0005-0000-0000-000040190000}"/>
    <cellStyle name="Heading 3 2 4 5" xfId="5385" xr:uid="{00000000-0005-0000-0000-000041190000}"/>
    <cellStyle name="Heading 3 2 4 5 2" xfId="22146" xr:uid="{00000000-0005-0000-0000-000042190000}"/>
    <cellStyle name="Heading 3 2 4 6" xfId="20256" xr:uid="{00000000-0005-0000-0000-000043190000}"/>
    <cellStyle name="Heading 3 2 5" xfId="1071" xr:uid="{00000000-0005-0000-0000-000044190000}"/>
    <cellStyle name="Heading 3 2 5 2" xfId="1458" xr:uid="{00000000-0005-0000-0000-000045190000}"/>
    <cellStyle name="Heading 3 2 5 2 2" xfId="1959" xr:uid="{00000000-0005-0000-0000-000046190000}"/>
    <cellStyle name="Heading 3 2 5 2 2 2" xfId="3340" xr:uid="{00000000-0005-0000-0000-000047190000}"/>
    <cellStyle name="Heading 3 2 5 2 2 2 2" xfId="7403" xr:uid="{00000000-0005-0000-0000-000048190000}"/>
    <cellStyle name="Heading 3 2 5 2 2 2 2 2" xfId="17133" xr:uid="{00000000-0005-0000-0000-000049190000}"/>
    <cellStyle name="Heading 3 2 5 2 2 2 2 2 2" xfId="31965" xr:uid="{00000000-0005-0000-0000-00004A190000}"/>
    <cellStyle name="Heading 3 2 5 2 2 2 2 3" xfId="23408" xr:uid="{00000000-0005-0000-0000-00004B190000}"/>
    <cellStyle name="Heading 3 2 5 2 2 2 3" xfId="13677" xr:uid="{00000000-0005-0000-0000-00004C190000}"/>
    <cellStyle name="Heading 3 2 5 2 2 2 3 2" xfId="28509" xr:uid="{00000000-0005-0000-0000-00004D190000}"/>
    <cellStyle name="Heading 3 2 5 2 2 2 4" xfId="21095" xr:uid="{00000000-0005-0000-0000-00004E190000}"/>
    <cellStyle name="Heading 3 2 5 2 2 3" xfId="6089" xr:uid="{00000000-0005-0000-0000-00004F190000}"/>
    <cellStyle name="Heading 3 2 5 2 2 3 2" xfId="16276" xr:uid="{00000000-0005-0000-0000-000050190000}"/>
    <cellStyle name="Heading 3 2 5 2 2 3 2 2" xfId="31108" xr:uid="{00000000-0005-0000-0000-000051190000}"/>
    <cellStyle name="Heading 3 2 5 2 2 3 3" xfId="22622" xr:uid="{00000000-0005-0000-0000-000052190000}"/>
    <cellStyle name="Heading 3 2 5 2 2 4" xfId="12346" xr:uid="{00000000-0005-0000-0000-000053190000}"/>
    <cellStyle name="Heading 3 2 5 2 2 4 2" xfId="27178" xr:uid="{00000000-0005-0000-0000-000054190000}"/>
    <cellStyle name="Heading 3 2 5 2 2 5" xfId="20334" xr:uid="{00000000-0005-0000-0000-000055190000}"/>
    <cellStyle name="Heading 3 2 5 2 3" xfId="3719" xr:uid="{00000000-0005-0000-0000-000056190000}"/>
    <cellStyle name="Heading 3 2 5 2 3 2" xfId="7775" xr:uid="{00000000-0005-0000-0000-000057190000}"/>
    <cellStyle name="Heading 3 2 5 2 3 2 2" xfId="17332" xr:uid="{00000000-0005-0000-0000-000058190000}"/>
    <cellStyle name="Heading 3 2 5 2 3 2 2 2" xfId="32164" xr:uid="{00000000-0005-0000-0000-000059190000}"/>
    <cellStyle name="Heading 3 2 5 2 3 2 3" xfId="23656" xr:uid="{00000000-0005-0000-0000-00005A190000}"/>
    <cellStyle name="Heading 3 2 5 2 3 3" xfId="14054" xr:uid="{00000000-0005-0000-0000-00005B190000}"/>
    <cellStyle name="Heading 3 2 5 2 3 3 2" xfId="28886" xr:uid="{00000000-0005-0000-0000-00005C190000}"/>
    <cellStyle name="Heading 3 2 5 2 3 4" xfId="21316" xr:uid="{00000000-0005-0000-0000-00005D190000}"/>
    <cellStyle name="Heading 3 2 5 2 4" xfId="11875" xr:uid="{00000000-0005-0000-0000-00005E190000}"/>
    <cellStyle name="Heading 3 2 5 2 4 2" xfId="26707" xr:uid="{00000000-0005-0000-0000-00005F190000}"/>
    <cellStyle name="Heading 3 2 5 2 5" xfId="20273" xr:uid="{00000000-0005-0000-0000-000060190000}"/>
    <cellStyle name="Heading 3 2 5 3" xfId="1734" xr:uid="{00000000-0005-0000-0000-000061190000}"/>
    <cellStyle name="Heading 3 2 5 3 2" xfId="3342" xr:uid="{00000000-0005-0000-0000-000062190000}"/>
    <cellStyle name="Heading 3 2 5 3 2 2" xfId="7405" xr:uid="{00000000-0005-0000-0000-000063190000}"/>
    <cellStyle name="Heading 3 2 5 3 2 2 2" xfId="17134" xr:uid="{00000000-0005-0000-0000-000064190000}"/>
    <cellStyle name="Heading 3 2 5 3 2 2 2 2" xfId="31966" xr:uid="{00000000-0005-0000-0000-000065190000}"/>
    <cellStyle name="Heading 3 2 5 3 2 2 3" xfId="23410" xr:uid="{00000000-0005-0000-0000-000066190000}"/>
    <cellStyle name="Heading 3 2 5 3 2 3" xfId="13679" xr:uid="{00000000-0005-0000-0000-000067190000}"/>
    <cellStyle name="Heading 3 2 5 3 2 3 2" xfId="28511" xr:uid="{00000000-0005-0000-0000-000068190000}"/>
    <cellStyle name="Heading 3 2 5 3 2 4" xfId="21097" xr:uid="{00000000-0005-0000-0000-000069190000}"/>
    <cellStyle name="Heading 3 2 5 3 3" xfId="5866" xr:uid="{00000000-0005-0000-0000-00006A190000}"/>
    <cellStyle name="Heading 3 2 5 3 3 2" xfId="16058" xr:uid="{00000000-0005-0000-0000-00006B190000}"/>
    <cellStyle name="Heading 3 2 5 3 3 2 2" xfId="30890" xr:uid="{00000000-0005-0000-0000-00006C190000}"/>
    <cellStyle name="Heading 3 2 5 3 3 3" xfId="22463" xr:uid="{00000000-0005-0000-0000-00006D190000}"/>
    <cellStyle name="Heading 3 2 5 3 4" xfId="12128" xr:uid="{00000000-0005-0000-0000-00006E190000}"/>
    <cellStyle name="Heading 3 2 5 3 4 2" xfId="26960" xr:uid="{00000000-0005-0000-0000-00006F190000}"/>
    <cellStyle name="Heading 3 2 5 3 5" xfId="20287" xr:uid="{00000000-0005-0000-0000-000070190000}"/>
    <cellStyle name="Heading 3 2 5 4" xfId="3318" xr:uid="{00000000-0005-0000-0000-000071190000}"/>
    <cellStyle name="Heading 3 2 5 4 2" xfId="7381" xr:uid="{00000000-0005-0000-0000-000072190000}"/>
    <cellStyle name="Heading 3 2 5 4 2 2" xfId="17115" xr:uid="{00000000-0005-0000-0000-000073190000}"/>
    <cellStyle name="Heading 3 2 5 4 2 2 2" xfId="31947" xr:uid="{00000000-0005-0000-0000-000074190000}"/>
    <cellStyle name="Heading 3 2 5 4 2 3" xfId="23396" xr:uid="{00000000-0005-0000-0000-000075190000}"/>
    <cellStyle name="Heading 3 2 5 4 3" xfId="13655" xr:uid="{00000000-0005-0000-0000-000076190000}"/>
    <cellStyle name="Heading 3 2 5 4 3 2" xfId="28487" xr:uid="{00000000-0005-0000-0000-000077190000}"/>
    <cellStyle name="Heading 3 2 5 4 4" xfId="21084" xr:uid="{00000000-0005-0000-0000-000078190000}"/>
    <cellStyle name="Heading 3 2 5 5" xfId="5384" xr:uid="{00000000-0005-0000-0000-000079190000}"/>
    <cellStyle name="Heading 3 2 5 5 2" xfId="22145" xr:uid="{00000000-0005-0000-0000-00007A190000}"/>
    <cellStyle name="Heading 3 2 5 6" xfId="20257" xr:uid="{00000000-0005-0000-0000-00007B190000}"/>
    <cellStyle name="Heading 3 2 6" xfId="1072" xr:uid="{00000000-0005-0000-0000-00007C190000}"/>
    <cellStyle name="Heading 3 2 6 2" xfId="1459" xr:uid="{00000000-0005-0000-0000-00007D190000}"/>
    <cellStyle name="Heading 3 2 6 2 2" xfId="1960" xr:uid="{00000000-0005-0000-0000-00007E190000}"/>
    <cellStyle name="Heading 3 2 6 2 2 2" xfId="3308" xr:uid="{00000000-0005-0000-0000-00007F190000}"/>
    <cellStyle name="Heading 3 2 6 2 2 2 2" xfId="7372" xr:uid="{00000000-0005-0000-0000-000080190000}"/>
    <cellStyle name="Heading 3 2 6 2 2 2 2 2" xfId="17108" xr:uid="{00000000-0005-0000-0000-000081190000}"/>
    <cellStyle name="Heading 3 2 6 2 2 2 2 2 2" xfId="31940" xr:uid="{00000000-0005-0000-0000-000082190000}"/>
    <cellStyle name="Heading 3 2 6 2 2 2 2 3" xfId="23391" xr:uid="{00000000-0005-0000-0000-000083190000}"/>
    <cellStyle name="Heading 3 2 6 2 2 2 3" xfId="13645" xr:uid="{00000000-0005-0000-0000-000084190000}"/>
    <cellStyle name="Heading 3 2 6 2 2 2 3 2" xfId="28477" xr:uid="{00000000-0005-0000-0000-000085190000}"/>
    <cellStyle name="Heading 3 2 6 2 2 2 4" xfId="21078" xr:uid="{00000000-0005-0000-0000-000086190000}"/>
    <cellStyle name="Heading 3 2 6 2 2 3" xfId="6090" xr:uid="{00000000-0005-0000-0000-000087190000}"/>
    <cellStyle name="Heading 3 2 6 2 2 3 2" xfId="16277" xr:uid="{00000000-0005-0000-0000-000088190000}"/>
    <cellStyle name="Heading 3 2 6 2 2 3 2 2" xfId="31109" xr:uid="{00000000-0005-0000-0000-000089190000}"/>
    <cellStyle name="Heading 3 2 6 2 2 3 3" xfId="22623" xr:uid="{00000000-0005-0000-0000-00008A190000}"/>
    <cellStyle name="Heading 3 2 6 2 2 4" xfId="12347" xr:uid="{00000000-0005-0000-0000-00008B190000}"/>
    <cellStyle name="Heading 3 2 6 2 2 4 2" xfId="27179" xr:uid="{00000000-0005-0000-0000-00008C190000}"/>
    <cellStyle name="Heading 3 2 6 2 2 5" xfId="20335" xr:uid="{00000000-0005-0000-0000-00008D190000}"/>
    <cellStyle name="Heading 3 2 6 2 3" xfId="4306" xr:uid="{00000000-0005-0000-0000-00008E190000}"/>
    <cellStyle name="Heading 3 2 6 2 3 2" xfId="8345" xr:uid="{00000000-0005-0000-0000-00008F190000}"/>
    <cellStyle name="Heading 3 2 6 2 3 2 2" xfId="17624" xr:uid="{00000000-0005-0000-0000-000090190000}"/>
    <cellStyle name="Heading 3 2 6 2 3 2 2 2" xfId="32456" xr:uid="{00000000-0005-0000-0000-000091190000}"/>
    <cellStyle name="Heading 3 2 6 2 3 2 3" xfId="24027" xr:uid="{00000000-0005-0000-0000-000092190000}"/>
    <cellStyle name="Heading 3 2 6 2 3 3" xfId="14637" xr:uid="{00000000-0005-0000-0000-000093190000}"/>
    <cellStyle name="Heading 3 2 6 2 3 3 2" xfId="29469" xr:uid="{00000000-0005-0000-0000-000094190000}"/>
    <cellStyle name="Heading 3 2 6 2 3 4" xfId="21624" xr:uid="{00000000-0005-0000-0000-000095190000}"/>
    <cellStyle name="Heading 3 2 6 2 4" xfId="11876" xr:uid="{00000000-0005-0000-0000-000096190000}"/>
    <cellStyle name="Heading 3 2 6 2 4 2" xfId="26708" xr:uid="{00000000-0005-0000-0000-000097190000}"/>
    <cellStyle name="Heading 3 2 6 2 5" xfId="20274" xr:uid="{00000000-0005-0000-0000-000098190000}"/>
    <cellStyle name="Heading 3 2 6 3" xfId="1735" xr:uid="{00000000-0005-0000-0000-000099190000}"/>
    <cellStyle name="Heading 3 2 6 3 2" xfId="3313" xr:uid="{00000000-0005-0000-0000-00009A190000}"/>
    <cellStyle name="Heading 3 2 6 3 2 2" xfId="7376" xr:uid="{00000000-0005-0000-0000-00009B190000}"/>
    <cellStyle name="Heading 3 2 6 3 2 2 2" xfId="17111" xr:uid="{00000000-0005-0000-0000-00009C190000}"/>
    <cellStyle name="Heading 3 2 6 3 2 2 2 2" xfId="31943" xr:uid="{00000000-0005-0000-0000-00009D190000}"/>
    <cellStyle name="Heading 3 2 6 3 2 2 3" xfId="23394" xr:uid="{00000000-0005-0000-0000-00009E190000}"/>
    <cellStyle name="Heading 3 2 6 3 2 3" xfId="13650" xr:uid="{00000000-0005-0000-0000-00009F190000}"/>
    <cellStyle name="Heading 3 2 6 3 2 3 2" xfId="28482" xr:uid="{00000000-0005-0000-0000-0000A0190000}"/>
    <cellStyle name="Heading 3 2 6 3 2 4" xfId="21082" xr:uid="{00000000-0005-0000-0000-0000A1190000}"/>
    <cellStyle name="Heading 3 2 6 3 3" xfId="5867" xr:uid="{00000000-0005-0000-0000-0000A2190000}"/>
    <cellStyle name="Heading 3 2 6 3 3 2" xfId="16059" xr:uid="{00000000-0005-0000-0000-0000A3190000}"/>
    <cellStyle name="Heading 3 2 6 3 3 2 2" xfId="30891" xr:uid="{00000000-0005-0000-0000-0000A4190000}"/>
    <cellStyle name="Heading 3 2 6 3 3 3" xfId="22464" xr:uid="{00000000-0005-0000-0000-0000A5190000}"/>
    <cellStyle name="Heading 3 2 6 3 4" xfId="12129" xr:uid="{00000000-0005-0000-0000-0000A6190000}"/>
    <cellStyle name="Heading 3 2 6 3 4 2" xfId="26961" xr:uid="{00000000-0005-0000-0000-0000A7190000}"/>
    <cellStyle name="Heading 3 2 6 3 5" xfId="20288" xr:uid="{00000000-0005-0000-0000-0000A8190000}"/>
    <cellStyle name="Heading 3 2 6 4" xfId="3858" xr:uid="{00000000-0005-0000-0000-0000A9190000}"/>
    <cellStyle name="Heading 3 2 6 4 2" xfId="7910" xr:uid="{00000000-0005-0000-0000-0000AA190000}"/>
    <cellStyle name="Heading 3 2 6 4 2 2" xfId="17395" xr:uid="{00000000-0005-0000-0000-0000AB190000}"/>
    <cellStyle name="Heading 3 2 6 4 2 2 2" xfId="32227" xr:uid="{00000000-0005-0000-0000-0000AC190000}"/>
    <cellStyle name="Heading 3 2 6 4 2 3" xfId="23746" xr:uid="{00000000-0005-0000-0000-0000AD190000}"/>
    <cellStyle name="Heading 3 2 6 4 3" xfId="14193" xr:uid="{00000000-0005-0000-0000-0000AE190000}"/>
    <cellStyle name="Heading 3 2 6 4 3 2" xfId="29025" xr:uid="{00000000-0005-0000-0000-0000AF190000}"/>
    <cellStyle name="Heading 3 2 6 4 4" xfId="21388" xr:uid="{00000000-0005-0000-0000-0000B0190000}"/>
    <cellStyle name="Heading 3 2 6 5" xfId="5383" xr:uid="{00000000-0005-0000-0000-0000B1190000}"/>
    <cellStyle name="Heading 3 2 6 5 2" xfId="22144" xr:uid="{00000000-0005-0000-0000-0000B2190000}"/>
    <cellStyle name="Heading 3 2 6 6" xfId="20258" xr:uid="{00000000-0005-0000-0000-0000B3190000}"/>
    <cellStyle name="Heading 3 2 7" xfId="1073" xr:uid="{00000000-0005-0000-0000-0000B4190000}"/>
    <cellStyle name="Heading 3 2 7 2" xfId="1460" xr:uid="{00000000-0005-0000-0000-0000B5190000}"/>
    <cellStyle name="Heading 3 2 7 2 2" xfId="1961" xr:uid="{00000000-0005-0000-0000-0000B6190000}"/>
    <cellStyle name="Heading 3 2 7 2 2 2" xfId="3188" xr:uid="{00000000-0005-0000-0000-0000B7190000}"/>
    <cellStyle name="Heading 3 2 7 2 2 2 2" xfId="7252" xr:uid="{00000000-0005-0000-0000-0000B8190000}"/>
    <cellStyle name="Heading 3 2 7 2 2 2 2 2" xfId="17022" xr:uid="{00000000-0005-0000-0000-0000B9190000}"/>
    <cellStyle name="Heading 3 2 7 2 2 2 2 2 2" xfId="31854" xr:uid="{00000000-0005-0000-0000-0000BA190000}"/>
    <cellStyle name="Heading 3 2 7 2 2 2 2 3" xfId="23307" xr:uid="{00000000-0005-0000-0000-0000BB190000}"/>
    <cellStyle name="Heading 3 2 7 2 2 2 3" xfId="13526" xr:uid="{00000000-0005-0000-0000-0000BC190000}"/>
    <cellStyle name="Heading 3 2 7 2 2 2 3 2" xfId="28358" xr:uid="{00000000-0005-0000-0000-0000BD190000}"/>
    <cellStyle name="Heading 3 2 7 2 2 2 4" xfId="20997" xr:uid="{00000000-0005-0000-0000-0000BE190000}"/>
    <cellStyle name="Heading 3 2 7 2 2 3" xfId="6091" xr:uid="{00000000-0005-0000-0000-0000BF190000}"/>
    <cellStyle name="Heading 3 2 7 2 2 3 2" xfId="16278" xr:uid="{00000000-0005-0000-0000-0000C0190000}"/>
    <cellStyle name="Heading 3 2 7 2 2 3 2 2" xfId="31110" xr:uid="{00000000-0005-0000-0000-0000C1190000}"/>
    <cellStyle name="Heading 3 2 7 2 2 3 3" xfId="22624" xr:uid="{00000000-0005-0000-0000-0000C2190000}"/>
    <cellStyle name="Heading 3 2 7 2 2 4" xfId="12348" xr:uid="{00000000-0005-0000-0000-0000C3190000}"/>
    <cellStyle name="Heading 3 2 7 2 2 4 2" xfId="27180" xr:uid="{00000000-0005-0000-0000-0000C4190000}"/>
    <cellStyle name="Heading 3 2 7 2 2 5" xfId="20336" xr:uid="{00000000-0005-0000-0000-0000C5190000}"/>
    <cellStyle name="Heading 3 2 7 2 3" xfId="4308" xr:uid="{00000000-0005-0000-0000-0000C6190000}"/>
    <cellStyle name="Heading 3 2 7 2 3 2" xfId="8347" xr:uid="{00000000-0005-0000-0000-0000C7190000}"/>
    <cellStyle name="Heading 3 2 7 2 3 2 2" xfId="17626" xr:uid="{00000000-0005-0000-0000-0000C8190000}"/>
    <cellStyle name="Heading 3 2 7 2 3 2 2 2" xfId="32458" xr:uid="{00000000-0005-0000-0000-0000C9190000}"/>
    <cellStyle name="Heading 3 2 7 2 3 2 3" xfId="24028" xr:uid="{00000000-0005-0000-0000-0000CA190000}"/>
    <cellStyle name="Heading 3 2 7 2 3 3" xfId="14639" xr:uid="{00000000-0005-0000-0000-0000CB190000}"/>
    <cellStyle name="Heading 3 2 7 2 3 3 2" xfId="29471" xr:uid="{00000000-0005-0000-0000-0000CC190000}"/>
    <cellStyle name="Heading 3 2 7 2 3 4" xfId="21625" xr:uid="{00000000-0005-0000-0000-0000CD190000}"/>
    <cellStyle name="Heading 3 2 7 2 4" xfId="11877" xr:uid="{00000000-0005-0000-0000-0000CE190000}"/>
    <cellStyle name="Heading 3 2 7 2 4 2" xfId="26709" xr:uid="{00000000-0005-0000-0000-0000CF190000}"/>
    <cellStyle name="Heading 3 2 7 2 5" xfId="20275" xr:uid="{00000000-0005-0000-0000-0000D0190000}"/>
    <cellStyle name="Heading 3 2 7 3" xfId="1736" xr:uid="{00000000-0005-0000-0000-0000D1190000}"/>
    <cellStyle name="Heading 3 2 7 3 2" xfId="3192" xr:uid="{00000000-0005-0000-0000-0000D2190000}"/>
    <cellStyle name="Heading 3 2 7 3 2 2" xfId="7256" xr:uid="{00000000-0005-0000-0000-0000D3190000}"/>
    <cellStyle name="Heading 3 2 7 3 2 2 2" xfId="17026" xr:uid="{00000000-0005-0000-0000-0000D4190000}"/>
    <cellStyle name="Heading 3 2 7 3 2 2 2 2" xfId="31858" xr:uid="{00000000-0005-0000-0000-0000D5190000}"/>
    <cellStyle name="Heading 3 2 7 3 2 2 3" xfId="23309" xr:uid="{00000000-0005-0000-0000-0000D6190000}"/>
    <cellStyle name="Heading 3 2 7 3 2 3" xfId="13530" xr:uid="{00000000-0005-0000-0000-0000D7190000}"/>
    <cellStyle name="Heading 3 2 7 3 2 3 2" xfId="28362" xr:uid="{00000000-0005-0000-0000-0000D8190000}"/>
    <cellStyle name="Heading 3 2 7 3 2 4" xfId="20999" xr:uid="{00000000-0005-0000-0000-0000D9190000}"/>
    <cellStyle name="Heading 3 2 7 3 3" xfId="5868" xr:uid="{00000000-0005-0000-0000-0000DA190000}"/>
    <cellStyle name="Heading 3 2 7 3 3 2" xfId="16060" xr:uid="{00000000-0005-0000-0000-0000DB190000}"/>
    <cellStyle name="Heading 3 2 7 3 3 2 2" xfId="30892" xr:uid="{00000000-0005-0000-0000-0000DC190000}"/>
    <cellStyle name="Heading 3 2 7 3 3 3" xfId="22465" xr:uid="{00000000-0005-0000-0000-0000DD190000}"/>
    <cellStyle name="Heading 3 2 7 3 4" xfId="12130" xr:uid="{00000000-0005-0000-0000-0000DE190000}"/>
    <cellStyle name="Heading 3 2 7 3 4 2" xfId="26962" xr:uid="{00000000-0005-0000-0000-0000DF190000}"/>
    <cellStyle name="Heading 3 2 7 3 5" xfId="20289" xr:uid="{00000000-0005-0000-0000-0000E0190000}"/>
    <cellStyle name="Heading 3 2 7 4" xfId="4297" xr:uid="{00000000-0005-0000-0000-0000E1190000}"/>
    <cellStyle name="Heading 3 2 7 4 2" xfId="8336" xr:uid="{00000000-0005-0000-0000-0000E2190000}"/>
    <cellStyle name="Heading 3 2 7 4 2 2" xfId="17616" xr:uid="{00000000-0005-0000-0000-0000E3190000}"/>
    <cellStyle name="Heading 3 2 7 4 2 2 2" xfId="32448" xr:uid="{00000000-0005-0000-0000-0000E4190000}"/>
    <cellStyle name="Heading 3 2 7 4 2 3" xfId="24022" xr:uid="{00000000-0005-0000-0000-0000E5190000}"/>
    <cellStyle name="Heading 3 2 7 4 3" xfId="14628" xr:uid="{00000000-0005-0000-0000-0000E6190000}"/>
    <cellStyle name="Heading 3 2 7 4 3 2" xfId="29460" xr:uid="{00000000-0005-0000-0000-0000E7190000}"/>
    <cellStyle name="Heading 3 2 7 4 4" xfId="21619" xr:uid="{00000000-0005-0000-0000-0000E8190000}"/>
    <cellStyle name="Heading 3 2 7 5" xfId="5382" xr:uid="{00000000-0005-0000-0000-0000E9190000}"/>
    <cellStyle name="Heading 3 2 7 5 2" xfId="22143" xr:uid="{00000000-0005-0000-0000-0000EA190000}"/>
    <cellStyle name="Heading 3 2 7 6" xfId="20259" xr:uid="{00000000-0005-0000-0000-0000EB190000}"/>
    <cellStyle name="Heading 3 2 8" xfId="1074" xr:uid="{00000000-0005-0000-0000-0000EC190000}"/>
    <cellStyle name="Heading 3 2 8 2" xfId="1452" xr:uid="{00000000-0005-0000-0000-0000ED190000}"/>
    <cellStyle name="Heading 3 2 8 2 2" xfId="1953" xr:uid="{00000000-0005-0000-0000-0000EE190000}"/>
    <cellStyle name="Heading 3 2 8 2 2 2" xfId="3236" xr:uid="{00000000-0005-0000-0000-0000EF190000}"/>
    <cellStyle name="Heading 3 2 8 2 2 2 2" xfId="7300" xr:uid="{00000000-0005-0000-0000-0000F0190000}"/>
    <cellStyle name="Heading 3 2 8 2 2 2 2 2" xfId="17059" xr:uid="{00000000-0005-0000-0000-0000F1190000}"/>
    <cellStyle name="Heading 3 2 8 2 2 2 2 2 2" xfId="31891" xr:uid="{00000000-0005-0000-0000-0000F2190000}"/>
    <cellStyle name="Heading 3 2 8 2 2 2 2 3" xfId="23340" xr:uid="{00000000-0005-0000-0000-0000F3190000}"/>
    <cellStyle name="Heading 3 2 8 2 2 2 3" xfId="13573" xr:uid="{00000000-0005-0000-0000-0000F4190000}"/>
    <cellStyle name="Heading 3 2 8 2 2 2 3 2" xfId="28405" xr:uid="{00000000-0005-0000-0000-0000F5190000}"/>
    <cellStyle name="Heading 3 2 8 2 2 2 4" xfId="21028" xr:uid="{00000000-0005-0000-0000-0000F6190000}"/>
    <cellStyle name="Heading 3 2 8 2 2 3" xfId="6083" xr:uid="{00000000-0005-0000-0000-0000F7190000}"/>
    <cellStyle name="Heading 3 2 8 2 2 3 2" xfId="16270" xr:uid="{00000000-0005-0000-0000-0000F8190000}"/>
    <cellStyle name="Heading 3 2 8 2 2 3 2 2" xfId="31102" xr:uid="{00000000-0005-0000-0000-0000F9190000}"/>
    <cellStyle name="Heading 3 2 8 2 2 3 3" xfId="22616" xr:uid="{00000000-0005-0000-0000-0000FA190000}"/>
    <cellStyle name="Heading 3 2 8 2 2 4" xfId="12340" xr:uid="{00000000-0005-0000-0000-0000FB190000}"/>
    <cellStyle name="Heading 3 2 8 2 2 4 2" xfId="27172" xr:uid="{00000000-0005-0000-0000-0000FC190000}"/>
    <cellStyle name="Heading 3 2 8 2 2 5" xfId="20328" xr:uid="{00000000-0005-0000-0000-0000FD190000}"/>
    <cellStyle name="Heading 3 2 8 2 3" xfId="3714" xr:uid="{00000000-0005-0000-0000-0000FE190000}"/>
    <cellStyle name="Heading 3 2 8 2 3 2" xfId="7770" xr:uid="{00000000-0005-0000-0000-0000FF190000}"/>
    <cellStyle name="Heading 3 2 8 2 3 2 2" xfId="17331" xr:uid="{00000000-0005-0000-0000-0000001A0000}"/>
    <cellStyle name="Heading 3 2 8 2 3 2 2 2" xfId="32163" xr:uid="{00000000-0005-0000-0000-0000011A0000}"/>
    <cellStyle name="Heading 3 2 8 2 3 2 3" xfId="23651" xr:uid="{00000000-0005-0000-0000-0000021A0000}"/>
    <cellStyle name="Heading 3 2 8 2 3 3" xfId="14049" xr:uid="{00000000-0005-0000-0000-0000031A0000}"/>
    <cellStyle name="Heading 3 2 8 2 3 3 2" xfId="28881" xr:uid="{00000000-0005-0000-0000-0000041A0000}"/>
    <cellStyle name="Heading 3 2 8 2 3 4" xfId="21311" xr:uid="{00000000-0005-0000-0000-0000051A0000}"/>
    <cellStyle name="Heading 3 2 8 2 4" xfId="11869" xr:uid="{00000000-0005-0000-0000-0000061A0000}"/>
    <cellStyle name="Heading 3 2 8 2 4 2" xfId="26701" xr:uid="{00000000-0005-0000-0000-0000071A0000}"/>
    <cellStyle name="Heading 3 2 8 2 5" xfId="20267" xr:uid="{00000000-0005-0000-0000-0000081A0000}"/>
    <cellStyle name="Heading 3 2 8 3" xfId="1737" xr:uid="{00000000-0005-0000-0000-0000091A0000}"/>
    <cellStyle name="Heading 3 2 8 3 2" xfId="3253" xr:uid="{00000000-0005-0000-0000-00000A1A0000}"/>
    <cellStyle name="Heading 3 2 8 3 2 2" xfId="7317" xr:uid="{00000000-0005-0000-0000-00000B1A0000}"/>
    <cellStyle name="Heading 3 2 8 3 2 2 2" xfId="17069" xr:uid="{00000000-0005-0000-0000-00000C1A0000}"/>
    <cellStyle name="Heading 3 2 8 3 2 2 2 2" xfId="31901" xr:uid="{00000000-0005-0000-0000-00000D1A0000}"/>
    <cellStyle name="Heading 3 2 8 3 2 2 3" xfId="23355" xr:uid="{00000000-0005-0000-0000-00000E1A0000}"/>
    <cellStyle name="Heading 3 2 8 3 2 3" xfId="13590" xr:uid="{00000000-0005-0000-0000-00000F1A0000}"/>
    <cellStyle name="Heading 3 2 8 3 2 3 2" xfId="28422" xr:uid="{00000000-0005-0000-0000-0000101A0000}"/>
    <cellStyle name="Heading 3 2 8 3 2 4" xfId="21042" xr:uid="{00000000-0005-0000-0000-0000111A0000}"/>
    <cellStyle name="Heading 3 2 8 3 3" xfId="5869" xr:uid="{00000000-0005-0000-0000-0000121A0000}"/>
    <cellStyle name="Heading 3 2 8 3 3 2" xfId="16061" xr:uid="{00000000-0005-0000-0000-0000131A0000}"/>
    <cellStyle name="Heading 3 2 8 3 3 2 2" xfId="30893" xr:uid="{00000000-0005-0000-0000-0000141A0000}"/>
    <cellStyle name="Heading 3 2 8 3 3 3" xfId="22466" xr:uid="{00000000-0005-0000-0000-0000151A0000}"/>
    <cellStyle name="Heading 3 2 8 3 4" xfId="12131" xr:uid="{00000000-0005-0000-0000-0000161A0000}"/>
    <cellStyle name="Heading 3 2 8 3 4 2" xfId="26963" xr:uid="{00000000-0005-0000-0000-0000171A0000}"/>
    <cellStyle name="Heading 3 2 8 3 5" xfId="20290" xr:uid="{00000000-0005-0000-0000-0000181A0000}"/>
    <cellStyle name="Heading 3 2 8 4" xfId="3221" xr:uid="{00000000-0005-0000-0000-0000191A0000}"/>
    <cellStyle name="Heading 3 2 8 4 2" xfId="7285" xr:uid="{00000000-0005-0000-0000-00001A1A0000}"/>
    <cellStyle name="Heading 3 2 8 4 2 2" xfId="17047" xr:uid="{00000000-0005-0000-0000-00001B1A0000}"/>
    <cellStyle name="Heading 3 2 8 4 2 2 2" xfId="31879" xr:uid="{00000000-0005-0000-0000-00001C1A0000}"/>
    <cellStyle name="Heading 3 2 8 4 2 3" xfId="23329" xr:uid="{00000000-0005-0000-0000-00001D1A0000}"/>
    <cellStyle name="Heading 3 2 8 4 3" xfId="13559" xr:uid="{00000000-0005-0000-0000-00001E1A0000}"/>
    <cellStyle name="Heading 3 2 8 4 3 2" xfId="28391" xr:uid="{00000000-0005-0000-0000-00001F1A0000}"/>
    <cellStyle name="Heading 3 2 8 4 4" xfId="21018" xr:uid="{00000000-0005-0000-0000-0000201A0000}"/>
    <cellStyle name="Heading 3 2 8 5" xfId="5381" xr:uid="{00000000-0005-0000-0000-0000211A0000}"/>
    <cellStyle name="Heading 3 2 8 5 2" xfId="22142" xr:uid="{00000000-0005-0000-0000-0000221A0000}"/>
    <cellStyle name="Heading 3 2 8 6" xfId="20260" xr:uid="{00000000-0005-0000-0000-0000231A0000}"/>
    <cellStyle name="Heading 3 2 9" xfId="1454" xr:uid="{00000000-0005-0000-0000-0000241A0000}"/>
    <cellStyle name="Heading 3 2 9 2" xfId="1955" xr:uid="{00000000-0005-0000-0000-0000251A0000}"/>
    <cellStyle name="Heading 3 2 9 2 2" xfId="3209" xr:uid="{00000000-0005-0000-0000-0000261A0000}"/>
    <cellStyle name="Heading 3 2 9 2 2 2" xfId="7273" xr:uid="{00000000-0005-0000-0000-0000271A0000}"/>
    <cellStyle name="Heading 3 2 9 2 2 2 2" xfId="17040" xr:uid="{00000000-0005-0000-0000-0000281A0000}"/>
    <cellStyle name="Heading 3 2 9 2 2 2 2 2" xfId="31872" xr:uid="{00000000-0005-0000-0000-0000291A0000}"/>
    <cellStyle name="Heading 3 2 9 2 2 2 3" xfId="23320" xr:uid="{00000000-0005-0000-0000-00002A1A0000}"/>
    <cellStyle name="Heading 3 2 9 2 2 3" xfId="13547" xr:uid="{00000000-0005-0000-0000-00002B1A0000}"/>
    <cellStyle name="Heading 3 2 9 2 2 3 2" xfId="28379" xr:uid="{00000000-0005-0000-0000-00002C1A0000}"/>
    <cellStyle name="Heading 3 2 9 2 2 4" xfId="21010" xr:uid="{00000000-0005-0000-0000-00002D1A0000}"/>
    <cellStyle name="Heading 3 2 9 2 3" xfId="6085" xr:uid="{00000000-0005-0000-0000-00002E1A0000}"/>
    <cellStyle name="Heading 3 2 9 2 3 2" xfId="16272" xr:uid="{00000000-0005-0000-0000-00002F1A0000}"/>
    <cellStyle name="Heading 3 2 9 2 3 2 2" xfId="31104" xr:uid="{00000000-0005-0000-0000-0000301A0000}"/>
    <cellStyle name="Heading 3 2 9 2 3 3" xfId="22618" xr:uid="{00000000-0005-0000-0000-0000311A0000}"/>
    <cellStyle name="Heading 3 2 9 2 4" xfId="12342" xr:uid="{00000000-0005-0000-0000-0000321A0000}"/>
    <cellStyle name="Heading 3 2 9 2 4 2" xfId="27174" xr:uid="{00000000-0005-0000-0000-0000331A0000}"/>
    <cellStyle name="Heading 3 2 9 2 5" xfId="20330" xr:uid="{00000000-0005-0000-0000-0000341A0000}"/>
    <cellStyle name="Heading 3 2 9 3" xfId="3875" xr:uid="{00000000-0005-0000-0000-0000351A0000}"/>
    <cellStyle name="Heading 3 2 9 3 2" xfId="7927" xr:uid="{00000000-0005-0000-0000-0000361A0000}"/>
    <cellStyle name="Heading 3 2 9 3 2 2" xfId="17406" xr:uid="{00000000-0005-0000-0000-0000371A0000}"/>
    <cellStyle name="Heading 3 2 9 3 2 2 2" xfId="32238" xr:uid="{00000000-0005-0000-0000-0000381A0000}"/>
    <cellStyle name="Heading 3 2 9 3 2 3" xfId="23754" xr:uid="{00000000-0005-0000-0000-0000391A0000}"/>
    <cellStyle name="Heading 3 2 9 3 3" xfId="14210" xr:uid="{00000000-0005-0000-0000-00003A1A0000}"/>
    <cellStyle name="Heading 3 2 9 3 3 2" xfId="29042" xr:uid="{00000000-0005-0000-0000-00003B1A0000}"/>
    <cellStyle name="Heading 3 2 9 3 4" xfId="21396" xr:uid="{00000000-0005-0000-0000-00003C1A0000}"/>
    <cellStyle name="Heading 3 2 9 4" xfId="11871" xr:uid="{00000000-0005-0000-0000-00003D1A0000}"/>
    <cellStyle name="Heading 3 2 9 4 2" xfId="26703" xr:uid="{00000000-0005-0000-0000-00003E1A0000}"/>
    <cellStyle name="Heading 3 2 9 5" xfId="20269" xr:uid="{00000000-0005-0000-0000-00003F1A0000}"/>
    <cellStyle name="Heading 3 3" xfId="1075" xr:uid="{00000000-0005-0000-0000-0000401A0000}"/>
    <cellStyle name="Heading 3 3 2" xfId="1461" xr:uid="{00000000-0005-0000-0000-0000411A0000}"/>
    <cellStyle name="Heading 3 3 2 2" xfId="1962" xr:uid="{00000000-0005-0000-0000-0000421A0000}"/>
    <cellStyle name="Heading 3 3 2 2 2" xfId="3250" xr:uid="{00000000-0005-0000-0000-0000431A0000}"/>
    <cellStyle name="Heading 3 3 2 2 2 2" xfId="7314" xr:uid="{00000000-0005-0000-0000-0000441A0000}"/>
    <cellStyle name="Heading 3 3 2 2 2 2 2" xfId="17068" xr:uid="{00000000-0005-0000-0000-0000451A0000}"/>
    <cellStyle name="Heading 3 3 2 2 2 2 2 2" xfId="31900" xr:uid="{00000000-0005-0000-0000-0000461A0000}"/>
    <cellStyle name="Heading 3 3 2 2 2 2 3" xfId="23352" xr:uid="{00000000-0005-0000-0000-0000471A0000}"/>
    <cellStyle name="Heading 3 3 2 2 2 3" xfId="13587" xr:uid="{00000000-0005-0000-0000-0000481A0000}"/>
    <cellStyle name="Heading 3 3 2 2 2 3 2" xfId="28419" xr:uid="{00000000-0005-0000-0000-0000491A0000}"/>
    <cellStyle name="Heading 3 3 2 2 2 4" xfId="21039" xr:uid="{00000000-0005-0000-0000-00004A1A0000}"/>
    <cellStyle name="Heading 3 3 2 2 3" xfId="6092" xr:uid="{00000000-0005-0000-0000-00004B1A0000}"/>
    <cellStyle name="Heading 3 3 2 2 3 2" xfId="16279" xr:uid="{00000000-0005-0000-0000-00004C1A0000}"/>
    <cellStyle name="Heading 3 3 2 2 3 2 2" xfId="31111" xr:uid="{00000000-0005-0000-0000-00004D1A0000}"/>
    <cellStyle name="Heading 3 3 2 2 3 3" xfId="22625" xr:uid="{00000000-0005-0000-0000-00004E1A0000}"/>
    <cellStyle name="Heading 3 3 2 2 4" xfId="12349" xr:uid="{00000000-0005-0000-0000-00004F1A0000}"/>
    <cellStyle name="Heading 3 3 2 2 4 2" xfId="27181" xr:uid="{00000000-0005-0000-0000-0000501A0000}"/>
    <cellStyle name="Heading 3 3 2 2 5" xfId="20337" xr:uid="{00000000-0005-0000-0000-0000511A0000}"/>
    <cellStyle name="Heading 3 3 2 3" xfId="3170" xr:uid="{00000000-0005-0000-0000-0000521A0000}"/>
    <cellStyle name="Heading 3 3 2 3 2" xfId="7234" xr:uid="{00000000-0005-0000-0000-0000531A0000}"/>
    <cellStyle name="Heading 3 3 2 3 2 2" xfId="17010" xr:uid="{00000000-0005-0000-0000-0000541A0000}"/>
    <cellStyle name="Heading 3 3 2 3 2 2 2" xfId="31842" xr:uid="{00000000-0005-0000-0000-0000551A0000}"/>
    <cellStyle name="Heading 3 3 2 3 2 3" xfId="23294" xr:uid="{00000000-0005-0000-0000-0000561A0000}"/>
    <cellStyle name="Heading 3 3 2 3 3" xfId="13508" xr:uid="{00000000-0005-0000-0000-0000571A0000}"/>
    <cellStyle name="Heading 3 3 2 3 3 2" xfId="28340" xr:uid="{00000000-0005-0000-0000-0000581A0000}"/>
    <cellStyle name="Heading 3 3 2 3 4" xfId="20985" xr:uid="{00000000-0005-0000-0000-0000591A0000}"/>
    <cellStyle name="Heading 3 3 2 4" xfId="11878" xr:uid="{00000000-0005-0000-0000-00005A1A0000}"/>
    <cellStyle name="Heading 3 3 2 4 2" xfId="26710" xr:uid="{00000000-0005-0000-0000-00005B1A0000}"/>
    <cellStyle name="Heading 3 3 2 5" xfId="20276" xr:uid="{00000000-0005-0000-0000-00005C1A0000}"/>
    <cellStyle name="Heading 3 3 3" xfId="1738" xr:uid="{00000000-0005-0000-0000-00005D1A0000}"/>
    <cellStyle name="Heading 3 3 3 2" xfId="3138" xr:uid="{00000000-0005-0000-0000-00005E1A0000}"/>
    <cellStyle name="Heading 3 3 3 2 2" xfId="7202" xr:uid="{00000000-0005-0000-0000-00005F1A0000}"/>
    <cellStyle name="Heading 3 3 3 2 2 2" xfId="16987" xr:uid="{00000000-0005-0000-0000-0000601A0000}"/>
    <cellStyle name="Heading 3 3 3 2 2 2 2" xfId="31819" xr:uid="{00000000-0005-0000-0000-0000611A0000}"/>
    <cellStyle name="Heading 3 3 3 2 2 3" xfId="23274" xr:uid="{00000000-0005-0000-0000-0000621A0000}"/>
    <cellStyle name="Heading 3 3 3 2 3" xfId="13476" xr:uid="{00000000-0005-0000-0000-0000631A0000}"/>
    <cellStyle name="Heading 3 3 3 2 3 2" xfId="28308" xr:uid="{00000000-0005-0000-0000-0000641A0000}"/>
    <cellStyle name="Heading 3 3 3 2 4" xfId="20965" xr:uid="{00000000-0005-0000-0000-0000651A0000}"/>
    <cellStyle name="Heading 3 3 3 3" xfId="5870" xr:uid="{00000000-0005-0000-0000-0000661A0000}"/>
    <cellStyle name="Heading 3 3 3 3 2" xfId="16062" xr:uid="{00000000-0005-0000-0000-0000671A0000}"/>
    <cellStyle name="Heading 3 3 3 3 2 2" xfId="30894" xr:uid="{00000000-0005-0000-0000-0000681A0000}"/>
    <cellStyle name="Heading 3 3 3 3 3" xfId="22467" xr:uid="{00000000-0005-0000-0000-0000691A0000}"/>
    <cellStyle name="Heading 3 3 3 4" xfId="12132" xr:uid="{00000000-0005-0000-0000-00006A1A0000}"/>
    <cellStyle name="Heading 3 3 3 4 2" xfId="26964" xr:uid="{00000000-0005-0000-0000-00006B1A0000}"/>
    <cellStyle name="Heading 3 3 3 5" xfId="20291" xr:uid="{00000000-0005-0000-0000-00006C1A0000}"/>
    <cellStyle name="Heading 3 3 4" xfId="3161" xr:uid="{00000000-0005-0000-0000-00006D1A0000}"/>
    <cellStyle name="Heading 3 3 4 2" xfId="7225" xr:uid="{00000000-0005-0000-0000-00006E1A0000}"/>
    <cellStyle name="Heading 3 3 4 2 2" xfId="17003" xr:uid="{00000000-0005-0000-0000-00006F1A0000}"/>
    <cellStyle name="Heading 3 3 4 2 2 2" xfId="31835" xr:uid="{00000000-0005-0000-0000-0000701A0000}"/>
    <cellStyle name="Heading 3 3 4 2 3" xfId="23289" xr:uid="{00000000-0005-0000-0000-0000711A0000}"/>
    <cellStyle name="Heading 3 3 4 3" xfId="13499" xr:uid="{00000000-0005-0000-0000-0000721A0000}"/>
    <cellStyle name="Heading 3 3 4 3 2" xfId="28331" xr:uid="{00000000-0005-0000-0000-0000731A0000}"/>
    <cellStyle name="Heading 3 3 4 4" xfId="20980" xr:uid="{00000000-0005-0000-0000-0000741A0000}"/>
    <cellStyle name="Heading 3 3 5" xfId="5380" xr:uid="{00000000-0005-0000-0000-0000751A0000}"/>
    <cellStyle name="Heading 3 3 5 2" xfId="22141" xr:uid="{00000000-0005-0000-0000-0000761A0000}"/>
    <cellStyle name="Heading 3 3 6" xfId="20261" xr:uid="{00000000-0005-0000-0000-0000771A0000}"/>
    <cellStyle name="Heading 3 4" xfId="1076" xr:uid="{00000000-0005-0000-0000-0000781A0000}"/>
    <cellStyle name="Heading 3 4 2" xfId="1462" xr:uid="{00000000-0005-0000-0000-0000791A0000}"/>
    <cellStyle name="Heading 3 4 2 2" xfId="1963" xr:uid="{00000000-0005-0000-0000-00007A1A0000}"/>
    <cellStyle name="Heading 3 4 2 2 2" xfId="3134" xr:uid="{00000000-0005-0000-0000-00007B1A0000}"/>
    <cellStyle name="Heading 3 4 2 2 2 2" xfId="7198" xr:uid="{00000000-0005-0000-0000-00007C1A0000}"/>
    <cellStyle name="Heading 3 4 2 2 2 2 2" xfId="16986" xr:uid="{00000000-0005-0000-0000-00007D1A0000}"/>
    <cellStyle name="Heading 3 4 2 2 2 2 2 2" xfId="31818" xr:uid="{00000000-0005-0000-0000-00007E1A0000}"/>
    <cellStyle name="Heading 3 4 2 2 2 2 3" xfId="23270" xr:uid="{00000000-0005-0000-0000-00007F1A0000}"/>
    <cellStyle name="Heading 3 4 2 2 2 3" xfId="13472" xr:uid="{00000000-0005-0000-0000-0000801A0000}"/>
    <cellStyle name="Heading 3 4 2 2 2 3 2" xfId="28304" xr:uid="{00000000-0005-0000-0000-0000811A0000}"/>
    <cellStyle name="Heading 3 4 2 2 2 4" xfId="20961" xr:uid="{00000000-0005-0000-0000-0000821A0000}"/>
    <cellStyle name="Heading 3 4 2 2 3" xfId="6093" xr:uid="{00000000-0005-0000-0000-0000831A0000}"/>
    <cellStyle name="Heading 3 4 2 2 3 2" xfId="16280" xr:uid="{00000000-0005-0000-0000-0000841A0000}"/>
    <cellStyle name="Heading 3 4 2 2 3 2 2" xfId="31112" xr:uid="{00000000-0005-0000-0000-0000851A0000}"/>
    <cellStyle name="Heading 3 4 2 2 3 3" xfId="22626" xr:uid="{00000000-0005-0000-0000-0000861A0000}"/>
    <cellStyle name="Heading 3 4 2 2 4" xfId="12350" xr:uid="{00000000-0005-0000-0000-0000871A0000}"/>
    <cellStyle name="Heading 3 4 2 2 4 2" xfId="27182" xr:uid="{00000000-0005-0000-0000-0000881A0000}"/>
    <cellStyle name="Heading 3 4 2 2 5" xfId="20338" xr:uid="{00000000-0005-0000-0000-0000891A0000}"/>
    <cellStyle name="Heading 3 4 2 3" xfId="3287" xr:uid="{00000000-0005-0000-0000-00008A1A0000}"/>
    <cellStyle name="Heading 3 4 2 3 2" xfId="7351" xr:uid="{00000000-0005-0000-0000-00008B1A0000}"/>
    <cellStyle name="Heading 3 4 2 3 2 2" xfId="17093" xr:uid="{00000000-0005-0000-0000-00008C1A0000}"/>
    <cellStyle name="Heading 3 4 2 3 2 2 2" xfId="31925" xr:uid="{00000000-0005-0000-0000-00008D1A0000}"/>
    <cellStyle name="Heading 3 4 2 3 2 3" xfId="23378" xr:uid="{00000000-0005-0000-0000-00008E1A0000}"/>
    <cellStyle name="Heading 3 4 2 3 3" xfId="13624" xr:uid="{00000000-0005-0000-0000-00008F1A0000}"/>
    <cellStyle name="Heading 3 4 2 3 3 2" xfId="28456" xr:uid="{00000000-0005-0000-0000-0000901A0000}"/>
    <cellStyle name="Heading 3 4 2 3 4" xfId="21065" xr:uid="{00000000-0005-0000-0000-0000911A0000}"/>
    <cellStyle name="Heading 3 4 2 4" xfId="11879" xr:uid="{00000000-0005-0000-0000-0000921A0000}"/>
    <cellStyle name="Heading 3 4 2 4 2" xfId="26711" xr:uid="{00000000-0005-0000-0000-0000931A0000}"/>
    <cellStyle name="Heading 3 4 2 5" xfId="20277" xr:uid="{00000000-0005-0000-0000-0000941A0000}"/>
    <cellStyle name="Heading 3 4 3" xfId="1739" xr:uid="{00000000-0005-0000-0000-0000951A0000}"/>
    <cellStyle name="Heading 3 4 3 2" xfId="3246" xr:uid="{00000000-0005-0000-0000-0000961A0000}"/>
    <cellStyle name="Heading 3 4 3 2 2" xfId="7310" xr:uid="{00000000-0005-0000-0000-0000971A0000}"/>
    <cellStyle name="Heading 3 4 3 2 2 2" xfId="17065" xr:uid="{00000000-0005-0000-0000-0000981A0000}"/>
    <cellStyle name="Heading 3 4 3 2 2 2 2" xfId="31897" xr:uid="{00000000-0005-0000-0000-0000991A0000}"/>
    <cellStyle name="Heading 3 4 3 2 2 3" xfId="23349" xr:uid="{00000000-0005-0000-0000-00009A1A0000}"/>
    <cellStyle name="Heading 3 4 3 2 3" xfId="13583" xr:uid="{00000000-0005-0000-0000-00009B1A0000}"/>
    <cellStyle name="Heading 3 4 3 2 3 2" xfId="28415" xr:uid="{00000000-0005-0000-0000-00009C1A0000}"/>
    <cellStyle name="Heading 3 4 3 2 4" xfId="21036" xr:uid="{00000000-0005-0000-0000-00009D1A0000}"/>
    <cellStyle name="Heading 3 4 3 3" xfId="5871" xr:uid="{00000000-0005-0000-0000-00009E1A0000}"/>
    <cellStyle name="Heading 3 4 3 3 2" xfId="16063" xr:uid="{00000000-0005-0000-0000-00009F1A0000}"/>
    <cellStyle name="Heading 3 4 3 3 2 2" xfId="30895" xr:uid="{00000000-0005-0000-0000-0000A01A0000}"/>
    <cellStyle name="Heading 3 4 3 3 3" xfId="22468" xr:uid="{00000000-0005-0000-0000-0000A11A0000}"/>
    <cellStyle name="Heading 3 4 3 4" xfId="12133" xr:uid="{00000000-0005-0000-0000-0000A21A0000}"/>
    <cellStyle name="Heading 3 4 3 4 2" xfId="26965" xr:uid="{00000000-0005-0000-0000-0000A31A0000}"/>
    <cellStyle name="Heading 3 4 3 5" xfId="20292" xr:uid="{00000000-0005-0000-0000-0000A41A0000}"/>
    <cellStyle name="Heading 3 4 4" xfId="3278" xr:uid="{00000000-0005-0000-0000-0000A51A0000}"/>
    <cellStyle name="Heading 3 4 4 2" xfId="7342" xr:uid="{00000000-0005-0000-0000-0000A61A0000}"/>
    <cellStyle name="Heading 3 4 4 2 2" xfId="17086" xr:uid="{00000000-0005-0000-0000-0000A71A0000}"/>
    <cellStyle name="Heading 3 4 4 2 2 2" xfId="31918" xr:uid="{00000000-0005-0000-0000-0000A81A0000}"/>
    <cellStyle name="Heading 3 4 4 2 3" xfId="23372" xr:uid="{00000000-0005-0000-0000-0000A91A0000}"/>
    <cellStyle name="Heading 3 4 4 3" xfId="13615" xr:uid="{00000000-0005-0000-0000-0000AA1A0000}"/>
    <cellStyle name="Heading 3 4 4 3 2" xfId="28447" xr:uid="{00000000-0005-0000-0000-0000AB1A0000}"/>
    <cellStyle name="Heading 3 4 4 4" xfId="21059" xr:uid="{00000000-0005-0000-0000-0000AC1A0000}"/>
    <cellStyle name="Heading 3 4 5" xfId="5379" xr:uid="{00000000-0005-0000-0000-0000AD1A0000}"/>
    <cellStyle name="Heading 3 4 5 2" xfId="22140" xr:uid="{00000000-0005-0000-0000-0000AE1A0000}"/>
    <cellStyle name="Heading 3 4 6" xfId="20262" xr:uid="{00000000-0005-0000-0000-0000AF1A0000}"/>
    <cellStyle name="Heading 3 5" xfId="1077" xr:uid="{00000000-0005-0000-0000-0000B01A0000}"/>
    <cellStyle name="Heading 3 5 2" xfId="1463" xr:uid="{00000000-0005-0000-0000-0000B11A0000}"/>
    <cellStyle name="Heading 3 5 2 2" xfId="1964" xr:uid="{00000000-0005-0000-0000-0000B21A0000}"/>
    <cellStyle name="Heading 3 5 2 2 2" xfId="3244" xr:uid="{00000000-0005-0000-0000-0000B31A0000}"/>
    <cellStyle name="Heading 3 5 2 2 2 2" xfId="7308" xr:uid="{00000000-0005-0000-0000-0000B41A0000}"/>
    <cellStyle name="Heading 3 5 2 2 2 2 2" xfId="17064" xr:uid="{00000000-0005-0000-0000-0000B51A0000}"/>
    <cellStyle name="Heading 3 5 2 2 2 2 2 2" xfId="31896" xr:uid="{00000000-0005-0000-0000-0000B61A0000}"/>
    <cellStyle name="Heading 3 5 2 2 2 2 3" xfId="23347" xr:uid="{00000000-0005-0000-0000-0000B71A0000}"/>
    <cellStyle name="Heading 3 5 2 2 2 3" xfId="13581" xr:uid="{00000000-0005-0000-0000-0000B81A0000}"/>
    <cellStyle name="Heading 3 5 2 2 2 3 2" xfId="28413" xr:uid="{00000000-0005-0000-0000-0000B91A0000}"/>
    <cellStyle name="Heading 3 5 2 2 2 4" xfId="21034" xr:uid="{00000000-0005-0000-0000-0000BA1A0000}"/>
    <cellStyle name="Heading 3 5 2 2 3" xfId="6094" xr:uid="{00000000-0005-0000-0000-0000BB1A0000}"/>
    <cellStyle name="Heading 3 5 2 2 3 2" xfId="16281" xr:uid="{00000000-0005-0000-0000-0000BC1A0000}"/>
    <cellStyle name="Heading 3 5 2 2 3 2 2" xfId="31113" xr:uid="{00000000-0005-0000-0000-0000BD1A0000}"/>
    <cellStyle name="Heading 3 5 2 2 3 3" xfId="22627" xr:uid="{00000000-0005-0000-0000-0000BE1A0000}"/>
    <cellStyle name="Heading 3 5 2 2 4" xfId="12351" xr:uid="{00000000-0005-0000-0000-0000BF1A0000}"/>
    <cellStyle name="Heading 3 5 2 2 4 2" xfId="27183" xr:uid="{00000000-0005-0000-0000-0000C01A0000}"/>
    <cellStyle name="Heading 3 5 2 2 5" xfId="20339" xr:uid="{00000000-0005-0000-0000-0000C11A0000}"/>
    <cellStyle name="Heading 3 5 2 3" xfId="4284" xr:uid="{00000000-0005-0000-0000-0000C21A0000}"/>
    <cellStyle name="Heading 3 5 2 3 2" xfId="8323" xr:uid="{00000000-0005-0000-0000-0000C31A0000}"/>
    <cellStyle name="Heading 3 5 2 3 2 2" xfId="17605" xr:uid="{00000000-0005-0000-0000-0000C41A0000}"/>
    <cellStyle name="Heading 3 5 2 3 2 2 2" xfId="32437" xr:uid="{00000000-0005-0000-0000-0000C51A0000}"/>
    <cellStyle name="Heading 3 5 2 3 2 3" xfId="24013" xr:uid="{00000000-0005-0000-0000-0000C61A0000}"/>
    <cellStyle name="Heading 3 5 2 3 3" xfId="14616" xr:uid="{00000000-0005-0000-0000-0000C71A0000}"/>
    <cellStyle name="Heading 3 5 2 3 3 2" xfId="29448" xr:uid="{00000000-0005-0000-0000-0000C81A0000}"/>
    <cellStyle name="Heading 3 5 2 3 4" xfId="21611" xr:uid="{00000000-0005-0000-0000-0000C91A0000}"/>
    <cellStyle name="Heading 3 5 2 4" xfId="11880" xr:uid="{00000000-0005-0000-0000-0000CA1A0000}"/>
    <cellStyle name="Heading 3 5 2 4 2" xfId="26712" xr:uid="{00000000-0005-0000-0000-0000CB1A0000}"/>
    <cellStyle name="Heading 3 5 2 5" xfId="20278" xr:uid="{00000000-0005-0000-0000-0000CC1A0000}"/>
    <cellStyle name="Heading 3 5 3" xfId="1740" xr:uid="{00000000-0005-0000-0000-0000CD1A0000}"/>
    <cellStyle name="Heading 3 5 3 2" xfId="3128" xr:uid="{00000000-0005-0000-0000-0000CE1A0000}"/>
    <cellStyle name="Heading 3 5 3 2 2" xfId="7192" xr:uid="{00000000-0005-0000-0000-0000CF1A0000}"/>
    <cellStyle name="Heading 3 5 3 2 2 2" xfId="16983" xr:uid="{00000000-0005-0000-0000-0000D01A0000}"/>
    <cellStyle name="Heading 3 5 3 2 2 2 2" xfId="31815" xr:uid="{00000000-0005-0000-0000-0000D11A0000}"/>
    <cellStyle name="Heading 3 5 3 2 2 3" xfId="23265" xr:uid="{00000000-0005-0000-0000-0000D21A0000}"/>
    <cellStyle name="Heading 3 5 3 2 3" xfId="13466" xr:uid="{00000000-0005-0000-0000-0000D31A0000}"/>
    <cellStyle name="Heading 3 5 3 2 3 2" xfId="28298" xr:uid="{00000000-0005-0000-0000-0000D41A0000}"/>
    <cellStyle name="Heading 3 5 3 2 4" xfId="20956" xr:uid="{00000000-0005-0000-0000-0000D51A0000}"/>
    <cellStyle name="Heading 3 5 3 3" xfId="5872" xr:uid="{00000000-0005-0000-0000-0000D61A0000}"/>
    <cellStyle name="Heading 3 5 3 3 2" xfId="16064" xr:uid="{00000000-0005-0000-0000-0000D71A0000}"/>
    <cellStyle name="Heading 3 5 3 3 2 2" xfId="30896" xr:uid="{00000000-0005-0000-0000-0000D81A0000}"/>
    <cellStyle name="Heading 3 5 3 3 3" xfId="22469" xr:uid="{00000000-0005-0000-0000-0000D91A0000}"/>
    <cellStyle name="Heading 3 5 3 4" xfId="12134" xr:uid="{00000000-0005-0000-0000-0000DA1A0000}"/>
    <cellStyle name="Heading 3 5 3 4 2" xfId="26966" xr:uid="{00000000-0005-0000-0000-0000DB1A0000}"/>
    <cellStyle name="Heading 3 5 3 5" xfId="20293" xr:uid="{00000000-0005-0000-0000-0000DC1A0000}"/>
    <cellStyle name="Heading 3 5 4" xfId="3180" xr:uid="{00000000-0005-0000-0000-0000DD1A0000}"/>
    <cellStyle name="Heading 3 5 4 2" xfId="7244" xr:uid="{00000000-0005-0000-0000-0000DE1A0000}"/>
    <cellStyle name="Heading 3 5 4 2 2" xfId="17016" xr:uid="{00000000-0005-0000-0000-0000DF1A0000}"/>
    <cellStyle name="Heading 3 5 4 2 2 2" xfId="31848" xr:uid="{00000000-0005-0000-0000-0000E01A0000}"/>
    <cellStyle name="Heading 3 5 4 2 3" xfId="23302" xr:uid="{00000000-0005-0000-0000-0000E11A0000}"/>
    <cellStyle name="Heading 3 5 4 3" xfId="13518" xr:uid="{00000000-0005-0000-0000-0000E21A0000}"/>
    <cellStyle name="Heading 3 5 4 3 2" xfId="28350" xr:uid="{00000000-0005-0000-0000-0000E31A0000}"/>
    <cellStyle name="Heading 3 5 4 4" xfId="20992" xr:uid="{00000000-0005-0000-0000-0000E41A0000}"/>
    <cellStyle name="Heading 3 5 5" xfId="5378" xr:uid="{00000000-0005-0000-0000-0000E51A0000}"/>
    <cellStyle name="Heading 3 5 5 2" xfId="22139" xr:uid="{00000000-0005-0000-0000-0000E61A0000}"/>
    <cellStyle name="Heading 3 5 6" xfId="20263" xr:uid="{00000000-0005-0000-0000-0000E71A0000}"/>
    <cellStyle name="Heading 3 6" xfId="1078" xr:uid="{00000000-0005-0000-0000-0000E81A0000}"/>
    <cellStyle name="Heading 3 6 2" xfId="1464" xr:uid="{00000000-0005-0000-0000-0000E91A0000}"/>
    <cellStyle name="Heading 3 6 2 2" xfId="1965" xr:uid="{00000000-0005-0000-0000-0000EA1A0000}"/>
    <cellStyle name="Heading 3 6 2 2 2" xfId="3126" xr:uid="{00000000-0005-0000-0000-0000EB1A0000}"/>
    <cellStyle name="Heading 3 6 2 2 2 2" xfId="7190" xr:uid="{00000000-0005-0000-0000-0000EC1A0000}"/>
    <cellStyle name="Heading 3 6 2 2 2 2 2" xfId="16982" xr:uid="{00000000-0005-0000-0000-0000ED1A0000}"/>
    <cellStyle name="Heading 3 6 2 2 2 2 2 2" xfId="31814" xr:uid="{00000000-0005-0000-0000-0000EE1A0000}"/>
    <cellStyle name="Heading 3 6 2 2 2 2 3" xfId="23263" xr:uid="{00000000-0005-0000-0000-0000EF1A0000}"/>
    <cellStyle name="Heading 3 6 2 2 2 3" xfId="13464" xr:uid="{00000000-0005-0000-0000-0000F01A0000}"/>
    <cellStyle name="Heading 3 6 2 2 2 3 2" xfId="28296" xr:uid="{00000000-0005-0000-0000-0000F11A0000}"/>
    <cellStyle name="Heading 3 6 2 2 2 4" xfId="20954" xr:uid="{00000000-0005-0000-0000-0000F21A0000}"/>
    <cellStyle name="Heading 3 6 2 2 3" xfId="6095" xr:uid="{00000000-0005-0000-0000-0000F31A0000}"/>
    <cellStyle name="Heading 3 6 2 2 3 2" xfId="16282" xr:uid="{00000000-0005-0000-0000-0000F41A0000}"/>
    <cellStyle name="Heading 3 6 2 2 3 2 2" xfId="31114" xr:uid="{00000000-0005-0000-0000-0000F51A0000}"/>
    <cellStyle name="Heading 3 6 2 2 3 3" xfId="22628" xr:uid="{00000000-0005-0000-0000-0000F61A0000}"/>
    <cellStyle name="Heading 3 6 2 2 4" xfId="12352" xr:uid="{00000000-0005-0000-0000-0000F71A0000}"/>
    <cellStyle name="Heading 3 6 2 2 4 2" xfId="27184" xr:uid="{00000000-0005-0000-0000-0000F81A0000}"/>
    <cellStyle name="Heading 3 6 2 2 5" xfId="20340" xr:uid="{00000000-0005-0000-0000-0000F91A0000}"/>
    <cellStyle name="Heading 3 6 2 3" xfId="4281" xr:uid="{00000000-0005-0000-0000-0000FA1A0000}"/>
    <cellStyle name="Heading 3 6 2 3 2" xfId="8320" xr:uid="{00000000-0005-0000-0000-0000FB1A0000}"/>
    <cellStyle name="Heading 3 6 2 3 2 2" xfId="17603" xr:uid="{00000000-0005-0000-0000-0000FC1A0000}"/>
    <cellStyle name="Heading 3 6 2 3 2 2 2" xfId="32435" xr:uid="{00000000-0005-0000-0000-0000FD1A0000}"/>
    <cellStyle name="Heading 3 6 2 3 2 3" xfId="24011" xr:uid="{00000000-0005-0000-0000-0000FE1A0000}"/>
    <cellStyle name="Heading 3 6 2 3 3" xfId="14613" xr:uid="{00000000-0005-0000-0000-0000FF1A0000}"/>
    <cellStyle name="Heading 3 6 2 3 3 2" xfId="29445" xr:uid="{00000000-0005-0000-0000-0000001B0000}"/>
    <cellStyle name="Heading 3 6 2 3 4" xfId="21610" xr:uid="{00000000-0005-0000-0000-0000011B0000}"/>
    <cellStyle name="Heading 3 6 2 4" xfId="11881" xr:uid="{00000000-0005-0000-0000-0000021B0000}"/>
    <cellStyle name="Heading 3 6 2 4 2" xfId="26713" xr:uid="{00000000-0005-0000-0000-0000031B0000}"/>
    <cellStyle name="Heading 3 6 2 5" xfId="20279" xr:uid="{00000000-0005-0000-0000-0000041B0000}"/>
    <cellStyle name="Heading 3 6 3" xfId="1741" xr:uid="{00000000-0005-0000-0000-0000051B0000}"/>
    <cellStyle name="Heading 3 6 3 2" xfId="3237" xr:uid="{00000000-0005-0000-0000-0000061B0000}"/>
    <cellStyle name="Heading 3 6 3 2 2" xfId="7301" xr:uid="{00000000-0005-0000-0000-0000071B0000}"/>
    <cellStyle name="Heading 3 6 3 2 2 2" xfId="17060" xr:uid="{00000000-0005-0000-0000-0000081B0000}"/>
    <cellStyle name="Heading 3 6 3 2 2 2 2" xfId="31892" xr:uid="{00000000-0005-0000-0000-0000091B0000}"/>
    <cellStyle name="Heading 3 6 3 2 2 3" xfId="23341" xr:uid="{00000000-0005-0000-0000-00000A1B0000}"/>
    <cellStyle name="Heading 3 6 3 2 3" xfId="13574" xr:uid="{00000000-0005-0000-0000-00000B1B0000}"/>
    <cellStyle name="Heading 3 6 3 2 3 2" xfId="28406" xr:uid="{00000000-0005-0000-0000-00000C1B0000}"/>
    <cellStyle name="Heading 3 6 3 2 4" xfId="21029" xr:uid="{00000000-0005-0000-0000-00000D1B0000}"/>
    <cellStyle name="Heading 3 6 3 3" xfId="5873" xr:uid="{00000000-0005-0000-0000-00000E1B0000}"/>
    <cellStyle name="Heading 3 6 3 3 2" xfId="16065" xr:uid="{00000000-0005-0000-0000-00000F1B0000}"/>
    <cellStyle name="Heading 3 6 3 3 2 2" xfId="30897" xr:uid="{00000000-0005-0000-0000-0000101B0000}"/>
    <cellStyle name="Heading 3 6 3 3 3" xfId="22470" xr:uid="{00000000-0005-0000-0000-0000111B0000}"/>
    <cellStyle name="Heading 3 6 3 4" xfId="12135" xr:uid="{00000000-0005-0000-0000-0000121B0000}"/>
    <cellStyle name="Heading 3 6 3 4 2" xfId="26967" xr:uid="{00000000-0005-0000-0000-0000131B0000}"/>
    <cellStyle name="Heading 3 6 3 5" xfId="20294" xr:uid="{00000000-0005-0000-0000-0000141B0000}"/>
    <cellStyle name="Heading 3 6 4" xfId="3296" xr:uid="{00000000-0005-0000-0000-0000151B0000}"/>
    <cellStyle name="Heading 3 6 4 2" xfId="7360" xr:uid="{00000000-0005-0000-0000-0000161B0000}"/>
    <cellStyle name="Heading 3 6 4 2 2" xfId="17101" xr:uid="{00000000-0005-0000-0000-0000171B0000}"/>
    <cellStyle name="Heading 3 6 4 2 2 2" xfId="31933" xr:uid="{00000000-0005-0000-0000-0000181B0000}"/>
    <cellStyle name="Heading 3 6 4 2 3" xfId="23383" xr:uid="{00000000-0005-0000-0000-0000191B0000}"/>
    <cellStyle name="Heading 3 6 4 3" xfId="13633" xr:uid="{00000000-0005-0000-0000-00001A1B0000}"/>
    <cellStyle name="Heading 3 6 4 3 2" xfId="28465" xr:uid="{00000000-0005-0000-0000-00001B1B0000}"/>
    <cellStyle name="Heading 3 6 4 4" xfId="21070" xr:uid="{00000000-0005-0000-0000-00001C1B0000}"/>
    <cellStyle name="Heading 3 6 5" xfId="5377" xr:uid="{00000000-0005-0000-0000-00001D1B0000}"/>
    <cellStyle name="Heading 3 6 5 2" xfId="22138" xr:uid="{00000000-0005-0000-0000-00001E1B0000}"/>
    <cellStyle name="Heading 3 6 6" xfId="20264" xr:uid="{00000000-0005-0000-0000-00001F1B0000}"/>
    <cellStyle name="Heading 3 7" xfId="1079" xr:uid="{00000000-0005-0000-0000-0000201B0000}"/>
    <cellStyle name="Heading 3 7 2" xfId="1465" xr:uid="{00000000-0005-0000-0000-0000211B0000}"/>
    <cellStyle name="Heading 3 7 2 2" xfId="1966" xr:uid="{00000000-0005-0000-0000-0000221B0000}"/>
    <cellStyle name="Heading 3 7 2 2 2" xfId="3235" xr:uid="{00000000-0005-0000-0000-0000231B0000}"/>
    <cellStyle name="Heading 3 7 2 2 2 2" xfId="7299" xr:uid="{00000000-0005-0000-0000-0000241B0000}"/>
    <cellStyle name="Heading 3 7 2 2 2 2 2" xfId="17058" xr:uid="{00000000-0005-0000-0000-0000251B0000}"/>
    <cellStyle name="Heading 3 7 2 2 2 2 2 2" xfId="31890" xr:uid="{00000000-0005-0000-0000-0000261B0000}"/>
    <cellStyle name="Heading 3 7 2 2 2 2 3" xfId="23339" xr:uid="{00000000-0005-0000-0000-0000271B0000}"/>
    <cellStyle name="Heading 3 7 2 2 2 3" xfId="13572" xr:uid="{00000000-0005-0000-0000-0000281B0000}"/>
    <cellStyle name="Heading 3 7 2 2 2 3 2" xfId="28404" xr:uid="{00000000-0005-0000-0000-0000291B0000}"/>
    <cellStyle name="Heading 3 7 2 2 2 4" xfId="21027" xr:uid="{00000000-0005-0000-0000-00002A1B0000}"/>
    <cellStyle name="Heading 3 7 2 2 3" xfId="6096" xr:uid="{00000000-0005-0000-0000-00002B1B0000}"/>
    <cellStyle name="Heading 3 7 2 2 3 2" xfId="16283" xr:uid="{00000000-0005-0000-0000-00002C1B0000}"/>
    <cellStyle name="Heading 3 7 2 2 3 2 2" xfId="31115" xr:uid="{00000000-0005-0000-0000-00002D1B0000}"/>
    <cellStyle name="Heading 3 7 2 2 3 3" xfId="22629" xr:uid="{00000000-0005-0000-0000-00002E1B0000}"/>
    <cellStyle name="Heading 3 7 2 2 4" xfId="12353" xr:uid="{00000000-0005-0000-0000-00002F1B0000}"/>
    <cellStyle name="Heading 3 7 2 2 4 2" xfId="27185" xr:uid="{00000000-0005-0000-0000-0000301B0000}"/>
    <cellStyle name="Heading 3 7 2 2 5" xfId="20341" xr:uid="{00000000-0005-0000-0000-0000311B0000}"/>
    <cellStyle name="Heading 3 7 2 3" xfId="3231" xr:uid="{00000000-0005-0000-0000-0000321B0000}"/>
    <cellStyle name="Heading 3 7 2 3 2" xfId="7295" xr:uid="{00000000-0005-0000-0000-0000331B0000}"/>
    <cellStyle name="Heading 3 7 2 3 2 2" xfId="17055" xr:uid="{00000000-0005-0000-0000-0000341B0000}"/>
    <cellStyle name="Heading 3 7 2 3 2 2 2" xfId="31887" xr:uid="{00000000-0005-0000-0000-0000351B0000}"/>
    <cellStyle name="Heading 3 7 2 3 2 3" xfId="23335" xr:uid="{00000000-0005-0000-0000-0000361B0000}"/>
    <cellStyle name="Heading 3 7 2 3 3" xfId="13569" xr:uid="{00000000-0005-0000-0000-0000371B0000}"/>
    <cellStyle name="Heading 3 7 2 3 3 2" xfId="28401" xr:uid="{00000000-0005-0000-0000-0000381B0000}"/>
    <cellStyle name="Heading 3 7 2 3 4" xfId="21024" xr:uid="{00000000-0005-0000-0000-0000391B0000}"/>
    <cellStyle name="Heading 3 7 2 4" xfId="11882" xr:uid="{00000000-0005-0000-0000-00003A1B0000}"/>
    <cellStyle name="Heading 3 7 2 4 2" xfId="26714" xr:uid="{00000000-0005-0000-0000-00003B1B0000}"/>
    <cellStyle name="Heading 3 7 2 5" xfId="20280" xr:uid="{00000000-0005-0000-0000-00003C1B0000}"/>
    <cellStyle name="Heading 3 7 3" xfId="1742" xr:uid="{00000000-0005-0000-0000-00003D1B0000}"/>
    <cellStyle name="Heading 3 7 3 2" xfId="4270" xr:uid="{00000000-0005-0000-0000-00003E1B0000}"/>
    <cellStyle name="Heading 3 7 3 2 2" xfId="8309" xr:uid="{00000000-0005-0000-0000-00003F1B0000}"/>
    <cellStyle name="Heading 3 7 3 2 2 2" xfId="17596" xr:uid="{00000000-0005-0000-0000-0000401B0000}"/>
    <cellStyle name="Heading 3 7 3 2 2 2 2" xfId="32428" xr:uid="{00000000-0005-0000-0000-0000411B0000}"/>
    <cellStyle name="Heading 3 7 3 2 2 3" xfId="24003" xr:uid="{00000000-0005-0000-0000-0000421B0000}"/>
    <cellStyle name="Heading 3 7 3 2 3" xfId="14602" xr:uid="{00000000-0005-0000-0000-0000431B0000}"/>
    <cellStyle name="Heading 3 7 3 2 3 2" xfId="29434" xr:uid="{00000000-0005-0000-0000-0000441B0000}"/>
    <cellStyle name="Heading 3 7 3 2 4" xfId="21603" xr:uid="{00000000-0005-0000-0000-0000451B0000}"/>
    <cellStyle name="Heading 3 7 3 3" xfId="5874" xr:uid="{00000000-0005-0000-0000-0000461B0000}"/>
    <cellStyle name="Heading 3 7 3 3 2" xfId="16066" xr:uid="{00000000-0005-0000-0000-0000471B0000}"/>
    <cellStyle name="Heading 3 7 3 3 2 2" xfId="30898" xr:uid="{00000000-0005-0000-0000-0000481B0000}"/>
    <cellStyle name="Heading 3 7 3 3 3" xfId="22471" xr:uid="{00000000-0005-0000-0000-0000491B0000}"/>
    <cellStyle name="Heading 3 7 3 4" xfId="12136" xr:uid="{00000000-0005-0000-0000-00004A1B0000}"/>
    <cellStyle name="Heading 3 7 3 4 2" xfId="26968" xr:uid="{00000000-0005-0000-0000-00004B1B0000}"/>
    <cellStyle name="Heading 3 7 3 5" xfId="20295" xr:uid="{00000000-0005-0000-0000-00004C1B0000}"/>
    <cellStyle name="Heading 3 7 4" xfId="3150" xr:uid="{00000000-0005-0000-0000-00004D1B0000}"/>
    <cellStyle name="Heading 3 7 4 2" xfId="7214" xr:uid="{00000000-0005-0000-0000-00004E1B0000}"/>
    <cellStyle name="Heading 3 7 4 2 2" xfId="16993" xr:uid="{00000000-0005-0000-0000-00004F1B0000}"/>
    <cellStyle name="Heading 3 7 4 2 2 2" xfId="31825" xr:uid="{00000000-0005-0000-0000-0000501B0000}"/>
    <cellStyle name="Heading 3 7 4 2 3" xfId="23283" xr:uid="{00000000-0005-0000-0000-0000511B0000}"/>
    <cellStyle name="Heading 3 7 4 3" xfId="13488" xr:uid="{00000000-0005-0000-0000-0000521B0000}"/>
    <cellStyle name="Heading 3 7 4 3 2" xfId="28320" xr:uid="{00000000-0005-0000-0000-0000531B0000}"/>
    <cellStyle name="Heading 3 7 4 4" xfId="20974" xr:uid="{00000000-0005-0000-0000-0000541B0000}"/>
    <cellStyle name="Heading 3 7 5" xfId="5376" xr:uid="{00000000-0005-0000-0000-0000551B0000}"/>
    <cellStyle name="Heading 3 7 5 2" xfId="22137" xr:uid="{00000000-0005-0000-0000-0000561B0000}"/>
    <cellStyle name="Heading 3 7 6" xfId="20265" xr:uid="{00000000-0005-0000-0000-0000571B0000}"/>
    <cellStyle name="Heading 3 8" xfId="1080" xr:uid="{00000000-0005-0000-0000-0000581B0000}"/>
    <cellStyle name="Heading 3 8 2" xfId="1466" xr:uid="{00000000-0005-0000-0000-0000591B0000}"/>
    <cellStyle name="Heading 3 8 2 2" xfId="1967" xr:uid="{00000000-0005-0000-0000-00005A1B0000}"/>
    <cellStyle name="Heading 3 8 2 2 2" xfId="4276" xr:uid="{00000000-0005-0000-0000-00005B1B0000}"/>
    <cellStyle name="Heading 3 8 2 2 2 2" xfId="8315" xr:uid="{00000000-0005-0000-0000-00005C1B0000}"/>
    <cellStyle name="Heading 3 8 2 2 2 2 2" xfId="17599" xr:uid="{00000000-0005-0000-0000-00005D1B0000}"/>
    <cellStyle name="Heading 3 8 2 2 2 2 2 2" xfId="32431" xr:uid="{00000000-0005-0000-0000-00005E1B0000}"/>
    <cellStyle name="Heading 3 8 2 2 2 2 3" xfId="24009" xr:uid="{00000000-0005-0000-0000-00005F1B0000}"/>
    <cellStyle name="Heading 3 8 2 2 2 3" xfId="14608" xr:uid="{00000000-0005-0000-0000-0000601B0000}"/>
    <cellStyle name="Heading 3 8 2 2 2 3 2" xfId="29440" xr:uid="{00000000-0005-0000-0000-0000611B0000}"/>
    <cellStyle name="Heading 3 8 2 2 2 4" xfId="21608" xr:uid="{00000000-0005-0000-0000-0000621B0000}"/>
    <cellStyle name="Heading 3 8 2 2 3" xfId="6097" xr:uid="{00000000-0005-0000-0000-0000631B0000}"/>
    <cellStyle name="Heading 3 8 2 2 3 2" xfId="16284" xr:uid="{00000000-0005-0000-0000-0000641B0000}"/>
    <cellStyle name="Heading 3 8 2 2 3 2 2" xfId="31116" xr:uid="{00000000-0005-0000-0000-0000651B0000}"/>
    <cellStyle name="Heading 3 8 2 2 3 3" xfId="22630" xr:uid="{00000000-0005-0000-0000-0000661B0000}"/>
    <cellStyle name="Heading 3 8 2 2 4" xfId="12354" xr:uid="{00000000-0005-0000-0000-0000671B0000}"/>
    <cellStyle name="Heading 3 8 2 2 4 2" xfId="27186" xr:uid="{00000000-0005-0000-0000-0000681B0000}"/>
    <cellStyle name="Heading 3 8 2 2 5" xfId="20342" xr:uid="{00000000-0005-0000-0000-0000691B0000}"/>
    <cellStyle name="Heading 3 8 2 3" xfId="4267" xr:uid="{00000000-0005-0000-0000-00006A1B0000}"/>
    <cellStyle name="Heading 3 8 2 3 2" xfId="8306" xr:uid="{00000000-0005-0000-0000-00006B1B0000}"/>
    <cellStyle name="Heading 3 8 2 3 2 2" xfId="17594" xr:uid="{00000000-0005-0000-0000-00006C1B0000}"/>
    <cellStyle name="Heading 3 8 2 3 2 2 2" xfId="32426" xr:uid="{00000000-0005-0000-0000-00006D1B0000}"/>
    <cellStyle name="Heading 3 8 2 3 2 3" xfId="24000" xr:uid="{00000000-0005-0000-0000-00006E1B0000}"/>
    <cellStyle name="Heading 3 8 2 3 3" xfId="14599" xr:uid="{00000000-0005-0000-0000-00006F1B0000}"/>
    <cellStyle name="Heading 3 8 2 3 3 2" xfId="29431" xr:uid="{00000000-0005-0000-0000-0000701B0000}"/>
    <cellStyle name="Heading 3 8 2 3 4" xfId="21600" xr:uid="{00000000-0005-0000-0000-0000711B0000}"/>
    <cellStyle name="Heading 3 8 2 4" xfId="11883" xr:uid="{00000000-0005-0000-0000-0000721B0000}"/>
    <cellStyle name="Heading 3 8 2 4 2" xfId="26715" xr:uid="{00000000-0005-0000-0000-0000731B0000}"/>
    <cellStyle name="Heading 3 8 2 5" xfId="20281" xr:uid="{00000000-0005-0000-0000-0000741B0000}"/>
    <cellStyle name="Heading 3 8 3" xfId="1743" xr:uid="{00000000-0005-0000-0000-0000751B0000}"/>
    <cellStyle name="Heading 3 8 3 2" xfId="3213" xr:uid="{00000000-0005-0000-0000-0000761B0000}"/>
    <cellStyle name="Heading 3 8 3 2 2" xfId="7277" xr:uid="{00000000-0005-0000-0000-0000771B0000}"/>
    <cellStyle name="Heading 3 8 3 2 2 2" xfId="17043" xr:uid="{00000000-0005-0000-0000-0000781B0000}"/>
    <cellStyle name="Heading 3 8 3 2 2 2 2" xfId="31875" xr:uid="{00000000-0005-0000-0000-0000791B0000}"/>
    <cellStyle name="Heading 3 8 3 2 2 3" xfId="23322" xr:uid="{00000000-0005-0000-0000-00007A1B0000}"/>
    <cellStyle name="Heading 3 8 3 2 3" xfId="13551" xr:uid="{00000000-0005-0000-0000-00007B1B0000}"/>
    <cellStyle name="Heading 3 8 3 2 3 2" xfId="28383" xr:uid="{00000000-0005-0000-0000-00007C1B0000}"/>
    <cellStyle name="Heading 3 8 3 2 4" xfId="21012" xr:uid="{00000000-0005-0000-0000-00007D1B0000}"/>
    <cellStyle name="Heading 3 8 3 3" xfId="5875" xr:uid="{00000000-0005-0000-0000-00007E1B0000}"/>
    <cellStyle name="Heading 3 8 3 3 2" xfId="16067" xr:uid="{00000000-0005-0000-0000-00007F1B0000}"/>
    <cellStyle name="Heading 3 8 3 3 2 2" xfId="30899" xr:uid="{00000000-0005-0000-0000-0000801B0000}"/>
    <cellStyle name="Heading 3 8 3 3 3" xfId="22472" xr:uid="{00000000-0005-0000-0000-0000811B0000}"/>
    <cellStyle name="Heading 3 8 3 4" xfId="12137" xr:uid="{00000000-0005-0000-0000-0000821B0000}"/>
    <cellStyle name="Heading 3 8 3 4 2" xfId="26969" xr:uid="{00000000-0005-0000-0000-0000831B0000}"/>
    <cellStyle name="Heading 3 8 3 5" xfId="20296" xr:uid="{00000000-0005-0000-0000-0000841B0000}"/>
    <cellStyle name="Heading 3 8 4" xfId="3266" xr:uid="{00000000-0005-0000-0000-0000851B0000}"/>
    <cellStyle name="Heading 3 8 4 2" xfId="7330" xr:uid="{00000000-0005-0000-0000-0000861B0000}"/>
    <cellStyle name="Heading 3 8 4 2 2" xfId="17075" xr:uid="{00000000-0005-0000-0000-0000871B0000}"/>
    <cellStyle name="Heading 3 8 4 2 2 2" xfId="31907" xr:uid="{00000000-0005-0000-0000-0000881B0000}"/>
    <cellStyle name="Heading 3 8 4 2 3" xfId="23364" xr:uid="{00000000-0005-0000-0000-0000891B0000}"/>
    <cellStyle name="Heading 3 8 4 3" xfId="13603" xr:uid="{00000000-0005-0000-0000-00008A1B0000}"/>
    <cellStyle name="Heading 3 8 4 3 2" xfId="28435" xr:uid="{00000000-0005-0000-0000-00008B1B0000}"/>
    <cellStyle name="Heading 3 8 4 4" xfId="21051" xr:uid="{00000000-0005-0000-0000-00008C1B0000}"/>
    <cellStyle name="Heading 3 8 5" xfId="5375" xr:uid="{00000000-0005-0000-0000-00008D1B0000}"/>
    <cellStyle name="Heading 3 8 5 2" xfId="22136" xr:uid="{00000000-0005-0000-0000-00008E1B0000}"/>
    <cellStyle name="Heading 3 8 6" xfId="20266" xr:uid="{00000000-0005-0000-0000-00008F1B0000}"/>
    <cellStyle name="Heading 3 9" xfId="1066" xr:uid="{00000000-0005-0000-0000-0000901B0000}"/>
    <cellStyle name="Heading 3 9 2" xfId="1453" xr:uid="{00000000-0005-0000-0000-0000911B0000}"/>
    <cellStyle name="Heading 3 9 2 2" xfId="1954" xr:uid="{00000000-0005-0000-0000-0000921B0000}"/>
    <cellStyle name="Heading 3 9 2 2 2" xfId="6084" xr:uid="{00000000-0005-0000-0000-0000931B0000}"/>
    <cellStyle name="Heading 3 9 2 2 2 2" xfId="16271" xr:uid="{00000000-0005-0000-0000-0000941B0000}"/>
    <cellStyle name="Heading 3 9 2 2 2 2 2" xfId="31103" xr:uid="{00000000-0005-0000-0000-0000951B0000}"/>
    <cellStyle name="Heading 3 9 2 2 2 3" xfId="22617" xr:uid="{00000000-0005-0000-0000-0000961B0000}"/>
    <cellStyle name="Heading 3 9 2 2 3" xfId="12341" xr:uid="{00000000-0005-0000-0000-0000971B0000}"/>
    <cellStyle name="Heading 3 9 2 2 3 2" xfId="27173" xr:uid="{00000000-0005-0000-0000-0000981B0000}"/>
    <cellStyle name="Heading 3 9 2 2 4" xfId="20329" xr:uid="{00000000-0005-0000-0000-0000991B0000}"/>
    <cellStyle name="Heading 3 9 2 3" xfId="4011" xr:uid="{00000000-0005-0000-0000-00009A1B0000}"/>
    <cellStyle name="Heading 3 9 2 3 2" xfId="8058" xr:uid="{00000000-0005-0000-0000-00009B1B0000}"/>
    <cellStyle name="Heading 3 9 2 3 2 2" xfId="17474" xr:uid="{00000000-0005-0000-0000-00009C1B0000}"/>
    <cellStyle name="Heading 3 9 2 3 2 2 2" xfId="32306" xr:uid="{00000000-0005-0000-0000-00009D1B0000}"/>
    <cellStyle name="Heading 3 9 2 3 2 3" xfId="23835" xr:uid="{00000000-0005-0000-0000-00009E1B0000}"/>
    <cellStyle name="Heading 3 9 2 3 3" xfId="14343" xr:uid="{00000000-0005-0000-0000-00009F1B0000}"/>
    <cellStyle name="Heading 3 9 2 3 3 2" xfId="29175" xr:uid="{00000000-0005-0000-0000-0000A01B0000}"/>
    <cellStyle name="Heading 3 9 2 3 4" xfId="21473" xr:uid="{00000000-0005-0000-0000-0000A11B0000}"/>
    <cellStyle name="Heading 3 9 2 4" xfId="11870" xr:uid="{00000000-0005-0000-0000-0000A21B0000}"/>
    <cellStyle name="Heading 3 9 2 4 2" xfId="26702" xr:uid="{00000000-0005-0000-0000-0000A31B0000}"/>
    <cellStyle name="Heading 3 9 2 5" xfId="20268" xr:uid="{00000000-0005-0000-0000-0000A41B0000}"/>
    <cellStyle name="Heading 3 9 3" xfId="1729" xr:uid="{00000000-0005-0000-0000-0000A51B0000}"/>
    <cellStyle name="Heading 3 9 3 2" xfId="5861" xr:uid="{00000000-0005-0000-0000-0000A61B0000}"/>
    <cellStyle name="Heading 3 9 3 2 2" xfId="16053" xr:uid="{00000000-0005-0000-0000-0000A71B0000}"/>
    <cellStyle name="Heading 3 9 3 2 2 2" xfId="30885" xr:uid="{00000000-0005-0000-0000-0000A81B0000}"/>
    <cellStyle name="Heading 3 9 3 2 3" xfId="22458" xr:uid="{00000000-0005-0000-0000-0000A91B0000}"/>
    <cellStyle name="Heading 3 9 3 3" xfId="12123" xr:uid="{00000000-0005-0000-0000-0000AA1B0000}"/>
    <cellStyle name="Heading 3 9 3 3 2" xfId="26955" xr:uid="{00000000-0005-0000-0000-0000AB1B0000}"/>
    <cellStyle name="Heading 3 9 3 4" xfId="20282" xr:uid="{00000000-0005-0000-0000-0000AC1B0000}"/>
    <cellStyle name="Heading 3 9 4" xfId="3181" xr:uid="{00000000-0005-0000-0000-0000AD1B0000}"/>
    <cellStyle name="Heading 3 9 4 2" xfId="7245" xr:uid="{00000000-0005-0000-0000-0000AE1B0000}"/>
    <cellStyle name="Heading 3 9 4 2 2" xfId="17017" xr:uid="{00000000-0005-0000-0000-0000AF1B0000}"/>
    <cellStyle name="Heading 3 9 4 2 2 2" xfId="31849" xr:uid="{00000000-0005-0000-0000-0000B01B0000}"/>
    <cellStyle name="Heading 3 9 4 2 3" xfId="23303" xr:uid="{00000000-0005-0000-0000-0000B11B0000}"/>
    <cellStyle name="Heading 3 9 4 3" xfId="13519" xr:uid="{00000000-0005-0000-0000-0000B21B0000}"/>
    <cellStyle name="Heading 3 9 4 3 2" xfId="28351" xr:uid="{00000000-0005-0000-0000-0000B31B0000}"/>
    <cellStyle name="Heading 3 9 4 4" xfId="20993" xr:uid="{00000000-0005-0000-0000-0000B41B0000}"/>
    <cellStyle name="Heading 3 9 5" xfId="5389" xr:uid="{00000000-0005-0000-0000-0000B51B0000}"/>
    <cellStyle name="Heading 3 9 5 2" xfId="22150" xr:uid="{00000000-0005-0000-0000-0000B61B0000}"/>
    <cellStyle name="Heading 3 9 6" xfId="20252" xr:uid="{00000000-0005-0000-0000-0000B71B0000}"/>
    <cellStyle name="Heading 4 2" xfId="1082" xr:uid="{00000000-0005-0000-0000-0000B81B0000}"/>
    <cellStyle name="Heading 4 2 2" xfId="1083" xr:uid="{00000000-0005-0000-0000-0000B91B0000}"/>
    <cellStyle name="Heading 4 2 3" xfId="1084" xr:uid="{00000000-0005-0000-0000-0000BA1B0000}"/>
    <cellStyle name="Heading 4 2 4" xfId="1085" xr:uid="{00000000-0005-0000-0000-0000BB1B0000}"/>
    <cellStyle name="Heading 4 2 5" xfId="1086" xr:uid="{00000000-0005-0000-0000-0000BC1B0000}"/>
    <cellStyle name="Heading 4 2 6" xfId="1087" xr:uid="{00000000-0005-0000-0000-0000BD1B0000}"/>
    <cellStyle name="Heading 4 2 7" xfId="1088" xr:uid="{00000000-0005-0000-0000-0000BE1B0000}"/>
    <cellStyle name="Heading 4 2 8" xfId="1089" xr:uid="{00000000-0005-0000-0000-0000BF1B0000}"/>
    <cellStyle name="Heading 4 3" xfId="1090" xr:uid="{00000000-0005-0000-0000-0000C01B0000}"/>
    <cellStyle name="Heading 4 4" xfId="1091" xr:uid="{00000000-0005-0000-0000-0000C11B0000}"/>
    <cellStyle name="Heading 4 5" xfId="1092" xr:uid="{00000000-0005-0000-0000-0000C21B0000}"/>
    <cellStyle name="Heading 4 6" xfId="1093" xr:uid="{00000000-0005-0000-0000-0000C31B0000}"/>
    <cellStyle name="Heading 4 7" xfId="1094" xr:uid="{00000000-0005-0000-0000-0000C41B0000}"/>
    <cellStyle name="Heading 4 8" xfId="1095" xr:uid="{00000000-0005-0000-0000-0000C51B0000}"/>
    <cellStyle name="Heading 4 9" xfId="1081" xr:uid="{00000000-0005-0000-0000-0000C61B0000}"/>
    <cellStyle name="Headline" xfId="1096" xr:uid="{00000000-0005-0000-0000-0000C71B0000}"/>
    <cellStyle name="Hyperlink" xfId="33024" builtinId="8"/>
    <cellStyle name="Hyperlink 2" xfId="3" xr:uid="{00000000-0005-0000-0000-0000C91B0000}"/>
    <cellStyle name="Hyperlink 2 2" xfId="1098" xr:uid="{00000000-0005-0000-0000-0000CA1B0000}"/>
    <cellStyle name="Hyperlink 2 3" xfId="1099" xr:uid="{00000000-0005-0000-0000-0000CB1B0000}"/>
    <cellStyle name="Hyperlink 2 4" xfId="1100" xr:uid="{00000000-0005-0000-0000-0000CC1B0000}"/>
    <cellStyle name="Hyperlink 2 5" xfId="1101" xr:uid="{00000000-0005-0000-0000-0000CD1B0000}"/>
    <cellStyle name="Hyperlink 2 6" xfId="1102" xr:uid="{00000000-0005-0000-0000-0000CE1B0000}"/>
    <cellStyle name="Hyperlink 2 7" xfId="1103" xr:uid="{00000000-0005-0000-0000-0000CF1B0000}"/>
    <cellStyle name="Hyperlink 2 8" xfId="1104" xr:uid="{00000000-0005-0000-0000-0000D01B0000}"/>
    <cellStyle name="Hyperlink 2 9" xfId="1097" xr:uid="{00000000-0005-0000-0000-0000D11B0000}"/>
    <cellStyle name="Hyperlink 3" xfId="1105" xr:uid="{00000000-0005-0000-0000-0000D21B0000}"/>
    <cellStyle name="Hyperlink 4" xfId="1106" xr:uid="{00000000-0005-0000-0000-0000D31B0000}"/>
    <cellStyle name="Hyperlink 5" xfId="1107" xr:uid="{00000000-0005-0000-0000-0000D41B0000}"/>
    <cellStyle name="Hyperlink 6" xfId="1108" xr:uid="{00000000-0005-0000-0000-0000D51B0000}"/>
    <cellStyle name="Hyperlink 7" xfId="1109" xr:uid="{00000000-0005-0000-0000-0000D61B0000}"/>
    <cellStyle name="Hyperlink 8" xfId="1110" xr:uid="{00000000-0005-0000-0000-0000D71B0000}"/>
    <cellStyle name="Input 10" xfId="1111" xr:uid="{00000000-0005-0000-0000-0000D81B0000}"/>
    <cellStyle name="Input 10 10" xfId="2282" xr:uid="{00000000-0005-0000-0000-0000D91B0000}"/>
    <cellStyle name="Input 10 10 2" xfId="6394" xr:uid="{00000000-0005-0000-0000-0000DA1B0000}"/>
    <cellStyle name="Input 10 10 2 2" xfId="22796" xr:uid="{00000000-0005-0000-0000-0000DB1B0000}"/>
    <cellStyle name="Input 10 10 3" xfId="12622" xr:uid="{00000000-0005-0000-0000-0000DC1B0000}"/>
    <cellStyle name="Input 10 10 3 2" xfId="27454" xr:uid="{00000000-0005-0000-0000-0000DD1B0000}"/>
    <cellStyle name="Input 10 10 4" xfId="20448" xr:uid="{00000000-0005-0000-0000-0000DE1B0000}"/>
    <cellStyle name="Input 10 11" xfId="5248" xr:uid="{00000000-0005-0000-0000-0000DF1B0000}"/>
    <cellStyle name="Input 10 11 2" xfId="15564" xr:uid="{00000000-0005-0000-0000-0000E01B0000}"/>
    <cellStyle name="Input 10 11 2 2" xfId="30396" xr:uid="{00000000-0005-0000-0000-0000E11B0000}"/>
    <cellStyle name="Input 10 11 3" xfId="22105" xr:uid="{00000000-0005-0000-0000-0000E21B0000}"/>
    <cellStyle name="Input 10 12" xfId="5406" xr:uid="{00000000-0005-0000-0000-0000E31B0000}"/>
    <cellStyle name="Input 10 12 2" xfId="15642" xr:uid="{00000000-0005-0000-0000-0000E41B0000}"/>
    <cellStyle name="Input 10 12 2 2" xfId="30474" xr:uid="{00000000-0005-0000-0000-0000E51B0000}"/>
    <cellStyle name="Input 10 12 3" xfId="22167" xr:uid="{00000000-0005-0000-0000-0000E61B0000}"/>
    <cellStyle name="Input 10 13" xfId="9385" xr:uid="{00000000-0005-0000-0000-0000E71B0000}"/>
    <cellStyle name="Input 10 13 2" xfId="24691" xr:uid="{00000000-0005-0000-0000-0000E81B0000}"/>
    <cellStyle name="Input 10 14" xfId="5374" xr:uid="{00000000-0005-0000-0000-0000E91B0000}"/>
    <cellStyle name="Input 10 14 2" xfId="18248" xr:uid="{00000000-0005-0000-0000-0000EA1B0000}"/>
    <cellStyle name="Input 10 2" xfId="1318" xr:uid="{00000000-0005-0000-0000-0000EB1B0000}"/>
    <cellStyle name="Input 10 2 2" xfId="1822" xr:uid="{00000000-0005-0000-0000-0000EC1B0000}"/>
    <cellStyle name="Input 10 2 2 2" xfId="3378" xr:uid="{00000000-0005-0000-0000-0000ED1B0000}"/>
    <cellStyle name="Input 10 2 2 2 2" xfId="7441" xr:uid="{00000000-0005-0000-0000-0000EE1B0000}"/>
    <cellStyle name="Input 10 2 2 2 2 2" xfId="23436" xr:uid="{00000000-0005-0000-0000-0000EF1B0000}"/>
    <cellStyle name="Input 10 2 2 2 3" xfId="13715" xr:uid="{00000000-0005-0000-0000-0000F01B0000}"/>
    <cellStyle name="Input 10 2 2 2 3 2" xfId="28547" xr:uid="{00000000-0005-0000-0000-0000F11B0000}"/>
    <cellStyle name="Input 10 2 2 2 4" xfId="21118" xr:uid="{00000000-0005-0000-0000-0000F21B0000}"/>
    <cellStyle name="Input 10 2 2 3" xfId="4800" xr:uid="{00000000-0005-0000-0000-0000F31B0000}"/>
    <cellStyle name="Input 10 2 2 3 2" xfId="8839" xr:uid="{00000000-0005-0000-0000-0000F41B0000}"/>
    <cellStyle name="Input 10 2 2 3 2 2" xfId="24337" xr:uid="{00000000-0005-0000-0000-0000F51B0000}"/>
    <cellStyle name="Input 10 2 2 3 3" xfId="15124" xr:uid="{00000000-0005-0000-0000-0000F61B0000}"/>
    <cellStyle name="Input 10 2 2 3 3 2" xfId="29956" xr:uid="{00000000-0005-0000-0000-0000F71B0000}"/>
    <cellStyle name="Input 10 2 2 3 4" xfId="21875" xr:uid="{00000000-0005-0000-0000-0000F81B0000}"/>
    <cellStyle name="Input 10 2 2 4" xfId="2790" xr:uid="{00000000-0005-0000-0000-0000F91B0000}"/>
    <cellStyle name="Input 10 2 2 4 2" xfId="6881" xr:uid="{00000000-0005-0000-0000-0000FA1B0000}"/>
    <cellStyle name="Input 10 2 2 4 2 2" xfId="23088" xr:uid="{00000000-0005-0000-0000-0000FB1B0000}"/>
    <cellStyle name="Input 10 2 2 4 3" xfId="13128" xr:uid="{00000000-0005-0000-0000-0000FC1B0000}"/>
    <cellStyle name="Input 10 2 2 4 3 2" xfId="27960" xr:uid="{00000000-0005-0000-0000-0000FD1B0000}"/>
    <cellStyle name="Input 10 2 2 4 4" xfId="20748" xr:uid="{00000000-0005-0000-0000-0000FE1B0000}"/>
    <cellStyle name="Input 10 2 2 5" xfId="5954" xr:uid="{00000000-0005-0000-0000-0000FF1B0000}"/>
    <cellStyle name="Input 10 2 2 5 2" xfId="16146" xr:uid="{00000000-0005-0000-0000-0000001C0000}"/>
    <cellStyle name="Input 10 2 2 5 2 2" xfId="30978" xr:uid="{00000000-0005-0000-0000-0000011C0000}"/>
    <cellStyle name="Input 10 2 2 5 3" xfId="22519" xr:uid="{00000000-0005-0000-0000-0000021C0000}"/>
    <cellStyle name="Input 10 2 2 6" xfId="12216" xr:uid="{00000000-0005-0000-0000-0000031C0000}"/>
    <cellStyle name="Input 10 2 2 6 2" xfId="27048" xr:uid="{00000000-0005-0000-0000-0000041C0000}"/>
    <cellStyle name="Input 10 2 2 7" xfId="9812" xr:uid="{00000000-0005-0000-0000-0000051C0000}"/>
    <cellStyle name="Input 10 2 2 7 2" xfId="20063" xr:uid="{00000000-0005-0000-0000-0000061C0000}"/>
    <cellStyle name="Input 10 2 3" xfId="4080" xr:uid="{00000000-0005-0000-0000-0000071C0000}"/>
    <cellStyle name="Input 10 2 3 2" xfId="8126" xr:uid="{00000000-0005-0000-0000-0000081C0000}"/>
    <cellStyle name="Input 10 2 3 2 2" xfId="23877" xr:uid="{00000000-0005-0000-0000-0000091C0000}"/>
    <cellStyle name="Input 10 2 3 3" xfId="14412" xr:uid="{00000000-0005-0000-0000-00000A1C0000}"/>
    <cellStyle name="Input 10 2 3 3 2" xfId="29244" xr:uid="{00000000-0005-0000-0000-00000B1C0000}"/>
    <cellStyle name="Input 10 2 3 4" xfId="21507" xr:uid="{00000000-0005-0000-0000-00000C1C0000}"/>
    <cellStyle name="Input 10 2 4" xfId="4380" xr:uid="{00000000-0005-0000-0000-00000D1C0000}"/>
    <cellStyle name="Input 10 2 4 2" xfId="8419" xr:uid="{00000000-0005-0000-0000-00000E1C0000}"/>
    <cellStyle name="Input 10 2 4 2 2" xfId="24077" xr:uid="{00000000-0005-0000-0000-00000F1C0000}"/>
    <cellStyle name="Input 10 2 4 3" xfId="14709" xr:uid="{00000000-0005-0000-0000-0000101C0000}"/>
    <cellStyle name="Input 10 2 4 3 2" xfId="29541" xr:uid="{00000000-0005-0000-0000-0000111C0000}"/>
    <cellStyle name="Input 10 2 4 4" xfId="21645" xr:uid="{00000000-0005-0000-0000-0000121C0000}"/>
    <cellStyle name="Input 10 2 5" xfId="2370" xr:uid="{00000000-0005-0000-0000-0000131C0000}"/>
    <cellStyle name="Input 10 2 5 2" xfId="6482" xr:uid="{00000000-0005-0000-0000-0000141C0000}"/>
    <cellStyle name="Input 10 2 5 2 2" xfId="22852" xr:uid="{00000000-0005-0000-0000-0000151C0000}"/>
    <cellStyle name="Input 10 2 5 3" xfId="12709" xr:uid="{00000000-0005-0000-0000-0000161C0000}"/>
    <cellStyle name="Input 10 2 5 3 2" xfId="27541" xr:uid="{00000000-0005-0000-0000-0000171C0000}"/>
    <cellStyle name="Input 10 2 5 4" xfId="20494" xr:uid="{00000000-0005-0000-0000-0000181C0000}"/>
    <cellStyle name="Input 10 2 6" xfId="5495" xr:uid="{00000000-0005-0000-0000-0000191C0000}"/>
    <cellStyle name="Input 10 2 6 2" xfId="15730" xr:uid="{00000000-0005-0000-0000-00001A1C0000}"/>
    <cellStyle name="Input 10 2 6 2 2" xfId="30562" xr:uid="{00000000-0005-0000-0000-00001B1C0000}"/>
    <cellStyle name="Input 10 2 6 3" xfId="22223" xr:uid="{00000000-0005-0000-0000-00001C1C0000}"/>
    <cellStyle name="Input 10 2 7" xfId="11745" xr:uid="{00000000-0005-0000-0000-00001D1C0000}"/>
    <cellStyle name="Input 10 2 7 2" xfId="26577" xr:uid="{00000000-0005-0000-0000-00001E1C0000}"/>
    <cellStyle name="Input 10 2 8" xfId="9416" xr:uid="{00000000-0005-0000-0000-00001F1C0000}"/>
    <cellStyle name="Input 10 2 8 2" xfId="19720" xr:uid="{00000000-0005-0000-0000-0000201C0000}"/>
    <cellStyle name="Input 10 3" xfId="1476" xr:uid="{00000000-0005-0000-0000-0000211C0000}"/>
    <cellStyle name="Input 10 3 2" xfId="1977" xr:uid="{00000000-0005-0000-0000-0000221C0000}"/>
    <cellStyle name="Input 10 3 2 2" xfId="4143" xr:uid="{00000000-0005-0000-0000-0000231C0000}"/>
    <cellStyle name="Input 10 3 2 2 2" xfId="8187" xr:uid="{00000000-0005-0000-0000-0000241C0000}"/>
    <cellStyle name="Input 10 3 2 2 2 2" xfId="23916" xr:uid="{00000000-0005-0000-0000-0000251C0000}"/>
    <cellStyle name="Input 10 3 2 2 3" xfId="14475" xr:uid="{00000000-0005-0000-0000-0000261C0000}"/>
    <cellStyle name="Input 10 3 2 2 3 2" xfId="29307" xr:uid="{00000000-0005-0000-0000-0000271C0000}"/>
    <cellStyle name="Input 10 3 2 2 4" xfId="21543" xr:uid="{00000000-0005-0000-0000-0000281C0000}"/>
    <cellStyle name="Input 10 3 2 3" xfId="4941" xr:uid="{00000000-0005-0000-0000-0000291C0000}"/>
    <cellStyle name="Input 10 3 2 3 2" xfId="8980" xr:uid="{00000000-0005-0000-0000-00002A1C0000}"/>
    <cellStyle name="Input 10 3 2 3 2 2" xfId="24446" xr:uid="{00000000-0005-0000-0000-00002B1C0000}"/>
    <cellStyle name="Input 10 3 2 3 3" xfId="15263" xr:uid="{00000000-0005-0000-0000-00002C1C0000}"/>
    <cellStyle name="Input 10 3 2 3 3 2" xfId="30095" xr:uid="{00000000-0005-0000-0000-00002D1C0000}"/>
    <cellStyle name="Input 10 3 2 3 4" xfId="21976" xr:uid="{00000000-0005-0000-0000-00002E1C0000}"/>
    <cellStyle name="Input 10 3 2 4" xfId="2931" xr:uid="{00000000-0005-0000-0000-00002F1C0000}"/>
    <cellStyle name="Input 10 3 2 4 2" xfId="7015" xr:uid="{00000000-0005-0000-0000-0000301C0000}"/>
    <cellStyle name="Input 10 3 2 4 2 2" xfId="23189" xr:uid="{00000000-0005-0000-0000-0000311C0000}"/>
    <cellStyle name="Input 10 3 2 4 3" xfId="13269" xr:uid="{00000000-0005-0000-0000-0000321C0000}"/>
    <cellStyle name="Input 10 3 2 4 3 2" xfId="28101" xr:uid="{00000000-0005-0000-0000-0000331C0000}"/>
    <cellStyle name="Input 10 3 2 4 4" xfId="20857" xr:uid="{00000000-0005-0000-0000-0000341C0000}"/>
    <cellStyle name="Input 10 3 2 5" xfId="6107" xr:uid="{00000000-0005-0000-0000-0000351C0000}"/>
    <cellStyle name="Input 10 3 2 5 2" xfId="16294" xr:uid="{00000000-0005-0000-0000-0000361C0000}"/>
    <cellStyle name="Input 10 3 2 5 2 2" xfId="31126" xr:uid="{00000000-0005-0000-0000-0000371C0000}"/>
    <cellStyle name="Input 10 3 2 5 3" xfId="22640" xr:uid="{00000000-0005-0000-0000-0000381C0000}"/>
    <cellStyle name="Input 10 3 2 6" xfId="12364" xr:uid="{00000000-0005-0000-0000-0000391C0000}"/>
    <cellStyle name="Input 10 3 2 6 2" xfId="27196" xr:uid="{00000000-0005-0000-0000-00003A1C0000}"/>
    <cellStyle name="Input 10 3 2 7" xfId="9946" xr:uid="{00000000-0005-0000-0000-00003B1C0000}"/>
    <cellStyle name="Input 10 3 2 7 2" xfId="20148" xr:uid="{00000000-0005-0000-0000-00003C1C0000}"/>
    <cellStyle name="Input 10 3 3" xfId="3338" xr:uid="{00000000-0005-0000-0000-00003D1C0000}"/>
    <cellStyle name="Input 10 3 3 2" xfId="7401" xr:uid="{00000000-0005-0000-0000-00003E1C0000}"/>
    <cellStyle name="Input 10 3 3 2 2" xfId="23406" xr:uid="{00000000-0005-0000-0000-00003F1C0000}"/>
    <cellStyle name="Input 10 3 3 3" xfId="13675" xr:uid="{00000000-0005-0000-0000-0000401C0000}"/>
    <cellStyle name="Input 10 3 3 3 2" xfId="28507" xr:uid="{00000000-0005-0000-0000-0000411C0000}"/>
    <cellStyle name="Input 10 3 3 4" xfId="21093" xr:uid="{00000000-0005-0000-0000-0000421C0000}"/>
    <cellStyle name="Input 10 3 4" xfId="4521" xr:uid="{00000000-0005-0000-0000-0000431C0000}"/>
    <cellStyle name="Input 10 3 4 2" xfId="8560" xr:uid="{00000000-0005-0000-0000-0000441C0000}"/>
    <cellStyle name="Input 10 3 4 2 2" xfId="24186" xr:uid="{00000000-0005-0000-0000-0000451C0000}"/>
    <cellStyle name="Input 10 3 4 3" xfId="14848" xr:uid="{00000000-0005-0000-0000-0000461C0000}"/>
    <cellStyle name="Input 10 3 4 3 2" xfId="29680" xr:uid="{00000000-0005-0000-0000-0000471C0000}"/>
    <cellStyle name="Input 10 3 4 4" xfId="21746" xr:uid="{00000000-0005-0000-0000-0000481C0000}"/>
    <cellStyle name="Input 10 3 5" xfId="2511" xr:uid="{00000000-0005-0000-0000-0000491C0000}"/>
    <cellStyle name="Input 10 3 5 2" xfId="6617" xr:uid="{00000000-0005-0000-0000-00004A1C0000}"/>
    <cellStyle name="Input 10 3 5 2 2" xfId="22955" xr:uid="{00000000-0005-0000-0000-00004B1C0000}"/>
    <cellStyle name="Input 10 3 5 3" xfId="12849" xr:uid="{00000000-0005-0000-0000-00004C1C0000}"/>
    <cellStyle name="Input 10 3 5 3 2" xfId="27681" xr:uid="{00000000-0005-0000-0000-00004D1C0000}"/>
    <cellStyle name="Input 10 3 5 4" xfId="20601" xr:uid="{00000000-0005-0000-0000-00004E1C0000}"/>
    <cellStyle name="Input 10 3 6" xfId="5634" xr:uid="{00000000-0005-0000-0000-00004F1C0000}"/>
    <cellStyle name="Input 10 3 6 2" xfId="15869" xr:uid="{00000000-0005-0000-0000-0000501C0000}"/>
    <cellStyle name="Input 10 3 6 2 2" xfId="30701" xr:uid="{00000000-0005-0000-0000-0000511C0000}"/>
    <cellStyle name="Input 10 3 6 3" xfId="22330" xr:uid="{00000000-0005-0000-0000-0000521C0000}"/>
    <cellStyle name="Input 10 3 7" xfId="11893" xr:uid="{00000000-0005-0000-0000-0000531C0000}"/>
    <cellStyle name="Input 10 3 7 2" xfId="26725" xr:uid="{00000000-0005-0000-0000-0000541C0000}"/>
    <cellStyle name="Input 10 3 8" xfId="9551" xr:uid="{00000000-0005-0000-0000-0000551C0000}"/>
    <cellStyle name="Input 10 3 8 2" xfId="19853" xr:uid="{00000000-0005-0000-0000-0000561C0000}"/>
    <cellStyle name="Input 10 4" xfId="1389" xr:uid="{00000000-0005-0000-0000-0000571C0000}"/>
    <cellStyle name="Input 10 4 2" xfId="1891" xr:uid="{00000000-0005-0000-0000-0000581C0000}"/>
    <cellStyle name="Input 10 4 2 2" xfId="3256" xr:uid="{00000000-0005-0000-0000-0000591C0000}"/>
    <cellStyle name="Input 10 4 2 2 2" xfId="7320" xr:uid="{00000000-0005-0000-0000-00005A1C0000}"/>
    <cellStyle name="Input 10 4 2 2 2 2" xfId="23356" xr:uid="{00000000-0005-0000-0000-00005B1C0000}"/>
    <cellStyle name="Input 10 4 2 2 3" xfId="13593" xr:uid="{00000000-0005-0000-0000-00005C1C0000}"/>
    <cellStyle name="Input 10 4 2 2 3 2" xfId="28425" xr:uid="{00000000-0005-0000-0000-00005D1C0000}"/>
    <cellStyle name="Input 10 4 2 2 4" xfId="21043" xr:uid="{00000000-0005-0000-0000-00005E1C0000}"/>
    <cellStyle name="Input 10 4 2 3" xfId="4869" xr:uid="{00000000-0005-0000-0000-00005F1C0000}"/>
    <cellStyle name="Input 10 4 2 3 2" xfId="8908" xr:uid="{00000000-0005-0000-0000-0000601C0000}"/>
    <cellStyle name="Input 10 4 2 3 2 2" xfId="24374" xr:uid="{00000000-0005-0000-0000-0000611C0000}"/>
    <cellStyle name="Input 10 4 2 3 3" xfId="15192" xr:uid="{00000000-0005-0000-0000-0000621C0000}"/>
    <cellStyle name="Input 10 4 2 3 3 2" xfId="30024" xr:uid="{00000000-0005-0000-0000-0000631C0000}"/>
    <cellStyle name="Input 10 4 2 3 4" xfId="21906" xr:uid="{00000000-0005-0000-0000-0000641C0000}"/>
    <cellStyle name="Input 10 4 2 4" xfId="2859" xr:uid="{00000000-0005-0000-0000-0000651C0000}"/>
    <cellStyle name="Input 10 4 2 4 2" xfId="6944" xr:uid="{00000000-0005-0000-0000-0000661C0000}"/>
    <cellStyle name="Input 10 4 2 4 2 2" xfId="23119" xr:uid="{00000000-0005-0000-0000-0000671C0000}"/>
    <cellStyle name="Input 10 4 2 4 3" xfId="13197" xr:uid="{00000000-0005-0000-0000-0000681C0000}"/>
    <cellStyle name="Input 10 4 2 4 3 2" xfId="28029" xr:uid="{00000000-0005-0000-0000-0000691C0000}"/>
    <cellStyle name="Input 10 4 2 4 4" xfId="20785" xr:uid="{00000000-0005-0000-0000-00006A1C0000}"/>
    <cellStyle name="Input 10 4 2 5" xfId="6022" xr:uid="{00000000-0005-0000-0000-00006B1C0000}"/>
    <cellStyle name="Input 10 4 2 5 2" xfId="16209" xr:uid="{00000000-0005-0000-0000-00006C1C0000}"/>
    <cellStyle name="Input 10 4 2 5 2 2" xfId="31041" xr:uid="{00000000-0005-0000-0000-00006D1C0000}"/>
    <cellStyle name="Input 10 4 2 5 3" xfId="22555" xr:uid="{00000000-0005-0000-0000-00006E1C0000}"/>
    <cellStyle name="Input 10 4 2 6" xfId="12279" xr:uid="{00000000-0005-0000-0000-00006F1C0000}"/>
    <cellStyle name="Input 10 4 2 6 2" xfId="27111" xr:uid="{00000000-0005-0000-0000-0000701C0000}"/>
    <cellStyle name="Input 10 4 2 7" xfId="9875" xr:uid="{00000000-0005-0000-0000-0000711C0000}"/>
    <cellStyle name="Input 10 4 2 7 2" xfId="20079" xr:uid="{00000000-0005-0000-0000-0000721C0000}"/>
    <cellStyle name="Input 10 4 3" xfId="3678" xr:uid="{00000000-0005-0000-0000-0000731C0000}"/>
    <cellStyle name="Input 10 4 3 2" xfId="7736" xr:uid="{00000000-0005-0000-0000-0000741C0000}"/>
    <cellStyle name="Input 10 4 3 2 2" xfId="23626" xr:uid="{00000000-0005-0000-0000-0000751C0000}"/>
    <cellStyle name="Input 10 4 3 3" xfId="14013" xr:uid="{00000000-0005-0000-0000-0000761C0000}"/>
    <cellStyle name="Input 10 4 3 3 2" xfId="28845" xr:uid="{00000000-0005-0000-0000-0000771C0000}"/>
    <cellStyle name="Input 10 4 3 4" xfId="21286" xr:uid="{00000000-0005-0000-0000-0000781C0000}"/>
    <cellStyle name="Input 10 4 4" xfId="4449" xr:uid="{00000000-0005-0000-0000-0000791C0000}"/>
    <cellStyle name="Input 10 4 4 2" xfId="8488" xr:uid="{00000000-0005-0000-0000-00007A1C0000}"/>
    <cellStyle name="Input 10 4 4 2 2" xfId="24114" xr:uid="{00000000-0005-0000-0000-00007B1C0000}"/>
    <cellStyle name="Input 10 4 4 3" xfId="14777" xr:uid="{00000000-0005-0000-0000-00007C1C0000}"/>
    <cellStyle name="Input 10 4 4 3 2" xfId="29609" xr:uid="{00000000-0005-0000-0000-00007D1C0000}"/>
    <cellStyle name="Input 10 4 4 4" xfId="21676" xr:uid="{00000000-0005-0000-0000-00007E1C0000}"/>
    <cellStyle name="Input 10 4 5" xfId="2439" xr:uid="{00000000-0005-0000-0000-00007F1C0000}"/>
    <cellStyle name="Input 10 4 5 2" xfId="6545" xr:uid="{00000000-0005-0000-0000-0000801C0000}"/>
    <cellStyle name="Input 10 4 5 2 2" xfId="22883" xr:uid="{00000000-0005-0000-0000-0000811C0000}"/>
    <cellStyle name="Input 10 4 5 3" xfId="12778" xr:uid="{00000000-0005-0000-0000-0000821C0000}"/>
    <cellStyle name="Input 10 4 5 3 2" xfId="27610" xr:uid="{00000000-0005-0000-0000-0000831C0000}"/>
    <cellStyle name="Input 10 4 5 4" xfId="20531" xr:uid="{00000000-0005-0000-0000-0000841C0000}"/>
    <cellStyle name="Input 10 4 6" xfId="5563" xr:uid="{00000000-0005-0000-0000-0000851C0000}"/>
    <cellStyle name="Input 10 4 6 2" xfId="15798" xr:uid="{00000000-0005-0000-0000-0000861C0000}"/>
    <cellStyle name="Input 10 4 6 2 2" xfId="30630" xr:uid="{00000000-0005-0000-0000-0000871C0000}"/>
    <cellStyle name="Input 10 4 6 3" xfId="22259" xr:uid="{00000000-0005-0000-0000-0000881C0000}"/>
    <cellStyle name="Input 10 4 7" xfId="11808" xr:uid="{00000000-0005-0000-0000-0000891C0000}"/>
    <cellStyle name="Input 10 4 7 2" xfId="26640" xr:uid="{00000000-0005-0000-0000-00008A1C0000}"/>
    <cellStyle name="Input 10 4 8" xfId="9480" xr:uid="{00000000-0005-0000-0000-00008B1C0000}"/>
    <cellStyle name="Input 10 4 8 2" xfId="19783" xr:uid="{00000000-0005-0000-0000-00008C1C0000}"/>
    <cellStyle name="Input 10 5" xfId="1468" xr:uid="{00000000-0005-0000-0000-00008D1C0000}"/>
    <cellStyle name="Input 10 5 2" xfId="1969" xr:uid="{00000000-0005-0000-0000-00008E1C0000}"/>
    <cellStyle name="Input 10 5 2 2" xfId="3387" xr:uid="{00000000-0005-0000-0000-00008F1C0000}"/>
    <cellStyle name="Input 10 5 2 2 2" xfId="7450" xr:uid="{00000000-0005-0000-0000-0000901C0000}"/>
    <cellStyle name="Input 10 5 2 2 2 2" xfId="23442" xr:uid="{00000000-0005-0000-0000-0000911C0000}"/>
    <cellStyle name="Input 10 5 2 2 3" xfId="13724" xr:uid="{00000000-0005-0000-0000-0000921C0000}"/>
    <cellStyle name="Input 10 5 2 2 3 2" xfId="28556" xr:uid="{00000000-0005-0000-0000-0000931C0000}"/>
    <cellStyle name="Input 10 5 2 2 4" xfId="21124" xr:uid="{00000000-0005-0000-0000-0000941C0000}"/>
    <cellStyle name="Input 10 5 2 3" xfId="4933" xr:uid="{00000000-0005-0000-0000-0000951C0000}"/>
    <cellStyle name="Input 10 5 2 3 2" xfId="8972" xr:uid="{00000000-0005-0000-0000-0000961C0000}"/>
    <cellStyle name="Input 10 5 2 3 2 2" xfId="24438" xr:uid="{00000000-0005-0000-0000-0000971C0000}"/>
    <cellStyle name="Input 10 5 2 3 3" xfId="15255" xr:uid="{00000000-0005-0000-0000-0000981C0000}"/>
    <cellStyle name="Input 10 5 2 3 3 2" xfId="30087" xr:uid="{00000000-0005-0000-0000-0000991C0000}"/>
    <cellStyle name="Input 10 5 2 3 4" xfId="21968" xr:uid="{00000000-0005-0000-0000-00009A1C0000}"/>
    <cellStyle name="Input 10 5 2 4" xfId="2923" xr:uid="{00000000-0005-0000-0000-00009B1C0000}"/>
    <cellStyle name="Input 10 5 2 4 2" xfId="7007" xr:uid="{00000000-0005-0000-0000-00009C1C0000}"/>
    <cellStyle name="Input 10 5 2 4 2 2" xfId="23181" xr:uid="{00000000-0005-0000-0000-00009D1C0000}"/>
    <cellStyle name="Input 10 5 2 4 3" xfId="13261" xr:uid="{00000000-0005-0000-0000-00009E1C0000}"/>
    <cellStyle name="Input 10 5 2 4 3 2" xfId="28093" xr:uid="{00000000-0005-0000-0000-00009F1C0000}"/>
    <cellStyle name="Input 10 5 2 4 4" xfId="20849" xr:uid="{00000000-0005-0000-0000-0000A01C0000}"/>
    <cellStyle name="Input 10 5 2 5" xfId="6099" xr:uid="{00000000-0005-0000-0000-0000A11C0000}"/>
    <cellStyle name="Input 10 5 2 5 2" xfId="16286" xr:uid="{00000000-0005-0000-0000-0000A21C0000}"/>
    <cellStyle name="Input 10 5 2 5 2 2" xfId="31118" xr:uid="{00000000-0005-0000-0000-0000A31C0000}"/>
    <cellStyle name="Input 10 5 2 5 3" xfId="22632" xr:uid="{00000000-0005-0000-0000-0000A41C0000}"/>
    <cellStyle name="Input 10 5 2 6" xfId="12356" xr:uid="{00000000-0005-0000-0000-0000A51C0000}"/>
    <cellStyle name="Input 10 5 2 6 2" xfId="27188" xr:uid="{00000000-0005-0000-0000-0000A61C0000}"/>
    <cellStyle name="Input 10 5 2 7" xfId="9938" xr:uid="{00000000-0005-0000-0000-0000A71C0000}"/>
    <cellStyle name="Input 10 5 2 7 2" xfId="20140" xr:uid="{00000000-0005-0000-0000-0000A81C0000}"/>
    <cellStyle name="Input 10 5 3" xfId="4337" xr:uid="{00000000-0005-0000-0000-0000A91C0000}"/>
    <cellStyle name="Input 10 5 3 2" xfId="8376" xr:uid="{00000000-0005-0000-0000-0000AA1C0000}"/>
    <cellStyle name="Input 10 5 3 2 2" xfId="24036" xr:uid="{00000000-0005-0000-0000-0000AB1C0000}"/>
    <cellStyle name="Input 10 5 3 3" xfId="14668" xr:uid="{00000000-0005-0000-0000-0000AC1C0000}"/>
    <cellStyle name="Input 10 5 3 3 2" xfId="29500" xr:uid="{00000000-0005-0000-0000-0000AD1C0000}"/>
    <cellStyle name="Input 10 5 3 4" xfId="21632" xr:uid="{00000000-0005-0000-0000-0000AE1C0000}"/>
    <cellStyle name="Input 10 5 4" xfId="4513" xr:uid="{00000000-0005-0000-0000-0000AF1C0000}"/>
    <cellStyle name="Input 10 5 4 2" xfId="8552" xr:uid="{00000000-0005-0000-0000-0000B01C0000}"/>
    <cellStyle name="Input 10 5 4 2 2" xfId="24178" xr:uid="{00000000-0005-0000-0000-0000B11C0000}"/>
    <cellStyle name="Input 10 5 4 3" xfId="14840" xr:uid="{00000000-0005-0000-0000-0000B21C0000}"/>
    <cellStyle name="Input 10 5 4 3 2" xfId="29672" xr:uid="{00000000-0005-0000-0000-0000B31C0000}"/>
    <cellStyle name="Input 10 5 4 4" xfId="21738" xr:uid="{00000000-0005-0000-0000-0000B41C0000}"/>
    <cellStyle name="Input 10 5 5" xfId="2503" xr:uid="{00000000-0005-0000-0000-0000B51C0000}"/>
    <cellStyle name="Input 10 5 5 2" xfId="6609" xr:uid="{00000000-0005-0000-0000-0000B61C0000}"/>
    <cellStyle name="Input 10 5 5 2 2" xfId="22947" xr:uid="{00000000-0005-0000-0000-0000B71C0000}"/>
    <cellStyle name="Input 10 5 5 3" xfId="12841" xr:uid="{00000000-0005-0000-0000-0000B81C0000}"/>
    <cellStyle name="Input 10 5 5 3 2" xfId="27673" xr:uid="{00000000-0005-0000-0000-0000B91C0000}"/>
    <cellStyle name="Input 10 5 5 4" xfId="20593" xr:uid="{00000000-0005-0000-0000-0000BA1C0000}"/>
    <cellStyle name="Input 10 5 6" xfId="5626" xr:uid="{00000000-0005-0000-0000-0000BB1C0000}"/>
    <cellStyle name="Input 10 5 6 2" xfId="15861" xr:uid="{00000000-0005-0000-0000-0000BC1C0000}"/>
    <cellStyle name="Input 10 5 6 2 2" xfId="30693" xr:uid="{00000000-0005-0000-0000-0000BD1C0000}"/>
    <cellStyle name="Input 10 5 6 3" xfId="22322" xr:uid="{00000000-0005-0000-0000-0000BE1C0000}"/>
    <cellStyle name="Input 10 5 7" xfId="11885" xr:uid="{00000000-0005-0000-0000-0000BF1C0000}"/>
    <cellStyle name="Input 10 5 7 2" xfId="26717" xr:uid="{00000000-0005-0000-0000-0000C01C0000}"/>
    <cellStyle name="Input 10 5 8" xfId="9543" xr:uid="{00000000-0005-0000-0000-0000C11C0000}"/>
    <cellStyle name="Input 10 5 8 2" xfId="19845" xr:uid="{00000000-0005-0000-0000-0000C21C0000}"/>
    <cellStyle name="Input 10 6" xfId="1744" xr:uid="{00000000-0005-0000-0000-0000C31C0000}"/>
    <cellStyle name="Input 10 6 2" xfId="3867" xr:uid="{00000000-0005-0000-0000-0000C41C0000}"/>
    <cellStyle name="Input 10 6 2 2" xfId="7919" xr:uid="{00000000-0005-0000-0000-0000C51C0000}"/>
    <cellStyle name="Input 10 6 2 2 2" xfId="23750" xr:uid="{00000000-0005-0000-0000-0000C61C0000}"/>
    <cellStyle name="Input 10 6 2 3" xfId="14202" xr:uid="{00000000-0005-0000-0000-0000C71C0000}"/>
    <cellStyle name="Input 10 6 2 3 2" xfId="29034" xr:uid="{00000000-0005-0000-0000-0000C81C0000}"/>
    <cellStyle name="Input 10 6 2 4" xfId="21392" xr:uid="{00000000-0005-0000-0000-0000C91C0000}"/>
    <cellStyle name="Input 10 6 3" xfId="4722" xr:uid="{00000000-0005-0000-0000-0000CA1C0000}"/>
    <cellStyle name="Input 10 6 3 2" xfId="8761" xr:uid="{00000000-0005-0000-0000-0000CB1C0000}"/>
    <cellStyle name="Input 10 6 3 2 2" xfId="24291" xr:uid="{00000000-0005-0000-0000-0000CC1C0000}"/>
    <cellStyle name="Input 10 6 3 3" xfId="15046" xr:uid="{00000000-0005-0000-0000-0000CD1C0000}"/>
    <cellStyle name="Input 10 6 3 3 2" xfId="29878" xr:uid="{00000000-0005-0000-0000-0000CE1C0000}"/>
    <cellStyle name="Input 10 6 3 4" xfId="21829" xr:uid="{00000000-0005-0000-0000-0000CF1C0000}"/>
    <cellStyle name="Input 10 6 4" xfId="2712" xr:uid="{00000000-0005-0000-0000-0000D01C0000}"/>
    <cellStyle name="Input 10 6 4 2" xfId="6803" xr:uid="{00000000-0005-0000-0000-0000D11C0000}"/>
    <cellStyle name="Input 10 6 4 2 2" xfId="23042" xr:uid="{00000000-0005-0000-0000-0000D21C0000}"/>
    <cellStyle name="Input 10 6 4 3" xfId="13050" xr:uid="{00000000-0005-0000-0000-0000D31C0000}"/>
    <cellStyle name="Input 10 6 4 3 2" xfId="27882" xr:uid="{00000000-0005-0000-0000-0000D41C0000}"/>
    <cellStyle name="Input 10 6 4 4" xfId="20702" xr:uid="{00000000-0005-0000-0000-0000D51C0000}"/>
    <cellStyle name="Input 10 6 5" xfId="5876" xr:uid="{00000000-0005-0000-0000-0000D61C0000}"/>
    <cellStyle name="Input 10 6 5 2" xfId="16068" xr:uid="{00000000-0005-0000-0000-0000D71C0000}"/>
    <cellStyle name="Input 10 6 5 2 2" xfId="30900" xr:uid="{00000000-0005-0000-0000-0000D81C0000}"/>
    <cellStyle name="Input 10 6 5 3" xfId="22473" xr:uid="{00000000-0005-0000-0000-0000D91C0000}"/>
    <cellStyle name="Input 10 6 6" xfId="12138" xr:uid="{00000000-0005-0000-0000-0000DA1C0000}"/>
    <cellStyle name="Input 10 6 6 2" xfId="26970" xr:uid="{00000000-0005-0000-0000-0000DB1C0000}"/>
    <cellStyle name="Input 10 6 7" xfId="9734" xr:uid="{00000000-0005-0000-0000-0000DC1C0000}"/>
    <cellStyle name="Input 10 6 7 2" xfId="20032" xr:uid="{00000000-0005-0000-0000-0000DD1C0000}"/>
    <cellStyle name="Input 10 7" xfId="2222" xr:uid="{00000000-0005-0000-0000-0000DE1C0000}"/>
    <cellStyle name="Input 10 7 2" xfId="3241" xr:uid="{00000000-0005-0000-0000-0000DF1C0000}"/>
    <cellStyle name="Input 10 7 2 2" xfId="7305" xr:uid="{00000000-0005-0000-0000-0000E01C0000}"/>
    <cellStyle name="Input 10 7 2 2 2" xfId="23345" xr:uid="{00000000-0005-0000-0000-0000E11C0000}"/>
    <cellStyle name="Input 10 7 2 3" xfId="13578" xr:uid="{00000000-0005-0000-0000-0000E21C0000}"/>
    <cellStyle name="Input 10 7 2 3 2" xfId="28410" xr:uid="{00000000-0005-0000-0000-0000E31C0000}"/>
    <cellStyle name="Input 10 7 2 4" xfId="21032" xr:uid="{00000000-0005-0000-0000-0000E41C0000}"/>
    <cellStyle name="Input 10 7 3" xfId="5190" xr:uid="{00000000-0005-0000-0000-0000E51C0000}"/>
    <cellStyle name="Input 10 7 3 2" xfId="9229" xr:uid="{00000000-0005-0000-0000-0000E61C0000}"/>
    <cellStyle name="Input 10 7 3 2 2" xfId="24567" xr:uid="{00000000-0005-0000-0000-0000E71C0000}"/>
    <cellStyle name="Input 10 7 3 3" xfId="15508" xr:uid="{00000000-0005-0000-0000-0000E81C0000}"/>
    <cellStyle name="Input 10 7 3 3 2" xfId="30340" xr:uid="{00000000-0005-0000-0000-0000E91C0000}"/>
    <cellStyle name="Input 10 7 3 4" xfId="22074" xr:uid="{00000000-0005-0000-0000-0000EA1C0000}"/>
    <cellStyle name="Input 10 7 4" xfId="4220" xr:uid="{00000000-0005-0000-0000-0000EB1C0000}"/>
    <cellStyle name="Input 10 7 4 2" xfId="8261" xr:uid="{00000000-0005-0000-0000-0000EC1C0000}"/>
    <cellStyle name="Input 10 7 4 2 2" xfId="23956" xr:uid="{00000000-0005-0000-0000-0000ED1C0000}"/>
    <cellStyle name="Input 10 7 4 3" xfId="14552" xr:uid="{00000000-0005-0000-0000-0000EE1C0000}"/>
    <cellStyle name="Input 10 7 4 3 2" xfId="29384" xr:uid="{00000000-0005-0000-0000-0000EF1C0000}"/>
    <cellStyle name="Input 10 7 4 4" xfId="21581" xr:uid="{00000000-0005-0000-0000-0000F01C0000}"/>
    <cellStyle name="Input 10 7 5" xfId="6336" xr:uid="{00000000-0005-0000-0000-0000F11C0000}"/>
    <cellStyle name="Input 10 7 5 2" xfId="22738" xr:uid="{00000000-0005-0000-0000-0000F21C0000}"/>
    <cellStyle name="Input 10 7 6" xfId="12590" xr:uid="{00000000-0005-0000-0000-0000F31C0000}"/>
    <cellStyle name="Input 10 7 6 2" xfId="27422" xr:uid="{00000000-0005-0000-0000-0000F41C0000}"/>
    <cellStyle name="Input 10 7 7" xfId="20417" xr:uid="{00000000-0005-0000-0000-0000F51C0000}"/>
    <cellStyle name="Input 10 8" xfId="3137" xr:uid="{00000000-0005-0000-0000-0000F61C0000}"/>
    <cellStyle name="Input 10 8 2" xfId="7201" xr:uid="{00000000-0005-0000-0000-0000F71C0000}"/>
    <cellStyle name="Input 10 8 2 2" xfId="23273" xr:uid="{00000000-0005-0000-0000-0000F81C0000}"/>
    <cellStyle name="Input 10 8 3" xfId="13475" xr:uid="{00000000-0005-0000-0000-0000F91C0000}"/>
    <cellStyle name="Input 10 8 3 2" xfId="28307" xr:uid="{00000000-0005-0000-0000-0000FA1C0000}"/>
    <cellStyle name="Input 10 8 4" xfId="20964" xr:uid="{00000000-0005-0000-0000-0000FB1C0000}"/>
    <cellStyle name="Input 10 9" xfId="3218" xr:uid="{00000000-0005-0000-0000-0000FC1C0000}"/>
    <cellStyle name="Input 10 9 2" xfId="7282" xr:uid="{00000000-0005-0000-0000-0000FD1C0000}"/>
    <cellStyle name="Input 10 9 2 2" xfId="23327" xr:uid="{00000000-0005-0000-0000-0000FE1C0000}"/>
    <cellStyle name="Input 10 9 3" xfId="13556" xr:uid="{00000000-0005-0000-0000-0000FF1C0000}"/>
    <cellStyle name="Input 10 9 3 2" xfId="28388" xr:uid="{00000000-0005-0000-0000-0000001D0000}"/>
    <cellStyle name="Input 10 9 4" xfId="21016" xr:uid="{00000000-0005-0000-0000-0000011D0000}"/>
    <cellStyle name="Input 2" xfId="1112" xr:uid="{00000000-0005-0000-0000-0000021D0000}"/>
    <cellStyle name="Input 2 10" xfId="1477" xr:uid="{00000000-0005-0000-0000-0000031D0000}"/>
    <cellStyle name="Input 2 10 2" xfId="1978" xr:uid="{00000000-0005-0000-0000-0000041D0000}"/>
    <cellStyle name="Input 2 10 2 2" xfId="4083" xr:uid="{00000000-0005-0000-0000-0000051D0000}"/>
    <cellStyle name="Input 2 10 2 2 2" xfId="8129" xr:uid="{00000000-0005-0000-0000-0000061D0000}"/>
    <cellStyle name="Input 2 10 2 2 2 2" xfId="23879" xr:uid="{00000000-0005-0000-0000-0000071D0000}"/>
    <cellStyle name="Input 2 10 2 2 3" xfId="14415" xr:uid="{00000000-0005-0000-0000-0000081D0000}"/>
    <cellStyle name="Input 2 10 2 2 3 2" xfId="29247" xr:uid="{00000000-0005-0000-0000-0000091D0000}"/>
    <cellStyle name="Input 2 10 2 2 4" xfId="21509" xr:uid="{00000000-0005-0000-0000-00000A1D0000}"/>
    <cellStyle name="Input 2 10 2 3" xfId="4942" xr:uid="{00000000-0005-0000-0000-00000B1D0000}"/>
    <cellStyle name="Input 2 10 2 3 2" xfId="8981" xr:uid="{00000000-0005-0000-0000-00000C1D0000}"/>
    <cellStyle name="Input 2 10 2 3 2 2" xfId="24447" xr:uid="{00000000-0005-0000-0000-00000D1D0000}"/>
    <cellStyle name="Input 2 10 2 3 3" xfId="15264" xr:uid="{00000000-0005-0000-0000-00000E1D0000}"/>
    <cellStyle name="Input 2 10 2 3 3 2" xfId="30096" xr:uid="{00000000-0005-0000-0000-00000F1D0000}"/>
    <cellStyle name="Input 2 10 2 3 4" xfId="21977" xr:uid="{00000000-0005-0000-0000-0000101D0000}"/>
    <cellStyle name="Input 2 10 2 4" xfId="2932" xr:uid="{00000000-0005-0000-0000-0000111D0000}"/>
    <cellStyle name="Input 2 10 2 4 2" xfId="7016" xr:uid="{00000000-0005-0000-0000-0000121D0000}"/>
    <cellStyle name="Input 2 10 2 4 2 2" xfId="23190" xr:uid="{00000000-0005-0000-0000-0000131D0000}"/>
    <cellStyle name="Input 2 10 2 4 3" xfId="13270" xr:uid="{00000000-0005-0000-0000-0000141D0000}"/>
    <cellStyle name="Input 2 10 2 4 3 2" xfId="28102" xr:uid="{00000000-0005-0000-0000-0000151D0000}"/>
    <cellStyle name="Input 2 10 2 4 4" xfId="20858" xr:uid="{00000000-0005-0000-0000-0000161D0000}"/>
    <cellStyle name="Input 2 10 2 5" xfId="6108" xr:uid="{00000000-0005-0000-0000-0000171D0000}"/>
    <cellStyle name="Input 2 10 2 5 2" xfId="16295" xr:uid="{00000000-0005-0000-0000-0000181D0000}"/>
    <cellStyle name="Input 2 10 2 5 2 2" xfId="31127" xr:uid="{00000000-0005-0000-0000-0000191D0000}"/>
    <cellStyle name="Input 2 10 2 5 3" xfId="22641" xr:uid="{00000000-0005-0000-0000-00001A1D0000}"/>
    <cellStyle name="Input 2 10 2 6" xfId="12365" xr:uid="{00000000-0005-0000-0000-00001B1D0000}"/>
    <cellStyle name="Input 2 10 2 6 2" xfId="27197" xr:uid="{00000000-0005-0000-0000-00001C1D0000}"/>
    <cellStyle name="Input 2 10 2 7" xfId="9947" xr:uid="{00000000-0005-0000-0000-00001D1D0000}"/>
    <cellStyle name="Input 2 10 2 7 2" xfId="20149" xr:uid="{00000000-0005-0000-0000-00001E1D0000}"/>
    <cellStyle name="Input 2 10 3" xfId="3346" xr:uid="{00000000-0005-0000-0000-00001F1D0000}"/>
    <cellStyle name="Input 2 10 3 2" xfId="7409" xr:uid="{00000000-0005-0000-0000-0000201D0000}"/>
    <cellStyle name="Input 2 10 3 2 2" xfId="23414" xr:uid="{00000000-0005-0000-0000-0000211D0000}"/>
    <cellStyle name="Input 2 10 3 3" xfId="13683" xr:uid="{00000000-0005-0000-0000-0000221D0000}"/>
    <cellStyle name="Input 2 10 3 3 2" xfId="28515" xr:uid="{00000000-0005-0000-0000-0000231D0000}"/>
    <cellStyle name="Input 2 10 3 4" xfId="21101" xr:uid="{00000000-0005-0000-0000-0000241D0000}"/>
    <cellStyle name="Input 2 10 4" xfId="4522" xr:uid="{00000000-0005-0000-0000-0000251D0000}"/>
    <cellStyle name="Input 2 10 4 2" xfId="8561" xr:uid="{00000000-0005-0000-0000-0000261D0000}"/>
    <cellStyle name="Input 2 10 4 2 2" xfId="24187" xr:uid="{00000000-0005-0000-0000-0000271D0000}"/>
    <cellStyle name="Input 2 10 4 3" xfId="14849" xr:uid="{00000000-0005-0000-0000-0000281D0000}"/>
    <cellStyle name="Input 2 10 4 3 2" xfId="29681" xr:uid="{00000000-0005-0000-0000-0000291D0000}"/>
    <cellStyle name="Input 2 10 4 4" xfId="21747" xr:uid="{00000000-0005-0000-0000-00002A1D0000}"/>
    <cellStyle name="Input 2 10 5" xfId="2512" xr:uid="{00000000-0005-0000-0000-00002B1D0000}"/>
    <cellStyle name="Input 2 10 5 2" xfId="6618" xr:uid="{00000000-0005-0000-0000-00002C1D0000}"/>
    <cellStyle name="Input 2 10 5 2 2" xfId="22956" xr:uid="{00000000-0005-0000-0000-00002D1D0000}"/>
    <cellStyle name="Input 2 10 5 3" xfId="12850" xr:uid="{00000000-0005-0000-0000-00002E1D0000}"/>
    <cellStyle name="Input 2 10 5 3 2" xfId="27682" xr:uid="{00000000-0005-0000-0000-00002F1D0000}"/>
    <cellStyle name="Input 2 10 5 4" xfId="20602" xr:uid="{00000000-0005-0000-0000-0000301D0000}"/>
    <cellStyle name="Input 2 10 6" xfId="5635" xr:uid="{00000000-0005-0000-0000-0000311D0000}"/>
    <cellStyle name="Input 2 10 6 2" xfId="15870" xr:uid="{00000000-0005-0000-0000-0000321D0000}"/>
    <cellStyle name="Input 2 10 6 2 2" xfId="30702" xr:uid="{00000000-0005-0000-0000-0000331D0000}"/>
    <cellStyle name="Input 2 10 6 3" xfId="22331" xr:uid="{00000000-0005-0000-0000-0000341D0000}"/>
    <cellStyle name="Input 2 10 7" xfId="11894" xr:uid="{00000000-0005-0000-0000-0000351D0000}"/>
    <cellStyle name="Input 2 10 7 2" xfId="26726" xr:uid="{00000000-0005-0000-0000-0000361D0000}"/>
    <cellStyle name="Input 2 10 8" xfId="9552" xr:uid="{00000000-0005-0000-0000-0000371D0000}"/>
    <cellStyle name="Input 2 10 8 2" xfId="19854" xr:uid="{00000000-0005-0000-0000-0000381D0000}"/>
    <cellStyle name="Input 2 11" xfId="1405" xr:uid="{00000000-0005-0000-0000-0000391D0000}"/>
    <cellStyle name="Input 2 11 2" xfId="1907" xr:uid="{00000000-0005-0000-0000-00003A1D0000}"/>
    <cellStyle name="Input 2 11 2 2" xfId="3733" xr:uid="{00000000-0005-0000-0000-00003B1D0000}"/>
    <cellStyle name="Input 2 11 2 2 2" xfId="7789" xr:uid="{00000000-0005-0000-0000-00003C1D0000}"/>
    <cellStyle name="Input 2 11 2 2 2 2" xfId="23663" xr:uid="{00000000-0005-0000-0000-00003D1D0000}"/>
    <cellStyle name="Input 2 11 2 2 3" xfId="14068" xr:uid="{00000000-0005-0000-0000-00003E1D0000}"/>
    <cellStyle name="Input 2 11 2 2 3 2" xfId="28900" xr:uid="{00000000-0005-0000-0000-00003F1D0000}"/>
    <cellStyle name="Input 2 11 2 2 4" xfId="21323" xr:uid="{00000000-0005-0000-0000-0000401D0000}"/>
    <cellStyle name="Input 2 11 2 3" xfId="4885" xr:uid="{00000000-0005-0000-0000-0000411D0000}"/>
    <cellStyle name="Input 2 11 2 3 2" xfId="8924" xr:uid="{00000000-0005-0000-0000-0000421D0000}"/>
    <cellStyle name="Input 2 11 2 3 2 2" xfId="24390" xr:uid="{00000000-0005-0000-0000-0000431D0000}"/>
    <cellStyle name="Input 2 11 2 3 3" xfId="15208" xr:uid="{00000000-0005-0000-0000-0000441D0000}"/>
    <cellStyle name="Input 2 11 2 3 3 2" xfId="30040" xr:uid="{00000000-0005-0000-0000-0000451D0000}"/>
    <cellStyle name="Input 2 11 2 3 4" xfId="21922" xr:uid="{00000000-0005-0000-0000-0000461D0000}"/>
    <cellStyle name="Input 2 11 2 4" xfId="2875" xr:uid="{00000000-0005-0000-0000-0000471D0000}"/>
    <cellStyle name="Input 2 11 2 4 2" xfId="6960" xr:uid="{00000000-0005-0000-0000-0000481D0000}"/>
    <cellStyle name="Input 2 11 2 4 2 2" xfId="23135" xr:uid="{00000000-0005-0000-0000-0000491D0000}"/>
    <cellStyle name="Input 2 11 2 4 3" xfId="13213" xr:uid="{00000000-0005-0000-0000-00004A1D0000}"/>
    <cellStyle name="Input 2 11 2 4 3 2" xfId="28045" xr:uid="{00000000-0005-0000-0000-00004B1D0000}"/>
    <cellStyle name="Input 2 11 2 4 4" xfId="20801" xr:uid="{00000000-0005-0000-0000-00004C1D0000}"/>
    <cellStyle name="Input 2 11 2 5" xfId="6038" xr:uid="{00000000-0005-0000-0000-00004D1D0000}"/>
    <cellStyle name="Input 2 11 2 5 2" xfId="16225" xr:uid="{00000000-0005-0000-0000-00004E1D0000}"/>
    <cellStyle name="Input 2 11 2 5 2 2" xfId="31057" xr:uid="{00000000-0005-0000-0000-00004F1D0000}"/>
    <cellStyle name="Input 2 11 2 5 3" xfId="22571" xr:uid="{00000000-0005-0000-0000-0000501D0000}"/>
    <cellStyle name="Input 2 11 2 6" xfId="12295" xr:uid="{00000000-0005-0000-0000-0000511D0000}"/>
    <cellStyle name="Input 2 11 2 6 2" xfId="27127" xr:uid="{00000000-0005-0000-0000-0000521D0000}"/>
    <cellStyle name="Input 2 11 2 7" xfId="9891" xr:uid="{00000000-0005-0000-0000-0000531D0000}"/>
    <cellStyle name="Input 2 11 2 7 2" xfId="20094" xr:uid="{00000000-0005-0000-0000-0000541D0000}"/>
    <cellStyle name="Input 2 11 3" xfId="3565" xr:uid="{00000000-0005-0000-0000-0000551D0000}"/>
    <cellStyle name="Input 2 11 3 2" xfId="7627" xr:uid="{00000000-0005-0000-0000-0000561D0000}"/>
    <cellStyle name="Input 2 11 3 2 2" xfId="23555" xr:uid="{00000000-0005-0000-0000-0000571D0000}"/>
    <cellStyle name="Input 2 11 3 3" xfId="13901" xr:uid="{00000000-0005-0000-0000-0000581D0000}"/>
    <cellStyle name="Input 2 11 3 3 2" xfId="28733" xr:uid="{00000000-0005-0000-0000-0000591D0000}"/>
    <cellStyle name="Input 2 11 3 4" xfId="21225" xr:uid="{00000000-0005-0000-0000-00005A1D0000}"/>
    <cellStyle name="Input 2 11 4" xfId="4465" xr:uid="{00000000-0005-0000-0000-00005B1D0000}"/>
    <cellStyle name="Input 2 11 4 2" xfId="8504" xr:uid="{00000000-0005-0000-0000-00005C1D0000}"/>
    <cellStyle name="Input 2 11 4 2 2" xfId="24130" xr:uid="{00000000-0005-0000-0000-00005D1D0000}"/>
    <cellStyle name="Input 2 11 4 3" xfId="14793" xr:uid="{00000000-0005-0000-0000-00005E1D0000}"/>
    <cellStyle name="Input 2 11 4 3 2" xfId="29625" xr:uid="{00000000-0005-0000-0000-00005F1D0000}"/>
    <cellStyle name="Input 2 11 4 4" xfId="21692" xr:uid="{00000000-0005-0000-0000-0000601D0000}"/>
    <cellStyle name="Input 2 11 5" xfId="2455" xr:uid="{00000000-0005-0000-0000-0000611D0000}"/>
    <cellStyle name="Input 2 11 5 2" xfId="6561" xr:uid="{00000000-0005-0000-0000-0000621D0000}"/>
    <cellStyle name="Input 2 11 5 2 2" xfId="22899" xr:uid="{00000000-0005-0000-0000-0000631D0000}"/>
    <cellStyle name="Input 2 11 5 3" xfId="12794" xr:uid="{00000000-0005-0000-0000-0000641D0000}"/>
    <cellStyle name="Input 2 11 5 3 2" xfId="27626" xr:uid="{00000000-0005-0000-0000-0000651D0000}"/>
    <cellStyle name="Input 2 11 5 4" xfId="20547" xr:uid="{00000000-0005-0000-0000-0000661D0000}"/>
    <cellStyle name="Input 2 11 6" xfId="5579" xr:uid="{00000000-0005-0000-0000-0000671D0000}"/>
    <cellStyle name="Input 2 11 6 2" xfId="15814" xr:uid="{00000000-0005-0000-0000-0000681D0000}"/>
    <cellStyle name="Input 2 11 6 2 2" xfId="30646" xr:uid="{00000000-0005-0000-0000-0000691D0000}"/>
    <cellStyle name="Input 2 11 6 3" xfId="22275" xr:uid="{00000000-0005-0000-0000-00006A1D0000}"/>
    <cellStyle name="Input 2 11 7" xfId="11824" xr:uid="{00000000-0005-0000-0000-00006B1D0000}"/>
    <cellStyle name="Input 2 11 7 2" xfId="26656" xr:uid="{00000000-0005-0000-0000-00006C1D0000}"/>
    <cellStyle name="Input 2 11 8" xfId="9496" xr:uid="{00000000-0005-0000-0000-00006D1D0000}"/>
    <cellStyle name="Input 2 11 8 2" xfId="19799" xr:uid="{00000000-0005-0000-0000-00006E1D0000}"/>
    <cellStyle name="Input 2 12" xfId="1469" xr:uid="{00000000-0005-0000-0000-00006F1D0000}"/>
    <cellStyle name="Input 2 12 2" xfId="1970" xr:uid="{00000000-0005-0000-0000-0000701D0000}"/>
    <cellStyle name="Input 2 12 2 2" xfId="3871" xr:uid="{00000000-0005-0000-0000-0000711D0000}"/>
    <cellStyle name="Input 2 12 2 2 2" xfId="7923" xr:uid="{00000000-0005-0000-0000-0000721D0000}"/>
    <cellStyle name="Input 2 12 2 2 2 2" xfId="23752" xr:uid="{00000000-0005-0000-0000-0000731D0000}"/>
    <cellStyle name="Input 2 12 2 2 3" xfId="14206" xr:uid="{00000000-0005-0000-0000-0000741D0000}"/>
    <cellStyle name="Input 2 12 2 2 3 2" xfId="29038" xr:uid="{00000000-0005-0000-0000-0000751D0000}"/>
    <cellStyle name="Input 2 12 2 2 4" xfId="21394" xr:uid="{00000000-0005-0000-0000-0000761D0000}"/>
    <cellStyle name="Input 2 12 2 3" xfId="4934" xr:uid="{00000000-0005-0000-0000-0000771D0000}"/>
    <cellStyle name="Input 2 12 2 3 2" xfId="8973" xr:uid="{00000000-0005-0000-0000-0000781D0000}"/>
    <cellStyle name="Input 2 12 2 3 2 2" xfId="24439" xr:uid="{00000000-0005-0000-0000-0000791D0000}"/>
    <cellStyle name="Input 2 12 2 3 3" xfId="15256" xr:uid="{00000000-0005-0000-0000-00007A1D0000}"/>
    <cellStyle name="Input 2 12 2 3 3 2" xfId="30088" xr:uid="{00000000-0005-0000-0000-00007B1D0000}"/>
    <cellStyle name="Input 2 12 2 3 4" xfId="21969" xr:uid="{00000000-0005-0000-0000-00007C1D0000}"/>
    <cellStyle name="Input 2 12 2 4" xfId="2924" xr:uid="{00000000-0005-0000-0000-00007D1D0000}"/>
    <cellStyle name="Input 2 12 2 4 2" xfId="7008" xr:uid="{00000000-0005-0000-0000-00007E1D0000}"/>
    <cellStyle name="Input 2 12 2 4 2 2" xfId="23182" xr:uid="{00000000-0005-0000-0000-00007F1D0000}"/>
    <cellStyle name="Input 2 12 2 4 3" xfId="13262" xr:uid="{00000000-0005-0000-0000-0000801D0000}"/>
    <cellStyle name="Input 2 12 2 4 3 2" xfId="28094" xr:uid="{00000000-0005-0000-0000-0000811D0000}"/>
    <cellStyle name="Input 2 12 2 4 4" xfId="20850" xr:uid="{00000000-0005-0000-0000-0000821D0000}"/>
    <cellStyle name="Input 2 12 2 5" xfId="6100" xr:uid="{00000000-0005-0000-0000-0000831D0000}"/>
    <cellStyle name="Input 2 12 2 5 2" xfId="16287" xr:uid="{00000000-0005-0000-0000-0000841D0000}"/>
    <cellStyle name="Input 2 12 2 5 2 2" xfId="31119" xr:uid="{00000000-0005-0000-0000-0000851D0000}"/>
    <cellStyle name="Input 2 12 2 5 3" xfId="22633" xr:uid="{00000000-0005-0000-0000-0000861D0000}"/>
    <cellStyle name="Input 2 12 2 6" xfId="12357" xr:uid="{00000000-0005-0000-0000-0000871D0000}"/>
    <cellStyle name="Input 2 12 2 6 2" xfId="27189" xr:uid="{00000000-0005-0000-0000-0000881D0000}"/>
    <cellStyle name="Input 2 12 2 7" xfId="9939" xr:uid="{00000000-0005-0000-0000-0000891D0000}"/>
    <cellStyle name="Input 2 12 2 7 2" xfId="20141" xr:uid="{00000000-0005-0000-0000-00008A1D0000}"/>
    <cellStyle name="Input 2 12 3" xfId="3210" xr:uid="{00000000-0005-0000-0000-00008B1D0000}"/>
    <cellStyle name="Input 2 12 3 2" xfId="7274" xr:uid="{00000000-0005-0000-0000-00008C1D0000}"/>
    <cellStyle name="Input 2 12 3 2 2" xfId="23321" xr:uid="{00000000-0005-0000-0000-00008D1D0000}"/>
    <cellStyle name="Input 2 12 3 3" xfId="13548" xr:uid="{00000000-0005-0000-0000-00008E1D0000}"/>
    <cellStyle name="Input 2 12 3 3 2" xfId="28380" xr:uid="{00000000-0005-0000-0000-00008F1D0000}"/>
    <cellStyle name="Input 2 12 3 4" xfId="21011" xr:uid="{00000000-0005-0000-0000-0000901D0000}"/>
    <cellStyle name="Input 2 12 4" xfId="4514" xr:uid="{00000000-0005-0000-0000-0000911D0000}"/>
    <cellStyle name="Input 2 12 4 2" xfId="8553" xr:uid="{00000000-0005-0000-0000-0000921D0000}"/>
    <cellStyle name="Input 2 12 4 2 2" xfId="24179" xr:uid="{00000000-0005-0000-0000-0000931D0000}"/>
    <cellStyle name="Input 2 12 4 3" xfId="14841" xr:uid="{00000000-0005-0000-0000-0000941D0000}"/>
    <cellStyle name="Input 2 12 4 3 2" xfId="29673" xr:uid="{00000000-0005-0000-0000-0000951D0000}"/>
    <cellStyle name="Input 2 12 4 4" xfId="21739" xr:uid="{00000000-0005-0000-0000-0000961D0000}"/>
    <cellStyle name="Input 2 12 5" xfId="2504" xr:uid="{00000000-0005-0000-0000-0000971D0000}"/>
    <cellStyle name="Input 2 12 5 2" xfId="6610" xr:uid="{00000000-0005-0000-0000-0000981D0000}"/>
    <cellStyle name="Input 2 12 5 2 2" xfId="22948" xr:uid="{00000000-0005-0000-0000-0000991D0000}"/>
    <cellStyle name="Input 2 12 5 3" xfId="12842" xr:uid="{00000000-0005-0000-0000-00009A1D0000}"/>
    <cellStyle name="Input 2 12 5 3 2" xfId="27674" xr:uid="{00000000-0005-0000-0000-00009B1D0000}"/>
    <cellStyle name="Input 2 12 5 4" xfId="20594" xr:uid="{00000000-0005-0000-0000-00009C1D0000}"/>
    <cellStyle name="Input 2 12 6" xfId="5627" xr:uid="{00000000-0005-0000-0000-00009D1D0000}"/>
    <cellStyle name="Input 2 12 6 2" xfId="15862" xr:uid="{00000000-0005-0000-0000-00009E1D0000}"/>
    <cellStyle name="Input 2 12 6 2 2" xfId="30694" xr:uid="{00000000-0005-0000-0000-00009F1D0000}"/>
    <cellStyle name="Input 2 12 6 3" xfId="22323" xr:uid="{00000000-0005-0000-0000-0000A01D0000}"/>
    <cellStyle name="Input 2 12 7" xfId="11886" xr:uid="{00000000-0005-0000-0000-0000A11D0000}"/>
    <cellStyle name="Input 2 12 7 2" xfId="26718" xr:uid="{00000000-0005-0000-0000-0000A21D0000}"/>
    <cellStyle name="Input 2 12 8" xfId="9544" xr:uid="{00000000-0005-0000-0000-0000A31D0000}"/>
    <cellStyle name="Input 2 12 8 2" xfId="19846" xr:uid="{00000000-0005-0000-0000-0000A41D0000}"/>
    <cellStyle name="Input 2 13" xfId="1745" xr:uid="{00000000-0005-0000-0000-0000A51D0000}"/>
    <cellStyle name="Input 2 13 2" xfId="4045" xr:uid="{00000000-0005-0000-0000-0000A61D0000}"/>
    <cellStyle name="Input 2 13 2 2" xfId="8092" xr:uid="{00000000-0005-0000-0000-0000A71D0000}"/>
    <cellStyle name="Input 2 13 2 2 2" xfId="23857" xr:uid="{00000000-0005-0000-0000-0000A81D0000}"/>
    <cellStyle name="Input 2 13 2 3" xfId="14377" xr:uid="{00000000-0005-0000-0000-0000A91D0000}"/>
    <cellStyle name="Input 2 13 2 3 2" xfId="29209" xr:uid="{00000000-0005-0000-0000-0000AA1D0000}"/>
    <cellStyle name="Input 2 13 2 4" xfId="21491" xr:uid="{00000000-0005-0000-0000-0000AB1D0000}"/>
    <cellStyle name="Input 2 13 3" xfId="4723" xr:uid="{00000000-0005-0000-0000-0000AC1D0000}"/>
    <cellStyle name="Input 2 13 3 2" xfId="8762" xr:uid="{00000000-0005-0000-0000-0000AD1D0000}"/>
    <cellStyle name="Input 2 13 3 2 2" xfId="24292" xr:uid="{00000000-0005-0000-0000-0000AE1D0000}"/>
    <cellStyle name="Input 2 13 3 3" xfId="15047" xr:uid="{00000000-0005-0000-0000-0000AF1D0000}"/>
    <cellStyle name="Input 2 13 3 3 2" xfId="29879" xr:uid="{00000000-0005-0000-0000-0000B01D0000}"/>
    <cellStyle name="Input 2 13 3 4" xfId="21830" xr:uid="{00000000-0005-0000-0000-0000B11D0000}"/>
    <cellStyle name="Input 2 13 4" xfId="2713" xr:uid="{00000000-0005-0000-0000-0000B21D0000}"/>
    <cellStyle name="Input 2 13 4 2" xfId="6804" xr:uid="{00000000-0005-0000-0000-0000B31D0000}"/>
    <cellStyle name="Input 2 13 4 2 2" xfId="23043" xr:uid="{00000000-0005-0000-0000-0000B41D0000}"/>
    <cellStyle name="Input 2 13 4 3" xfId="13051" xr:uid="{00000000-0005-0000-0000-0000B51D0000}"/>
    <cellStyle name="Input 2 13 4 3 2" xfId="27883" xr:uid="{00000000-0005-0000-0000-0000B61D0000}"/>
    <cellStyle name="Input 2 13 4 4" xfId="20703" xr:uid="{00000000-0005-0000-0000-0000B71D0000}"/>
    <cellStyle name="Input 2 13 5" xfId="5877" xr:uid="{00000000-0005-0000-0000-0000B81D0000}"/>
    <cellStyle name="Input 2 13 5 2" xfId="16069" xr:uid="{00000000-0005-0000-0000-0000B91D0000}"/>
    <cellStyle name="Input 2 13 5 2 2" xfId="30901" xr:uid="{00000000-0005-0000-0000-0000BA1D0000}"/>
    <cellStyle name="Input 2 13 5 3" xfId="22474" xr:uid="{00000000-0005-0000-0000-0000BB1D0000}"/>
    <cellStyle name="Input 2 13 6" xfId="12139" xr:uid="{00000000-0005-0000-0000-0000BC1D0000}"/>
    <cellStyle name="Input 2 13 6 2" xfId="26971" xr:uid="{00000000-0005-0000-0000-0000BD1D0000}"/>
    <cellStyle name="Input 2 13 7" xfId="9735" xr:uid="{00000000-0005-0000-0000-0000BE1D0000}"/>
    <cellStyle name="Input 2 13 7 2" xfId="20033" xr:uid="{00000000-0005-0000-0000-0000BF1D0000}"/>
    <cellStyle name="Input 2 14" xfId="2221" xr:uid="{00000000-0005-0000-0000-0000C01D0000}"/>
    <cellStyle name="Input 2 14 2" xfId="3444" xr:uid="{00000000-0005-0000-0000-0000C11D0000}"/>
    <cellStyle name="Input 2 14 2 2" xfId="7507" xr:uid="{00000000-0005-0000-0000-0000C21D0000}"/>
    <cellStyle name="Input 2 14 2 2 2" xfId="23480" xr:uid="{00000000-0005-0000-0000-0000C31D0000}"/>
    <cellStyle name="Input 2 14 2 3" xfId="13781" xr:uid="{00000000-0005-0000-0000-0000C41D0000}"/>
    <cellStyle name="Input 2 14 2 3 2" xfId="28613" xr:uid="{00000000-0005-0000-0000-0000C51D0000}"/>
    <cellStyle name="Input 2 14 2 4" xfId="21156" xr:uid="{00000000-0005-0000-0000-0000C61D0000}"/>
    <cellStyle name="Input 2 14 3" xfId="5189" xr:uid="{00000000-0005-0000-0000-0000C71D0000}"/>
    <cellStyle name="Input 2 14 3 2" xfId="9228" xr:uid="{00000000-0005-0000-0000-0000C81D0000}"/>
    <cellStyle name="Input 2 14 3 2 2" xfId="24566" xr:uid="{00000000-0005-0000-0000-0000C91D0000}"/>
    <cellStyle name="Input 2 14 3 3" xfId="15507" xr:uid="{00000000-0005-0000-0000-0000CA1D0000}"/>
    <cellStyle name="Input 2 14 3 3 2" xfId="30339" xr:uid="{00000000-0005-0000-0000-0000CB1D0000}"/>
    <cellStyle name="Input 2 14 3 4" xfId="22073" xr:uid="{00000000-0005-0000-0000-0000CC1D0000}"/>
    <cellStyle name="Input 2 14 4" xfId="4219" xr:uid="{00000000-0005-0000-0000-0000CD1D0000}"/>
    <cellStyle name="Input 2 14 4 2" xfId="8260" xr:uid="{00000000-0005-0000-0000-0000CE1D0000}"/>
    <cellStyle name="Input 2 14 4 2 2" xfId="23955" xr:uid="{00000000-0005-0000-0000-0000CF1D0000}"/>
    <cellStyle name="Input 2 14 4 3" xfId="14551" xr:uid="{00000000-0005-0000-0000-0000D01D0000}"/>
    <cellStyle name="Input 2 14 4 3 2" xfId="29383" xr:uid="{00000000-0005-0000-0000-0000D11D0000}"/>
    <cellStyle name="Input 2 14 4 4" xfId="21580" xr:uid="{00000000-0005-0000-0000-0000D21D0000}"/>
    <cellStyle name="Input 2 14 5" xfId="6335" xr:uid="{00000000-0005-0000-0000-0000D31D0000}"/>
    <cellStyle name="Input 2 14 5 2" xfId="22737" xr:uid="{00000000-0005-0000-0000-0000D41D0000}"/>
    <cellStyle name="Input 2 14 6" xfId="12589" xr:uid="{00000000-0005-0000-0000-0000D51D0000}"/>
    <cellStyle name="Input 2 14 6 2" xfId="27421" xr:uid="{00000000-0005-0000-0000-0000D61D0000}"/>
    <cellStyle name="Input 2 14 7" xfId="20416" xr:uid="{00000000-0005-0000-0000-0000D71D0000}"/>
    <cellStyle name="Input 2 15" xfId="3143" xr:uid="{00000000-0005-0000-0000-0000D81D0000}"/>
    <cellStyle name="Input 2 15 2" xfId="7207" xr:uid="{00000000-0005-0000-0000-0000D91D0000}"/>
    <cellStyle name="Input 2 15 2 2" xfId="23276" xr:uid="{00000000-0005-0000-0000-0000DA1D0000}"/>
    <cellStyle name="Input 2 15 3" xfId="13481" xr:uid="{00000000-0005-0000-0000-0000DB1D0000}"/>
    <cellStyle name="Input 2 15 3 2" xfId="28313" xr:uid="{00000000-0005-0000-0000-0000DC1D0000}"/>
    <cellStyle name="Input 2 15 4" xfId="20967" xr:uid="{00000000-0005-0000-0000-0000DD1D0000}"/>
    <cellStyle name="Input 2 16" xfId="3986" xr:uid="{00000000-0005-0000-0000-0000DE1D0000}"/>
    <cellStyle name="Input 2 16 2" xfId="8034" xr:uid="{00000000-0005-0000-0000-0000DF1D0000}"/>
    <cellStyle name="Input 2 16 2 2" xfId="23823" xr:uid="{00000000-0005-0000-0000-0000E01D0000}"/>
    <cellStyle name="Input 2 16 3" xfId="14319" xr:uid="{00000000-0005-0000-0000-0000E11D0000}"/>
    <cellStyle name="Input 2 16 3 2" xfId="29151" xr:uid="{00000000-0005-0000-0000-0000E21D0000}"/>
    <cellStyle name="Input 2 16 4" xfId="21462" xr:uid="{00000000-0005-0000-0000-0000E31D0000}"/>
    <cellStyle name="Input 2 17" xfId="2283" xr:uid="{00000000-0005-0000-0000-0000E41D0000}"/>
    <cellStyle name="Input 2 17 2" xfId="6395" xr:uid="{00000000-0005-0000-0000-0000E51D0000}"/>
    <cellStyle name="Input 2 17 2 2" xfId="22797" xr:uid="{00000000-0005-0000-0000-0000E61D0000}"/>
    <cellStyle name="Input 2 17 3" xfId="12623" xr:uid="{00000000-0005-0000-0000-0000E71D0000}"/>
    <cellStyle name="Input 2 17 3 2" xfId="27455" xr:uid="{00000000-0005-0000-0000-0000E81D0000}"/>
    <cellStyle name="Input 2 17 4" xfId="20449" xr:uid="{00000000-0005-0000-0000-0000E91D0000}"/>
    <cellStyle name="Input 2 18" xfId="5249" xr:uid="{00000000-0005-0000-0000-0000EA1D0000}"/>
    <cellStyle name="Input 2 18 2" xfId="15565" xr:uid="{00000000-0005-0000-0000-0000EB1D0000}"/>
    <cellStyle name="Input 2 18 2 2" xfId="30397" xr:uid="{00000000-0005-0000-0000-0000EC1D0000}"/>
    <cellStyle name="Input 2 18 3" xfId="22106" xr:uid="{00000000-0005-0000-0000-0000ED1D0000}"/>
    <cellStyle name="Input 2 19" xfId="5407" xr:uid="{00000000-0005-0000-0000-0000EE1D0000}"/>
    <cellStyle name="Input 2 19 2" xfId="15643" xr:uid="{00000000-0005-0000-0000-0000EF1D0000}"/>
    <cellStyle name="Input 2 19 2 2" xfId="30475" xr:uid="{00000000-0005-0000-0000-0000F01D0000}"/>
    <cellStyle name="Input 2 19 3" xfId="22168" xr:uid="{00000000-0005-0000-0000-0000F11D0000}"/>
    <cellStyle name="Input 2 2" xfId="1113" xr:uid="{00000000-0005-0000-0000-0000F21D0000}"/>
    <cellStyle name="Input 2 2 10" xfId="2284" xr:uid="{00000000-0005-0000-0000-0000F31D0000}"/>
    <cellStyle name="Input 2 2 10 2" xfId="6396" xr:uid="{00000000-0005-0000-0000-0000F41D0000}"/>
    <cellStyle name="Input 2 2 10 2 2" xfId="22798" xr:uid="{00000000-0005-0000-0000-0000F51D0000}"/>
    <cellStyle name="Input 2 2 10 3" xfId="12624" xr:uid="{00000000-0005-0000-0000-0000F61D0000}"/>
    <cellStyle name="Input 2 2 10 3 2" xfId="27456" xr:uid="{00000000-0005-0000-0000-0000F71D0000}"/>
    <cellStyle name="Input 2 2 10 4" xfId="20450" xr:uid="{00000000-0005-0000-0000-0000F81D0000}"/>
    <cellStyle name="Input 2 2 11" xfId="5250" xr:uid="{00000000-0005-0000-0000-0000F91D0000}"/>
    <cellStyle name="Input 2 2 11 2" xfId="15566" xr:uid="{00000000-0005-0000-0000-0000FA1D0000}"/>
    <cellStyle name="Input 2 2 11 2 2" xfId="30398" xr:uid="{00000000-0005-0000-0000-0000FB1D0000}"/>
    <cellStyle name="Input 2 2 11 3" xfId="22107" xr:uid="{00000000-0005-0000-0000-0000FC1D0000}"/>
    <cellStyle name="Input 2 2 12" xfId="5408" xr:uid="{00000000-0005-0000-0000-0000FD1D0000}"/>
    <cellStyle name="Input 2 2 12 2" xfId="15644" xr:uid="{00000000-0005-0000-0000-0000FE1D0000}"/>
    <cellStyle name="Input 2 2 12 2 2" xfId="30476" xr:uid="{00000000-0005-0000-0000-0000FF1D0000}"/>
    <cellStyle name="Input 2 2 12 3" xfId="22169" xr:uid="{00000000-0005-0000-0000-0000001E0000}"/>
    <cellStyle name="Input 2 2 13" xfId="9383" xr:uid="{00000000-0005-0000-0000-0000011E0000}"/>
    <cellStyle name="Input 2 2 13 2" xfId="24689" xr:uid="{00000000-0005-0000-0000-0000021E0000}"/>
    <cellStyle name="Input 2 2 14" xfId="5372" xr:uid="{00000000-0005-0000-0000-0000031E0000}"/>
    <cellStyle name="Input 2 2 14 2" xfId="18246" xr:uid="{00000000-0005-0000-0000-0000041E0000}"/>
    <cellStyle name="Input 2 2 2" xfId="1320" xr:uid="{00000000-0005-0000-0000-0000051E0000}"/>
    <cellStyle name="Input 2 2 2 2" xfId="1824" xr:uid="{00000000-0005-0000-0000-0000061E0000}"/>
    <cellStyle name="Input 2 2 2 2 2" xfId="3642" xr:uid="{00000000-0005-0000-0000-0000071E0000}"/>
    <cellStyle name="Input 2 2 2 2 2 2" xfId="7701" xr:uid="{00000000-0005-0000-0000-0000081E0000}"/>
    <cellStyle name="Input 2 2 2 2 2 2 2" xfId="23601" xr:uid="{00000000-0005-0000-0000-0000091E0000}"/>
    <cellStyle name="Input 2 2 2 2 2 3" xfId="13977" xr:uid="{00000000-0005-0000-0000-00000A1E0000}"/>
    <cellStyle name="Input 2 2 2 2 2 3 2" xfId="28809" xr:uid="{00000000-0005-0000-0000-00000B1E0000}"/>
    <cellStyle name="Input 2 2 2 2 2 4" xfId="21267" xr:uid="{00000000-0005-0000-0000-00000C1E0000}"/>
    <cellStyle name="Input 2 2 2 2 3" xfId="4802" xr:uid="{00000000-0005-0000-0000-00000D1E0000}"/>
    <cellStyle name="Input 2 2 2 2 3 2" xfId="8841" xr:uid="{00000000-0005-0000-0000-00000E1E0000}"/>
    <cellStyle name="Input 2 2 2 2 3 2 2" xfId="24339" xr:uid="{00000000-0005-0000-0000-00000F1E0000}"/>
    <cellStyle name="Input 2 2 2 2 3 3" xfId="15126" xr:uid="{00000000-0005-0000-0000-0000101E0000}"/>
    <cellStyle name="Input 2 2 2 2 3 3 2" xfId="29958" xr:uid="{00000000-0005-0000-0000-0000111E0000}"/>
    <cellStyle name="Input 2 2 2 2 3 4" xfId="21877" xr:uid="{00000000-0005-0000-0000-0000121E0000}"/>
    <cellStyle name="Input 2 2 2 2 4" xfId="2792" xr:uid="{00000000-0005-0000-0000-0000131E0000}"/>
    <cellStyle name="Input 2 2 2 2 4 2" xfId="6883" xr:uid="{00000000-0005-0000-0000-0000141E0000}"/>
    <cellStyle name="Input 2 2 2 2 4 2 2" xfId="23090" xr:uid="{00000000-0005-0000-0000-0000151E0000}"/>
    <cellStyle name="Input 2 2 2 2 4 3" xfId="13130" xr:uid="{00000000-0005-0000-0000-0000161E0000}"/>
    <cellStyle name="Input 2 2 2 2 4 3 2" xfId="27962" xr:uid="{00000000-0005-0000-0000-0000171E0000}"/>
    <cellStyle name="Input 2 2 2 2 4 4" xfId="20750" xr:uid="{00000000-0005-0000-0000-0000181E0000}"/>
    <cellStyle name="Input 2 2 2 2 5" xfId="5956" xr:uid="{00000000-0005-0000-0000-0000191E0000}"/>
    <cellStyle name="Input 2 2 2 2 5 2" xfId="16148" xr:uid="{00000000-0005-0000-0000-00001A1E0000}"/>
    <cellStyle name="Input 2 2 2 2 5 2 2" xfId="30980" xr:uid="{00000000-0005-0000-0000-00001B1E0000}"/>
    <cellStyle name="Input 2 2 2 2 5 3" xfId="22521" xr:uid="{00000000-0005-0000-0000-00001C1E0000}"/>
    <cellStyle name="Input 2 2 2 2 6" xfId="12218" xr:uid="{00000000-0005-0000-0000-00001D1E0000}"/>
    <cellStyle name="Input 2 2 2 2 6 2" xfId="27050" xr:uid="{00000000-0005-0000-0000-00001E1E0000}"/>
    <cellStyle name="Input 2 2 2 2 7" xfId="9814" xr:uid="{00000000-0005-0000-0000-00001F1E0000}"/>
    <cellStyle name="Input 2 2 2 2 7 2" xfId="20065" xr:uid="{00000000-0005-0000-0000-0000201E0000}"/>
    <cellStyle name="Input 2 2 2 3" xfId="3268" xr:uid="{00000000-0005-0000-0000-0000211E0000}"/>
    <cellStyle name="Input 2 2 2 3 2" xfId="7332" xr:uid="{00000000-0005-0000-0000-0000221E0000}"/>
    <cellStyle name="Input 2 2 2 3 2 2" xfId="23365" xr:uid="{00000000-0005-0000-0000-0000231E0000}"/>
    <cellStyle name="Input 2 2 2 3 3" xfId="13605" xr:uid="{00000000-0005-0000-0000-0000241E0000}"/>
    <cellStyle name="Input 2 2 2 3 3 2" xfId="28437" xr:uid="{00000000-0005-0000-0000-0000251E0000}"/>
    <cellStyle name="Input 2 2 2 3 4" xfId="21052" xr:uid="{00000000-0005-0000-0000-0000261E0000}"/>
    <cellStyle name="Input 2 2 2 4" xfId="4382" xr:uid="{00000000-0005-0000-0000-0000271E0000}"/>
    <cellStyle name="Input 2 2 2 4 2" xfId="8421" xr:uid="{00000000-0005-0000-0000-0000281E0000}"/>
    <cellStyle name="Input 2 2 2 4 2 2" xfId="24079" xr:uid="{00000000-0005-0000-0000-0000291E0000}"/>
    <cellStyle name="Input 2 2 2 4 3" xfId="14711" xr:uid="{00000000-0005-0000-0000-00002A1E0000}"/>
    <cellStyle name="Input 2 2 2 4 3 2" xfId="29543" xr:uid="{00000000-0005-0000-0000-00002B1E0000}"/>
    <cellStyle name="Input 2 2 2 4 4" xfId="21647" xr:uid="{00000000-0005-0000-0000-00002C1E0000}"/>
    <cellStyle name="Input 2 2 2 5" xfId="2372" xr:uid="{00000000-0005-0000-0000-00002D1E0000}"/>
    <cellStyle name="Input 2 2 2 5 2" xfId="6484" xr:uid="{00000000-0005-0000-0000-00002E1E0000}"/>
    <cellStyle name="Input 2 2 2 5 2 2" xfId="22854" xr:uid="{00000000-0005-0000-0000-00002F1E0000}"/>
    <cellStyle name="Input 2 2 2 5 3" xfId="12711" xr:uid="{00000000-0005-0000-0000-0000301E0000}"/>
    <cellStyle name="Input 2 2 2 5 3 2" xfId="27543" xr:uid="{00000000-0005-0000-0000-0000311E0000}"/>
    <cellStyle name="Input 2 2 2 5 4" xfId="20496" xr:uid="{00000000-0005-0000-0000-0000321E0000}"/>
    <cellStyle name="Input 2 2 2 6" xfId="5497" xr:uid="{00000000-0005-0000-0000-0000331E0000}"/>
    <cellStyle name="Input 2 2 2 6 2" xfId="15732" xr:uid="{00000000-0005-0000-0000-0000341E0000}"/>
    <cellStyle name="Input 2 2 2 6 2 2" xfId="30564" xr:uid="{00000000-0005-0000-0000-0000351E0000}"/>
    <cellStyle name="Input 2 2 2 6 3" xfId="22225" xr:uid="{00000000-0005-0000-0000-0000361E0000}"/>
    <cellStyle name="Input 2 2 2 7" xfId="11747" xr:uid="{00000000-0005-0000-0000-0000371E0000}"/>
    <cellStyle name="Input 2 2 2 7 2" xfId="26579" xr:uid="{00000000-0005-0000-0000-0000381E0000}"/>
    <cellStyle name="Input 2 2 2 8" xfId="9418" xr:uid="{00000000-0005-0000-0000-0000391E0000}"/>
    <cellStyle name="Input 2 2 2 8 2" xfId="19722" xr:uid="{00000000-0005-0000-0000-00003A1E0000}"/>
    <cellStyle name="Input 2 2 3" xfId="1478" xr:uid="{00000000-0005-0000-0000-00003B1E0000}"/>
    <cellStyle name="Input 2 2 3 2" xfId="1979" xr:uid="{00000000-0005-0000-0000-00003C1E0000}"/>
    <cellStyle name="Input 2 2 3 2 2" xfId="3604" xr:uid="{00000000-0005-0000-0000-00003D1E0000}"/>
    <cellStyle name="Input 2 2 3 2 2 2" xfId="7665" xr:uid="{00000000-0005-0000-0000-00003E1E0000}"/>
    <cellStyle name="Input 2 2 3 2 2 2 2" xfId="23576" xr:uid="{00000000-0005-0000-0000-00003F1E0000}"/>
    <cellStyle name="Input 2 2 3 2 2 3" xfId="13940" xr:uid="{00000000-0005-0000-0000-0000401E0000}"/>
    <cellStyle name="Input 2 2 3 2 2 3 2" xfId="28772" xr:uid="{00000000-0005-0000-0000-0000411E0000}"/>
    <cellStyle name="Input 2 2 3 2 2 4" xfId="21246" xr:uid="{00000000-0005-0000-0000-0000421E0000}"/>
    <cellStyle name="Input 2 2 3 2 3" xfId="4943" xr:uid="{00000000-0005-0000-0000-0000431E0000}"/>
    <cellStyle name="Input 2 2 3 2 3 2" xfId="8982" xr:uid="{00000000-0005-0000-0000-0000441E0000}"/>
    <cellStyle name="Input 2 2 3 2 3 2 2" xfId="24448" xr:uid="{00000000-0005-0000-0000-0000451E0000}"/>
    <cellStyle name="Input 2 2 3 2 3 3" xfId="15265" xr:uid="{00000000-0005-0000-0000-0000461E0000}"/>
    <cellStyle name="Input 2 2 3 2 3 3 2" xfId="30097" xr:uid="{00000000-0005-0000-0000-0000471E0000}"/>
    <cellStyle name="Input 2 2 3 2 3 4" xfId="21978" xr:uid="{00000000-0005-0000-0000-0000481E0000}"/>
    <cellStyle name="Input 2 2 3 2 4" xfId="2933" xr:uid="{00000000-0005-0000-0000-0000491E0000}"/>
    <cellStyle name="Input 2 2 3 2 4 2" xfId="7017" xr:uid="{00000000-0005-0000-0000-00004A1E0000}"/>
    <cellStyle name="Input 2 2 3 2 4 2 2" xfId="23191" xr:uid="{00000000-0005-0000-0000-00004B1E0000}"/>
    <cellStyle name="Input 2 2 3 2 4 3" xfId="13271" xr:uid="{00000000-0005-0000-0000-00004C1E0000}"/>
    <cellStyle name="Input 2 2 3 2 4 3 2" xfId="28103" xr:uid="{00000000-0005-0000-0000-00004D1E0000}"/>
    <cellStyle name="Input 2 2 3 2 4 4" xfId="20859" xr:uid="{00000000-0005-0000-0000-00004E1E0000}"/>
    <cellStyle name="Input 2 2 3 2 5" xfId="6109" xr:uid="{00000000-0005-0000-0000-00004F1E0000}"/>
    <cellStyle name="Input 2 2 3 2 5 2" xfId="16296" xr:uid="{00000000-0005-0000-0000-0000501E0000}"/>
    <cellStyle name="Input 2 2 3 2 5 2 2" xfId="31128" xr:uid="{00000000-0005-0000-0000-0000511E0000}"/>
    <cellStyle name="Input 2 2 3 2 5 3" xfId="22642" xr:uid="{00000000-0005-0000-0000-0000521E0000}"/>
    <cellStyle name="Input 2 2 3 2 6" xfId="12366" xr:uid="{00000000-0005-0000-0000-0000531E0000}"/>
    <cellStyle name="Input 2 2 3 2 6 2" xfId="27198" xr:uid="{00000000-0005-0000-0000-0000541E0000}"/>
    <cellStyle name="Input 2 2 3 2 7" xfId="9948" xr:uid="{00000000-0005-0000-0000-0000551E0000}"/>
    <cellStyle name="Input 2 2 3 2 7 2" xfId="20150" xr:uid="{00000000-0005-0000-0000-0000561E0000}"/>
    <cellStyle name="Input 2 2 3 3" xfId="3245" xr:uid="{00000000-0005-0000-0000-0000571E0000}"/>
    <cellStyle name="Input 2 2 3 3 2" xfId="7309" xr:uid="{00000000-0005-0000-0000-0000581E0000}"/>
    <cellStyle name="Input 2 2 3 3 2 2" xfId="23348" xr:uid="{00000000-0005-0000-0000-0000591E0000}"/>
    <cellStyle name="Input 2 2 3 3 3" xfId="13582" xr:uid="{00000000-0005-0000-0000-00005A1E0000}"/>
    <cellStyle name="Input 2 2 3 3 3 2" xfId="28414" xr:uid="{00000000-0005-0000-0000-00005B1E0000}"/>
    <cellStyle name="Input 2 2 3 3 4" xfId="21035" xr:uid="{00000000-0005-0000-0000-00005C1E0000}"/>
    <cellStyle name="Input 2 2 3 4" xfId="4523" xr:uid="{00000000-0005-0000-0000-00005D1E0000}"/>
    <cellStyle name="Input 2 2 3 4 2" xfId="8562" xr:uid="{00000000-0005-0000-0000-00005E1E0000}"/>
    <cellStyle name="Input 2 2 3 4 2 2" xfId="24188" xr:uid="{00000000-0005-0000-0000-00005F1E0000}"/>
    <cellStyle name="Input 2 2 3 4 3" xfId="14850" xr:uid="{00000000-0005-0000-0000-0000601E0000}"/>
    <cellStyle name="Input 2 2 3 4 3 2" xfId="29682" xr:uid="{00000000-0005-0000-0000-0000611E0000}"/>
    <cellStyle name="Input 2 2 3 4 4" xfId="21748" xr:uid="{00000000-0005-0000-0000-0000621E0000}"/>
    <cellStyle name="Input 2 2 3 5" xfId="2513" xr:uid="{00000000-0005-0000-0000-0000631E0000}"/>
    <cellStyle name="Input 2 2 3 5 2" xfId="6619" xr:uid="{00000000-0005-0000-0000-0000641E0000}"/>
    <cellStyle name="Input 2 2 3 5 2 2" xfId="22957" xr:uid="{00000000-0005-0000-0000-0000651E0000}"/>
    <cellStyle name="Input 2 2 3 5 3" xfId="12851" xr:uid="{00000000-0005-0000-0000-0000661E0000}"/>
    <cellStyle name="Input 2 2 3 5 3 2" xfId="27683" xr:uid="{00000000-0005-0000-0000-0000671E0000}"/>
    <cellStyle name="Input 2 2 3 5 4" xfId="20603" xr:uid="{00000000-0005-0000-0000-0000681E0000}"/>
    <cellStyle name="Input 2 2 3 6" xfId="5636" xr:uid="{00000000-0005-0000-0000-0000691E0000}"/>
    <cellStyle name="Input 2 2 3 6 2" xfId="15871" xr:uid="{00000000-0005-0000-0000-00006A1E0000}"/>
    <cellStyle name="Input 2 2 3 6 2 2" xfId="30703" xr:uid="{00000000-0005-0000-0000-00006B1E0000}"/>
    <cellStyle name="Input 2 2 3 6 3" xfId="22332" xr:uid="{00000000-0005-0000-0000-00006C1E0000}"/>
    <cellStyle name="Input 2 2 3 7" xfId="11895" xr:uid="{00000000-0005-0000-0000-00006D1E0000}"/>
    <cellStyle name="Input 2 2 3 7 2" xfId="26727" xr:uid="{00000000-0005-0000-0000-00006E1E0000}"/>
    <cellStyle name="Input 2 2 3 8" xfId="9553" xr:uid="{00000000-0005-0000-0000-00006F1E0000}"/>
    <cellStyle name="Input 2 2 3 8 2" xfId="19855" xr:uid="{00000000-0005-0000-0000-0000701E0000}"/>
    <cellStyle name="Input 2 2 4" xfId="1399" xr:uid="{00000000-0005-0000-0000-0000711E0000}"/>
    <cellStyle name="Input 2 2 4 2" xfId="1901" xr:uid="{00000000-0005-0000-0000-0000721E0000}"/>
    <cellStyle name="Input 2 2 4 2 2" xfId="3848" xr:uid="{00000000-0005-0000-0000-0000731E0000}"/>
    <cellStyle name="Input 2 2 4 2 2 2" xfId="7901" xr:uid="{00000000-0005-0000-0000-0000741E0000}"/>
    <cellStyle name="Input 2 2 4 2 2 2 2" xfId="23738" xr:uid="{00000000-0005-0000-0000-0000751E0000}"/>
    <cellStyle name="Input 2 2 4 2 2 3" xfId="14183" xr:uid="{00000000-0005-0000-0000-0000761E0000}"/>
    <cellStyle name="Input 2 2 4 2 2 3 2" xfId="29015" xr:uid="{00000000-0005-0000-0000-0000771E0000}"/>
    <cellStyle name="Input 2 2 4 2 2 4" xfId="21384" xr:uid="{00000000-0005-0000-0000-0000781E0000}"/>
    <cellStyle name="Input 2 2 4 2 3" xfId="4879" xr:uid="{00000000-0005-0000-0000-0000791E0000}"/>
    <cellStyle name="Input 2 2 4 2 3 2" xfId="8918" xr:uid="{00000000-0005-0000-0000-00007A1E0000}"/>
    <cellStyle name="Input 2 2 4 2 3 2 2" xfId="24384" xr:uid="{00000000-0005-0000-0000-00007B1E0000}"/>
    <cellStyle name="Input 2 2 4 2 3 3" xfId="15202" xr:uid="{00000000-0005-0000-0000-00007C1E0000}"/>
    <cellStyle name="Input 2 2 4 2 3 3 2" xfId="30034" xr:uid="{00000000-0005-0000-0000-00007D1E0000}"/>
    <cellStyle name="Input 2 2 4 2 3 4" xfId="21916" xr:uid="{00000000-0005-0000-0000-00007E1E0000}"/>
    <cellStyle name="Input 2 2 4 2 4" xfId="2869" xr:uid="{00000000-0005-0000-0000-00007F1E0000}"/>
    <cellStyle name="Input 2 2 4 2 4 2" xfId="6954" xr:uid="{00000000-0005-0000-0000-0000801E0000}"/>
    <cellStyle name="Input 2 2 4 2 4 2 2" xfId="23129" xr:uid="{00000000-0005-0000-0000-0000811E0000}"/>
    <cellStyle name="Input 2 2 4 2 4 3" xfId="13207" xr:uid="{00000000-0005-0000-0000-0000821E0000}"/>
    <cellStyle name="Input 2 2 4 2 4 3 2" xfId="28039" xr:uid="{00000000-0005-0000-0000-0000831E0000}"/>
    <cellStyle name="Input 2 2 4 2 4 4" xfId="20795" xr:uid="{00000000-0005-0000-0000-0000841E0000}"/>
    <cellStyle name="Input 2 2 4 2 5" xfId="6032" xr:uid="{00000000-0005-0000-0000-0000851E0000}"/>
    <cellStyle name="Input 2 2 4 2 5 2" xfId="16219" xr:uid="{00000000-0005-0000-0000-0000861E0000}"/>
    <cellStyle name="Input 2 2 4 2 5 2 2" xfId="31051" xr:uid="{00000000-0005-0000-0000-0000871E0000}"/>
    <cellStyle name="Input 2 2 4 2 5 3" xfId="22565" xr:uid="{00000000-0005-0000-0000-0000881E0000}"/>
    <cellStyle name="Input 2 2 4 2 6" xfId="12289" xr:uid="{00000000-0005-0000-0000-0000891E0000}"/>
    <cellStyle name="Input 2 2 4 2 6 2" xfId="27121" xr:uid="{00000000-0005-0000-0000-00008A1E0000}"/>
    <cellStyle name="Input 2 2 4 2 7" xfId="9885" xr:uid="{00000000-0005-0000-0000-00008B1E0000}"/>
    <cellStyle name="Input 2 2 4 2 7 2" xfId="20089" xr:uid="{00000000-0005-0000-0000-00008C1E0000}"/>
    <cellStyle name="Input 2 2 4 3" xfId="3223" xr:uid="{00000000-0005-0000-0000-00008D1E0000}"/>
    <cellStyle name="Input 2 2 4 3 2" xfId="7287" xr:uid="{00000000-0005-0000-0000-00008E1E0000}"/>
    <cellStyle name="Input 2 2 4 3 2 2" xfId="23330" xr:uid="{00000000-0005-0000-0000-00008F1E0000}"/>
    <cellStyle name="Input 2 2 4 3 3" xfId="13561" xr:uid="{00000000-0005-0000-0000-0000901E0000}"/>
    <cellStyle name="Input 2 2 4 3 3 2" xfId="28393" xr:uid="{00000000-0005-0000-0000-0000911E0000}"/>
    <cellStyle name="Input 2 2 4 3 4" xfId="21019" xr:uid="{00000000-0005-0000-0000-0000921E0000}"/>
    <cellStyle name="Input 2 2 4 4" xfId="4459" xr:uid="{00000000-0005-0000-0000-0000931E0000}"/>
    <cellStyle name="Input 2 2 4 4 2" xfId="8498" xr:uid="{00000000-0005-0000-0000-0000941E0000}"/>
    <cellStyle name="Input 2 2 4 4 2 2" xfId="24124" xr:uid="{00000000-0005-0000-0000-0000951E0000}"/>
    <cellStyle name="Input 2 2 4 4 3" xfId="14787" xr:uid="{00000000-0005-0000-0000-0000961E0000}"/>
    <cellStyle name="Input 2 2 4 4 3 2" xfId="29619" xr:uid="{00000000-0005-0000-0000-0000971E0000}"/>
    <cellStyle name="Input 2 2 4 4 4" xfId="21686" xr:uid="{00000000-0005-0000-0000-0000981E0000}"/>
    <cellStyle name="Input 2 2 4 5" xfId="2449" xr:uid="{00000000-0005-0000-0000-0000991E0000}"/>
    <cellStyle name="Input 2 2 4 5 2" xfId="6555" xr:uid="{00000000-0005-0000-0000-00009A1E0000}"/>
    <cellStyle name="Input 2 2 4 5 2 2" xfId="22893" xr:uid="{00000000-0005-0000-0000-00009B1E0000}"/>
    <cellStyle name="Input 2 2 4 5 3" xfId="12788" xr:uid="{00000000-0005-0000-0000-00009C1E0000}"/>
    <cellStyle name="Input 2 2 4 5 3 2" xfId="27620" xr:uid="{00000000-0005-0000-0000-00009D1E0000}"/>
    <cellStyle name="Input 2 2 4 5 4" xfId="20541" xr:uid="{00000000-0005-0000-0000-00009E1E0000}"/>
    <cellStyle name="Input 2 2 4 6" xfId="5573" xr:uid="{00000000-0005-0000-0000-00009F1E0000}"/>
    <cellStyle name="Input 2 2 4 6 2" xfId="15808" xr:uid="{00000000-0005-0000-0000-0000A01E0000}"/>
    <cellStyle name="Input 2 2 4 6 2 2" xfId="30640" xr:uid="{00000000-0005-0000-0000-0000A11E0000}"/>
    <cellStyle name="Input 2 2 4 6 3" xfId="22269" xr:uid="{00000000-0005-0000-0000-0000A21E0000}"/>
    <cellStyle name="Input 2 2 4 7" xfId="11818" xr:uid="{00000000-0005-0000-0000-0000A31E0000}"/>
    <cellStyle name="Input 2 2 4 7 2" xfId="26650" xr:uid="{00000000-0005-0000-0000-0000A41E0000}"/>
    <cellStyle name="Input 2 2 4 8" xfId="9490" xr:uid="{00000000-0005-0000-0000-0000A51E0000}"/>
    <cellStyle name="Input 2 2 4 8 2" xfId="19793" xr:uid="{00000000-0005-0000-0000-0000A61E0000}"/>
    <cellStyle name="Input 2 2 5" xfId="1390" xr:uid="{00000000-0005-0000-0000-0000A71E0000}"/>
    <cellStyle name="Input 2 2 5 2" xfId="1892" xr:uid="{00000000-0005-0000-0000-0000A81E0000}"/>
    <cellStyle name="Input 2 2 5 2 2" xfId="3612" xr:uid="{00000000-0005-0000-0000-0000A91E0000}"/>
    <cellStyle name="Input 2 2 5 2 2 2" xfId="7673" xr:uid="{00000000-0005-0000-0000-0000AA1E0000}"/>
    <cellStyle name="Input 2 2 5 2 2 2 2" xfId="23583" xr:uid="{00000000-0005-0000-0000-0000AB1E0000}"/>
    <cellStyle name="Input 2 2 5 2 2 3" xfId="13947" xr:uid="{00000000-0005-0000-0000-0000AC1E0000}"/>
    <cellStyle name="Input 2 2 5 2 2 3 2" xfId="28779" xr:uid="{00000000-0005-0000-0000-0000AD1E0000}"/>
    <cellStyle name="Input 2 2 5 2 2 4" xfId="21251" xr:uid="{00000000-0005-0000-0000-0000AE1E0000}"/>
    <cellStyle name="Input 2 2 5 2 3" xfId="4870" xr:uid="{00000000-0005-0000-0000-0000AF1E0000}"/>
    <cellStyle name="Input 2 2 5 2 3 2" xfId="8909" xr:uid="{00000000-0005-0000-0000-0000B01E0000}"/>
    <cellStyle name="Input 2 2 5 2 3 2 2" xfId="24375" xr:uid="{00000000-0005-0000-0000-0000B11E0000}"/>
    <cellStyle name="Input 2 2 5 2 3 3" xfId="15193" xr:uid="{00000000-0005-0000-0000-0000B21E0000}"/>
    <cellStyle name="Input 2 2 5 2 3 3 2" xfId="30025" xr:uid="{00000000-0005-0000-0000-0000B31E0000}"/>
    <cellStyle name="Input 2 2 5 2 3 4" xfId="21907" xr:uid="{00000000-0005-0000-0000-0000B41E0000}"/>
    <cellStyle name="Input 2 2 5 2 4" xfId="2860" xr:uid="{00000000-0005-0000-0000-0000B51E0000}"/>
    <cellStyle name="Input 2 2 5 2 4 2" xfId="6945" xr:uid="{00000000-0005-0000-0000-0000B61E0000}"/>
    <cellStyle name="Input 2 2 5 2 4 2 2" xfId="23120" xr:uid="{00000000-0005-0000-0000-0000B71E0000}"/>
    <cellStyle name="Input 2 2 5 2 4 3" xfId="13198" xr:uid="{00000000-0005-0000-0000-0000B81E0000}"/>
    <cellStyle name="Input 2 2 5 2 4 3 2" xfId="28030" xr:uid="{00000000-0005-0000-0000-0000B91E0000}"/>
    <cellStyle name="Input 2 2 5 2 4 4" xfId="20786" xr:uid="{00000000-0005-0000-0000-0000BA1E0000}"/>
    <cellStyle name="Input 2 2 5 2 5" xfId="6023" xr:uid="{00000000-0005-0000-0000-0000BB1E0000}"/>
    <cellStyle name="Input 2 2 5 2 5 2" xfId="16210" xr:uid="{00000000-0005-0000-0000-0000BC1E0000}"/>
    <cellStyle name="Input 2 2 5 2 5 2 2" xfId="31042" xr:uid="{00000000-0005-0000-0000-0000BD1E0000}"/>
    <cellStyle name="Input 2 2 5 2 5 3" xfId="22556" xr:uid="{00000000-0005-0000-0000-0000BE1E0000}"/>
    <cellStyle name="Input 2 2 5 2 6" xfId="12280" xr:uid="{00000000-0005-0000-0000-0000BF1E0000}"/>
    <cellStyle name="Input 2 2 5 2 6 2" xfId="27112" xr:uid="{00000000-0005-0000-0000-0000C01E0000}"/>
    <cellStyle name="Input 2 2 5 2 7" xfId="9876" xr:uid="{00000000-0005-0000-0000-0000C11E0000}"/>
    <cellStyle name="Input 2 2 5 2 7 2" xfId="20080" xr:uid="{00000000-0005-0000-0000-0000C21E0000}"/>
    <cellStyle name="Input 2 2 5 3" xfId="3898" xr:uid="{00000000-0005-0000-0000-0000C31E0000}"/>
    <cellStyle name="Input 2 2 5 3 2" xfId="7949" xr:uid="{00000000-0005-0000-0000-0000C41E0000}"/>
    <cellStyle name="Input 2 2 5 3 2 2" xfId="23768" xr:uid="{00000000-0005-0000-0000-0000C51E0000}"/>
    <cellStyle name="Input 2 2 5 3 3" xfId="14231" xr:uid="{00000000-0005-0000-0000-0000C61E0000}"/>
    <cellStyle name="Input 2 2 5 3 3 2" xfId="29063" xr:uid="{00000000-0005-0000-0000-0000C71E0000}"/>
    <cellStyle name="Input 2 2 5 3 4" xfId="21409" xr:uid="{00000000-0005-0000-0000-0000C81E0000}"/>
    <cellStyle name="Input 2 2 5 4" xfId="4450" xr:uid="{00000000-0005-0000-0000-0000C91E0000}"/>
    <cellStyle name="Input 2 2 5 4 2" xfId="8489" xr:uid="{00000000-0005-0000-0000-0000CA1E0000}"/>
    <cellStyle name="Input 2 2 5 4 2 2" xfId="24115" xr:uid="{00000000-0005-0000-0000-0000CB1E0000}"/>
    <cellStyle name="Input 2 2 5 4 3" xfId="14778" xr:uid="{00000000-0005-0000-0000-0000CC1E0000}"/>
    <cellStyle name="Input 2 2 5 4 3 2" xfId="29610" xr:uid="{00000000-0005-0000-0000-0000CD1E0000}"/>
    <cellStyle name="Input 2 2 5 4 4" xfId="21677" xr:uid="{00000000-0005-0000-0000-0000CE1E0000}"/>
    <cellStyle name="Input 2 2 5 5" xfId="2440" xr:uid="{00000000-0005-0000-0000-0000CF1E0000}"/>
    <cellStyle name="Input 2 2 5 5 2" xfId="6546" xr:uid="{00000000-0005-0000-0000-0000D01E0000}"/>
    <cellStyle name="Input 2 2 5 5 2 2" xfId="22884" xr:uid="{00000000-0005-0000-0000-0000D11E0000}"/>
    <cellStyle name="Input 2 2 5 5 3" xfId="12779" xr:uid="{00000000-0005-0000-0000-0000D21E0000}"/>
    <cellStyle name="Input 2 2 5 5 3 2" xfId="27611" xr:uid="{00000000-0005-0000-0000-0000D31E0000}"/>
    <cellStyle name="Input 2 2 5 5 4" xfId="20532" xr:uid="{00000000-0005-0000-0000-0000D41E0000}"/>
    <cellStyle name="Input 2 2 5 6" xfId="5564" xr:uid="{00000000-0005-0000-0000-0000D51E0000}"/>
    <cellStyle name="Input 2 2 5 6 2" xfId="15799" xr:uid="{00000000-0005-0000-0000-0000D61E0000}"/>
    <cellStyle name="Input 2 2 5 6 2 2" xfId="30631" xr:uid="{00000000-0005-0000-0000-0000D71E0000}"/>
    <cellStyle name="Input 2 2 5 6 3" xfId="22260" xr:uid="{00000000-0005-0000-0000-0000D81E0000}"/>
    <cellStyle name="Input 2 2 5 7" xfId="11809" xr:uid="{00000000-0005-0000-0000-0000D91E0000}"/>
    <cellStyle name="Input 2 2 5 7 2" xfId="26641" xr:uid="{00000000-0005-0000-0000-0000DA1E0000}"/>
    <cellStyle name="Input 2 2 5 8" xfId="9481" xr:uid="{00000000-0005-0000-0000-0000DB1E0000}"/>
    <cellStyle name="Input 2 2 5 8 2" xfId="19784" xr:uid="{00000000-0005-0000-0000-0000DC1E0000}"/>
    <cellStyle name="Input 2 2 6" xfId="1746" xr:uid="{00000000-0005-0000-0000-0000DD1E0000}"/>
    <cellStyle name="Input 2 2 6 2" xfId="3472" xr:uid="{00000000-0005-0000-0000-0000DE1E0000}"/>
    <cellStyle name="Input 2 2 6 2 2" xfId="7534" xr:uid="{00000000-0005-0000-0000-0000DF1E0000}"/>
    <cellStyle name="Input 2 2 6 2 2 2" xfId="23501" xr:uid="{00000000-0005-0000-0000-0000E01E0000}"/>
    <cellStyle name="Input 2 2 6 2 3" xfId="13809" xr:uid="{00000000-0005-0000-0000-0000E11E0000}"/>
    <cellStyle name="Input 2 2 6 2 3 2" xfId="28641" xr:uid="{00000000-0005-0000-0000-0000E21E0000}"/>
    <cellStyle name="Input 2 2 6 2 4" xfId="21177" xr:uid="{00000000-0005-0000-0000-0000E31E0000}"/>
    <cellStyle name="Input 2 2 6 3" xfId="4724" xr:uid="{00000000-0005-0000-0000-0000E41E0000}"/>
    <cellStyle name="Input 2 2 6 3 2" xfId="8763" xr:uid="{00000000-0005-0000-0000-0000E51E0000}"/>
    <cellStyle name="Input 2 2 6 3 2 2" xfId="24293" xr:uid="{00000000-0005-0000-0000-0000E61E0000}"/>
    <cellStyle name="Input 2 2 6 3 3" xfId="15048" xr:uid="{00000000-0005-0000-0000-0000E71E0000}"/>
    <cellStyle name="Input 2 2 6 3 3 2" xfId="29880" xr:uid="{00000000-0005-0000-0000-0000E81E0000}"/>
    <cellStyle name="Input 2 2 6 3 4" xfId="21831" xr:uid="{00000000-0005-0000-0000-0000E91E0000}"/>
    <cellStyle name="Input 2 2 6 4" xfId="2714" xr:uid="{00000000-0005-0000-0000-0000EA1E0000}"/>
    <cellStyle name="Input 2 2 6 4 2" xfId="6805" xr:uid="{00000000-0005-0000-0000-0000EB1E0000}"/>
    <cellStyle name="Input 2 2 6 4 2 2" xfId="23044" xr:uid="{00000000-0005-0000-0000-0000EC1E0000}"/>
    <cellStyle name="Input 2 2 6 4 3" xfId="13052" xr:uid="{00000000-0005-0000-0000-0000ED1E0000}"/>
    <cellStyle name="Input 2 2 6 4 3 2" xfId="27884" xr:uid="{00000000-0005-0000-0000-0000EE1E0000}"/>
    <cellStyle name="Input 2 2 6 4 4" xfId="20704" xr:uid="{00000000-0005-0000-0000-0000EF1E0000}"/>
    <cellStyle name="Input 2 2 6 5" xfId="5878" xr:uid="{00000000-0005-0000-0000-0000F01E0000}"/>
    <cellStyle name="Input 2 2 6 5 2" xfId="16070" xr:uid="{00000000-0005-0000-0000-0000F11E0000}"/>
    <cellStyle name="Input 2 2 6 5 2 2" xfId="30902" xr:uid="{00000000-0005-0000-0000-0000F21E0000}"/>
    <cellStyle name="Input 2 2 6 5 3" xfId="22475" xr:uid="{00000000-0005-0000-0000-0000F31E0000}"/>
    <cellStyle name="Input 2 2 6 6" xfId="12140" xr:uid="{00000000-0005-0000-0000-0000F41E0000}"/>
    <cellStyle name="Input 2 2 6 6 2" xfId="26972" xr:uid="{00000000-0005-0000-0000-0000F51E0000}"/>
    <cellStyle name="Input 2 2 6 7" xfId="9736" xr:uid="{00000000-0005-0000-0000-0000F61E0000}"/>
    <cellStyle name="Input 2 2 6 7 2" xfId="20034" xr:uid="{00000000-0005-0000-0000-0000F71E0000}"/>
    <cellStyle name="Input 2 2 7" xfId="2220" xr:uid="{00000000-0005-0000-0000-0000F81E0000}"/>
    <cellStyle name="Input 2 2 7 2" xfId="3423" xr:uid="{00000000-0005-0000-0000-0000F91E0000}"/>
    <cellStyle name="Input 2 2 7 2 2" xfId="7486" xr:uid="{00000000-0005-0000-0000-0000FA1E0000}"/>
    <cellStyle name="Input 2 2 7 2 2 2" xfId="23466" xr:uid="{00000000-0005-0000-0000-0000FB1E0000}"/>
    <cellStyle name="Input 2 2 7 2 3" xfId="13760" xr:uid="{00000000-0005-0000-0000-0000FC1E0000}"/>
    <cellStyle name="Input 2 2 7 2 3 2" xfId="28592" xr:uid="{00000000-0005-0000-0000-0000FD1E0000}"/>
    <cellStyle name="Input 2 2 7 2 4" xfId="21143" xr:uid="{00000000-0005-0000-0000-0000FE1E0000}"/>
    <cellStyle name="Input 2 2 7 3" xfId="5188" xr:uid="{00000000-0005-0000-0000-0000FF1E0000}"/>
    <cellStyle name="Input 2 2 7 3 2" xfId="9227" xr:uid="{00000000-0005-0000-0000-0000001F0000}"/>
    <cellStyle name="Input 2 2 7 3 2 2" xfId="24565" xr:uid="{00000000-0005-0000-0000-0000011F0000}"/>
    <cellStyle name="Input 2 2 7 3 3" xfId="15506" xr:uid="{00000000-0005-0000-0000-0000021F0000}"/>
    <cellStyle name="Input 2 2 7 3 3 2" xfId="30338" xr:uid="{00000000-0005-0000-0000-0000031F0000}"/>
    <cellStyle name="Input 2 2 7 3 4" xfId="22072" xr:uid="{00000000-0005-0000-0000-0000041F0000}"/>
    <cellStyle name="Input 2 2 7 4" xfId="4218" xr:uid="{00000000-0005-0000-0000-0000051F0000}"/>
    <cellStyle name="Input 2 2 7 4 2" xfId="8259" xr:uid="{00000000-0005-0000-0000-0000061F0000}"/>
    <cellStyle name="Input 2 2 7 4 2 2" xfId="23954" xr:uid="{00000000-0005-0000-0000-0000071F0000}"/>
    <cellStyle name="Input 2 2 7 4 3" xfId="14550" xr:uid="{00000000-0005-0000-0000-0000081F0000}"/>
    <cellStyle name="Input 2 2 7 4 3 2" xfId="29382" xr:uid="{00000000-0005-0000-0000-0000091F0000}"/>
    <cellStyle name="Input 2 2 7 4 4" xfId="21579" xr:uid="{00000000-0005-0000-0000-00000A1F0000}"/>
    <cellStyle name="Input 2 2 7 5" xfId="6334" xr:uid="{00000000-0005-0000-0000-00000B1F0000}"/>
    <cellStyle name="Input 2 2 7 5 2" xfId="22736" xr:uid="{00000000-0005-0000-0000-00000C1F0000}"/>
    <cellStyle name="Input 2 2 7 6" xfId="12588" xr:uid="{00000000-0005-0000-0000-00000D1F0000}"/>
    <cellStyle name="Input 2 2 7 6 2" xfId="27420" xr:uid="{00000000-0005-0000-0000-00000E1F0000}"/>
    <cellStyle name="Input 2 2 7 7" xfId="20415" xr:uid="{00000000-0005-0000-0000-00000F1F0000}"/>
    <cellStyle name="Input 2 2 8" xfId="4038" xr:uid="{00000000-0005-0000-0000-0000101F0000}"/>
    <cellStyle name="Input 2 2 8 2" xfId="8085" xr:uid="{00000000-0005-0000-0000-0000111F0000}"/>
    <cellStyle name="Input 2 2 8 2 2" xfId="23851" xr:uid="{00000000-0005-0000-0000-0000121F0000}"/>
    <cellStyle name="Input 2 2 8 3" xfId="14370" xr:uid="{00000000-0005-0000-0000-0000131F0000}"/>
    <cellStyle name="Input 2 2 8 3 2" xfId="29202" xr:uid="{00000000-0005-0000-0000-0000141F0000}"/>
    <cellStyle name="Input 2 2 8 4" xfId="21485" xr:uid="{00000000-0005-0000-0000-0000151F0000}"/>
    <cellStyle name="Input 2 2 9" xfId="3262" xr:uid="{00000000-0005-0000-0000-0000161F0000}"/>
    <cellStyle name="Input 2 2 9 2" xfId="7326" xr:uid="{00000000-0005-0000-0000-0000171F0000}"/>
    <cellStyle name="Input 2 2 9 2 2" xfId="23361" xr:uid="{00000000-0005-0000-0000-0000181F0000}"/>
    <cellStyle name="Input 2 2 9 3" xfId="13599" xr:uid="{00000000-0005-0000-0000-0000191F0000}"/>
    <cellStyle name="Input 2 2 9 3 2" xfId="28431" xr:uid="{00000000-0005-0000-0000-00001A1F0000}"/>
    <cellStyle name="Input 2 2 9 4" xfId="21048" xr:uid="{00000000-0005-0000-0000-00001B1F0000}"/>
    <cellStyle name="Input 2 20" xfId="9384" xr:uid="{00000000-0005-0000-0000-00001C1F0000}"/>
    <cellStyle name="Input 2 20 2" xfId="24690" xr:uid="{00000000-0005-0000-0000-00001D1F0000}"/>
    <cellStyle name="Input 2 21" xfId="5373" xr:uid="{00000000-0005-0000-0000-00001E1F0000}"/>
    <cellStyle name="Input 2 21 2" xfId="18247" xr:uid="{00000000-0005-0000-0000-00001F1F0000}"/>
    <cellStyle name="Input 2 3" xfId="1114" xr:uid="{00000000-0005-0000-0000-0000201F0000}"/>
    <cellStyle name="Input 2 3 10" xfId="2285" xr:uid="{00000000-0005-0000-0000-0000211F0000}"/>
    <cellStyle name="Input 2 3 10 2" xfId="6397" xr:uid="{00000000-0005-0000-0000-0000221F0000}"/>
    <cellStyle name="Input 2 3 10 2 2" xfId="22799" xr:uid="{00000000-0005-0000-0000-0000231F0000}"/>
    <cellStyle name="Input 2 3 10 3" xfId="12625" xr:uid="{00000000-0005-0000-0000-0000241F0000}"/>
    <cellStyle name="Input 2 3 10 3 2" xfId="27457" xr:uid="{00000000-0005-0000-0000-0000251F0000}"/>
    <cellStyle name="Input 2 3 10 4" xfId="20451" xr:uid="{00000000-0005-0000-0000-0000261F0000}"/>
    <cellStyle name="Input 2 3 11" xfId="5251" xr:uid="{00000000-0005-0000-0000-0000271F0000}"/>
    <cellStyle name="Input 2 3 11 2" xfId="15567" xr:uid="{00000000-0005-0000-0000-0000281F0000}"/>
    <cellStyle name="Input 2 3 11 2 2" xfId="30399" xr:uid="{00000000-0005-0000-0000-0000291F0000}"/>
    <cellStyle name="Input 2 3 11 3" xfId="22108" xr:uid="{00000000-0005-0000-0000-00002A1F0000}"/>
    <cellStyle name="Input 2 3 12" xfId="5409" xr:uid="{00000000-0005-0000-0000-00002B1F0000}"/>
    <cellStyle name="Input 2 3 12 2" xfId="15645" xr:uid="{00000000-0005-0000-0000-00002C1F0000}"/>
    <cellStyle name="Input 2 3 12 2 2" xfId="30477" xr:uid="{00000000-0005-0000-0000-00002D1F0000}"/>
    <cellStyle name="Input 2 3 12 3" xfId="22170" xr:uid="{00000000-0005-0000-0000-00002E1F0000}"/>
    <cellStyle name="Input 2 3 13" xfId="9382" xr:uid="{00000000-0005-0000-0000-00002F1F0000}"/>
    <cellStyle name="Input 2 3 13 2" xfId="24688" xr:uid="{00000000-0005-0000-0000-0000301F0000}"/>
    <cellStyle name="Input 2 3 14" xfId="5371" xr:uid="{00000000-0005-0000-0000-0000311F0000}"/>
    <cellStyle name="Input 2 3 14 2" xfId="18245" xr:uid="{00000000-0005-0000-0000-0000321F0000}"/>
    <cellStyle name="Input 2 3 2" xfId="1321" xr:uid="{00000000-0005-0000-0000-0000331F0000}"/>
    <cellStyle name="Input 2 3 2 2" xfId="1825" xr:uid="{00000000-0005-0000-0000-0000341F0000}"/>
    <cellStyle name="Input 2 3 2 2 2" xfId="3718" xr:uid="{00000000-0005-0000-0000-0000351F0000}"/>
    <cellStyle name="Input 2 3 2 2 2 2" xfId="7774" xr:uid="{00000000-0005-0000-0000-0000361F0000}"/>
    <cellStyle name="Input 2 3 2 2 2 2 2" xfId="23655" xr:uid="{00000000-0005-0000-0000-0000371F0000}"/>
    <cellStyle name="Input 2 3 2 2 2 3" xfId="14053" xr:uid="{00000000-0005-0000-0000-0000381F0000}"/>
    <cellStyle name="Input 2 3 2 2 2 3 2" xfId="28885" xr:uid="{00000000-0005-0000-0000-0000391F0000}"/>
    <cellStyle name="Input 2 3 2 2 2 4" xfId="21315" xr:uid="{00000000-0005-0000-0000-00003A1F0000}"/>
    <cellStyle name="Input 2 3 2 2 3" xfId="4803" xr:uid="{00000000-0005-0000-0000-00003B1F0000}"/>
    <cellStyle name="Input 2 3 2 2 3 2" xfId="8842" xr:uid="{00000000-0005-0000-0000-00003C1F0000}"/>
    <cellStyle name="Input 2 3 2 2 3 2 2" xfId="24340" xr:uid="{00000000-0005-0000-0000-00003D1F0000}"/>
    <cellStyle name="Input 2 3 2 2 3 3" xfId="15127" xr:uid="{00000000-0005-0000-0000-00003E1F0000}"/>
    <cellStyle name="Input 2 3 2 2 3 3 2" xfId="29959" xr:uid="{00000000-0005-0000-0000-00003F1F0000}"/>
    <cellStyle name="Input 2 3 2 2 3 4" xfId="21878" xr:uid="{00000000-0005-0000-0000-0000401F0000}"/>
    <cellStyle name="Input 2 3 2 2 4" xfId="2793" xr:uid="{00000000-0005-0000-0000-0000411F0000}"/>
    <cellStyle name="Input 2 3 2 2 4 2" xfId="6884" xr:uid="{00000000-0005-0000-0000-0000421F0000}"/>
    <cellStyle name="Input 2 3 2 2 4 2 2" xfId="23091" xr:uid="{00000000-0005-0000-0000-0000431F0000}"/>
    <cellStyle name="Input 2 3 2 2 4 3" xfId="13131" xr:uid="{00000000-0005-0000-0000-0000441F0000}"/>
    <cellStyle name="Input 2 3 2 2 4 3 2" xfId="27963" xr:uid="{00000000-0005-0000-0000-0000451F0000}"/>
    <cellStyle name="Input 2 3 2 2 4 4" xfId="20751" xr:uid="{00000000-0005-0000-0000-0000461F0000}"/>
    <cellStyle name="Input 2 3 2 2 5" xfId="5957" xr:uid="{00000000-0005-0000-0000-0000471F0000}"/>
    <cellStyle name="Input 2 3 2 2 5 2" xfId="16149" xr:uid="{00000000-0005-0000-0000-0000481F0000}"/>
    <cellStyle name="Input 2 3 2 2 5 2 2" xfId="30981" xr:uid="{00000000-0005-0000-0000-0000491F0000}"/>
    <cellStyle name="Input 2 3 2 2 5 3" xfId="22522" xr:uid="{00000000-0005-0000-0000-00004A1F0000}"/>
    <cellStyle name="Input 2 3 2 2 6" xfId="12219" xr:uid="{00000000-0005-0000-0000-00004B1F0000}"/>
    <cellStyle name="Input 2 3 2 2 6 2" xfId="27051" xr:uid="{00000000-0005-0000-0000-00004C1F0000}"/>
    <cellStyle name="Input 2 3 2 2 7" xfId="9815" xr:uid="{00000000-0005-0000-0000-00004D1F0000}"/>
    <cellStyle name="Input 2 3 2 2 7 2" xfId="20066" xr:uid="{00000000-0005-0000-0000-00004E1F0000}"/>
    <cellStyle name="Input 2 3 2 3" xfId="4003" xr:uid="{00000000-0005-0000-0000-00004F1F0000}"/>
    <cellStyle name="Input 2 3 2 3 2" xfId="8050" xr:uid="{00000000-0005-0000-0000-0000501F0000}"/>
    <cellStyle name="Input 2 3 2 3 2 2" xfId="23831" xr:uid="{00000000-0005-0000-0000-0000511F0000}"/>
    <cellStyle name="Input 2 3 2 3 3" xfId="14335" xr:uid="{00000000-0005-0000-0000-0000521F0000}"/>
    <cellStyle name="Input 2 3 2 3 3 2" xfId="29167" xr:uid="{00000000-0005-0000-0000-0000531F0000}"/>
    <cellStyle name="Input 2 3 2 3 4" xfId="21469" xr:uid="{00000000-0005-0000-0000-0000541F0000}"/>
    <cellStyle name="Input 2 3 2 4" xfId="4383" xr:uid="{00000000-0005-0000-0000-0000551F0000}"/>
    <cellStyle name="Input 2 3 2 4 2" xfId="8422" xr:uid="{00000000-0005-0000-0000-0000561F0000}"/>
    <cellStyle name="Input 2 3 2 4 2 2" xfId="24080" xr:uid="{00000000-0005-0000-0000-0000571F0000}"/>
    <cellStyle name="Input 2 3 2 4 3" xfId="14712" xr:uid="{00000000-0005-0000-0000-0000581F0000}"/>
    <cellStyle name="Input 2 3 2 4 3 2" xfId="29544" xr:uid="{00000000-0005-0000-0000-0000591F0000}"/>
    <cellStyle name="Input 2 3 2 4 4" xfId="21648" xr:uid="{00000000-0005-0000-0000-00005A1F0000}"/>
    <cellStyle name="Input 2 3 2 5" xfId="2373" xr:uid="{00000000-0005-0000-0000-00005B1F0000}"/>
    <cellStyle name="Input 2 3 2 5 2" xfId="6485" xr:uid="{00000000-0005-0000-0000-00005C1F0000}"/>
    <cellStyle name="Input 2 3 2 5 2 2" xfId="22855" xr:uid="{00000000-0005-0000-0000-00005D1F0000}"/>
    <cellStyle name="Input 2 3 2 5 3" xfId="12712" xr:uid="{00000000-0005-0000-0000-00005E1F0000}"/>
    <cellStyle name="Input 2 3 2 5 3 2" xfId="27544" xr:uid="{00000000-0005-0000-0000-00005F1F0000}"/>
    <cellStyle name="Input 2 3 2 5 4" xfId="20497" xr:uid="{00000000-0005-0000-0000-0000601F0000}"/>
    <cellStyle name="Input 2 3 2 6" xfId="5498" xr:uid="{00000000-0005-0000-0000-0000611F0000}"/>
    <cellStyle name="Input 2 3 2 6 2" xfId="15733" xr:uid="{00000000-0005-0000-0000-0000621F0000}"/>
    <cellStyle name="Input 2 3 2 6 2 2" xfId="30565" xr:uid="{00000000-0005-0000-0000-0000631F0000}"/>
    <cellStyle name="Input 2 3 2 6 3" xfId="22226" xr:uid="{00000000-0005-0000-0000-0000641F0000}"/>
    <cellStyle name="Input 2 3 2 7" xfId="11748" xr:uid="{00000000-0005-0000-0000-0000651F0000}"/>
    <cellStyle name="Input 2 3 2 7 2" xfId="26580" xr:uid="{00000000-0005-0000-0000-0000661F0000}"/>
    <cellStyle name="Input 2 3 2 8" xfId="9419" xr:uid="{00000000-0005-0000-0000-0000671F0000}"/>
    <cellStyle name="Input 2 3 2 8 2" xfId="19723" xr:uid="{00000000-0005-0000-0000-0000681F0000}"/>
    <cellStyle name="Input 2 3 3" xfId="1479" xr:uid="{00000000-0005-0000-0000-0000691F0000}"/>
    <cellStyle name="Input 2 3 3 2" xfId="1980" xr:uid="{00000000-0005-0000-0000-00006A1F0000}"/>
    <cellStyle name="Input 2 3 3 2 2" xfId="3386" xr:uid="{00000000-0005-0000-0000-00006B1F0000}"/>
    <cellStyle name="Input 2 3 3 2 2 2" xfId="7449" xr:uid="{00000000-0005-0000-0000-00006C1F0000}"/>
    <cellStyle name="Input 2 3 3 2 2 2 2" xfId="23441" xr:uid="{00000000-0005-0000-0000-00006D1F0000}"/>
    <cellStyle name="Input 2 3 3 2 2 3" xfId="13723" xr:uid="{00000000-0005-0000-0000-00006E1F0000}"/>
    <cellStyle name="Input 2 3 3 2 2 3 2" xfId="28555" xr:uid="{00000000-0005-0000-0000-00006F1F0000}"/>
    <cellStyle name="Input 2 3 3 2 2 4" xfId="21123" xr:uid="{00000000-0005-0000-0000-0000701F0000}"/>
    <cellStyle name="Input 2 3 3 2 3" xfId="4944" xr:uid="{00000000-0005-0000-0000-0000711F0000}"/>
    <cellStyle name="Input 2 3 3 2 3 2" xfId="8983" xr:uid="{00000000-0005-0000-0000-0000721F0000}"/>
    <cellStyle name="Input 2 3 3 2 3 2 2" xfId="24449" xr:uid="{00000000-0005-0000-0000-0000731F0000}"/>
    <cellStyle name="Input 2 3 3 2 3 3" xfId="15266" xr:uid="{00000000-0005-0000-0000-0000741F0000}"/>
    <cellStyle name="Input 2 3 3 2 3 3 2" xfId="30098" xr:uid="{00000000-0005-0000-0000-0000751F0000}"/>
    <cellStyle name="Input 2 3 3 2 3 4" xfId="21979" xr:uid="{00000000-0005-0000-0000-0000761F0000}"/>
    <cellStyle name="Input 2 3 3 2 4" xfId="2934" xr:uid="{00000000-0005-0000-0000-0000771F0000}"/>
    <cellStyle name="Input 2 3 3 2 4 2" xfId="7018" xr:uid="{00000000-0005-0000-0000-0000781F0000}"/>
    <cellStyle name="Input 2 3 3 2 4 2 2" xfId="23192" xr:uid="{00000000-0005-0000-0000-0000791F0000}"/>
    <cellStyle name="Input 2 3 3 2 4 3" xfId="13272" xr:uid="{00000000-0005-0000-0000-00007A1F0000}"/>
    <cellStyle name="Input 2 3 3 2 4 3 2" xfId="28104" xr:uid="{00000000-0005-0000-0000-00007B1F0000}"/>
    <cellStyle name="Input 2 3 3 2 4 4" xfId="20860" xr:uid="{00000000-0005-0000-0000-00007C1F0000}"/>
    <cellStyle name="Input 2 3 3 2 5" xfId="6110" xr:uid="{00000000-0005-0000-0000-00007D1F0000}"/>
    <cellStyle name="Input 2 3 3 2 5 2" xfId="16297" xr:uid="{00000000-0005-0000-0000-00007E1F0000}"/>
    <cellStyle name="Input 2 3 3 2 5 2 2" xfId="31129" xr:uid="{00000000-0005-0000-0000-00007F1F0000}"/>
    <cellStyle name="Input 2 3 3 2 5 3" xfId="22643" xr:uid="{00000000-0005-0000-0000-0000801F0000}"/>
    <cellStyle name="Input 2 3 3 2 6" xfId="12367" xr:uid="{00000000-0005-0000-0000-0000811F0000}"/>
    <cellStyle name="Input 2 3 3 2 6 2" xfId="27199" xr:uid="{00000000-0005-0000-0000-0000821F0000}"/>
    <cellStyle name="Input 2 3 3 2 7" xfId="9949" xr:uid="{00000000-0005-0000-0000-0000831F0000}"/>
    <cellStyle name="Input 2 3 3 2 7 2" xfId="20151" xr:uid="{00000000-0005-0000-0000-0000841F0000}"/>
    <cellStyle name="Input 2 3 3 3" xfId="3260" xr:uid="{00000000-0005-0000-0000-0000851F0000}"/>
    <cellStyle name="Input 2 3 3 3 2" xfId="7324" xr:uid="{00000000-0005-0000-0000-0000861F0000}"/>
    <cellStyle name="Input 2 3 3 3 2 2" xfId="23359" xr:uid="{00000000-0005-0000-0000-0000871F0000}"/>
    <cellStyle name="Input 2 3 3 3 3" xfId="13597" xr:uid="{00000000-0005-0000-0000-0000881F0000}"/>
    <cellStyle name="Input 2 3 3 3 3 2" xfId="28429" xr:uid="{00000000-0005-0000-0000-0000891F0000}"/>
    <cellStyle name="Input 2 3 3 3 4" xfId="21046" xr:uid="{00000000-0005-0000-0000-00008A1F0000}"/>
    <cellStyle name="Input 2 3 3 4" xfId="4524" xr:uid="{00000000-0005-0000-0000-00008B1F0000}"/>
    <cellStyle name="Input 2 3 3 4 2" xfId="8563" xr:uid="{00000000-0005-0000-0000-00008C1F0000}"/>
    <cellStyle name="Input 2 3 3 4 2 2" xfId="24189" xr:uid="{00000000-0005-0000-0000-00008D1F0000}"/>
    <cellStyle name="Input 2 3 3 4 3" xfId="14851" xr:uid="{00000000-0005-0000-0000-00008E1F0000}"/>
    <cellStyle name="Input 2 3 3 4 3 2" xfId="29683" xr:uid="{00000000-0005-0000-0000-00008F1F0000}"/>
    <cellStyle name="Input 2 3 3 4 4" xfId="21749" xr:uid="{00000000-0005-0000-0000-0000901F0000}"/>
    <cellStyle name="Input 2 3 3 5" xfId="2514" xr:uid="{00000000-0005-0000-0000-0000911F0000}"/>
    <cellStyle name="Input 2 3 3 5 2" xfId="6620" xr:uid="{00000000-0005-0000-0000-0000921F0000}"/>
    <cellStyle name="Input 2 3 3 5 2 2" xfId="22958" xr:uid="{00000000-0005-0000-0000-0000931F0000}"/>
    <cellStyle name="Input 2 3 3 5 3" xfId="12852" xr:uid="{00000000-0005-0000-0000-0000941F0000}"/>
    <cellStyle name="Input 2 3 3 5 3 2" xfId="27684" xr:uid="{00000000-0005-0000-0000-0000951F0000}"/>
    <cellStyle name="Input 2 3 3 5 4" xfId="20604" xr:uid="{00000000-0005-0000-0000-0000961F0000}"/>
    <cellStyle name="Input 2 3 3 6" xfId="5637" xr:uid="{00000000-0005-0000-0000-0000971F0000}"/>
    <cellStyle name="Input 2 3 3 6 2" xfId="15872" xr:uid="{00000000-0005-0000-0000-0000981F0000}"/>
    <cellStyle name="Input 2 3 3 6 2 2" xfId="30704" xr:uid="{00000000-0005-0000-0000-0000991F0000}"/>
    <cellStyle name="Input 2 3 3 6 3" xfId="22333" xr:uid="{00000000-0005-0000-0000-00009A1F0000}"/>
    <cellStyle name="Input 2 3 3 7" xfId="11896" xr:uid="{00000000-0005-0000-0000-00009B1F0000}"/>
    <cellStyle name="Input 2 3 3 7 2" xfId="26728" xr:uid="{00000000-0005-0000-0000-00009C1F0000}"/>
    <cellStyle name="Input 2 3 3 8" xfId="9554" xr:uid="{00000000-0005-0000-0000-00009D1F0000}"/>
    <cellStyle name="Input 2 3 3 8 2" xfId="19856" xr:uid="{00000000-0005-0000-0000-00009E1F0000}"/>
    <cellStyle name="Input 2 3 4" xfId="1404" xr:uid="{00000000-0005-0000-0000-00009F1F0000}"/>
    <cellStyle name="Input 2 3 4 2" xfId="1906" xr:uid="{00000000-0005-0000-0000-0000A01F0000}"/>
    <cellStyle name="Input 2 3 4 2 2" xfId="4135" xr:uid="{00000000-0005-0000-0000-0000A11F0000}"/>
    <cellStyle name="Input 2 3 4 2 2 2" xfId="8179" xr:uid="{00000000-0005-0000-0000-0000A21F0000}"/>
    <cellStyle name="Input 2 3 4 2 2 2 2" xfId="23910" xr:uid="{00000000-0005-0000-0000-0000A31F0000}"/>
    <cellStyle name="Input 2 3 4 2 2 3" xfId="14467" xr:uid="{00000000-0005-0000-0000-0000A41F0000}"/>
    <cellStyle name="Input 2 3 4 2 2 3 2" xfId="29299" xr:uid="{00000000-0005-0000-0000-0000A51F0000}"/>
    <cellStyle name="Input 2 3 4 2 2 4" xfId="21537" xr:uid="{00000000-0005-0000-0000-0000A61F0000}"/>
    <cellStyle name="Input 2 3 4 2 3" xfId="4884" xr:uid="{00000000-0005-0000-0000-0000A71F0000}"/>
    <cellStyle name="Input 2 3 4 2 3 2" xfId="8923" xr:uid="{00000000-0005-0000-0000-0000A81F0000}"/>
    <cellStyle name="Input 2 3 4 2 3 2 2" xfId="24389" xr:uid="{00000000-0005-0000-0000-0000A91F0000}"/>
    <cellStyle name="Input 2 3 4 2 3 3" xfId="15207" xr:uid="{00000000-0005-0000-0000-0000AA1F0000}"/>
    <cellStyle name="Input 2 3 4 2 3 3 2" xfId="30039" xr:uid="{00000000-0005-0000-0000-0000AB1F0000}"/>
    <cellStyle name="Input 2 3 4 2 3 4" xfId="21921" xr:uid="{00000000-0005-0000-0000-0000AC1F0000}"/>
    <cellStyle name="Input 2 3 4 2 4" xfId="2874" xr:uid="{00000000-0005-0000-0000-0000AD1F0000}"/>
    <cellStyle name="Input 2 3 4 2 4 2" xfId="6959" xr:uid="{00000000-0005-0000-0000-0000AE1F0000}"/>
    <cellStyle name="Input 2 3 4 2 4 2 2" xfId="23134" xr:uid="{00000000-0005-0000-0000-0000AF1F0000}"/>
    <cellStyle name="Input 2 3 4 2 4 3" xfId="13212" xr:uid="{00000000-0005-0000-0000-0000B01F0000}"/>
    <cellStyle name="Input 2 3 4 2 4 3 2" xfId="28044" xr:uid="{00000000-0005-0000-0000-0000B11F0000}"/>
    <cellStyle name="Input 2 3 4 2 4 4" xfId="20800" xr:uid="{00000000-0005-0000-0000-0000B21F0000}"/>
    <cellStyle name="Input 2 3 4 2 5" xfId="6037" xr:uid="{00000000-0005-0000-0000-0000B31F0000}"/>
    <cellStyle name="Input 2 3 4 2 5 2" xfId="16224" xr:uid="{00000000-0005-0000-0000-0000B41F0000}"/>
    <cellStyle name="Input 2 3 4 2 5 2 2" xfId="31056" xr:uid="{00000000-0005-0000-0000-0000B51F0000}"/>
    <cellStyle name="Input 2 3 4 2 5 3" xfId="22570" xr:uid="{00000000-0005-0000-0000-0000B61F0000}"/>
    <cellStyle name="Input 2 3 4 2 6" xfId="12294" xr:uid="{00000000-0005-0000-0000-0000B71F0000}"/>
    <cellStyle name="Input 2 3 4 2 6 2" xfId="27126" xr:uid="{00000000-0005-0000-0000-0000B81F0000}"/>
    <cellStyle name="Input 2 3 4 2 7" xfId="9890" xr:uid="{00000000-0005-0000-0000-0000B91F0000}"/>
    <cellStyle name="Input 2 3 4 2 7 2" xfId="20093" xr:uid="{00000000-0005-0000-0000-0000BA1F0000}"/>
    <cellStyle name="Input 2 3 4 3" xfId="3455" xr:uid="{00000000-0005-0000-0000-0000BB1F0000}"/>
    <cellStyle name="Input 2 3 4 3 2" xfId="7518" xr:uid="{00000000-0005-0000-0000-0000BC1F0000}"/>
    <cellStyle name="Input 2 3 4 3 2 2" xfId="23488" xr:uid="{00000000-0005-0000-0000-0000BD1F0000}"/>
    <cellStyle name="Input 2 3 4 3 3" xfId="13792" xr:uid="{00000000-0005-0000-0000-0000BE1F0000}"/>
    <cellStyle name="Input 2 3 4 3 3 2" xfId="28624" xr:uid="{00000000-0005-0000-0000-0000BF1F0000}"/>
    <cellStyle name="Input 2 3 4 3 4" xfId="21163" xr:uid="{00000000-0005-0000-0000-0000C01F0000}"/>
    <cellStyle name="Input 2 3 4 4" xfId="4464" xr:uid="{00000000-0005-0000-0000-0000C11F0000}"/>
    <cellStyle name="Input 2 3 4 4 2" xfId="8503" xr:uid="{00000000-0005-0000-0000-0000C21F0000}"/>
    <cellStyle name="Input 2 3 4 4 2 2" xfId="24129" xr:uid="{00000000-0005-0000-0000-0000C31F0000}"/>
    <cellStyle name="Input 2 3 4 4 3" xfId="14792" xr:uid="{00000000-0005-0000-0000-0000C41F0000}"/>
    <cellStyle name="Input 2 3 4 4 3 2" xfId="29624" xr:uid="{00000000-0005-0000-0000-0000C51F0000}"/>
    <cellStyle name="Input 2 3 4 4 4" xfId="21691" xr:uid="{00000000-0005-0000-0000-0000C61F0000}"/>
    <cellStyle name="Input 2 3 4 5" xfId="2454" xr:uid="{00000000-0005-0000-0000-0000C71F0000}"/>
    <cellStyle name="Input 2 3 4 5 2" xfId="6560" xr:uid="{00000000-0005-0000-0000-0000C81F0000}"/>
    <cellStyle name="Input 2 3 4 5 2 2" xfId="22898" xr:uid="{00000000-0005-0000-0000-0000C91F0000}"/>
    <cellStyle name="Input 2 3 4 5 3" xfId="12793" xr:uid="{00000000-0005-0000-0000-0000CA1F0000}"/>
    <cellStyle name="Input 2 3 4 5 3 2" xfId="27625" xr:uid="{00000000-0005-0000-0000-0000CB1F0000}"/>
    <cellStyle name="Input 2 3 4 5 4" xfId="20546" xr:uid="{00000000-0005-0000-0000-0000CC1F0000}"/>
    <cellStyle name="Input 2 3 4 6" xfId="5578" xr:uid="{00000000-0005-0000-0000-0000CD1F0000}"/>
    <cellStyle name="Input 2 3 4 6 2" xfId="15813" xr:uid="{00000000-0005-0000-0000-0000CE1F0000}"/>
    <cellStyle name="Input 2 3 4 6 2 2" xfId="30645" xr:uid="{00000000-0005-0000-0000-0000CF1F0000}"/>
    <cellStyle name="Input 2 3 4 6 3" xfId="22274" xr:uid="{00000000-0005-0000-0000-0000D01F0000}"/>
    <cellStyle name="Input 2 3 4 7" xfId="11823" xr:uid="{00000000-0005-0000-0000-0000D11F0000}"/>
    <cellStyle name="Input 2 3 4 7 2" xfId="26655" xr:uid="{00000000-0005-0000-0000-0000D21F0000}"/>
    <cellStyle name="Input 2 3 4 8" xfId="9495" xr:uid="{00000000-0005-0000-0000-0000D31F0000}"/>
    <cellStyle name="Input 2 3 4 8 2" xfId="19798" xr:uid="{00000000-0005-0000-0000-0000D41F0000}"/>
    <cellStyle name="Input 2 3 5" xfId="1467" xr:uid="{00000000-0005-0000-0000-0000D51F0000}"/>
    <cellStyle name="Input 2 3 5 2" xfId="1968" xr:uid="{00000000-0005-0000-0000-0000D61F0000}"/>
    <cellStyle name="Input 2 3 5 2 2" xfId="3661" xr:uid="{00000000-0005-0000-0000-0000D71F0000}"/>
    <cellStyle name="Input 2 3 5 2 2 2" xfId="7720" xr:uid="{00000000-0005-0000-0000-0000D81F0000}"/>
    <cellStyle name="Input 2 3 5 2 2 2 2" xfId="23616" xr:uid="{00000000-0005-0000-0000-0000D91F0000}"/>
    <cellStyle name="Input 2 3 5 2 2 3" xfId="13996" xr:uid="{00000000-0005-0000-0000-0000DA1F0000}"/>
    <cellStyle name="Input 2 3 5 2 2 3 2" xfId="28828" xr:uid="{00000000-0005-0000-0000-0000DB1F0000}"/>
    <cellStyle name="Input 2 3 5 2 2 4" xfId="21280" xr:uid="{00000000-0005-0000-0000-0000DC1F0000}"/>
    <cellStyle name="Input 2 3 5 2 3" xfId="4932" xr:uid="{00000000-0005-0000-0000-0000DD1F0000}"/>
    <cellStyle name="Input 2 3 5 2 3 2" xfId="8971" xr:uid="{00000000-0005-0000-0000-0000DE1F0000}"/>
    <cellStyle name="Input 2 3 5 2 3 2 2" xfId="24437" xr:uid="{00000000-0005-0000-0000-0000DF1F0000}"/>
    <cellStyle name="Input 2 3 5 2 3 3" xfId="15254" xr:uid="{00000000-0005-0000-0000-0000E01F0000}"/>
    <cellStyle name="Input 2 3 5 2 3 3 2" xfId="30086" xr:uid="{00000000-0005-0000-0000-0000E11F0000}"/>
    <cellStyle name="Input 2 3 5 2 3 4" xfId="21967" xr:uid="{00000000-0005-0000-0000-0000E21F0000}"/>
    <cellStyle name="Input 2 3 5 2 4" xfId="2922" xr:uid="{00000000-0005-0000-0000-0000E31F0000}"/>
    <cellStyle name="Input 2 3 5 2 4 2" xfId="7006" xr:uid="{00000000-0005-0000-0000-0000E41F0000}"/>
    <cellStyle name="Input 2 3 5 2 4 2 2" xfId="23180" xr:uid="{00000000-0005-0000-0000-0000E51F0000}"/>
    <cellStyle name="Input 2 3 5 2 4 3" xfId="13260" xr:uid="{00000000-0005-0000-0000-0000E61F0000}"/>
    <cellStyle name="Input 2 3 5 2 4 3 2" xfId="28092" xr:uid="{00000000-0005-0000-0000-0000E71F0000}"/>
    <cellStyle name="Input 2 3 5 2 4 4" xfId="20848" xr:uid="{00000000-0005-0000-0000-0000E81F0000}"/>
    <cellStyle name="Input 2 3 5 2 5" xfId="6098" xr:uid="{00000000-0005-0000-0000-0000E91F0000}"/>
    <cellStyle name="Input 2 3 5 2 5 2" xfId="16285" xr:uid="{00000000-0005-0000-0000-0000EA1F0000}"/>
    <cellStyle name="Input 2 3 5 2 5 2 2" xfId="31117" xr:uid="{00000000-0005-0000-0000-0000EB1F0000}"/>
    <cellStyle name="Input 2 3 5 2 5 3" xfId="22631" xr:uid="{00000000-0005-0000-0000-0000EC1F0000}"/>
    <cellStyle name="Input 2 3 5 2 6" xfId="12355" xr:uid="{00000000-0005-0000-0000-0000ED1F0000}"/>
    <cellStyle name="Input 2 3 5 2 6 2" xfId="27187" xr:uid="{00000000-0005-0000-0000-0000EE1F0000}"/>
    <cellStyle name="Input 2 3 5 2 7" xfId="9937" xr:uid="{00000000-0005-0000-0000-0000EF1F0000}"/>
    <cellStyle name="Input 2 3 5 2 7 2" xfId="20139" xr:uid="{00000000-0005-0000-0000-0000F01F0000}"/>
    <cellStyle name="Input 2 3 5 3" xfId="4335" xr:uid="{00000000-0005-0000-0000-0000F11F0000}"/>
    <cellStyle name="Input 2 3 5 3 2" xfId="8374" xr:uid="{00000000-0005-0000-0000-0000F21F0000}"/>
    <cellStyle name="Input 2 3 5 3 2 2" xfId="24035" xr:uid="{00000000-0005-0000-0000-0000F31F0000}"/>
    <cellStyle name="Input 2 3 5 3 3" xfId="14666" xr:uid="{00000000-0005-0000-0000-0000F41F0000}"/>
    <cellStyle name="Input 2 3 5 3 3 2" xfId="29498" xr:uid="{00000000-0005-0000-0000-0000F51F0000}"/>
    <cellStyle name="Input 2 3 5 3 4" xfId="21631" xr:uid="{00000000-0005-0000-0000-0000F61F0000}"/>
    <cellStyle name="Input 2 3 5 4" xfId="4512" xr:uid="{00000000-0005-0000-0000-0000F71F0000}"/>
    <cellStyle name="Input 2 3 5 4 2" xfId="8551" xr:uid="{00000000-0005-0000-0000-0000F81F0000}"/>
    <cellStyle name="Input 2 3 5 4 2 2" xfId="24177" xr:uid="{00000000-0005-0000-0000-0000F91F0000}"/>
    <cellStyle name="Input 2 3 5 4 3" xfId="14839" xr:uid="{00000000-0005-0000-0000-0000FA1F0000}"/>
    <cellStyle name="Input 2 3 5 4 3 2" xfId="29671" xr:uid="{00000000-0005-0000-0000-0000FB1F0000}"/>
    <cellStyle name="Input 2 3 5 4 4" xfId="21737" xr:uid="{00000000-0005-0000-0000-0000FC1F0000}"/>
    <cellStyle name="Input 2 3 5 5" xfId="2502" xr:uid="{00000000-0005-0000-0000-0000FD1F0000}"/>
    <cellStyle name="Input 2 3 5 5 2" xfId="6608" xr:uid="{00000000-0005-0000-0000-0000FE1F0000}"/>
    <cellStyle name="Input 2 3 5 5 2 2" xfId="22946" xr:uid="{00000000-0005-0000-0000-0000FF1F0000}"/>
    <cellStyle name="Input 2 3 5 5 3" xfId="12840" xr:uid="{00000000-0005-0000-0000-000000200000}"/>
    <cellStyle name="Input 2 3 5 5 3 2" xfId="27672" xr:uid="{00000000-0005-0000-0000-000001200000}"/>
    <cellStyle name="Input 2 3 5 5 4" xfId="20592" xr:uid="{00000000-0005-0000-0000-000002200000}"/>
    <cellStyle name="Input 2 3 5 6" xfId="5625" xr:uid="{00000000-0005-0000-0000-000003200000}"/>
    <cellStyle name="Input 2 3 5 6 2" xfId="15860" xr:uid="{00000000-0005-0000-0000-000004200000}"/>
    <cellStyle name="Input 2 3 5 6 2 2" xfId="30692" xr:uid="{00000000-0005-0000-0000-000005200000}"/>
    <cellStyle name="Input 2 3 5 6 3" xfId="22321" xr:uid="{00000000-0005-0000-0000-000006200000}"/>
    <cellStyle name="Input 2 3 5 7" xfId="11884" xr:uid="{00000000-0005-0000-0000-000007200000}"/>
    <cellStyle name="Input 2 3 5 7 2" xfId="26716" xr:uid="{00000000-0005-0000-0000-000008200000}"/>
    <cellStyle name="Input 2 3 5 8" xfId="9542" xr:uid="{00000000-0005-0000-0000-000009200000}"/>
    <cellStyle name="Input 2 3 5 8 2" xfId="19844" xr:uid="{00000000-0005-0000-0000-00000A200000}"/>
    <cellStyle name="Input 2 3 6" xfId="1747" xr:uid="{00000000-0005-0000-0000-00000B200000}"/>
    <cellStyle name="Input 2 3 6 2" xfId="4095" xr:uid="{00000000-0005-0000-0000-00000C200000}"/>
    <cellStyle name="Input 2 3 6 2 2" xfId="8141" xr:uid="{00000000-0005-0000-0000-00000D200000}"/>
    <cellStyle name="Input 2 3 6 2 2 2" xfId="23887" xr:uid="{00000000-0005-0000-0000-00000E200000}"/>
    <cellStyle name="Input 2 3 6 2 3" xfId="14427" xr:uid="{00000000-0005-0000-0000-00000F200000}"/>
    <cellStyle name="Input 2 3 6 2 3 2" xfId="29259" xr:uid="{00000000-0005-0000-0000-000010200000}"/>
    <cellStyle name="Input 2 3 6 2 4" xfId="21517" xr:uid="{00000000-0005-0000-0000-000011200000}"/>
    <cellStyle name="Input 2 3 6 3" xfId="4725" xr:uid="{00000000-0005-0000-0000-000012200000}"/>
    <cellStyle name="Input 2 3 6 3 2" xfId="8764" xr:uid="{00000000-0005-0000-0000-000013200000}"/>
    <cellStyle name="Input 2 3 6 3 2 2" xfId="24294" xr:uid="{00000000-0005-0000-0000-000014200000}"/>
    <cellStyle name="Input 2 3 6 3 3" xfId="15049" xr:uid="{00000000-0005-0000-0000-000015200000}"/>
    <cellStyle name="Input 2 3 6 3 3 2" xfId="29881" xr:uid="{00000000-0005-0000-0000-000016200000}"/>
    <cellStyle name="Input 2 3 6 3 4" xfId="21832" xr:uid="{00000000-0005-0000-0000-000017200000}"/>
    <cellStyle name="Input 2 3 6 4" xfId="2715" xr:uid="{00000000-0005-0000-0000-000018200000}"/>
    <cellStyle name="Input 2 3 6 4 2" xfId="6806" xr:uid="{00000000-0005-0000-0000-000019200000}"/>
    <cellStyle name="Input 2 3 6 4 2 2" xfId="23045" xr:uid="{00000000-0005-0000-0000-00001A200000}"/>
    <cellStyle name="Input 2 3 6 4 3" xfId="13053" xr:uid="{00000000-0005-0000-0000-00001B200000}"/>
    <cellStyle name="Input 2 3 6 4 3 2" xfId="27885" xr:uid="{00000000-0005-0000-0000-00001C200000}"/>
    <cellStyle name="Input 2 3 6 4 4" xfId="20705" xr:uid="{00000000-0005-0000-0000-00001D200000}"/>
    <cellStyle name="Input 2 3 6 5" xfId="5879" xr:uid="{00000000-0005-0000-0000-00001E200000}"/>
    <cellStyle name="Input 2 3 6 5 2" xfId="16071" xr:uid="{00000000-0005-0000-0000-00001F200000}"/>
    <cellStyle name="Input 2 3 6 5 2 2" xfId="30903" xr:uid="{00000000-0005-0000-0000-000020200000}"/>
    <cellStyle name="Input 2 3 6 5 3" xfId="22476" xr:uid="{00000000-0005-0000-0000-000021200000}"/>
    <cellStyle name="Input 2 3 6 6" xfId="12141" xr:uid="{00000000-0005-0000-0000-000022200000}"/>
    <cellStyle name="Input 2 3 6 6 2" xfId="26973" xr:uid="{00000000-0005-0000-0000-000023200000}"/>
    <cellStyle name="Input 2 3 6 7" xfId="9737" xr:uid="{00000000-0005-0000-0000-000024200000}"/>
    <cellStyle name="Input 2 3 6 7 2" xfId="20035" xr:uid="{00000000-0005-0000-0000-000025200000}"/>
    <cellStyle name="Input 2 3 7" xfId="2219" xr:uid="{00000000-0005-0000-0000-000026200000}"/>
    <cellStyle name="Input 2 3 7 2" xfId="3659" xr:uid="{00000000-0005-0000-0000-000027200000}"/>
    <cellStyle name="Input 2 3 7 2 2" xfId="7718" xr:uid="{00000000-0005-0000-0000-000028200000}"/>
    <cellStyle name="Input 2 3 7 2 2 2" xfId="23614" xr:uid="{00000000-0005-0000-0000-000029200000}"/>
    <cellStyle name="Input 2 3 7 2 3" xfId="13994" xr:uid="{00000000-0005-0000-0000-00002A200000}"/>
    <cellStyle name="Input 2 3 7 2 3 2" xfId="28826" xr:uid="{00000000-0005-0000-0000-00002B200000}"/>
    <cellStyle name="Input 2 3 7 2 4" xfId="21278" xr:uid="{00000000-0005-0000-0000-00002C200000}"/>
    <cellStyle name="Input 2 3 7 3" xfId="5187" xr:uid="{00000000-0005-0000-0000-00002D200000}"/>
    <cellStyle name="Input 2 3 7 3 2" xfId="9226" xr:uid="{00000000-0005-0000-0000-00002E200000}"/>
    <cellStyle name="Input 2 3 7 3 2 2" xfId="24564" xr:uid="{00000000-0005-0000-0000-00002F200000}"/>
    <cellStyle name="Input 2 3 7 3 3" xfId="15505" xr:uid="{00000000-0005-0000-0000-000030200000}"/>
    <cellStyle name="Input 2 3 7 3 3 2" xfId="30337" xr:uid="{00000000-0005-0000-0000-000031200000}"/>
    <cellStyle name="Input 2 3 7 3 4" xfId="22071" xr:uid="{00000000-0005-0000-0000-000032200000}"/>
    <cellStyle name="Input 2 3 7 4" xfId="4217" xr:uid="{00000000-0005-0000-0000-000033200000}"/>
    <cellStyle name="Input 2 3 7 4 2" xfId="8258" xr:uid="{00000000-0005-0000-0000-000034200000}"/>
    <cellStyle name="Input 2 3 7 4 2 2" xfId="23953" xr:uid="{00000000-0005-0000-0000-000035200000}"/>
    <cellStyle name="Input 2 3 7 4 3" xfId="14549" xr:uid="{00000000-0005-0000-0000-000036200000}"/>
    <cellStyle name="Input 2 3 7 4 3 2" xfId="29381" xr:uid="{00000000-0005-0000-0000-000037200000}"/>
    <cellStyle name="Input 2 3 7 4 4" xfId="21578" xr:uid="{00000000-0005-0000-0000-000038200000}"/>
    <cellStyle name="Input 2 3 7 5" xfId="6333" xr:uid="{00000000-0005-0000-0000-000039200000}"/>
    <cellStyle name="Input 2 3 7 5 2" xfId="22735" xr:uid="{00000000-0005-0000-0000-00003A200000}"/>
    <cellStyle name="Input 2 3 7 6" xfId="12587" xr:uid="{00000000-0005-0000-0000-00003B200000}"/>
    <cellStyle name="Input 2 3 7 6 2" xfId="27419" xr:uid="{00000000-0005-0000-0000-00003C200000}"/>
    <cellStyle name="Input 2 3 7 7" xfId="20414" xr:uid="{00000000-0005-0000-0000-00003D200000}"/>
    <cellStyle name="Input 2 3 8" xfId="4334" xr:uid="{00000000-0005-0000-0000-00003E200000}"/>
    <cellStyle name="Input 2 3 8 2" xfId="8373" xr:uid="{00000000-0005-0000-0000-00003F200000}"/>
    <cellStyle name="Input 2 3 8 2 2" xfId="24034" xr:uid="{00000000-0005-0000-0000-000040200000}"/>
    <cellStyle name="Input 2 3 8 3" xfId="14665" xr:uid="{00000000-0005-0000-0000-000041200000}"/>
    <cellStyle name="Input 2 3 8 3 2" xfId="29497" xr:uid="{00000000-0005-0000-0000-000042200000}"/>
    <cellStyle name="Input 2 3 8 4" xfId="21630" xr:uid="{00000000-0005-0000-0000-000043200000}"/>
    <cellStyle name="Input 2 3 9" xfId="3146" xr:uid="{00000000-0005-0000-0000-000044200000}"/>
    <cellStyle name="Input 2 3 9 2" xfId="7210" xr:uid="{00000000-0005-0000-0000-000045200000}"/>
    <cellStyle name="Input 2 3 9 2 2" xfId="23279" xr:uid="{00000000-0005-0000-0000-000046200000}"/>
    <cellStyle name="Input 2 3 9 3" xfId="13484" xr:uid="{00000000-0005-0000-0000-000047200000}"/>
    <cellStyle name="Input 2 3 9 3 2" xfId="28316" xr:uid="{00000000-0005-0000-0000-000048200000}"/>
    <cellStyle name="Input 2 3 9 4" xfId="20970" xr:uid="{00000000-0005-0000-0000-000049200000}"/>
    <cellStyle name="Input 2 4" xfId="1115" xr:uid="{00000000-0005-0000-0000-00004A200000}"/>
    <cellStyle name="Input 2 4 10" xfId="2286" xr:uid="{00000000-0005-0000-0000-00004B200000}"/>
    <cellStyle name="Input 2 4 10 2" xfId="6398" xr:uid="{00000000-0005-0000-0000-00004C200000}"/>
    <cellStyle name="Input 2 4 10 2 2" xfId="22800" xr:uid="{00000000-0005-0000-0000-00004D200000}"/>
    <cellStyle name="Input 2 4 10 3" xfId="12626" xr:uid="{00000000-0005-0000-0000-00004E200000}"/>
    <cellStyle name="Input 2 4 10 3 2" xfId="27458" xr:uid="{00000000-0005-0000-0000-00004F200000}"/>
    <cellStyle name="Input 2 4 10 4" xfId="20452" xr:uid="{00000000-0005-0000-0000-000050200000}"/>
    <cellStyle name="Input 2 4 11" xfId="5252" xr:uid="{00000000-0005-0000-0000-000051200000}"/>
    <cellStyle name="Input 2 4 11 2" xfId="15568" xr:uid="{00000000-0005-0000-0000-000052200000}"/>
    <cellStyle name="Input 2 4 11 2 2" xfId="30400" xr:uid="{00000000-0005-0000-0000-000053200000}"/>
    <cellStyle name="Input 2 4 11 3" xfId="22109" xr:uid="{00000000-0005-0000-0000-000054200000}"/>
    <cellStyle name="Input 2 4 12" xfId="5410" xr:uid="{00000000-0005-0000-0000-000055200000}"/>
    <cellStyle name="Input 2 4 12 2" xfId="15646" xr:uid="{00000000-0005-0000-0000-000056200000}"/>
    <cellStyle name="Input 2 4 12 2 2" xfId="30478" xr:uid="{00000000-0005-0000-0000-000057200000}"/>
    <cellStyle name="Input 2 4 12 3" xfId="22171" xr:uid="{00000000-0005-0000-0000-000058200000}"/>
    <cellStyle name="Input 2 4 13" xfId="9381" xr:uid="{00000000-0005-0000-0000-000059200000}"/>
    <cellStyle name="Input 2 4 13 2" xfId="24687" xr:uid="{00000000-0005-0000-0000-00005A200000}"/>
    <cellStyle name="Input 2 4 14" xfId="5370" xr:uid="{00000000-0005-0000-0000-00005B200000}"/>
    <cellStyle name="Input 2 4 14 2" xfId="18244" xr:uid="{00000000-0005-0000-0000-00005C200000}"/>
    <cellStyle name="Input 2 4 2" xfId="1322" xr:uid="{00000000-0005-0000-0000-00005D200000}"/>
    <cellStyle name="Input 2 4 2 2" xfId="1826" xr:uid="{00000000-0005-0000-0000-00005E200000}"/>
    <cellStyle name="Input 2 4 2 2 2" xfId="3756" xr:uid="{00000000-0005-0000-0000-00005F200000}"/>
    <cellStyle name="Input 2 4 2 2 2 2" xfId="7812" xr:uid="{00000000-0005-0000-0000-000060200000}"/>
    <cellStyle name="Input 2 4 2 2 2 2 2" xfId="23680" xr:uid="{00000000-0005-0000-0000-000061200000}"/>
    <cellStyle name="Input 2 4 2 2 2 3" xfId="14091" xr:uid="{00000000-0005-0000-0000-000062200000}"/>
    <cellStyle name="Input 2 4 2 2 2 3 2" xfId="28923" xr:uid="{00000000-0005-0000-0000-000063200000}"/>
    <cellStyle name="Input 2 4 2 2 2 4" xfId="21336" xr:uid="{00000000-0005-0000-0000-000064200000}"/>
    <cellStyle name="Input 2 4 2 2 3" xfId="4804" xr:uid="{00000000-0005-0000-0000-000065200000}"/>
    <cellStyle name="Input 2 4 2 2 3 2" xfId="8843" xr:uid="{00000000-0005-0000-0000-000066200000}"/>
    <cellStyle name="Input 2 4 2 2 3 2 2" xfId="24341" xr:uid="{00000000-0005-0000-0000-000067200000}"/>
    <cellStyle name="Input 2 4 2 2 3 3" xfId="15128" xr:uid="{00000000-0005-0000-0000-000068200000}"/>
    <cellStyle name="Input 2 4 2 2 3 3 2" xfId="29960" xr:uid="{00000000-0005-0000-0000-000069200000}"/>
    <cellStyle name="Input 2 4 2 2 3 4" xfId="21879" xr:uid="{00000000-0005-0000-0000-00006A200000}"/>
    <cellStyle name="Input 2 4 2 2 4" xfId="2794" xr:uid="{00000000-0005-0000-0000-00006B200000}"/>
    <cellStyle name="Input 2 4 2 2 4 2" xfId="6885" xr:uid="{00000000-0005-0000-0000-00006C200000}"/>
    <cellStyle name="Input 2 4 2 2 4 2 2" xfId="23092" xr:uid="{00000000-0005-0000-0000-00006D200000}"/>
    <cellStyle name="Input 2 4 2 2 4 3" xfId="13132" xr:uid="{00000000-0005-0000-0000-00006E200000}"/>
    <cellStyle name="Input 2 4 2 2 4 3 2" xfId="27964" xr:uid="{00000000-0005-0000-0000-00006F200000}"/>
    <cellStyle name="Input 2 4 2 2 4 4" xfId="20752" xr:uid="{00000000-0005-0000-0000-000070200000}"/>
    <cellStyle name="Input 2 4 2 2 5" xfId="5958" xr:uid="{00000000-0005-0000-0000-000071200000}"/>
    <cellStyle name="Input 2 4 2 2 5 2" xfId="16150" xr:uid="{00000000-0005-0000-0000-000072200000}"/>
    <cellStyle name="Input 2 4 2 2 5 2 2" xfId="30982" xr:uid="{00000000-0005-0000-0000-000073200000}"/>
    <cellStyle name="Input 2 4 2 2 5 3" xfId="22523" xr:uid="{00000000-0005-0000-0000-000074200000}"/>
    <cellStyle name="Input 2 4 2 2 6" xfId="12220" xr:uid="{00000000-0005-0000-0000-000075200000}"/>
    <cellStyle name="Input 2 4 2 2 6 2" xfId="27052" xr:uid="{00000000-0005-0000-0000-000076200000}"/>
    <cellStyle name="Input 2 4 2 2 7" xfId="9816" xr:uid="{00000000-0005-0000-0000-000077200000}"/>
    <cellStyle name="Input 2 4 2 2 7 2" xfId="20067" xr:uid="{00000000-0005-0000-0000-000078200000}"/>
    <cellStyle name="Input 2 4 2 3" xfId="3747" xr:uid="{00000000-0005-0000-0000-000079200000}"/>
    <cellStyle name="Input 2 4 2 3 2" xfId="7803" xr:uid="{00000000-0005-0000-0000-00007A200000}"/>
    <cellStyle name="Input 2 4 2 3 2 2" xfId="23674" xr:uid="{00000000-0005-0000-0000-00007B200000}"/>
    <cellStyle name="Input 2 4 2 3 3" xfId="14082" xr:uid="{00000000-0005-0000-0000-00007C200000}"/>
    <cellStyle name="Input 2 4 2 3 3 2" xfId="28914" xr:uid="{00000000-0005-0000-0000-00007D200000}"/>
    <cellStyle name="Input 2 4 2 3 4" xfId="21330" xr:uid="{00000000-0005-0000-0000-00007E200000}"/>
    <cellStyle name="Input 2 4 2 4" xfId="4384" xr:uid="{00000000-0005-0000-0000-00007F200000}"/>
    <cellStyle name="Input 2 4 2 4 2" xfId="8423" xr:uid="{00000000-0005-0000-0000-000080200000}"/>
    <cellStyle name="Input 2 4 2 4 2 2" xfId="24081" xr:uid="{00000000-0005-0000-0000-000081200000}"/>
    <cellStyle name="Input 2 4 2 4 3" xfId="14713" xr:uid="{00000000-0005-0000-0000-000082200000}"/>
    <cellStyle name="Input 2 4 2 4 3 2" xfId="29545" xr:uid="{00000000-0005-0000-0000-000083200000}"/>
    <cellStyle name="Input 2 4 2 4 4" xfId="21649" xr:uid="{00000000-0005-0000-0000-000084200000}"/>
    <cellStyle name="Input 2 4 2 5" xfId="2374" xr:uid="{00000000-0005-0000-0000-000085200000}"/>
    <cellStyle name="Input 2 4 2 5 2" xfId="6486" xr:uid="{00000000-0005-0000-0000-000086200000}"/>
    <cellStyle name="Input 2 4 2 5 2 2" xfId="22856" xr:uid="{00000000-0005-0000-0000-000087200000}"/>
    <cellStyle name="Input 2 4 2 5 3" xfId="12713" xr:uid="{00000000-0005-0000-0000-000088200000}"/>
    <cellStyle name="Input 2 4 2 5 3 2" xfId="27545" xr:uid="{00000000-0005-0000-0000-000089200000}"/>
    <cellStyle name="Input 2 4 2 5 4" xfId="20498" xr:uid="{00000000-0005-0000-0000-00008A200000}"/>
    <cellStyle name="Input 2 4 2 6" xfId="5499" xr:uid="{00000000-0005-0000-0000-00008B200000}"/>
    <cellStyle name="Input 2 4 2 6 2" xfId="15734" xr:uid="{00000000-0005-0000-0000-00008C200000}"/>
    <cellStyle name="Input 2 4 2 6 2 2" xfId="30566" xr:uid="{00000000-0005-0000-0000-00008D200000}"/>
    <cellStyle name="Input 2 4 2 6 3" xfId="22227" xr:uid="{00000000-0005-0000-0000-00008E200000}"/>
    <cellStyle name="Input 2 4 2 7" xfId="11749" xr:uid="{00000000-0005-0000-0000-00008F200000}"/>
    <cellStyle name="Input 2 4 2 7 2" xfId="26581" xr:uid="{00000000-0005-0000-0000-000090200000}"/>
    <cellStyle name="Input 2 4 2 8" xfId="9420" xr:uid="{00000000-0005-0000-0000-000091200000}"/>
    <cellStyle name="Input 2 4 2 8 2" xfId="19724" xr:uid="{00000000-0005-0000-0000-000092200000}"/>
    <cellStyle name="Input 2 4 3" xfId="1480" xr:uid="{00000000-0005-0000-0000-000093200000}"/>
    <cellStyle name="Input 2 4 3 2" xfId="1981" xr:uid="{00000000-0005-0000-0000-000094200000}"/>
    <cellStyle name="Input 2 4 3 2 2" xfId="3437" xr:uid="{00000000-0005-0000-0000-000095200000}"/>
    <cellStyle name="Input 2 4 3 2 2 2" xfId="7500" xr:uid="{00000000-0005-0000-0000-000096200000}"/>
    <cellStyle name="Input 2 4 3 2 2 2 2" xfId="23476" xr:uid="{00000000-0005-0000-0000-000097200000}"/>
    <cellStyle name="Input 2 4 3 2 2 3" xfId="13774" xr:uid="{00000000-0005-0000-0000-000098200000}"/>
    <cellStyle name="Input 2 4 3 2 2 3 2" xfId="28606" xr:uid="{00000000-0005-0000-0000-000099200000}"/>
    <cellStyle name="Input 2 4 3 2 2 4" xfId="21152" xr:uid="{00000000-0005-0000-0000-00009A200000}"/>
    <cellStyle name="Input 2 4 3 2 3" xfId="4945" xr:uid="{00000000-0005-0000-0000-00009B200000}"/>
    <cellStyle name="Input 2 4 3 2 3 2" xfId="8984" xr:uid="{00000000-0005-0000-0000-00009C200000}"/>
    <cellStyle name="Input 2 4 3 2 3 2 2" xfId="24450" xr:uid="{00000000-0005-0000-0000-00009D200000}"/>
    <cellStyle name="Input 2 4 3 2 3 3" xfId="15267" xr:uid="{00000000-0005-0000-0000-00009E200000}"/>
    <cellStyle name="Input 2 4 3 2 3 3 2" xfId="30099" xr:uid="{00000000-0005-0000-0000-00009F200000}"/>
    <cellStyle name="Input 2 4 3 2 3 4" xfId="21980" xr:uid="{00000000-0005-0000-0000-0000A0200000}"/>
    <cellStyle name="Input 2 4 3 2 4" xfId="2935" xr:uid="{00000000-0005-0000-0000-0000A1200000}"/>
    <cellStyle name="Input 2 4 3 2 4 2" xfId="7019" xr:uid="{00000000-0005-0000-0000-0000A2200000}"/>
    <cellStyle name="Input 2 4 3 2 4 2 2" xfId="23193" xr:uid="{00000000-0005-0000-0000-0000A3200000}"/>
    <cellStyle name="Input 2 4 3 2 4 3" xfId="13273" xr:uid="{00000000-0005-0000-0000-0000A4200000}"/>
    <cellStyle name="Input 2 4 3 2 4 3 2" xfId="28105" xr:uid="{00000000-0005-0000-0000-0000A5200000}"/>
    <cellStyle name="Input 2 4 3 2 4 4" xfId="20861" xr:uid="{00000000-0005-0000-0000-0000A6200000}"/>
    <cellStyle name="Input 2 4 3 2 5" xfId="6111" xr:uid="{00000000-0005-0000-0000-0000A7200000}"/>
    <cellStyle name="Input 2 4 3 2 5 2" xfId="16298" xr:uid="{00000000-0005-0000-0000-0000A8200000}"/>
    <cellStyle name="Input 2 4 3 2 5 2 2" xfId="31130" xr:uid="{00000000-0005-0000-0000-0000A9200000}"/>
    <cellStyle name="Input 2 4 3 2 5 3" xfId="22644" xr:uid="{00000000-0005-0000-0000-0000AA200000}"/>
    <cellStyle name="Input 2 4 3 2 6" xfId="12368" xr:uid="{00000000-0005-0000-0000-0000AB200000}"/>
    <cellStyle name="Input 2 4 3 2 6 2" xfId="27200" xr:uid="{00000000-0005-0000-0000-0000AC200000}"/>
    <cellStyle name="Input 2 4 3 2 7" xfId="9950" xr:uid="{00000000-0005-0000-0000-0000AD200000}"/>
    <cellStyle name="Input 2 4 3 2 7 2" xfId="20152" xr:uid="{00000000-0005-0000-0000-0000AE200000}"/>
    <cellStyle name="Input 2 4 3 3" xfId="3358" xr:uid="{00000000-0005-0000-0000-0000AF200000}"/>
    <cellStyle name="Input 2 4 3 3 2" xfId="7421" xr:uid="{00000000-0005-0000-0000-0000B0200000}"/>
    <cellStyle name="Input 2 4 3 3 2 2" xfId="23422" xr:uid="{00000000-0005-0000-0000-0000B1200000}"/>
    <cellStyle name="Input 2 4 3 3 3" xfId="13695" xr:uid="{00000000-0005-0000-0000-0000B2200000}"/>
    <cellStyle name="Input 2 4 3 3 3 2" xfId="28527" xr:uid="{00000000-0005-0000-0000-0000B3200000}"/>
    <cellStyle name="Input 2 4 3 3 4" xfId="21107" xr:uid="{00000000-0005-0000-0000-0000B4200000}"/>
    <cellStyle name="Input 2 4 3 4" xfId="4525" xr:uid="{00000000-0005-0000-0000-0000B5200000}"/>
    <cellStyle name="Input 2 4 3 4 2" xfId="8564" xr:uid="{00000000-0005-0000-0000-0000B6200000}"/>
    <cellStyle name="Input 2 4 3 4 2 2" xfId="24190" xr:uid="{00000000-0005-0000-0000-0000B7200000}"/>
    <cellStyle name="Input 2 4 3 4 3" xfId="14852" xr:uid="{00000000-0005-0000-0000-0000B8200000}"/>
    <cellStyle name="Input 2 4 3 4 3 2" xfId="29684" xr:uid="{00000000-0005-0000-0000-0000B9200000}"/>
    <cellStyle name="Input 2 4 3 4 4" xfId="21750" xr:uid="{00000000-0005-0000-0000-0000BA200000}"/>
    <cellStyle name="Input 2 4 3 5" xfId="2515" xr:uid="{00000000-0005-0000-0000-0000BB200000}"/>
    <cellStyle name="Input 2 4 3 5 2" xfId="6621" xr:uid="{00000000-0005-0000-0000-0000BC200000}"/>
    <cellStyle name="Input 2 4 3 5 2 2" xfId="22959" xr:uid="{00000000-0005-0000-0000-0000BD200000}"/>
    <cellStyle name="Input 2 4 3 5 3" xfId="12853" xr:uid="{00000000-0005-0000-0000-0000BE200000}"/>
    <cellStyle name="Input 2 4 3 5 3 2" xfId="27685" xr:uid="{00000000-0005-0000-0000-0000BF200000}"/>
    <cellStyle name="Input 2 4 3 5 4" xfId="20605" xr:uid="{00000000-0005-0000-0000-0000C0200000}"/>
    <cellStyle name="Input 2 4 3 6" xfId="5638" xr:uid="{00000000-0005-0000-0000-0000C1200000}"/>
    <cellStyle name="Input 2 4 3 6 2" xfId="15873" xr:uid="{00000000-0005-0000-0000-0000C2200000}"/>
    <cellStyle name="Input 2 4 3 6 2 2" xfId="30705" xr:uid="{00000000-0005-0000-0000-0000C3200000}"/>
    <cellStyle name="Input 2 4 3 6 3" xfId="22334" xr:uid="{00000000-0005-0000-0000-0000C4200000}"/>
    <cellStyle name="Input 2 4 3 7" xfId="11897" xr:uid="{00000000-0005-0000-0000-0000C5200000}"/>
    <cellStyle name="Input 2 4 3 7 2" xfId="26729" xr:uid="{00000000-0005-0000-0000-0000C6200000}"/>
    <cellStyle name="Input 2 4 3 8" xfId="9555" xr:uid="{00000000-0005-0000-0000-0000C7200000}"/>
    <cellStyle name="Input 2 4 3 8 2" xfId="19857" xr:uid="{00000000-0005-0000-0000-0000C8200000}"/>
    <cellStyle name="Input 2 4 4" xfId="1398" xr:uid="{00000000-0005-0000-0000-0000C9200000}"/>
    <cellStyle name="Input 2 4 4 2" xfId="1900" xr:uid="{00000000-0005-0000-0000-0000CA200000}"/>
    <cellStyle name="Input 2 4 4 2 2" xfId="3889" xr:uid="{00000000-0005-0000-0000-0000CB200000}"/>
    <cellStyle name="Input 2 4 4 2 2 2" xfId="7940" xr:uid="{00000000-0005-0000-0000-0000CC200000}"/>
    <cellStyle name="Input 2 4 4 2 2 2 2" xfId="23762" xr:uid="{00000000-0005-0000-0000-0000CD200000}"/>
    <cellStyle name="Input 2 4 4 2 2 3" xfId="14223" xr:uid="{00000000-0005-0000-0000-0000CE200000}"/>
    <cellStyle name="Input 2 4 4 2 2 3 2" xfId="29055" xr:uid="{00000000-0005-0000-0000-0000CF200000}"/>
    <cellStyle name="Input 2 4 4 2 2 4" xfId="21404" xr:uid="{00000000-0005-0000-0000-0000D0200000}"/>
    <cellStyle name="Input 2 4 4 2 3" xfId="4878" xr:uid="{00000000-0005-0000-0000-0000D1200000}"/>
    <cellStyle name="Input 2 4 4 2 3 2" xfId="8917" xr:uid="{00000000-0005-0000-0000-0000D2200000}"/>
    <cellStyle name="Input 2 4 4 2 3 2 2" xfId="24383" xr:uid="{00000000-0005-0000-0000-0000D3200000}"/>
    <cellStyle name="Input 2 4 4 2 3 3" xfId="15201" xr:uid="{00000000-0005-0000-0000-0000D4200000}"/>
    <cellStyle name="Input 2 4 4 2 3 3 2" xfId="30033" xr:uid="{00000000-0005-0000-0000-0000D5200000}"/>
    <cellStyle name="Input 2 4 4 2 3 4" xfId="21915" xr:uid="{00000000-0005-0000-0000-0000D6200000}"/>
    <cellStyle name="Input 2 4 4 2 4" xfId="2868" xr:uid="{00000000-0005-0000-0000-0000D7200000}"/>
    <cellStyle name="Input 2 4 4 2 4 2" xfId="6953" xr:uid="{00000000-0005-0000-0000-0000D8200000}"/>
    <cellStyle name="Input 2 4 4 2 4 2 2" xfId="23128" xr:uid="{00000000-0005-0000-0000-0000D9200000}"/>
    <cellStyle name="Input 2 4 4 2 4 3" xfId="13206" xr:uid="{00000000-0005-0000-0000-0000DA200000}"/>
    <cellStyle name="Input 2 4 4 2 4 3 2" xfId="28038" xr:uid="{00000000-0005-0000-0000-0000DB200000}"/>
    <cellStyle name="Input 2 4 4 2 4 4" xfId="20794" xr:uid="{00000000-0005-0000-0000-0000DC200000}"/>
    <cellStyle name="Input 2 4 4 2 5" xfId="6031" xr:uid="{00000000-0005-0000-0000-0000DD200000}"/>
    <cellStyle name="Input 2 4 4 2 5 2" xfId="16218" xr:uid="{00000000-0005-0000-0000-0000DE200000}"/>
    <cellStyle name="Input 2 4 4 2 5 2 2" xfId="31050" xr:uid="{00000000-0005-0000-0000-0000DF200000}"/>
    <cellStyle name="Input 2 4 4 2 5 3" xfId="22564" xr:uid="{00000000-0005-0000-0000-0000E0200000}"/>
    <cellStyle name="Input 2 4 4 2 6" xfId="12288" xr:uid="{00000000-0005-0000-0000-0000E1200000}"/>
    <cellStyle name="Input 2 4 4 2 6 2" xfId="27120" xr:uid="{00000000-0005-0000-0000-0000E2200000}"/>
    <cellStyle name="Input 2 4 4 2 7" xfId="9884" xr:uid="{00000000-0005-0000-0000-0000E3200000}"/>
    <cellStyle name="Input 2 4 4 2 7 2" xfId="20088" xr:uid="{00000000-0005-0000-0000-0000E4200000}"/>
    <cellStyle name="Input 2 4 4 3" xfId="3938" xr:uid="{00000000-0005-0000-0000-0000E5200000}"/>
    <cellStyle name="Input 2 4 4 3 2" xfId="7988" xr:uid="{00000000-0005-0000-0000-0000E6200000}"/>
    <cellStyle name="Input 2 4 4 3 2 2" xfId="23789" xr:uid="{00000000-0005-0000-0000-0000E7200000}"/>
    <cellStyle name="Input 2 4 4 3 3" xfId="14271" xr:uid="{00000000-0005-0000-0000-0000E8200000}"/>
    <cellStyle name="Input 2 4 4 3 3 2" xfId="29103" xr:uid="{00000000-0005-0000-0000-0000E9200000}"/>
    <cellStyle name="Input 2 4 4 3 4" xfId="21431" xr:uid="{00000000-0005-0000-0000-0000EA200000}"/>
    <cellStyle name="Input 2 4 4 4" xfId="4458" xr:uid="{00000000-0005-0000-0000-0000EB200000}"/>
    <cellStyle name="Input 2 4 4 4 2" xfId="8497" xr:uid="{00000000-0005-0000-0000-0000EC200000}"/>
    <cellStyle name="Input 2 4 4 4 2 2" xfId="24123" xr:uid="{00000000-0005-0000-0000-0000ED200000}"/>
    <cellStyle name="Input 2 4 4 4 3" xfId="14786" xr:uid="{00000000-0005-0000-0000-0000EE200000}"/>
    <cellStyle name="Input 2 4 4 4 3 2" xfId="29618" xr:uid="{00000000-0005-0000-0000-0000EF200000}"/>
    <cellStyle name="Input 2 4 4 4 4" xfId="21685" xr:uid="{00000000-0005-0000-0000-0000F0200000}"/>
    <cellStyle name="Input 2 4 4 5" xfId="2448" xr:uid="{00000000-0005-0000-0000-0000F1200000}"/>
    <cellStyle name="Input 2 4 4 5 2" xfId="6554" xr:uid="{00000000-0005-0000-0000-0000F2200000}"/>
    <cellStyle name="Input 2 4 4 5 2 2" xfId="22892" xr:uid="{00000000-0005-0000-0000-0000F3200000}"/>
    <cellStyle name="Input 2 4 4 5 3" xfId="12787" xr:uid="{00000000-0005-0000-0000-0000F4200000}"/>
    <cellStyle name="Input 2 4 4 5 3 2" xfId="27619" xr:uid="{00000000-0005-0000-0000-0000F5200000}"/>
    <cellStyle name="Input 2 4 4 5 4" xfId="20540" xr:uid="{00000000-0005-0000-0000-0000F6200000}"/>
    <cellStyle name="Input 2 4 4 6" xfId="5572" xr:uid="{00000000-0005-0000-0000-0000F7200000}"/>
    <cellStyle name="Input 2 4 4 6 2" xfId="15807" xr:uid="{00000000-0005-0000-0000-0000F8200000}"/>
    <cellStyle name="Input 2 4 4 6 2 2" xfId="30639" xr:uid="{00000000-0005-0000-0000-0000F9200000}"/>
    <cellStyle name="Input 2 4 4 6 3" xfId="22268" xr:uid="{00000000-0005-0000-0000-0000FA200000}"/>
    <cellStyle name="Input 2 4 4 7" xfId="11817" xr:uid="{00000000-0005-0000-0000-0000FB200000}"/>
    <cellStyle name="Input 2 4 4 7 2" xfId="26649" xr:uid="{00000000-0005-0000-0000-0000FC200000}"/>
    <cellStyle name="Input 2 4 4 8" xfId="9489" xr:uid="{00000000-0005-0000-0000-0000FD200000}"/>
    <cellStyle name="Input 2 4 4 8 2" xfId="19792" xr:uid="{00000000-0005-0000-0000-0000FE200000}"/>
    <cellStyle name="Input 2 4 5" xfId="1470" xr:uid="{00000000-0005-0000-0000-0000FF200000}"/>
    <cellStyle name="Input 2 4 5 2" xfId="1971" xr:uid="{00000000-0005-0000-0000-000000210000}"/>
    <cellStyle name="Input 2 4 5 2 2" xfId="3930" xr:uid="{00000000-0005-0000-0000-000001210000}"/>
    <cellStyle name="Input 2 4 5 2 2 2" xfId="7980" xr:uid="{00000000-0005-0000-0000-000002210000}"/>
    <cellStyle name="Input 2 4 5 2 2 2 2" xfId="23786" xr:uid="{00000000-0005-0000-0000-000003210000}"/>
    <cellStyle name="Input 2 4 5 2 2 3" xfId="14263" xr:uid="{00000000-0005-0000-0000-000004210000}"/>
    <cellStyle name="Input 2 4 5 2 2 3 2" xfId="29095" xr:uid="{00000000-0005-0000-0000-000005210000}"/>
    <cellStyle name="Input 2 4 5 2 2 4" xfId="21428" xr:uid="{00000000-0005-0000-0000-000006210000}"/>
    <cellStyle name="Input 2 4 5 2 3" xfId="4935" xr:uid="{00000000-0005-0000-0000-000007210000}"/>
    <cellStyle name="Input 2 4 5 2 3 2" xfId="8974" xr:uid="{00000000-0005-0000-0000-000008210000}"/>
    <cellStyle name="Input 2 4 5 2 3 2 2" xfId="24440" xr:uid="{00000000-0005-0000-0000-000009210000}"/>
    <cellStyle name="Input 2 4 5 2 3 3" xfId="15257" xr:uid="{00000000-0005-0000-0000-00000A210000}"/>
    <cellStyle name="Input 2 4 5 2 3 3 2" xfId="30089" xr:uid="{00000000-0005-0000-0000-00000B210000}"/>
    <cellStyle name="Input 2 4 5 2 3 4" xfId="21970" xr:uid="{00000000-0005-0000-0000-00000C210000}"/>
    <cellStyle name="Input 2 4 5 2 4" xfId="2925" xr:uid="{00000000-0005-0000-0000-00000D210000}"/>
    <cellStyle name="Input 2 4 5 2 4 2" xfId="7009" xr:uid="{00000000-0005-0000-0000-00000E210000}"/>
    <cellStyle name="Input 2 4 5 2 4 2 2" xfId="23183" xr:uid="{00000000-0005-0000-0000-00000F210000}"/>
    <cellStyle name="Input 2 4 5 2 4 3" xfId="13263" xr:uid="{00000000-0005-0000-0000-000010210000}"/>
    <cellStyle name="Input 2 4 5 2 4 3 2" xfId="28095" xr:uid="{00000000-0005-0000-0000-000011210000}"/>
    <cellStyle name="Input 2 4 5 2 4 4" xfId="20851" xr:uid="{00000000-0005-0000-0000-000012210000}"/>
    <cellStyle name="Input 2 4 5 2 5" xfId="6101" xr:uid="{00000000-0005-0000-0000-000013210000}"/>
    <cellStyle name="Input 2 4 5 2 5 2" xfId="16288" xr:uid="{00000000-0005-0000-0000-000014210000}"/>
    <cellStyle name="Input 2 4 5 2 5 2 2" xfId="31120" xr:uid="{00000000-0005-0000-0000-000015210000}"/>
    <cellStyle name="Input 2 4 5 2 5 3" xfId="22634" xr:uid="{00000000-0005-0000-0000-000016210000}"/>
    <cellStyle name="Input 2 4 5 2 6" xfId="12358" xr:uid="{00000000-0005-0000-0000-000017210000}"/>
    <cellStyle name="Input 2 4 5 2 6 2" xfId="27190" xr:uid="{00000000-0005-0000-0000-000018210000}"/>
    <cellStyle name="Input 2 4 5 2 7" xfId="9940" xr:uid="{00000000-0005-0000-0000-000019210000}"/>
    <cellStyle name="Input 2 4 5 2 7 2" xfId="20142" xr:uid="{00000000-0005-0000-0000-00001A210000}"/>
    <cellStyle name="Input 2 4 5 3" xfId="3356" xr:uid="{00000000-0005-0000-0000-00001B210000}"/>
    <cellStyle name="Input 2 4 5 3 2" xfId="7419" xr:uid="{00000000-0005-0000-0000-00001C210000}"/>
    <cellStyle name="Input 2 4 5 3 2 2" xfId="23421" xr:uid="{00000000-0005-0000-0000-00001D210000}"/>
    <cellStyle name="Input 2 4 5 3 3" xfId="13693" xr:uid="{00000000-0005-0000-0000-00001E210000}"/>
    <cellStyle name="Input 2 4 5 3 3 2" xfId="28525" xr:uid="{00000000-0005-0000-0000-00001F210000}"/>
    <cellStyle name="Input 2 4 5 3 4" xfId="21106" xr:uid="{00000000-0005-0000-0000-000020210000}"/>
    <cellStyle name="Input 2 4 5 4" xfId="4515" xr:uid="{00000000-0005-0000-0000-000021210000}"/>
    <cellStyle name="Input 2 4 5 4 2" xfId="8554" xr:uid="{00000000-0005-0000-0000-000022210000}"/>
    <cellStyle name="Input 2 4 5 4 2 2" xfId="24180" xr:uid="{00000000-0005-0000-0000-000023210000}"/>
    <cellStyle name="Input 2 4 5 4 3" xfId="14842" xr:uid="{00000000-0005-0000-0000-000024210000}"/>
    <cellStyle name="Input 2 4 5 4 3 2" xfId="29674" xr:uid="{00000000-0005-0000-0000-000025210000}"/>
    <cellStyle name="Input 2 4 5 4 4" xfId="21740" xr:uid="{00000000-0005-0000-0000-000026210000}"/>
    <cellStyle name="Input 2 4 5 5" xfId="2505" xr:uid="{00000000-0005-0000-0000-000027210000}"/>
    <cellStyle name="Input 2 4 5 5 2" xfId="6611" xr:uid="{00000000-0005-0000-0000-000028210000}"/>
    <cellStyle name="Input 2 4 5 5 2 2" xfId="22949" xr:uid="{00000000-0005-0000-0000-000029210000}"/>
    <cellStyle name="Input 2 4 5 5 3" xfId="12843" xr:uid="{00000000-0005-0000-0000-00002A210000}"/>
    <cellStyle name="Input 2 4 5 5 3 2" xfId="27675" xr:uid="{00000000-0005-0000-0000-00002B210000}"/>
    <cellStyle name="Input 2 4 5 5 4" xfId="20595" xr:uid="{00000000-0005-0000-0000-00002C210000}"/>
    <cellStyle name="Input 2 4 5 6" xfId="5628" xr:uid="{00000000-0005-0000-0000-00002D210000}"/>
    <cellStyle name="Input 2 4 5 6 2" xfId="15863" xr:uid="{00000000-0005-0000-0000-00002E210000}"/>
    <cellStyle name="Input 2 4 5 6 2 2" xfId="30695" xr:uid="{00000000-0005-0000-0000-00002F210000}"/>
    <cellStyle name="Input 2 4 5 6 3" xfId="22324" xr:uid="{00000000-0005-0000-0000-000030210000}"/>
    <cellStyle name="Input 2 4 5 7" xfId="11887" xr:uid="{00000000-0005-0000-0000-000031210000}"/>
    <cellStyle name="Input 2 4 5 7 2" xfId="26719" xr:uid="{00000000-0005-0000-0000-000032210000}"/>
    <cellStyle name="Input 2 4 5 8" xfId="9545" xr:uid="{00000000-0005-0000-0000-000033210000}"/>
    <cellStyle name="Input 2 4 5 8 2" xfId="19847" xr:uid="{00000000-0005-0000-0000-000034210000}"/>
    <cellStyle name="Input 2 4 6" xfId="1748" xr:uid="{00000000-0005-0000-0000-000035210000}"/>
    <cellStyle name="Input 2 4 6 2" xfId="3674" xr:uid="{00000000-0005-0000-0000-000036210000}"/>
    <cellStyle name="Input 2 4 6 2 2" xfId="7732" xr:uid="{00000000-0005-0000-0000-000037210000}"/>
    <cellStyle name="Input 2 4 6 2 2 2" xfId="23625" xr:uid="{00000000-0005-0000-0000-000038210000}"/>
    <cellStyle name="Input 2 4 6 2 3" xfId="14009" xr:uid="{00000000-0005-0000-0000-000039210000}"/>
    <cellStyle name="Input 2 4 6 2 3 2" xfId="28841" xr:uid="{00000000-0005-0000-0000-00003A210000}"/>
    <cellStyle name="Input 2 4 6 2 4" xfId="21285" xr:uid="{00000000-0005-0000-0000-00003B210000}"/>
    <cellStyle name="Input 2 4 6 3" xfId="4726" xr:uid="{00000000-0005-0000-0000-00003C210000}"/>
    <cellStyle name="Input 2 4 6 3 2" xfId="8765" xr:uid="{00000000-0005-0000-0000-00003D210000}"/>
    <cellStyle name="Input 2 4 6 3 2 2" xfId="24295" xr:uid="{00000000-0005-0000-0000-00003E210000}"/>
    <cellStyle name="Input 2 4 6 3 3" xfId="15050" xr:uid="{00000000-0005-0000-0000-00003F210000}"/>
    <cellStyle name="Input 2 4 6 3 3 2" xfId="29882" xr:uid="{00000000-0005-0000-0000-000040210000}"/>
    <cellStyle name="Input 2 4 6 3 4" xfId="21833" xr:uid="{00000000-0005-0000-0000-000041210000}"/>
    <cellStyle name="Input 2 4 6 4" xfId="2716" xr:uid="{00000000-0005-0000-0000-000042210000}"/>
    <cellStyle name="Input 2 4 6 4 2" xfId="6807" xr:uid="{00000000-0005-0000-0000-000043210000}"/>
    <cellStyle name="Input 2 4 6 4 2 2" xfId="23046" xr:uid="{00000000-0005-0000-0000-000044210000}"/>
    <cellStyle name="Input 2 4 6 4 3" xfId="13054" xr:uid="{00000000-0005-0000-0000-000045210000}"/>
    <cellStyle name="Input 2 4 6 4 3 2" xfId="27886" xr:uid="{00000000-0005-0000-0000-000046210000}"/>
    <cellStyle name="Input 2 4 6 4 4" xfId="20706" xr:uid="{00000000-0005-0000-0000-000047210000}"/>
    <cellStyle name="Input 2 4 6 5" xfId="5880" xr:uid="{00000000-0005-0000-0000-000048210000}"/>
    <cellStyle name="Input 2 4 6 5 2" xfId="16072" xr:uid="{00000000-0005-0000-0000-000049210000}"/>
    <cellStyle name="Input 2 4 6 5 2 2" xfId="30904" xr:uid="{00000000-0005-0000-0000-00004A210000}"/>
    <cellStyle name="Input 2 4 6 5 3" xfId="22477" xr:uid="{00000000-0005-0000-0000-00004B210000}"/>
    <cellStyle name="Input 2 4 6 6" xfId="12142" xr:uid="{00000000-0005-0000-0000-00004C210000}"/>
    <cellStyle name="Input 2 4 6 6 2" xfId="26974" xr:uid="{00000000-0005-0000-0000-00004D210000}"/>
    <cellStyle name="Input 2 4 6 7" xfId="9738" xr:uid="{00000000-0005-0000-0000-00004E210000}"/>
    <cellStyle name="Input 2 4 6 7 2" xfId="20036" xr:uid="{00000000-0005-0000-0000-00004F210000}"/>
    <cellStyle name="Input 2 4 7" xfId="2218" xr:uid="{00000000-0005-0000-0000-000050210000}"/>
    <cellStyle name="Input 2 4 7 2" xfId="3746" xr:uid="{00000000-0005-0000-0000-000051210000}"/>
    <cellStyle name="Input 2 4 7 2 2" xfId="7802" xr:uid="{00000000-0005-0000-0000-000052210000}"/>
    <cellStyle name="Input 2 4 7 2 2 2" xfId="23673" xr:uid="{00000000-0005-0000-0000-000053210000}"/>
    <cellStyle name="Input 2 4 7 2 3" xfId="14081" xr:uid="{00000000-0005-0000-0000-000054210000}"/>
    <cellStyle name="Input 2 4 7 2 3 2" xfId="28913" xr:uid="{00000000-0005-0000-0000-000055210000}"/>
    <cellStyle name="Input 2 4 7 2 4" xfId="21329" xr:uid="{00000000-0005-0000-0000-000056210000}"/>
    <cellStyle name="Input 2 4 7 3" xfId="5186" xr:uid="{00000000-0005-0000-0000-000057210000}"/>
    <cellStyle name="Input 2 4 7 3 2" xfId="9225" xr:uid="{00000000-0005-0000-0000-000058210000}"/>
    <cellStyle name="Input 2 4 7 3 2 2" xfId="24563" xr:uid="{00000000-0005-0000-0000-000059210000}"/>
    <cellStyle name="Input 2 4 7 3 3" xfId="15504" xr:uid="{00000000-0005-0000-0000-00005A210000}"/>
    <cellStyle name="Input 2 4 7 3 3 2" xfId="30336" xr:uid="{00000000-0005-0000-0000-00005B210000}"/>
    <cellStyle name="Input 2 4 7 3 4" xfId="22070" xr:uid="{00000000-0005-0000-0000-00005C210000}"/>
    <cellStyle name="Input 2 4 7 4" xfId="4216" xr:uid="{00000000-0005-0000-0000-00005D210000}"/>
    <cellStyle name="Input 2 4 7 4 2" xfId="8257" xr:uid="{00000000-0005-0000-0000-00005E210000}"/>
    <cellStyle name="Input 2 4 7 4 2 2" xfId="23952" xr:uid="{00000000-0005-0000-0000-00005F210000}"/>
    <cellStyle name="Input 2 4 7 4 3" xfId="14548" xr:uid="{00000000-0005-0000-0000-000060210000}"/>
    <cellStyle name="Input 2 4 7 4 3 2" xfId="29380" xr:uid="{00000000-0005-0000-0000-000061210000}"/>
    <cellStyle name="Input 2 4 7 4 4" xfId="21577" xr:uid="{00000000-0005-0000-0000-000062210000}"/>
    <cellStyle name="Input 2 4 7 5" xfId="6332" xr:uid="{00000000-0005-0000-0000-000063210000}"/>
    <cellStyle name="Input 2 4 7 5 2" xfId="22734" xr:uid="{00000000-0005-0000-0000-000064210000}"/>
    <cellStyle name="Input 2 4 7 6" xfId="12586" xr:uid="{00000000-0005-0000-0000-000065210000}"/>
    <cellStyle name="Input 2 4 7 6 2" xfId="27418" xr:uid="{00000000-0005-0000-0000-000066210000}"/>
    <cellStyle name="Input 2 4 7 7" xfId="20413" xr:uid="{00000000-0005-0000-0000-000067210000}"/>
    <cellStyle name="Input 2 4 8" xfId="3343" xr:uid="{00000000-0005-0000-0000-000068210000}"/>
    <cellStyle name="Input 2 4 8 2" xfId="7406" xr:uid="{00000000-0005-0000-0000-000069210000}"/>
    <cellStyle name="Input 2 4 8 2 2" xfId="23411" xr:uid="{00000000-0005-0000-0000-00006A210000}"/>
    <cellStyle name="Input 2 4 8 3" xfId="13680" xr:uid="{00000000-0005-0000-0000-00006B210000}"/>
    <cellStyle name="Input 2 4 8 3 2" xfId="28512" xr:uid="{00000000-0005-0000-0000-00006C210000}"/>
    <cellStyle name="Input 2 4 8 4" xfId="21098" xr:uid="{00000000-0005-0000-0000-00006D210000}"/>
    <cellStyle name="Input 2 4 9" xfId="3217" xr:uid="{00000000-0005-0000-0000-00006E210000}"/>
    <cellStyle name="Input 2 4 9 2" xfId="7281" xr:uid="{00000000-0005-0000-0000-00006F210000}"/>
    <cellStyle name="Input 2 4 9 2 2" xfId="23326" xr:uid="{00000000-0005-0000-0000-000070210000}"/>
    <cellStyle name="Input 2 4 9 3" xfId="13555" xr:uid="{00000000-0005-0000-0000-000071210000}"/>
    <cellStyle name="Input 2 4 9 3 2" xfId="28387" xr:uid="{00000000-0005-0000-0000-000072210000}"/>
    <cellStyle name="Input 2 4 9 4" xfId="21015" xr:uid="{00000000-0005-0000-0000-000073210000}"/>
    <cellStyle name="Input 2 5" xfId="1116" xr:uid="{00000000-0005-0000-0000-000074210000}"/>
    <cellStyle name="Input 2 5 10" xfId="2287" xr:uid="{00000000-0005-0000-0000-000075210000}"/>
    <cellStyle name="Input 2 5 10 2" xfId="6399" xr:uid="{00000000-0005-0000-0000-000076210000}"/>
    <cellStyle name="Input 2 5 10 2 2" xfId="22801" xr:uid="{00000000-0005-0000-0000-000077210000}"/>
    <cellStyle name="Input 2 5 10 3" xfId="12627" xr:uid="{00000000-0005-0000-0000-000078210000}"/>
    <cellStyle name="Input 2 5 10 3 2" xfId="27459" xr:uid="{00000000-0005-0000-0000-000079210000}"/>
    <cellStyle name="Input 2 5 10 4" xfId="20453" xr:uid="{00000000-0005-0000-0000-00007A210000}"/>
    <cellStyle name="Input 2 5 11" xfId="5253" xr:uid="{00000000-0005-0000-0000-00007B210000}"/>
    <cellStyle name="Input 2 5 11 2" xfId="15569" xr:uid="{00000000-0005-0000-0000-00007C210000}"/>
    <cellStyle name="Input 2 5 11 2 2" xfId="30401" xr:uid="{00000000-0005-0000-0000-00007D210000}"/>
    <cellStyle name="Input 2 5 11 3" xfId="22110" xr:uid="{00000000-0005-0000-0000-00007E210000}"/>
    <cellStyle name="Input 2 5 12" xfId="5411" xr:uid="{00000000-0005-0000-0000-00007F210000}"/>
    <cellStyle name="Input 2 5 12 2" xfId="15647" xr:uid="{00000000-0005-0000-0000-000080210000}"/>
    <cellStyle name="Input 2 5 12 2 2" xfId="30479" xr:uid="{00000000-0005-0000-0000-000081210000}"/>
    <cellStyle name="Input 2 5 12 3" xfId="22172" xr:uid="{00000000-0005-0000-0000-000082210000}"/>
    <cellStyle name="Input 2 5 13" xfId="9380" xr:uid="{00000000-0005-0000-0000-000083210000}"/>
    <cellStyle name="Input 2 5 13 2" xfId="24686" xr:uid="{00000000-0005-0000-0000-000084210000}"/>
    <cellStyle name="Input 2 5 14" xfId="5369" xr:uid="{00000000-0005-0000-0000-000085210000}"/>
    <cellStyle name="Input 2 5 14 2" xfId="18243" xr:uid="{00000000-0005-0000-0000-000086210000}"/>
    <cellStyle name="Input 2 5 2" xfId="1323" xr:uid="{00000000-0005-0000-0000-000087210000}"/>
    <cellStyle name="Input 2 5 2 2" xfId="1827" xr:uid="{00000000-0005-0000-0000-000088210000}"/>
    <cellStyle name="Input 2 5 2 2 2" xfId="3929" xr:uid="{00000000-0005-0000-0000-000089210000}"/>
    <cellStyle name="Input 2 5 2 2 2 2" xfId="7979" xr:uid="{00000000-0005-0000-0000-00008A210000}"/>
    <cellStyle name="Input 2 5 2 2 2 2 2" xfId="23785" xr:uid="{00000000-0005-0000-0000-00008B210000}"/>
    <cellStyle name="Input 2 5 2 2 2 3" xfId="14262" xr:uid="{00000000-0005-0000-0000-00008C210000}"/>
    <cellStyle name="Input 2 5 2 2 2 3 2" xfId="29094" xr:uid="{00000000-0005-0000-0000-00008D210000}"/>
    <cellStyle name="Input 2 5 2 2 2 4" xfId="21427" xr:uid="{00000000-0005-0000-0000-00008E210000}"/>
    <cellStyle name="Input 2 5 2 2 3" xfId="4805" xr:uid="{00000000-0005-0000-0000-00008F210000}"/>
    <cellStyle name="Input 2 5 2 2 3 2" xfId="8844" xr:uid="{00000000-0005-0000-0000-000090210000}"/>
    <cellStyle name="Input 2 5 2 2 3 2 2" xfId="24342" xr:uid="{00000000-0005-0000-0000-000091210000}"/>
    <cellStyle name="Input 2 5 2 2 3 3" xfId="15129" xr:uid="{00000000-0005-0000-0000-000092210000}"/>
    <cellStyle name="Input 2 5 2 2 3 3 2" xfId="29961" xr:uid="{00000000-0005-0000-0000-000093210000}"/>
    <cellStyle name="Input 2 5 2 2 3 4" xfId="21880" xr:uid="{00000000-0005-0000-0000-000094210000}"/>
    <cellStyle name="Input 2 5 2 2 4" xfId="2795" xr:uid="{00000000-0005-0000-0000-000095210000}"/>
    <cellStyle name="Input 2 5 2 2 4 2" xfId="6886" xr:uid="{00000000-0005-0000-0000-000096210000}"/>
    <cellStyle name="Input 2 5 2 2 4 2 2" xfId="23093" xr:uid="{00000000-0005-0000-0000-000097210000}"/>
    <cellStyle name="Input 2 5 2 2 4 3" xfId="13133" xr:uid="{00000000-0005-0000-0000-000098210000}"/>
    <cellStyle name="Input 2 5 2 2 4 3 2" xfId="27965" xr:uid="{00000000-0005-0000-0000-000099210000}"/>
    <cellStyle name="Input 2 5 2 2 4 4" xfId="20753" xr:uid="{00000000-0005-0000-0000-00009A210000}"/>
    <cellStyle name="Input 2 5 2 2 5" xfId="5959" xr:uid="{00000000-0005-0000-0000-00009B210000}"/>
    <cellStyle name="Input 2 5 2 2 5 2" xfId="16151" xr:uid="{00000000-0005-0000-0000-00009C210000}"/>
    <cellStyle name="Input 2 5 2 2 5 2 2" xfId="30983" xr:uid="{00000000-0005-0000-0000-00009D210000}"/>
    <cellStyle name="Input 2 5 2 2 5 3" xfId="22524" xr:uid="{00000000-0005-0000-0000-00009E210000}"/>
    <cellStyle name="Input 2 5 2 2 6" xfId="12221" xr:uid="{00000000-0005-0000-0000-00009F210000}"/>
    <cellStyle name="Input 2 5 2 2 6 2" xfId="27053" xr:uid="{00000000-0005-0000-0000-0000A0210000}"/>
    <cellStyle name="Input 2 5 2 2 7" xfId="9817" xr:uid="{00000000-0005-0000-0000-0000A1210000}"/>
    <cellStyle name="Input 2 5 2 2 7 2" xfId="20068" xr:uid="{00000000-0005-0000-0000-0000A2210000}"/>
    <cellStyle name="Input 2 5 2 3" xfId="3876" xr:uid="{00000000-0005-0000-0000-0000A3210000}"/>
    <cellStyle name="Input 2 5 2 3 2" xfId="7928" xr:uid="{00000000-0005-0000-0000-0000A4210000}"/>
    <cellStyle name="Input 2 5 2 3 2 2" xfId="23755" xr:uid="{00000000-0005-0000-0000-0000A5210000}"/>
    <cellStyle name="Input 2 5 2 3 3" xfId="14211" xr:uid="{00000000-0005-0000-0000-0000A6210000}"/>
    <cellStyle name="Input 2 5 2 3 3 2" xfId="29043" xr:uid="{00000000-0005-0000-0000-0000A7210000}"/>
    <cellStyle name="Input 2 5 2 3 4" xfId="21397" xr:uid="{00000000-0005-0000-0000-0000A8210000}"/>
    <cellStyle name="Input 2 5 2 4" xfId="4385" xr:uid="{00000000-0005-0000-0000-0000A9210000}"/>
    <cellStyle name="Input 2 5 2 4 2" xfId="8424" xr:uid="{00000000-0005-0000-0000-0000AA210000}"/>
    <cellStyle name="Input 2 5 2 4 2 2" xfId="24082" xr:uid="{00000000-0005-0000-0000-0000AB210000}"/>
    <cellStyle name="Input 2 5 2 4 3" xfId="14714" xr:uid="{00000000-0005-0000-0000-0000AC210000}"/>
    <cellStyle name="Input 2 5 2 4 3 2" xfId="29546" xr:uid="{00000000-0005-0000-0000-0000AD210000}"/>
    <cellStyle name="Input 2 5 2 4 4" xfId="21650" xr:uid="{00000000-0005-0000-0000-0000AE210000}"/>
    <cellStyle name="Input 2 5 2 5" xfId="2375" xr:uid="{00000000-0005-0000-0000-0000AF210000}"/>
    <cellStyle name="Input 2 5 2 5 2" xfId="6487" xr:uid="{00000000-0005-0000-0000-0000B0210000}"/>
    <cellStyle name="Input 2 5 2 5 2 2" xfId="22857" xr:uid="{00000000-0005-0000-0000-0000B1210000}"/>
    <cellStyle name="Input 2 5 2 5 3" xfId="12714" xr:uid="{00000000-0005-0000-0000-0000B2210000}"/>
    <cellStyle name="Input 2 5 2 5 3 2" xfId="27546" xr:uid="{00000000-0005-0000-0000-0000B3210000}"/>
    <cellStyle name="Input 2 5 2 5 4" xfId="20499" xr:uid="{00000000-0005-0000-0000-0000B4210000}"/>
    <cellStyle name="Input 2 5 2 6" xfId="5500" xr:uid="{00000000-0005-0000-0000-0000B5210000}"/>
    <cellStyle name="Input 2 5 2 6 2" xfId="15735" xr:uid="{00000000-0005-0000-0000-0000B6210000}"/>
    <cellStyle name="Input 2 5 2 6 2 2" xfId="30567" xr:uid="{00000000-0005-0000-0000-0000B7210000}"/>
    <cellStyle name="Input 2 5 2 6 3" xfId="22228" xr:uid="{00000000-0005-0000-0000-0000B8210000}"/>
    <cellStyle name="Input 2 5 2 7" xfId="11750" xr:uid="{00000000-0005-0000-0000-0000B9210000}"/>
    <cellStyle name="Input 2 5 2 7 2" xfId="26582" xr:uid="{00000000-0005-0000-0000-0000BA210000}"/>
    <cellStyle name="Input 2 5 2 8" xfId="9421" xr:uid="{00000000-0005-0000-0000-0000BB210000}"/>
    <cellStyle name="Input 2 5 2 8 2" xfId="19725" xr:uid="{00000000-0005-0000-0000-0000BC210000}"/>
    <cellStyle name="Input 2 5 3" xfId="1481" xr:uid="{00000000-0005-0000-0000-0000BD210000}"/>
    <cellStyle name="Input 2 5 3 2" xfId="1982" xr:uid="{00000000-0005-0000-0000-0000BE210000}"/>
    <cellStyle name="Input 2 5 3 2 2" xfId="3738" xr:uid="{00000000-0005-0000-0000-0000BF210000}"/>
    <cellStyle name="Input 2 5 3 2 2 2" xfId="7794" xr:uid="{00000000-0005-0000-0000-0000C0210000}"/>
    <cellStyle name="Input 2 5 3 2 2 2 2" xfId="23668" xr:uid="{00000000-0005-0000-0000-0000C1210000}"/>
    <cellStyle name="Input 2 5 3 2 2 3" xfId="14073" xr:uid="{00000000-0005-0000-0000-0000C2210000}"/>
    <cellStyle name="Input 2 5 3 2 2 3 2" xfId="28905" xr:uid="{00000000-0005-0000-0000-0000C3210000}"/>
    <cellStyle name="Input 2 5 3 2 2 4" xfId="21324" xr:uid="{00000000-0005-0000-0000-0000C4210000}"/>
    <cellStyle name="Input 2 5 3 2 3" xfId="4946" xr:uid="{00000000-0005-0000-0000-0000C5210000}"/>
    <cellStyle name="Input 2 5 3 2 3 2" xfId="8985" xr:uid="{00000000-0005-0000-0000-0000C6210000}"/>
    <cellStyle name="Input 2 5 3 2 3 2 2" xfId="24451" xr:uid="{00000000-0005-0000-0000-0000C7210000}"/>
    <cellStyle name="Input 2 5 3 2 3 3" xfId="15268" xr:uid="{00000000-0005-0000-0000-0000C8210000}"/>
    <cellStyle name="Input 2 5 3 2 3 3 2" xfId="30100" xr:uid="{00000000-0005-0000-0000-0000C9210000}"/>
    <cellStyle name="Input 2 5 3 2 3 4" xfId="21981" xr:uid="{00000000-0005-0000-0000-0000CA210000}"/>
    <cellStyle name="Input 2 5 3 2 4" xfId="2936" xr:uid="{00000000-0005-0000-0000-0000CB210000}"/>
    <cellStyle name="Input 2 5 3 2 4 2" xfId="7020" xr:uid="{00000000-0005-0000-0000-0000CC210000}"/>
    <cellStyle name="Input 2 5 3 2 4 2 2" xfId="23194" xr:uid="{00000000-0005-0000-0000-0000CD210000}"/>
    <cellStyle name="Input 2 5 3 2 4 3" xfId="13274" xr:uid="{00000000-0005-0000-0000-0000CE210000}"/>
    <cellStyle name="Input 2 5 3 2 4 3 2" xfId="28106" xr:uid="{00000000-0005-0000-0000-0000CF210000}"/>
    <cellStyle name="Input 2 5 3 2 4 4" xfId="20862" xr:uid="{00000000-0005-0000-0000-0000D0210000}"/>
    <cellStyle name="Input 2 5 3 2 5" xfId="6112" xr:uid="{00000000-0005-0000-0000-0000D1210000}"/>
    <cellStyle name="Input 2 5 3 2 5 2" xfId="16299" xr:uid="{00000000-0005-0000-0000-0000D2210000}"/>
    <cellStyle name="Input 2 5 3 2 5 2 2" xfId="31131" xr:uid="{00000000-0005-0000-0000-0000D3210000}"/>
    <cellStyle name="Input 2 5 3 2 5 3" xfId="22645" xr:uid="{00000000-0005-0000-0000-0000D4210000}"/>
    <cellStyle name="Input 2 5 3 2 6" xfId="12369" xr:uid="{00000000-0005-0000-0000-0000D5210000}"/>
    <cellStyle name="Input 2 5 3 2 6 2" xfId="27201" xr:uid="{00000000-0005-0000-0000-0000D6210000}"/>
    <cellStyle name="Input 2 5 3 2 7" xfId="9951" xr:uid="{00000000-0005-0000-0000-0000D7210000}"/>
    <cellStyle name="Input 2 5 3 2 7 2" xfId="20153" xr:uid="{00000000-0005-0000-0000-0000D8210000}"/>
    <cellStyle name="Input 2 5 3 3" xfId="4086" xr:uid="{00000000-0005-0000-0000-0000D9210000}"/>
    <cellStyle name="Input 2 5 3 3 2" xfId="8132" xr:uid="{00000000-0005-0000-0000-0000DA210000}"/>
    <cellStyle name="Input 2 5 3 3 2 2" xfId="23880" xr:uid="{00000000-0005-0000-0000-0000DB210000}"/>
    <cellStyle name="Input 2 5 3 3 3" xfId="14418" xr:uid="{00000000-0005-0000-0000-0000DC210000}"/>
    <cellStyle name="Input 2 5 3 3 3 2" xfId="29250" xr:uid="{00000000-0005-0000-0000-0000DD210000}"/>
    <cellStyle name="Input 2 5 3 3 4" xfId="21510" xr:uid="{00000000-0005-0000-0000-0000DE210000}"/>
    <cellStyle name="Input 2 5 3 4" xfId="4526" xr:uid="{00000000-0005-0000-0000-0000DF210000}"/>
    <cellStyle name="Input 2 5 3 4 2" xfId="8565" xr:uid="{00000000-0005-0000-0000-0000E0210000}"/>
    <cellStyle name="Input 2 5 3 4 2 2" xfId="24191" xr:uid="{00000000-0005-0000-0000-0000E1210000}"/>
    <cellStyle name="Input 2 5 3 4 3" xfId="14853" xr:uid="{00000000-0005-0000-0000-0000E2210000}"/>
    <cellStyle name="Input 2 5 3 4 3 2" xfId="29685" xr:uid="{00000000-0005-0000-0000-0000E3210000}"/>
    <cellStyle name="Input 2 5 3 4 4" xfId="21751" xr:uid="{00000000-0005-0000-0000-0000E4210000}"/>
    <cellStyle name="Input 2 5 3 5" xfId="2516" xr:uid="{00000000-0005-0000-0000-0000E5210000}"/>
    <cellStyle name="Input 2 5 3 5 2" xfId="6622" xr:uid="{00000000-0005-0000-0000-0000E6210000}"/>
    <cellStyle name="Input 2 5 3 5 2 2" xfId="22960" xr:uid="{00000000-0005-0000-0000-0000E7210000}"/>
    <cellStyle name="Input 2 5 3 5 3" xfId="12854" xr:uid="{00000000-0005-0000-0000-0000E8210000}"/>
    <cellStyle name="Input 2 5 3 5 3 2" xfId="27686" xr:uid="{00000000-0005-0000-0000-0000E9210000}"/>
    <cellStyle name="Input 2 5 3 5 4" xfId="20606" xr:uid="{00000000-0005-0000-0000-0000EA210000}"/>
    <cellStyle name="Input 2 5 3 6" xfId="5639" xr:uid="{00000000-0005-0000-0000-0000EB210000}"/>
    <cellStyle name="Input 2 5 3 6 2" xfId="15874" xr:uid="{00000000-0005-0000-0000-0000EC210000}"/>
    <cellStyle name="Input 2 5 3 6 2 2" xfId="30706" xr:uid="{00000000-0005-0000-0000-0000ED210000}"/>
    <cellStyle name="Input 2 5 3 6 3" xfId="22335" xr:uid="{00000000-0005-0000-0000-0000EE210000}"/>
    <cellStyle name="Input 2 5 3 7" xfId="11898" xr:uid="{00000000-0005-0000-0000-0000EF210000}"/>
    <cellStyle name="Input 2 5 3 7 2" xfId="26730" xr:uid="{00000000-0005-0000-0000-0000F0210000}"/>
    <cellStyle name="Input 2 5 3 8" xfId="9556" xr:uid="{00000000-0005-0000-0000-0000F1210000}"/>
    <cellStyle name="Input 2 5 3 8 2" xfId="19858" xr:uid="{00000000-0005-0000-0000-0000F2210000}"/>
    <cellStyle name="Input 2 5 4" xfId="1403" xr:uid="{00000000-0005-0000-0000-0000F3210000}"/>
    <cellStyle name="Input 2 5 4 2" xfId="1905" xr:uid="{00000000-0005-0000-0000-0000F4210000}"/>
    <cellStyle name="Input 2 5 4 2 2" xfId="3925" xr:uid="{00000000-0005-0000-0000-0000F5210000}"/>
    <cellStyle name="Input 2 5 4 2 2 2" xfId="7975" xr:uid="{00000000-0005-0000-0000-0000F6210000}"/>
    <cellStyle name="Input 2 5 4 2 2 2 2" xfId="23782" xr:uid="{00000000-0005-0000-0000-0000F7210000}"/>
    <cellStyle name="Input 2 5 4 2 2 3" xfId="14258" xr:uid="{00000000-0005-0000-0000-0000F8210000}"/>
    <cellStyle name="Input 2 5 4 2 2 3 2" xfId="29090" xr:uid="{00000000-0005-0000-0000-0000F9210000}"/>
    <cellStyle name="Input 2 5 4 2 2 4" xfId="21424" xr:uid="{00000000-0005-0000-0000-0000FA210000}"/>
    <cellStyle name="Input 2 5 4 2 3" xfId="4883" xr:uid="{00000000-0005-0000-0000-0000FB210000}"/>
    <cellStyle name="Input 2 5 4 2 3 2" xfId="8922" xr:uid="{00000000-0005-0000-0000-0000FC210000}"/>
    <cellStyle name="Input 2 5 4 2 3 2 2" xfId="24388" xr:uid="{00000000-0005-0000-0000-0000FD210000}"/>
    <cellStyle name="Input 2 5 4 2 3 3" xfId="15206" xr:uid="{00000000-0005-0000-0000-0000FE210000}"/>
    <cellStyle name="Input 2 5 4 2 3 3 2" xfId="30038" xr:uid="{00000000-0005-0000-0000-0000FF210000}"/>
    <cellStyle name="Input 2 5 4 2 3 4" xfId="21920" xr:uid="{00000000-0005-0000-0000-000000220000}"/>
    <cellStyle name="Input 2 5 4 2 4" xfId="2873" xr:uid="{00000000-0005-0000-0000-000001220000}"/>
    <cellStyle name="Input 2 5 4 2 4 2" xfId="6958" xr:uid="{00000000-0005-0000-0000-000002220000}"/>
    <cellStyle name="Input 2 5 4 2 4 2 2" xfId="23133" xr:uid="{00000000-0005-0000-0000-000003220000}"/>
    <cellStyle name="Input 2 5 4 2 4 3" xfId="13211" xr:uid="{00000000-0005-0000-0000-000004220000}"/>
    <cellStyle name="Input 2 5 4 2 4 3 2" xfId="28043" xr:uid="{00000000-0005-0000-0000-000005220000}"/>
    <cellStyle name="Input 2 5 4 2 4 4" xfId="20799" xr:uid="{00000000-0005-0000-0000-000006220000}"/>
    <cellStyle name="Input 2 5 4 2 5" xfId="6036" xr:uid="{00000000-0005-0000-0000-000007220000}"/>
    <cellStyle name="Input 2 5 4 2 5 2" xfId="16223" xr:uid="{00000000-0005-0000-0000-000008220000}"/>
    <cellStyle name="Input 2 5 4 2 5 2 2" xfId="31055" xr:uid="{00000000-0005-0000-0000-000009220000}"/>
    <cellStyle name="Input 2 5 4 2 5 3" xfId="22569" xr:uid="{00000000-0005-0000-0000-00000A220000}"/>
    <cellStyle name="Input 2 5 4 2 6" xfId="12293" xr:uid="{00000000-0005-0000-0000-00000B220000}"/>
    <cellStyle name="Input 2 5 4 2 6 2" xfId="27125" xr:uid="{00000000-0005-0000-0000-00000C220000}"/>
    <cellStyle name="Input 2 5 4 2 7" xfId="9889" xr:uid="{00000000-0005-0000-0000-00000D220000}"/>
    <cellStyle name="Input 2 5 4 2 7 2" xfId="20092" xr:uid="{00000000-0005-0000-0000-00000E220000}"/>
    <cellStyle name="Input 2 5 4 3" xfId="3569" xr:uid="{00000000-0005-0000-0000-00000F220000}"/>
    <cellStyle name="Input 2 5 4 3 2" xfId="7631" xr:uid="{00000000-0005-0000-0000-000010220000}"/>
    <cellStyle name="Input 2 5 4 3 2 2" xfId="23557" xr:uid="{00000000-0005-0000-0000-000011220000}"/>
    <cellStyle name="Input 2 5 4 3 3" xfId="13905" xr:uid="{00000000-0005-0000-0000-000012220000}"/>
    <cellStyle name="Input 2 5 4 3 3 2" xfId="28737" xr:uid="{00000000-0005-0000-0000-000013220000}"/>
    <cellStyle name="Input 2 5 4 3 4" xfId="21227" xr:uid="{00000000-0005-0000-0000-000014220000}"/>
    <cellStyle name="Input 2 5 4 4" xfId="4463" xr:uid="{00000000-0005-0000-0000-000015220000}"/>
    <cellStyle name="Input 2 5 4 4 2" xfId="8502" xr:uid="{00000000-0005-0000-0000-000016220000}"/>
    <cellStyle name="Input 2 5 4 4 2 2" xfId="24128" xr:uid="{00000000-0005-0000-0000-000017220000}"/>
    <cellStyle name="Input 2 5 4 4 3" xfId="14791" xr:uid="{00000000-0005-0000-0000-000018220000}"/>
    <cellStyle name="Input 2 5 4 4 3 2" xfId="29623" xr:uid="{00000000-0005-0000-0000-000019220000}"/>
    <cellStyle name="Input 2 5 4 4 4" xfId="21690" xr:uid="{00000000-0005-0000-0000-00001A220000}"/>
    <cellStyle name="Input 2 5 4 5" xfId="2453" xr:uid="{00000000-0005-0000-0000-00001B220000}"/>
    <cellStyle name="Input 2 5 4 5 2" xfId="6559" xr:uid="{00000000-0005-0000-0000-00001C220000}"/>
    <cellStyle name="Input 2 5 4 5 2 2" xfId="22897" xr:uid="{00000000-0005-0000-0000-00001D220000}"/>
    <cellStyle name="Input 2 5 4 5 3" xfId="12792" xr:uid="{00000000-0005-0000-0000-00001E220000}"/>
    <cellStyle name="Input 2 5 4 5 3 2" xfId="27624" xr:uid="{00000000-0005-0000-0000-00001F220000}"/>
    <cellStyle name="Input 2 5 4 5 4" xfId="20545" xr:uid="{00000000-0005-0000-0000-000020220000}"/>
    <cellStyle name="Input 2 5 4 6" xfId="5577" xr:uid="{00000000-0005-0000-0000-000021220000}"/>
    <cellStyle name="Input 2 5 4 6 2" xfId="15812" xr:uid="{00000000-0005-0000-0000-000022220000}"/>
    <cellStyle name="Input 2 5 4 6 2 2" xfId="30644" xr:uid="{00000000-0005-0000-0000-000023220000}"/>
    <cellStyle name="Input 2 5 4 6 3" xfId="22273" xr:uid="{00000000-0005-0000-0000-000024220000}"/>
    <cellStyle name="Input 2 5 4 7" xfId="11822" xr:uid="{00000000-0005-0000-0000-000025220000}"/>
    <cellStyle name="Input 2 5 4 7 2" xfId="26654" xr:uid="{00000000-0005-0000-0000-000026220000}"/>
    <cellStyle name="Input 2 5 4 8" xfId="9494" xr:uid="{00000000-0005-0000-0000-000027220000}"/>
    <cellStyle name="Input 2 5 4 8 2" xfId="19797" xr:uid="{00000000-0005-0000-0000-000028220000}"/>
    <cellStyle name="Input 2 5 5" xfId="1471" xr:uid="{00000000-0005-0000-0000-000029220000}"/>
    <cellStyle name="Input 2 5 5 2" xfId="1972" xr:uid="{00000000-0005-0000-0000-00002A220000}"/>
    <cellStyle name="Input 2 5 5 2 2" xfId="4024" xr:uid="{00000000-0005-0000-0000-00002B220000}"/>
    <cellStyle name="Input 2 5 5 2 2 2" xfId="8071" xr:uid="{00000000-0005-0000-0000-00002C220000}"/>
    <cellStyle name="Input 2 5 5 2 2 2 2" xfId="23842" xr:uid="{00000000-0005-0000-0000-00002D220000}"/>
    <cellStyle name="Input 2 5 5 2 2 3" xfId="14356" xr:uid="{00000000-0005-0000-0000-00002E220000}"/>
    <cellStyle name="Input 2 5 5 2 2 3 2" xfId="29188" xr:uid="{00000000-0005-0000-0000-00002F220000}"/>
    <cellStyle name="Input 2 5 5 2 2 4" xfId="21480" xr:uid="{00000000-0005-0000-0000-000030220000}"/>
    <cellStyle name="Input 2 5 5 2 3" xfId="4936" xr:uid="{00000000-0005-0000-0000-000031220000}"/>
    <cellStyle name="Input 2 5 5 2 3 2" xfId="8975" xr:uid="{00000000-0005-0000-0000-000032220000}"/>
    <cellStyle name="Input 2 5 5 2 3 2 2" xfId="24441" xr:uid="{00000000-0005-0000-0000-000033220000}"/>
    <cellStyle name="Input 2 5 5 2 3 3" xfId="15258" xr:uid="{00000000-0005-0000-0000-000034220000}"/>
    <cellStyle name="Input 2 5 5 2 3 3 2" xfId="30090" xr:uid="{00000000-0005-0000-0000-000035220000}"/>
    <cellStyle name="Input 2 5 5 2 3 4" xfId="21971" xr:uid="{00000000-0005-0000-0000-000036220000}"/>
    <cellStyle name="Input 2 5 5 2 4" xfId="2926" xr:uid="{00000000-0005-0000-0000-000037220000}"/>
    <cellStyle name="Input 2 5 5 2 4 2" xfId="7010" xr:uid="{00000000-0005-0000-0000-000038220000}"/>
    <cellStyle name="Input 2 5 5 2 4 2 2" xfId="23184" xr:uid="{00000000-0005-0000-0000-000039220000}"/>
    <cellStyle name="Input 2 5 5 2 4 3" xfId="13264" xr:uid="{00000000-0005-0000-0000-00003A220000}"/>
    <cellStyle name="Input 2 5 5 2 4 3 2" xfId="28096" xr:uid="{00000000-0005-0000-0000-00003B220000}"/>
    <cellStyle name="Input 2 5 5 2 4 4" xfId="20852" xr:uid="{00000000-0005-0000-0000-00003C220000}"/>
    <cellStyle name="Input 2 5 5 2 5" xfId="6102" xr:uid="{00000000-0005-0000-0000-00003D220000}"/>
    <cellStyle name="Input 2 5 5 2 5 2" xfId="16289" xr:uid="{00000000-0005-0000-0000-00003E220000}"/>
    <cellStyle name="Input 2 5 5 2 5 2 2" xfId="31121" xr:uid="{00000000-0005-0000-0000-00003F220000}"/>
    <cellStyle name="Input 2 5 5 2 5 3" xfId="22635" xr:uid="{00000000-0005-0000-0000-000040220000}"/>
    <cellStyle name="Input 2 5 5 2 6" xfId="12359" xr:uid="{00000000-0005-0000-0000-000041220000}"/>
    <cellStyle name="Input 2 5 5 2 6 2" xfId="27191" xr:uid="{00000000-0005-0000-0000-000042220000}"/>
    <cellStyle name="Input 2 5 5 2 7" xfId="9941" xr:uid="{00000000-0005-0000-0000-000043220000}"/>
    <cellStyle name="Input 2 5 5 2 7 2" xfId="20143" xr:uid="{00000000-0005-0000-0000-000044220000}"/>
    <cellStyle name="Input 2 5 5 3" xfId="3242" xr:uid="{00000000-0005-0000-0000-000045220000}"/>
    <cellStyle name="Input 2 5 5 3 2" xfId="7306" xr:uid="{00000000-0005-0000-0000-000046220000}"/>
    <cellStyle name="Input 2 5 5 3 2 2" xfId="23346" xr:uid="{00000000-0005-0000-0000-000047220000}"/>
    <cellStyle name="Input 2 5 5 3 3" xfId="13579" xr:uid="{00000000-0005-0000-0000-000048220000}"/>
    <cellStyle name="Input 2 5 5 3 3 2" xfId="28411" xr:uid="{00000000-0005-0000-0000-000049220000}"/>
    <cellStyle name="Input 2 5 5 3 4" xfId="21033" xr:uid="{00000000-0005-0000-0000-00004A220000}"/>
    <cellStyle name="Input 2 5 5 4" xfId="4516" xr:uid="{00000000-0005-0000-0000-00004B220000}"/>
    <cellStyle name="Input 2 5 5 4 2" xfId="8555" xr:uid="{00000000-0005-0000-0000-00004C220000}"/>
    <cellStyle name="Input 2 5 5 4 2 2" xfId="24181" xr:uid="{00000000-0005-0000-0000-00004D220000}"/>
    <cellStyle name="Input 2 5 5 4 3" xfId="14843" xr:uid="{00000000-0005-0000-0000-00004E220000}"/>
    <cellStyle name="Input 2 5 5 4 3 2" xfId="29675" xr:uid="{00000000-0005-0000-0000-00004F220000}"/>
    <cellStyle name="Input 2 5 5 4 4" xfId="21741" xr:uid="{00000000-0005-0000-0000-000050220000}"/>
    <cellStyle name="Input 2 5 5 5" xfId="2506" xr:uid="{00000000-0005-0000-0000-000051220000}"/>
    <cellStyle name="Input 2 5 5 5 2" xfId="6612" xr:uid="{00000000-0005-0000-0000-000052220000}"/>
    <cellStyle name="Input 2 5 5 5 2 2" xfId="22950" xr:uid="{00000000-0005-0000-0000-000053220000}"/>
    <cellStyle name="Input 2 5 5 5 3" xfId="12844" xr:uid="{00000000-0005-0000-0000-000054220000}"/>
    <cellStyle name="Input 2 5 5 5 3 2" xfId="27676" xr:uid="{00000000-0005-0000-0000-000055220000}"/>
    <cellStyle name="Input 2 5 5 5 4" xfId="20596" xr:uid="{00000000-0005-0000-0000-000056220000}"/>
    <cellStyle name="Input 2 5 5 6" xfId="5629" xr:uid="{00000000-0005-0000-0000-000057220000}"/>
    <cellStyle name="Input 2 5 5 6 2" xfId="15864" xr:uid="{00000000-0005-0000-0000-000058220000}"/>
    <cellStyle name="Input 2 5 5 6 2 2" xfId="30696" xr:uid="{00000000-0005-0000-0000-000059220000}"/>
    <cellStyle name="Input 2 5 5 6 3" xfId="22325" xr:uid="{00000000-0005-0000-0000-00005A220000}"/>
    <cellStyle name="Input 2 5 5 7" xfId="11888" xr:uid="{00000000-0005-0000-0000-00005B220000}"/>
    <cellStyle name="Input 2 5 5 7 2" xfId="26720" xr:uid="{00000000-0005-0000-0000-00005C220000}"/>
    <cellStyle name="Input 2 5 5 8" xfId="9546" xr:uid="{00000000-0005-0000-0000-00005D220000}"/>
    <cellStyle name="Input 2 5 5 8 2" xfId="19848" xr:uid="{00000000-0005-0000-0000-00005E220000}"/>
    <cellStyle name="Input 2 5 6" xfId="1749" xr:uid="{00000000-0005-0000-0000-00005F220000}"/>
    <cellStyle name="Input 2 5 6 2" xfId="3591" xr:uid="{00000000-0005-0000-0000-000060220000}"/>
    <cellStyle name="Input 2 5 6 2 2" xfId="7653" xr:uid="{00000000-0005-0000-0000-000061220000}"/>
    <cellStyle name="Input 2 5 6 2 2 2" xfId="23569" xr:uid="{00000000-0005-0000-0000-000062220000}"/>
    <cellStyle name="Input 2 5 6 2 3" xfId="13927" xr:uid="{00000000-0005-0000-0000-000063220000}"/>
    <cellStyle name="Input 2 5 6 2 3 2" xfId="28759" xr:uid="{00000000-0005-0000-0000-000064220000}"/>
    <cellStyle name="Input 2 5 6 2 4" xfId="21238" xr:uid="{00000000-0005-0000-0000-000065220000}"/>
    <cellStyle name="Input 2 5 6 3" xfId="4727" xr:uid="{00000000-0005-0000-0000-000066220000}"/>
    <cellStyle name="Input 2 5 6 3 2" xfId="8766" xr:uid="{00000000-0005-0000-0000-000067220000}"/>
    <cellStyle name="Input 2 5 6 3 2 2" xfId="24296" xr:uid="{00000000-0005-0000-0000-000068220000}"/>
    <cellStyle name="Input 2 5 6 3 3" xfId="15051" xr:uid="{00000000-0005-0000-0000-000069220000}"/>
    <cellStyle name="Input 2 5 6 3 3 2" xfId="29883" xr:uid="{00000000-0005-0000-0000-00006A220000}"/>
    <cellStyle name="Input 2 5 6 3 4" xfId="21834" xr:uid="{00000000-0005-0000-0000-00006B220000}"/>
    <cellStyle name="Input 2 5 6 4" xfId="2717" xr:uid="{00000000-0005-0000-0000-00006C220000}"/>
    <cellStyle name="Input 2 5 6 4 2" xfId="6808" xr:uid="{00000000-0005-0000-0000-00006D220000}"/>
    <cellStyle name="Input 2 5 6 4 2 2" xfId="23047" xr:uid="{00000000-0005-0000-0000-00006E220000}"/>
    <cellStyle name="Input 2 5 6 4 3" xfId="13055" xr:uid="{00000000-0005-0000-0000-00006F220000}"/>
    <cellStyle name="Input 2 5 6 4 3 2" xfId="27887" xr:uid="{00000000-0005-0000-0000-000070220000}"/>
    <cellStyle name="Input 2 5 6 4 4" xfId="20707" xr:uid="{00000000-0005-0000-0000-000071220000}"/>
    <cellStyle name="Input 2 5 6 5" xfId="5881" xr:uid="{00000000-0005-0000-0000-000072220000}"/>
    <cellStyle name="Input 2 5 6 5 2" xfId="16073" xr:uid="{00000000-0005-0000-0000-000073220000}"/>
    <cellStyle name="Input 2 5 6 5 2 2" xfId="30905" xr:uid="{00000000-0005-0000-0000-000074220000}"/>
    <cellStyle name="Input 2 5 6 5 3" xfId="22478" xr:uid="{00000000-0005-0000-0000-000075220000}"/>
    <cellStyle name="Input 2 5 6 6" xfId="12143" xr:uid="{00000000-0005-0000-0000-000076220000}"/>
    <cellStyle name="Input 2 5 6 6 2" xfId="26975" xr:uid="{00000000-0005-0000-0000-000077220000}"/>
    <cellStyle name="Input 2 5 6 7" xfId="9739" xr:uid="{00000000-0005-0000-0000-000078220000}"/>
    <cellStyle name="Input 2 5 6 7 2" xfId="20037" xr:uid="{00000000-0005-0000-0000-000079220000}"/>
    <cellStyle name="Input 2 5 7" xfId="2217" xr:uid="{00000000-0005-0000-0000-00007A220000}"/>
    <cellStyle name="Input 2 5 7 2" xfId="3845" xr:uid="{00000000-0005-0000-0000-00007B220000}"/>
    <cellStyle name="Input 2 5 7 2 2" xfId="7898" xr:uid="{00000000-0005-0000-0000-00007C220000}"/>
    <cellStyle name="Input 2 5 7 2 2 2" xfId="23735" xr:uid="{00000000-0005-0000-0000-00007D220000}"/>
    <cellStyle name="Input 2 5 7 2 3" xfId="14180" xr:uid="{00000000-0005-0000-0000-00007E220000}"/>
    <cellStyle name="Input 2 5 7 2 3 2" xfId="29012" xr:uid="{00000000-0005-0000-0000-00007F220000}"/>
    <cellStyle name="Input 2 5 7 2 4" xfId="21382" xr:uid="{00000000-0005-0000-0000-000080220000}"/>
    <cellStyle name="Input 2 5 7 3" xfId="5185" xr:uid="{00000000-0005-0000-0000-000081220000}"/>
    <cellStyle name="Input 2 5 7 3 2" xfId="9224" xr:uid="{00000000-0005-0000-0000-000082220000}"/>
    <cellStyle name="Input 2 5 7 3 2 2" xfId="24562" xr:uid="{00000000-0005-0000-0000-000083220000}"/>
    <cellStyle name="Input 2 5 7 3 3" xfId="15503" xr:uid="{00000000-0005-0000-0000-000084220000}"/>
    <cellStyle name="Input 2 5 7 3 3 2" xfId="30335" xr:uid="{00000000-0005-0000-0000-000085220000}"/>
    <cellStyle name="Input 2 5 7 3 4" xfId="22069" xr:uid="{00000000-0005-0000-0000-000086220000}"/>
    <cellStyle name="Input 2 5 7 4" xfId="4215" xr:uid="{00000000-0005-0000-0000-000087220000}"/>
    <cellStyle name="Input 2 5 7 4 2" xfId="8256" xr:uid="{00000000-0005-0000-0000-000088220000}"/>
    <cellStyle name="Input 2 5 7 4 2 2" xfId="23951" xr:uid="{00000000-0005-0000-0000-000089220000}"/>
    <cellStyle name="Input 2 5 7 4 3" xfId="14547" xr:uid="{00000000-0005-0000-0000-00008A220000}"/>
    <cellStyle name="Input 2 5 7 4 3 2" xfId="29379" xr:uid="{00000000-0005-0000-0000-00008B220000}"/>
    <cellStyle name="Input 2 5 7 4 4" xfId="21576" xr:uid="{00000000-0005-0000-0000-00008C220000}"/>
    <cellStyle name="Input 2 5 7 5" xfId="6331" xr:uid="{00000000-0005-0000-0000-00008D220000}"/>
    <cellStyle name="Input 2 5 7 5 2" xfId="22733" xr:uid="{00000000-0005-0000-0000-00008E220000}"/>
    <cellStyle name="Input 2 5 7 6" xfId="12585" xr:uid="{00000000-0005-0000-0000-00008F220000}"/>
    <cellStyle name="Input 2 5 7 6 2" xfId="27417" xr:uid="{00000000-0005-0000-0000-000090220000}"/>
    <cellStyle name="Input 2 5 7 7" xfId="20412" xr:uid="{00000000-0005-0000-0000-000091220000}"/>
    <cellStyle name="Input 2 5 8" xfId="4275" xr:uid="{00000000-0005-0000-0000-000092220000}"/>
    <cellStyle name="Input 2 5 8 2" xfId="8314" xr:uid="{00000000-0005-0000-0000-000093220000}"/>
    <cellStyle name="Input 2 5 8 2 2" xfId="24008" xr:uid="{00000000-0005-0000-0000-000094220000}"/>
    <cellStyle name="Input 2 5 8 3" xfId="14607" xr:uid="{00000000-0005-0000-0000-000095220000}"/>
    <cellStyle name="Input 2 5 8 3 2" xfId="29439" xr:uid="{00000000-0005-0000-0000-000096220000}"/>
    <cellStyle name="Input 2 5 8 4" xfId="21607" xr:uid="{00000000-0005-0000-0000-000097220000}"/>
    <cellStyle name="Input 2 5 9" xfId="3686" xr:uid="{00000000-0005-0000-0000-000098220000}"/>
    <cellStyle name="Input 2 5 9 2" xfId="7743" xr:uid="{00000000-0005-0000-0000-000099220000}"/>
    <cellStyle name="Input 2 5 9 2 2" xfId="23632" xr:uid="{00000000-0005-0000-0000-00009A220000}"/>
    <cellStyle name="Input 2 5 9 3" xfId="14021" xr:uid="{00000000-0005-0000-0000-00009B220000}"/>
    <cellStyle name="Input 2 5 9 3 2" xfId="28853" xr:uid="{00000000-0005-0000-0000-00009C220000}"/>
    <cellStyle name="Input 2 5 9 4" xfId="21293" xr:uid="{00000000-0005-0000-0000-00009D220000}"/>
    <cellStyle name="Input 2 6" xfId="1117" xr:uid="{00000000-0005-0000-0000-00009E220000}"/>
    <cellStyle name="Input 2 6 10" xfId="2288" xr:uid="{00000000-0005-0000-0000-00009F220000}"/>
    <cellStyle name="Input 2 6 10 2" xfId="6400" xr:uid="{00000000-0005-0000-0000-0000A0220000}"/>
    <cellStyle name="Input 2 6 10 2 2" xfId="22802" xr:uid="{00000000-0005-0000-0000-0000A1220000}"/>
    <cellStyle name="Input 2 6 10 3" xfId="12628" xr:uid="{00000000-0005-0000-0000-0000A2220000}"/>
    <cellStyle name="Input 2 6 10 3 2" xfId="27460" xr:uid="{00000000-0005-0000-0000-0000A3220000}"/>
    <cellStyle name="Input 2 6 10 4" xfId="20454" xr:uid="{00000000-0005-0000-0000-0000A4220000}"/>
    <cellStyle name="Input 2 6 11" xfId="5254" xr:uid="{00000000-0005-0000-0000-0000A5220000}"/>
    <cellStyle name="Input 2 6 11 2" xfId="15570" xr:uid="{00000000-0005-0000-0000-0000A6220000}"/>
    <cellStyle name="Input 2 6 11 2 2" xfId="30402" xr:uid="{00000000-0005-0000-0000-0000A7220000}"/>
    <cellStyle name="Input 2 6 11 3" xfId="22111" xr:uid="{00000000-0005-0000-0000-0000A8220000}"/>
    <cellStyle name="Input 2 6 12" xfId="5412" xr:uid="{00000000-0005-0000-0000-0000A9220000}"/>
    <cellStyle name="Input 2 6 12 2" xfId="15648" xr:uid="{00000000-0005-0000-0000-0000AA220000}"/>
    <cellStyle name="Input 2 6 12 2 2" xfId="30480" xr:uid="{00000000-0005-0000-0000-0000AB220000}"/>
    <cellStyle name="Input 2 6 12 3" xfId="22173" xr:uid="{00000000-0005-0000-0000-0000AC220000}"/>
    <cellStyle name="Input 2 6 13" xfId="9379" xr:uid="{00000000-0005-0000-0000-0000AD220000}"/>
    <cellStyle name="Input 2 6 13 2" xfId="24685" xr:uid="{00000000-0005-0000-0000-0000AE220000}"/>
    <cellStyle name="Input 2 6 14" xfId="5368" xr:uid="{00000000-0005-0000-0000-0000AF220000}"/>
    <cellStyle name="Input 2 6 14 2" xfId="18242" xr:uid="{00000000-0005-0000-0000-0000B0220000}"/>
    <cellStyle name="Input 2 6 2" xfId="1324" xr:uid="{00000000-0005-0000-0000-0000B1220000}"/>
    <cellStyle name="Input 2 6 2 2" xfId="1828" xr:uid="{00000000-0005-0000-0000-0000B2220000}"/>
    <cellStyle name="Input 2 6 2 2 2" xfId="3798" xr:uid="{00000000-0005-0000-0000-0000B3220000}"/>
    <cellStyle name="Input 2 6 2 2 2 2" xfId="7853" xr:uid="{00000000-0005-0000-0000-0000B4220000}"/>
    <cellStyle name="Input 2 6 2 2 2 2 2" xfId="23707" xr:uid="{00000000-0005-0000-0000-0000B5220000}"/>
    <cellStyle name="Input 2 6 2 2 2 3" xfId="14133" xr:uid="{00000000-0005-0000-0000-0000B6220000}"/>
    <cellStyle name="Input 2 6 2 2 2 3 2" xfId="28965" xr:uid="{00000000-0005-0000-0000-0000B7220000}"/>
    <cellStyle name="Input 2 6 2 2 2 4" xfId="21358" xr:uid="{00000000-0005-0000-0000-0000B8220000}"/>
    <cellStyle name="Input 2 6 2 2 3" xfId="4806" xr:uid="{00000000-0005-0000-0000-0000B9220000}"/>
    <cellStyle name="Input 2 6 2 2 3 2" xfId="8845" xr:uid="{00000000-0005-0000-0000-0000BA220000}"/>
    <cellStyle name="Input 2 6 2 2 3 2 2" xfId="24343" xr:uid="{00000000-0005-0000-0000-0000BB220000}"/>
    <cellStyle name="Input 2 6 2 2 3 3" xfId="15130" xr:uid="{00000000-0005-0000-0000-0000BC220000}"/>
    <cellStyle name="Input 2 6 2 2 3 3 2" xfId="29962" xr:uid="{00000000-0005-0000-0000-0000BD220000}"/>
    <cellStyle name="Input 2 6 2 2 3 4" xfId="21881" xr:uid="{00000000-0005-0000-0000-0000BE220000}"/>
    <cellStyle name="Input 2 6 2 2 4" xfId="2796" xr:uid="{00000000-0005-0000-0000-0000BF220000}"/>
    <cellStyle name="Input 2 6 2 2 4 2" xfId="6887" xr:uid="{00000000-0005-0000-0000-0000C0220000}"/>
    <cellStyle name="Input 2 6 2 2 4 2 2" xfId="23094" xr:uid="{00000000-0005-0000-0000-0000C1220000}"/>
    <cellStyle name="Input 2 6 2 2 4 3" xfId="13134" xr:uid="{00000000-0005-0000-0000-0000C2220000}"/>
    <cellStyle name="Input 2 6 2 2 4 3 2" xfId="27966" xr:uid="{00000000-0005-0000-0000-0000C3220000}"/>
    <cellStyle name="Input 2 6 2 2 4 4" xfId="20754" xr:uid="{00000000-0005-0000-0000-0000C4220000}"/>
    <cellStyle name="Input 2 6 2 2 5" xfId="5960" xr:uid="{00000000-0005-0000-0000-0000C5220000}"/>
    <cellStyle name="Input 2 6 2 2 5 2" xfId="16152" xr:uid="{00000000-0005-0000-0000-0000C6220000}"/>
    <cellStyle name="Input 2 6 2 2 5 2 2" xfId="30984" xr:uid="{00000000-0005-0000-0000-0000C7220000}"/>
    <cellStyle name="Input 2 6 2 2 5 3" xfId="22525" xr:uid="{00000000-0005-0000-0000-0000C8220000}"/>
    <cellStyle name="Input 2 6 2 2 6" xfId="12222" xr:uid="{00000000-0005-0000-0000-0000C9220000}"/>
    <cellStyle name="Input 2 6 2 2 6 2" xfId="27054" xr:uid="{00000000-0005-0000-0000-0000CA220000}"/>
    <cellStyle name="Input 2 6 2 2 7" xfId="9818" xr:uid="{00000000-0005-0000-0000-0000CB220000}"/>
    <cellStyle name="Input 2 6 2 2 7 2" xfId="20069" xr:uid="{00000000-0005-0000-0000-0000CC220000}"/>
    <cellStyle name="Input 2 6 2 3" xfId="3752" xr:uid="{00000000-0005-0000-0000-0000CD220000}"/>
    <cellStyle name="Input 2 6 2 3 2" xfId="7808" xr:uid="{00000000-0005-0000-0000-0000CE220000}"/>
    <cellStyle name="Input 2 6 2 3 2 2" xfId="23677" xr:uid="{00000000-0005-0000-0000-0000CF220000}"/>
    <cellStyle name="Input 2 6 2 3 3" xfId="14087" xr:uid="{00000000-0005-0000-0000-0000D0220000}"/>
    <cellStyle name="Input 2 6 2 3 3 2" xfId="28919" xr:uid="{00000000-0005-0000-0000-0000D1220000}"/>
    <cellStyle name="Input 2 6 2 3 4" xfId="21333" xr:uid="{00000000-0005-0000-0000-0000D2220000}"/>
    <cellStyle name="Input 2 6 2 4" xfId="4386" xr:uid="{00000000-0005-0000-0000-0000D3220000}"/>
    <cellStyle name="Input 2 6 2 4 2" xfId="8425" xr:uid="{00000000-0005-0000-0000-0000D4220000}"/>
    <cellStyle name="Input 2 6 2 4 2 2" xfId="24083" xr:uid="{00000000-0005-0000-0000-0000D5220000}"/>
    <cellStyle name="Input 2 6 2 4 3" xfId="14715" xr:uid="{00000000-0005-0000-0000-0000D6220000}"/>
    <cellStyle name="Input 2 6 2 4 3 2" xfId="29547" xr:uid="{00000000-0005-0000-0000-0000D7220000}"/>
    <cellStyle name="Input 2 6 2 4 4" xfId="21651" xr:uid="{00000000-0005-0000-0000-0000D8220000}"/>
    <cellStyle name="Input 2 6 2 5" xfId="2376" xr:uid="{00000000-0005-0000-0000-0000D9220000}"/>
    <cellStyle name="Input 2 6 2 5 2" xfId="6488" xr:uid="{00000000-0005-0000-0000-0000DA220000}"/>
    <cellStyle name="Input 2 6 2 5 2 2" xfId="22858" xr:uid="{00000000-0005-0000-0000-0000DB220000}"/>
    <cellStyle name="Input 2 6 2 5 3" xfId="12715" xr:uid="{00000000-0005-0000-0000-0000DC220000}"/>
    <cellStyle name="Input 2 6 2 5 3 2" xfId="27547" xr:uid="{00000000-0005-0000-0000-0000DD220000}"/>
    <cellStyle name="Input 2 6 2 5 4" xfId="20500" xr:uid="{00000000-0005-0000-0000-0000DE220000}"/>
    <cellStyle name="Input 2 6 2 6" xfId="5501" xr:uid="{00000000-0005-0000-0000-0000DF220000}"/>
    <cellStyle name="Input 2 6 2 6 2" xfId="15736" xr:uid="{00000000-0005-0000-0000-0000E0220000}"/>
    <cellStyle name="Input 2 6 2 6 2 2" xfId="30568" xr:uid="{00000000-0005-0000-0000-0000E1220000}"/>
    <cellStyle name="Input 2 6 2 6 3" xfId="22229" xr:uid="{00000000-0005-0000-0000-0000E2220000}"/>
    <cellStyle name="Input 2 6 2 7" xfId="11751" xr:uid="{00000000-0005-0000-0000-0000E3220000}"/>
    <cellStyle name="Input 2 6 2 7 2" xfId="26583" xr:uid="{00000000-0005-0000-0000-0000E4220000}"/>
    <cellStyle name="Input 2 6 2 8" xfId="9422" xr:uid="{00000000-0005-0000-0000-0000E5220000}"/>
    <cellStyle name="Input 2 6 2 8 2" xfId="19726" xr:uid="{00000000-0005-0000-0000-0000E6220000}"/>
    <cellStyle name="Input 2 6 3" xfId="1482" xr:uid="{00000000-0005-0000-0000-0000E7220000}"/>
    <cellStyle name="Input 2 6 3 2" xfId="1983" xr:uid="{00000000-0005-0000-0000-0000E8220000}"/>
    <cellStyle name="Input 2 6 3 2 2" xfId="3880" xr:uid="{00000000-0005-0000-0000-0000E9220000}"/>
    <cellStyle name="Input 2 6 3 2 2 2" xfId="7931" xr:uid="{00000000-0005-0000-0000-0000EA220000}"/>
    <cellStyle name="Input 2 6 3 2 2 2 2" xfId="23757" xr:uid="{00000000-0005-0000-0000-0000EB220000}"/>
    <cellStyle name="Input 2 6 3 2 2 3" xfId="14215" xr:uid="{00000000-0005-0000-0000-0000EC220000}"/>
    <cellStyle name="Input 2 6 3 2 2 3 2" xfId="29047" xr:uid="{00000000-0005-0000-0000-0000ED220000}"/>
    <cellStyle name="Input 2 6 3 2 2 4" xfId="21400" xr:uid="{00000000-0005-0000-0000-0000EE220000}"/>
    <cellStyle name="Input 2 6 3 2 3" xfId="4947" xr:uid="{00000000-0005-0000-0000-0000EF220000}"/>
    <cellStyle name="Input 2 6 3 2 3 2" xfId="8986" xr:uid="{00000000-0005-0000-0000-0000F0220000}"/>
    <cellStyle name="Input 2 6 3 2 3 2 2" xfId="24452" xr:uid="{00000000-0005-0000-0000-0000F1220000}"/>
    <cellStyle name="Input 2 6 3 2 3 3" xfId="15269" xr:uid="{00000000-0005-0000-0000-0000F2220000}"/>
    <cellStyle name="Input 2 6 3 2 3 3 2" xfId="30101" xr:uid="{00000000-0005-0000-0000-0000F3220000}"/>
    <cellStyle name="Input 2 6 3 2 3 4" xfId="21982" xr:uid="{00000000-0005-0000-0000-0000F4220000}"/>
    <cellStyle name="Input 2 6 3 2 4" xfId="2937" xr:uid="{00000000-0005-0000-0000-0000F5220000}"/>
    <cellStyle name="Input 2 6 3 2 4 2" xfId="7021" xr:uid="{00000000-0005-0000-0000-0000F6220000}"/>
    <cellStyle name="Input 2 6 3 2 4 2 2" xfId="23195" xr:uid="{00000000-0005-0000-0000-0000F7220000}"/>
    <cellStyle name="Input 2 6 3 2 4 3" xfId="13275" xr:uid="{00000000-0005-0000-0000-0000F8220000}"/>
    <cellStyle name="Input 2 6 3 2 4 3 2" xfId="28107" xr:uid="{00000000-0005-0000-0000-0000F9220000}"/>
    <cellStyle name="Input 2 6 3 2 4 4" xfId="20863" xr:uid="{00000000-0005-0000-0000-0000FA220000}"/>
    <cellStyle name="Input 2 6 3 2 5" xfId="6113" xr:uid="{00000000-0005-0000-0000-0000FB220000}"/>
    <cellStyle name="Input 2 6 3 2 5 2" xfId="16300" xr:uid="{00000000-0005-0000-0000-0000FC220000}"/>
    <cellStyle name="Input 2 6 3 2 5 2 2" xfId="31132" xr:uid="{00000000-0005-0000-0000-0000FD220000}"/>
    <cellStyle name="Input 2 6 3 2 5 3" xfId="22646" xr:uid="{00000000-0005-0000-0000-0000FE220000}"/>
    <cellStyle name="Input 2 6 3 2 6" xfId="12370" xr:uid="{00000000-0005-0000-0000-0000FF220000}"/>
    <cellStyle name="Input 2 6 3 2 6 2" xfId="27202" xr:uid="{00000000-0005-0000-0000-000000230000}"/>
    <cellStyle name="Input 2 6 3 2 7" xfId="9952" xr:uid="{00000000-0005-0000-0000-000001230000}"/>
    <cellStyle name="Input 2 6 3 2 7 2" xfId="20154" xr:uid="{00000000-0005-0000-0000-000002230000}"/>
    <cellStyle name="Input 2 6 3 3" xfId="3922" xr:uid="{00000000-0005-0000-0000-000003230000}"/>
    <cellStyle name="Input 2 6 3 3 2" xfId="7973" xr:uid="{00000000-0005-0000-0000-000004230000}"/>
    <cellStyle name="Input 2 6 3 3 2 2" xfId="23780" xr:uid="{00000000-0005-0000-0000-000005230000}"/>
    <cellStyle name="Input 2 6 3 3 3" xfId="14255" xr:uid="{00000000-0005-0000-0000-000006230000}"/>
    <cellStyle name="Input 2 6 3 3 3 2" xfId="29087" xr:uid="{00000000-0005-0000-0000-000007230000}"/>
    <cellStyle name="Input 2 6 3 3 4" xfId="21421" xr:uid="{00000000-0005-0000-0000-000008230000}"/>
    <cellStyle name="Input 2 6 3 4" xfId="4527" xr:uid="{00000000-0005-0000-0000-000009230000}"/>
    <cellStyle name="Input 2 6 3 4 2" xfId="8566" xr:uid="{00000000-0005-0000-0000-00000A230000}"/>
    <cellStyle name="Input 2 6 3 4 2 2" xfId="24192" xr:uid="{00000000-0005-0000-0000-00000B230000}"/>
    <cellStyle name="Input 2 6 3 4 3" xfId="14854" xr:uid="{00000000-0005-0000-0000-00000C230000}"/>
    <cellStyle name="Input 2 6 3 4 3 2" xfId="29686" xr:uid="{00000000-0005-0000-0000-00000D230000}"/>
    <cellStyle name="Input 2 6 3 4 4" xfId="21752" xr:uid="{00000000-0005-0000-0000-00000E230000}"/>
    <cellStyle name="Input 2 6 3 5" xfId="2517" xr:uid="{00000000-0005-0000-0000-00000F230000}"/>
    <cellStyle name="Input 2 6 3 5 2" xfId="6623" xr:uid="{00000000-0005-0000-0000-000010230000}"/>
    <cellStyle name="Input 2 6 3 5 2 2" xfId="22961" xr:uid="{00000000-0005-0000-0000-000011230000}"/>
    <cellStyle name="Input 2 6 3 5 3" xfId="12855" xr:uid="{00000000-0005-0000-0000-000012230000}"/>
    <cellStyle name="Input 2 6 3 5 3 2" xfId="27687" xr:uid="{00000000-0005-0000-0000-000013230000}"/>
    <cellStyle name="Input 2 6 3 5 4" xfId="20607" xr:uid="{00000000-0005-0000-0000-000014230000}"/>
    <cellStyle name="Input 2 6 3 6" xfId="5640" xr:uid="{00000000-0005-0000-0000-000015230000}"/>
    <cellStyle name="Input 2 6 3 6 2" xfId="15875" xr:uid="{00000000-0005-0000-0000-000016230000}"/>
    <cellStyle name="Input 2 6 3 6 2 2" xfId="30707" xr:uid="{00000000-0005-0000-0000-000017230000}"/>
    <cellStyle name="Input 2 6 3 6 3" xfId="22336" xr:uid="{00000000-0005-0000-0000-000018230000}"/>
    <cellStyle name="Input 2 6 3 7" xfId="11899" xr:uid="{00000000-0005-0000-0000-000019230000}"/>
    <cellStyle name="Input 2 6 3 7 2" xfId="26731" xr:uid="{00000000-0005-0000-0000-00001A230000}"/>
    <cellStyle name="Input 2 6 3 8" xfId="9557" xr:uid="{00000000-0005-0000-0000-00001B230000}"/>
    <cellStyle name="Input 2 6 3 8 2" xfId="19859" xr:uid="{00000000-0005-0000-0000-00001C230000}"/>
    <cellStyle name="Input 2 6 4" xfId="1397" xr:uid="{00000000-0005-0000-0000-00001D230000}"/>
    <cellStyle name="Input 2 6 4 2" xfId="1899" xr:uid="{00000000-0005-0000-0000-00001E230000}"/>
    <cellStyle name="Input 2 6 4 2 2" xfId="3655" xr:uid="{00000000-0005-0000-0000-00001F230000}"/>
    <cellStyle name="Input 2 6 4 2 2 2" xfId="7714" xr:uid="{00000000-0005-0000-0000-000020230000}"/>
    <cellStyle name="Input 2 6 4 2 2 2 2" xfId="23611" xr:uid="{00000000-0005-0000-0000-000021230000}"/>
    <cellStyle name="Input 2 6 4 2 2 3" xfId="13990" xr:uid="{00000000-0005-0000-0000-000022230000}"/>
    <cellStyle name="Input 2 6 4 2 2 3 2" xfId="28822" xr:uid="{00000000-0005-0000-0000-000023230000}"/>
    <cellStyle name="Input 2 6 4 2 2 4" xfId="21276" xr:uid="{00000000-0005-0000-0000-000024230000}"/>
    <cellStyle name="Input 2 6 4 2 3" xfId="4877" xr:uid="{00000000-0005-0000-0000-000025230000}"/>
    <cellStyle name="Input 2 6 4 2 3 2" xfId="8916" xr:uid="{00000000-0005-0000-0000-000026230000}"/>
    <cellStyle name="Input 2 6 4 2 3 2 2" xfId="24382" xr:uid="{00000000-0005-0000-0000-000027230000}"/>
    <cellStyle name="Input 2 6 4 2 3 3" xfId="15200" xr:uid="{00000000-0005-0000-0000-000028230000}"/>
    <cellStyle name="Input 2 6 4 2 3 3 2" xfId="30032" xr:uid="{00000000-0005-0000-0000-000029230000}"/>
    <cellStyle name="Input 2 6 4 2 3 4" xfId="21914" xr:uid="{00000000-0005-0000-0000-00002A230000}"/>
    <cellStyle name="Input 2 6 4 2 4" xfId="2867" xr:uid="{00000000-0005-0000-0000-00002B230000}"/>
    <cellStyle name="Input 2 6 4 2 4 2" xfId="6952" xr:uid="{00000000-0005-0000-0000-00002C230000}"/>
    <cellStyle name="Input 2 6 4 2 4 2 2" xfId="23127" xr:uid="{00000000-0005-0000-0000-00002D230000}"/>
    <cellStyle name="Input 2 6 4 2 4 3" xfId="13205" xr:uid="{00000000-0005-0000-0000-00002E230000}"/>
    <cellStyle name="Input 2 6 4 2 4 3 2" xfId="28037" xr:uid="{00000000-0005-0000-0000-00002F230000}"/>
    <cellStyle name="Input 2 6 4 2 4 4" xfId="20793" xr:uid="{00000000-0005-0000-0000-000030230000}"/>
    <cellStyle name="Input 2 6 4 2 5" xfId="6030" xr:uid="{00000000-0005-0000-0000-000031230000}"/>
    <cellStyle name="Input 2 6 4 2 5 2" xfId="16217" xr:uid="{00000000-0005-0000-0000-000032230000}"/>
    <cellStyle name="Input 2 6 4 2 5 2 2" xfId="31049" xr:uid="{00000000-0005-0000-0000-000033230000}"/>
    <cellStyle name="Input 2 6 4 2 5 3" xfId="22563" xr:uid="{00000000-0005-0000-0000-000034230000}"/>
    <cellStyle name="Input 2 6 4 2 6" xfId="12287" xr:uid="{00000000-0005-0000-0000-000035230000}"/>
    <cellStyle name="Input 2 6 4 2 6 2" xfId="27119" xr:uid="{00000000-0005-0000-0000-000036230000}"/>
    <cellStyle name="Input 2 6 4 2 7" xfId="9883" xr:uid="{00000000-0005-0000-0000-000037230000}"/>
    <cellStyle name="Input 2 6 4 2 7 2" xfId="20087" xr:uid="{00000000-0005-0000-0000-000038230000}"/>
    <cellStyle name="Input 2 6 4 3" xfId="3702" xr:uid="{00000000-0005-0000-0000-000039230000}"/>
    <cellStyle name="Input 2 6 4 3 2" xfId="7758" xr:uid="{00000000-0005-0000-0000-00003A230000}"/>
    <cellStyle name="Input 2 6 4 3 2 2" xfId="23641" xr:uid="{00000000-0005-0000-0000-00003B230000}"/>
    <cellStyle name="Input 2 6 4 3 3" xfId="14037" xr:uid="{00000000-0005-0000-0000-00003C230000}"/>
    <cellStyle name="Input 2 6 4 3 3 2" xfId="28869" xr:uid="{00000000-0005-0000-0000-00003D230000}"/>
    <cellStyle name="Input 2 6 4 3 4" xfId="21301" xr:uid="{00000000-0005-0000-0000-00003E230000}"/>
    <cellStyle name="Input 2 6 4 4" xfId="4457" xr:uid="{00000000-0005-0000-0000-00003F230000}"/>
    <cellStyle name="Input 2 6 4 4 2" xfId="8496" xr:uid="{00000000-0005-0000-0000-000040230000}"/>
    <cellStyle name="Input 2 6 4 4 2 2" xfId="24122" xr:uid="{00000000-0005-0000-0000-000041230000}"/>
    <cellStyle name="Input 2 6 4 4 3" xfId="14785" xr:uid="{00000000-0005-0000-0000-000042230000}"/>
    <cellStyle name="Input 2 6 4 4 3 2" xfId="29617" xr:uid="{00000000-0005-0000-0000-000043230000}"/>
    <cellStyle name="Input 2 6 4 4 4" xfId="21684" xr:uid="{00000000-0005-0000-0000-000044230000}"/>
    <cellStyle name="Input 2 6 4 5" xfId="2447" xr:uid="{00000000-0005-0000-0000-000045230000}"/>
    <cellStyle name="Input 2 6 4 5 2" xfId="6553" xr:uid="{00000000-0005-0000-0000-000046230000}"/>
    <cellStyle name="Input 2 6 4 5 2 2" xfId="22891" xr:uid="{00000000-0005-0000-0000-000047230000}"/>
    <cellStyle name="Input 2 6 4 5 3" xfId="12786" xr:uid="{00000000-0005-0000-0000-000048230000}"/>
    <cellStyle name="Input 2 6 4 5 3 2" xfId="27618" xr:uid="{00000000-0005-0000-0000-000049230000}"/>
    <cellStyle name="Input 2 6 4 5 4" xfId="20539" xr:uid="{00000000-0005-0000-0000-00004A230000}"/>
    <cellStyle name="Input 2 6 4 6" xfId="5571" xr:uid="{00000000-0005-0000-0000-00004B230000}"/>
    <cellStyle name="Input 2 6 4 6 2" xfId="15806" xr:uid="{00000000-0005-0000-0000-00004C230000}"/>
    <cellStyle name="Input 2 6 4 6 2 2" xfId="30638" xr:uid="{00000000-0005-0000-0000-00004D230000}"/>
    <cellStyle name="Input 2 6 4 6 3" xfId="22267" xr:uid="{00000000-0005-0000-0000-00004E230000}"/>
    <cellStyle name="Input 2 6 4 7" xfId="11816" xr:uid="{00000000-0005-0000-0000-00004F230000}"/>
    <cellStyle name="Input 2 6 4 7 2" xfId="26648" xr:uid="{00000000-0005-0000-0000-000050230000}"/>
    <cellStyle name="Input 2 6 4 8" xfId="9488" xr:uid="{00000000-0005-0000-0000-000051230000}"/>
    <cellStyle name="Input 2 6 4 8 2" xfId="19791" xr:uid="{00000000-0005-0000-0000-000052230000}"/>
    <cellStyle name="Input 2 6 5" xfId="1472" xr:uid="{00000000-0005-0000-0000-000053230000}"/>
    <cellStyle name="Input 2 6 5 2" xfId="1973" xr:uid="{00000000-0005-0000-0000-000054230000}"/>
    <cellStyle name="Input 2 6 5 2 2" xfId="4056" xr:uid="{00000000-0005-0000-0000-000055230000}"/>
    <cellStyle name="Input 2 6 5 2 2 2" xfId="8103" xr:uid="{00000000-0005-0000-0000-000056230000}"/>
    <cellStyle name="Input 2 6 5 2 2 2 2" xfId="23865" xr:uid="{00000000-0005-0000-0000-000057230000}"/>
    <cellStyle name="Input 2 6 5 2 2 3" xfId="14388" xr:uid="{00000000-0005-0000-0000-000058230000}"/>
    <cellStyle name="Input 2 6 5 2 2 3 2" xfId="29220" xr:uid="{00000000-0005-0000-0000-000059230000}"/>
    <cellStyle name="Input 2 6 5 2 2 4" xfId="21499" xr:uid="{00000000-0005-0000-0000-00005A230000}"/>
    <cellStyle name="Input 2 6 5 2 3" xfId="4937" xr:uid="{00000000-0005-0000-0000-00005B230000}"/>
    <cellStyle name="Input 2 6 5 2 3 2" xfId="8976" xr:uid="{00000000-0005-0000-0000-00005C230000}"/>
    <cellStyle name="Input 2 6 5 2 3 2 2" xfId="24442" xr:uid="{00000000-0005-0000-0000-00005D230000}"/>
    <cellStyle name="Input 2 6 5 2 3 3" xfId="15259" xr:uid="{00000000-0005-0000-0000-00005E230000}"/>
    <cellStyle name="Input 2 6 5 2 3 3 2" xfId="30091" xr:uid="{00000000-0005-0000-0000-00005F230000}"/>
    <cellStyle name="Input 2 6 5 2 3 4" xfId="21972" xr:uid="{00000000-0005-0000-0000-000060230000}"/>
    <cellStyle name="Input 2 6 5 2 4" xfId="2927" xr:uid="{00000000-0005-0000-0000-000061230000}"/>
    <cellStyle name="Input 2 6 5 2 4 2" xfId="7011" xr:uid="{00000000-0005-0000-0000-000062230000}"/>
    <cellStyle name="Input 2 6 5 2 4 2 2" xfId="23185" xr:uid="{00000000-0005-0000-0000-000063230000}"/>
    <cellStyle name="Input 2 6 5 2 4 3" xfId="13265" xr:uid="{00000000-0005-0000-0000-000064230000}"/>
    <cellStyle name="Input 2 6 5 2 4 3 2" xfId="28097" xr:uid="{00000000-0005-0000-0000-000065230000}"/>
    <cellStyle name="Input 2 6 5 2 4 4" xfId="20853" xr:uid="{00000000-0005-0000-0000-000066230000}"/>
    <cellStyle name="Input 2 6 5 2 5" xfId="6103" xr:uid="{00000000-0005-0000-0000-000067230000}"/>
    <cellStyle name="Input 2 6 5 2 5 2" xfId="16290" xr:uid="{00000000-0005-0000-0000-000068230000}"/>
    <cellStyle name="Input 2 6 5 2 5 2 2" xfId="31122" xr:uid="{00000000-0005-0000-0000-000069230000}"/>
    <cellStyle name="Input 2 6 5 2 5 3" xfId="22636" xr:uid="{00000000-0005-0000-0000-00006A230000}"/>
    <cellStyle name="Input 2 6 5 2 6" xfId="12360" xr:uid="{00000000-0005-0000-0000-00006B230000}"/>
    <cellStyle name="Input 2 6 5 2 6 2" xfId="27192" xr:uid="{00000000-0005-0000-0000-00006C230000}"/>
    <cellStyle name="Input 2 6 5 2 7" xfId="9942" xr:uid="{00000000-0005-0000-0000-00006D230000}"/>
    <cellStyle name="Input 2 6 5 2 7 2" xfId="20144" xr:uid="{00000000-0005-0000-0000-00006E230000}"/>
    <cellStyle name="Input 2 6 5 3" xfId="3234" xr:uid="{00000000-0005-0000-0000-00006F230000}"/>
    <cellStyle name="Input 2 6 5 3 2" xfId="7298" xr:uid="{00000000-0005-0000-0000-000070230000}"/>
    <cellStyle name="Input 2 6 5 3 2 2" xfId="23338" xr:uid="{00000000-0005-0000-0000-000071230000}"/>
    <cellStyle name="Input 2 6 5 3 3" xfId="13571" xr:uid="{00000000-0005-0000-0000-000072230000}"/>
    <cellStyle name="Input 2 6 5 3 3 2" xfId="28403" xr:uid="{00000000-0005-0000-0000-000073230000}"/>
    <cellStyle name="Input 2 6 5 3 4" xfId="21026" xr:uid="{00000000-0005-0000-0000-000074230000}"/>
    <cellStyle name="Input 2 6 5 4" xfId="4517" xr:uid="{00000000-0005-0000-0000-000075230000}"/>
    <cellStyle name="Input 2 6 5 4 2" xfId="8556" xr:uid="{00000000-0005-0000-0000-000076230000}"/>
    <cellStyle name="Input 2 6 5 4 2 2" xfId="24182" xr:uid="{00000000-0005-0000-0000-000077230000}"/>
    <cellStyle name="Input 2 6 5 4 3" xfId="14844" xr:uid="{00000000-0005-0000-0000-000078230000}"/>
    <cellStyle name="Input 2 6 5 4 3 2" xfId="29676" xr:uid="{00000000-0005-0000-0000-000079230000}"/>
    <cellStyle name="Input 2 6 5 4 4" xfId="21742" xr:uid="{00000000-0005-0000-0000-00007A230000}"/>
    <cellStyle name="Input 2 6 5 5" xfId="2507" xr:uid="{00000000-0005-0000-0000-00007B230000}"/>
    <cellStyle name="Input 2 6 5 5 2" xfId="6613" xr:uid="{00000000-0005-0000-0000-00007C230000}"/>
    <cellStyle name="Input 2 6 5 5 2 2" xfId="22951" xr:uid="{00000000-0005-0000-0000-00007D230000}"/>
    <cellStyle name="Input 2 6 5 5 3" xfId="12845" xr:uid="{00000000-0005-0000-0000-00007E230000}"/>
    <cellStyle name="Input 2 6 5 5 3 2" xfId="27677" xr:uid="{00000000-0005-0000-0000-00007F230000}"/>
    <cellStyle name="Input 2 6 5 5 4" xfId="20597" xr:uid="{00000000-0005-0000-0000-000080230000}"/>
    <cellStyle name="Input 2 6 5 6" xfId="5630" xr:uid="{00000000-0005-0000-0000-000081230000}"/>
    <cellStyle name="Input 2 6 5 6 2" xfId="15865" xr:uid="{00000000-0005-0000-0000-000082230000}"/>
    <cellStyle name="Input 2 6 5 6 2 2" xfId="30697" xr:uid="{00000000-0005-0000-0000-000083230000}"/>
    <cellStyle name="Input 2 6 5 6 3" xfId="22326" xr:uid="{00000000-0005-0000-0000-000084230000}"/>
    <cellStyle name="Input 2 6 5 7" xfId="11889" xr:uid="{00000000-0005-0000-0000-000085230000}"/>
    <cellStyle name="Input 2 6 5 7 2" xfId="26721" xr:uid="{00000000-0005-0000-0000-000086230000}"/>
    <cellStyle name="Input 2 6 5 8" xfId="9547" xr:uid="{00000000-0005-0000-0000-000087230000}"/>
    <cellStyle name="Input 2 6 5 8 2" xfId="19849" xr:uid="{00000000-0005-0000-0000-000088230000}"/>
    <cellStyle name="Input 2 6 6" xfId="1750" xr:uid="{00000000-0005-0000-0000-000089230000}"/>
    <cellStyle name="Input 2 6 6 2" xfId="3509" xr:uid="{00000000-0005-0000-0000-00008A230000}"/>
    <cellStyle name="Input 2 6 6 2 2" xfId="7571" xr:uid="{00000000-0005-0000-0000-00008B230000}"/>
    <cellStyle name="Input 2 6 6 2 2 2" xfId="23523" xr:uid="{00000000-0005-0000-0000-00008C230000}"/>
    <cellStyle name="Input 2 6 6 2 3" xfId="13846" xr:uid="{00000000-0005-0000-0000-00008D230000}"/>
    <cellStyle name="Input 2 6 6 2 3 2" xfId="28678" xr:uid="{00000000-0005-0000-0000-00008E230000}"/>
    <cellStyle name="Input 2 6 6 2 4" xfId="21198" xr:uid="{00000000-0005-0000-0000-00008F230000}"/>
    <cellStyle name="Input 2 6 6 3" xfId="4728" xr:uid="{00000000-0005-0000-0000-000090230000}"/>
    <cellStyle name="Input 2 6 6 3 2" xfId="8767" xr:uid="{00000000-0005-0000-0000-000091230000}"/>
    <cellStyle name="Input 2 6 6 3 2 2" xfId="24297" xr:uid="{00000000-0005-0000-0000-000092230000}"/>
    <cellStyle name="Input 2 6 6 3 3" xfId="15052" xr:uid="{00000000-0005-0000-0000-000093230000}"/>
    <cellStyle name="Input 2 6 6 3 3 2" xfId="29884" xr:uid="{00000000-0005-0000-0000-000094230000}"/>
    <cellStyle name="Input 2 6 6 3 4" xfId="21835" xr:uid="{00000000-0005-0000-0000-000095230000}"/>
    <cellStyle name="Input 2 6 6 4" xfId="2718" xr:uid="{00000000-0005-0000-0000-000096230000}"/>
    <cellStyle name="Input 2 6 6 4 2" xfId="6809" xr:uid="{00000000-0005-0000-0000-000097230000}"/>
    <cellStyle name="Input 2 6 6 4 2 2" xfId="23048" xr:uid="{00000000-0005-0000-0000-000098230000}"/>
    <cellStyle name="Input 2 6 6 4 3" xfId="13056" xr:uid="{00000000-0005-0000-0000-000099230000}"/>
    <cellStyle name="Input 2 6 6 4 3 2" xfId="27888" xr:uid="{00000000-0005-0000-0000-00009A230000}"/>
    <cellStyle name="Input 2 6 6 4 4" xfId="20708" xr:uid="{00000000-0005-0000-0000-00009B230000}"/>
    <cellStyle name="Input 2 6 6 5" xfId="5882" xr:uid="{00000000-0005-0000-0000-00009C230000}"/>
    <cellStyle name="Input 2 6 6 5 2" xfId="16074" xr:uid="{00000000-0005-0000-0000-00009D230000}"/>
    <cellStyle name="Input 2 6 6 5 2 2" xfId="30906" xr:uid="{00000000-0005-0000-0000-00009E230000}"/>
    <cellStyle name="Input 2 6 6 5 3" xfId="22479" xr:uid="{00000000-0005-0000-0000-00009F230000}"/>
    <cellStyle name="Input 2 6 6 6" xfId="12144" xr:uid="{00000000-0005-0000-0000-0000A0230000}"/>
    <cellStyle name="Input 2 6 6 6 2" xfId="26976" xr:uid="{00000000-0005-0000-0000-0000A1230000}"/>
    <cellStyle name="Input 2 6 6 7" xfId="9740" xr:uid="{00000000-0005-0000-0000-0000A2230000}"/>
    <cellStyle name="Input 2 6 6 7 2" xfId="20038" xr:uid="{00000000-0005-0000-0000-0000A3230000}"/>
    <cellStyle name="Input 2 6 7" xfId="2216" xr:uid="{00000000-0005-0000-0000-0000A4230000}"/>
    <cellStyle name="Input 2 6 7 2" xfId="3543" xr:uid="{00000000-0005-0000-0000-0000A5230000}"/>
    <cellStyle name="Input 2 6 7 2 2" xfId="7605" xr:uid="{00000000-0005-0000-0000-0000A6230000}"/>
    <cellStyle name="Input 2 6 7 2 2 2" xfId="23543" xr:uid="{00000000-0005-0000-0000-0000A7230000}"/>
    <cellStyle name="Input 2 6 7 2 3" xfId="13879" xr:uid="{00000000-0005-0000-0000-0000A8230000}"/>
    <cellStyle name="Input 2 6 7 2 3 2" xfId="28711" xr:uid="{00000000-0005-0000-0000-0000A9230000}"/>
    <cellStyle name="Input 2 6 7 2 4" xfId="21216" xr:uid="{00000000-0005-0000-0000-0000AA230000}"/>
    <cellStyle name="Input 2 6 7 3" xfId="5184" xr:uid="{00000000-0005-0000-0000-0000AB230000}"/>
    <cellStyle name="Input 2 6 7 3 2" xfId="9223" xr:uid="{00000000-0005-0000-0000-0000AC230000}"/>
    <cellStyle name="Input 2 6 7 3 2 2" xfId="24561" xr:uid="{00000000-0005-0000-0000-0000AD230000}"/>
    <cellStyle name="Input 2 6 7 3 3" xfId="15502" xr:uid="{00000000-0005-0000-0000-0000AE230000}"/>
    <cellStyle name="Input 2 6 7 3 3 2" xfId="30334" xr:uid="{00000000-0005-0000-0000-0000AF230000}"/>
    <cellStyle name="Input 2 6 7 3 4" xfId="22068" xr:uid="{00000000-0005-0000-0000-0000B0230000}"/>
    <cellStyle name="Input 2 6 7 4" xfId="4214" xr:uid="{00000000-0005-0000-0000-0000B1230000}"/>
    <cellStyle name="Input 2 6 7 4 2" xfId="8255" xr:uid="{00000000-0005-0000-0000-0000B2230000}"/>
    <cellStyle name="Input 2 6 7 4 2 2" xfId="23950" xr:uid="{00000000-0005-0000-0000-0000B3230000}"/>
    <cellStyle name="Input 2 6 7 4 3" xfId="14546" xr:uid="{00000000-0005-0000-0000-0000B4230000}"/>
    <cellStyle name="Input 2 6 7 4 3 2" xfId="29378" xr:uid="{00000000-0005-0000-0000-0000B5230000}"/>
    <cellStyle name="Input 2 6 7 4 4" xfId="21575" xr:uid="{00000000-0005-0000-0000-0000B6230000}"/>
    <cellStyle name="Input 2 6 7 5" xfId="6330" xr:uid="{00000000-0005-0000-0000-0000B7230000}"/>
    <cellStyle name="Input 2 6 7 5 2" xfId="22732" xr:uid="{00000000-0005-0000-0000-0000B8230000}"/>
    <cellStyle name="Input 2 6 7 6" xfId="12584" xr:uid="{00000000-0005-0000-0000-0000B9230000}"/>
    <cellStyle name="Input 2 6 7 6 2" xfId="27416" xr:uid="{00000000-0005-0000-0000-0000BA230000}"/>
    <cellStyle name="Input 2 6 7 7" xfId="20411" xr:uid="{00000000-0005-0000-0000-0000BB230000}"/>
    <cellStyle name="Input 2 6 8" xfId="4291" xr:uid="{00000000-0005-0000-0000-0000BC230000}"/>
    <cellStyle name="Input 2 6 8 2" xfId="8330" xr:uid="{00000000-0005-0000-0000-0000BD230000}"/>
    <cellStyle name="Input 2 6 8 2 2" xfId="24018" xr:uid="{00000000-0005-0000-0000-0000BE230000}"/>
    <cellStyle name="Input 2 6 8 3" xfId="14623" xr:uid="{00000000-0005-0000-0000-0000BF230000}"/>
    <cellStyle name="Input 2 6 8 3 2" xfId="29455" xr:uid="{00000000-0005-0000-0000-0000C0230000}"/>
    <cellStyle name="Input 2 6 8 4" xfId="21616" xr:uid="{00000000-0005-0000-0000-0000C1230000}"/>
    <cellStyle name="Input 2 6 9" xfId="3261" xr:uid="{00000000-0005-0000-0000-0000C2230000}"/>
    <cellStyle name="Input 2 6 9 2" xfId="7325" xr:uid="{00000000-0005-0000-0000-0000C3230000}"/>
    <cellStyle name="Input 2 6 9 2 2" xfId="23360" xr:uid="{00000000-0005-0000-0000-0000C4230000}"/>
    <cellStyle name="Input 2 6 9 3" xfId="13598" xr:uid="{00000000-0005-0000-0000-0000C5230000}"/>
    <cellStyle name="Input 2 6 9 3 2" xfId="28430" xr:uid="{00000000-0005-0000-0000-0000C6230000}"/>
    <cellStyle name="Input 2 6 9 4" xfId="21047" xr:uid="{00000000-0005-0000-0000-0000C7230000}"/>
    <cellStyle name="Input 2 7" xfId="1118" xr:uid="{00000000-0005-0000-0000-0000C8230000}"/>
    <cellStyle name="Input 2 7 10" xfId="2289" xr:uid="{00000000-0005-0000-0000-0000C9230000}"/>
    <cellStyle name="Input 2 7 10 2" xfId="6401" xr:uid="{00000000-0005-0000-0000-0000CA230000}"/>
    <cellStyle name="Input 2 7 10 2 2" xfId="22803" xr:uid="{00000000-0005-0000-0000-0000CB230000}"/>
    <cellStyle name="Input 2 7 10 3" xfId="12629" xr:uid="{00000000-0005-0000-0000-0000CC230000}"/>
    <cellStyle name="Input 2 7 10 3 2" xfId="27461" xr:uid="{00000000-0005-0000-0000-0000CD230000}"/>
    <cellStyle name="Input 2 7 10 4" xfId="20455" xr:uid="{00000000-0005-0000-0000-0000CE230000}"/>
    <cellStyle name="Input 2 7 11" xfId="5255" xr:uid="{00000000-0005-0000-0000-0000CF230000}"/>
    <cellStyle name="Input 2 7 11 2" xfId="15571" xr:uid="{00000000-0005-0000-0000-0000D0230000}"/>
    <cellStyle name="Input 2 7 11 2 2" xfId="30403" xr:uid="{00000000-0005-0000-0000-0000D1230000}"/>
    <cellStyle name="Input 2 7 11 3" xfId="22112" xr:uid="{00000000-0005-0000-0000-0000D2230000}"/>
    <cellStyle name="Input 2 7 12" xfId="5413" xr:uid="{00000000-0005-0000-0000-0000D3230000}"/>
    <cellStyle name="Input 2 7 12 2" xfId="15649" xr:uid="{00000000-0005-0000-0000-0000D4230000}"/>
    <cellStyle name="Input 2 7 12 2 2" xfId="30481" xr:uid="{00000000-0005-0000-0000-0000D5230000}"/>
    <cellStyle name="Input 2 7 12 3" xfId="22174" xr:uid="{00000000-0005-0000-0000-0000D6230000}"/>
    <cellStyle name="Input 2 7 13" xfId="9378" xr:uid="{00000000-0005-0000-0000-0000D7230000}"/>
    <cellStyle name="Input 2 7 13 2" xfId="24684" xr:uid="{00000000-0005-0000-0000-0000D8230000}"/>
    <cellStyle name="Input 2 7 14" xfId="5367" xr:uid="{00000000-0005-0000-0000-0000D9230000}"/>
    <cellStyle name="Input 2 7 14 2" xfId="18241" xr:uid="{00000000-0005-0000-0000-0000DA230000}"/>
    <cellStyle name="Input 2 7 2" xfId="1325" xr:uid="{00000000-0005-0000-0000-0000DB230000}"/>
    <cellStyle name="Input 2 7 2 2" xfId="1829" xr:uid="{00000000-0005-0000-0000-0000DC230000}"/>
    <cellStyle name="Input 2 7 2 2 2" xfId="3119" xr:uid="{00000000-0005-0000-0000-0000DD230000}"/>
    <cellStyle name="Input 2 7 2 2 2 2" xfId="7184" xr:uid="{00000000-0005-0000-0000-0000DE230000}"/>
    <cellStyle name="Input 2 7 2 2 2 2 2" xfId="23258" xr:uid="{00000000-0005-0000-0000-0000DF230000}"/>
    <cellStyle name="Input 2 7 2 2 2 3" xfId="13457" xr:uid="{00000000-0005-0000-0000-0000E0230000}"/>
    <cellStyle name="Input 2 7 2 2 2 3 2" xfId="28289" xr:uid="{00000000-0005-0000-0000-0000E1230000}"/>
    <cellStyle name="Input 2 7 2 2 2 4" xfId="20948" xr:uid="{00000000-0005-0000-0000-0000E2230000}"/>
    <cellStyle name="Input 2 7 2 2 3" xfId="4807" xr:uid="{00000000-0005-0000-0000-0000E3230000}"/>
    <cellStyle name="Input 2 7 2 2 3 2" xfId="8846" xr:uid="{00000000-0005-0000-0000-0000E4230000}"/>
    <cellStyle name="Input 2 7 2 2 3 2 2" xfId="24344" xr:uid="{00000000-0005-0000-0000-0000E5230000}"/>
    <cellStyle name="Input 2 7 2 2 3 3" xfId="15131" xr:uid="{00000000-0005-0000-0000-0000E6230000}"/>
    <cellStyle name="Input 2 7 2 2 3 3 2" xfId="29963" xr:uid="{00000000-0005-0000-0000-0000E7230000}"/>
    <cellStyle name="Input 2 7 2 2 3 4" xfId="21882" xr:uid="{00000000-0005-0000-0000-0000E8230000}"/>
    <cellStyle name="Input 2 7 2 2 4" xfId="2797" xr:uid="{00000000-0005-0000-0000-0000E9230000}"/>
    <cellStyle name="Input 2 7 2 2 4 2" xfId="6888" xr:uid="{00000000-0005-0000-0000-0000EA230000}"/>
    <cellStyle name="Input 2 7 2 2 4 2 2" xfId="23095" xr:uid="{00000000-0005-0000-0000-0000EB230000}"/>
    <cellStyle name="Input 2 7 2 2 4 3" xfId="13135" xr:uid="{00000000-0005-0000-0000-0000EC230000}"/>
    <cellStyle name="Input 2 7 2 2 4 3 2" xfId="27967" xr:uid="{00000000-0005-0000-0000-0000ED230000}"/>
    <cellStyle name="Input 2 7 2 2 4 4" xfId="20755" xr:uid="{00000000-0005-0000-0000-0000EE230000}"/>
    <cellStyle name="Input 2 7 2 2 5" xfId="5961" xr:uid="{00000000-0005-0000-0000-0000EF230000}"/>
    <cellStyle name="Input 2 7 2 2 5 2" xfId="16153" xr:uid="{00000000-0005-0000-0000-0000F0230000}"/>
    <cellStyle name="Input 2 7 2 2 5 2 2" xfId="30985" xr:uid="{00000000-0005-0000-0000-0000F1230000}"/>
    <cellStyle name="Input 2 7 2 2 5 3" xfId="22526" xr:uid="{00000000-0005-0000-0000-0000F2230000}"/>
    <cellStyle name="Input 2 7 2 2 6" xfId="12223" xr:uid="{00000000-0005-0000-0000-0000F3230000}"/>
    <cellStyle name="Input 2 7 2 2 6 2" xfId="27055" xr:uid="{00000000-0005-0000-0000-0000F4230000}"/>
    <cellStyle name="Input 2 7 2 2 7" xfId="9819" xr:uid="{00000000-0005-0000-0000-0000F5230000}"/>
    <cellStyle name="Input 2 7 2 2 7 2" xfId="20070" xr:uid="{00000000-0005-0000-0000-0000F6230000}"/>
    <cellStyle name="Input 2 7 2 3" xfId="3459" xr:uid="{00000000-0005-0000-0000-0000F7230000}"/>
    <cellStyle name="Input 2 7 2 3 2" xfId="7522" xr:uid="{00000000-0005-0000-0000-0000F8230000}"/>
    <cellStyle name="Input 2 7 2 3 2 2" xfId="23491" xr:uid="{00000000-0005-0000-0000-0000F9230000}"/>
    <cellStyle name="Input 2 7 2 3 3" xfId="13796" xr:uid="{00000000-0005-0000-0000-0000FA230000}"/>
    <cellStyle name="Input 2 7 2 3 3 2" xfId="28628" xr:uid="{00000000-0005-0000-0000-0000FB230000}"/>
    <cellStyle name="Input 2 7 2 3 4" xfId="21166" xr:uid="{00000000-0005-0000-0000-0000FC230000}"/>
    <cellStyle name="Input 2 7 2 4" xfId="4387" xr:uid="{00000000-0005-0000-0000-0000FD230000}"/>
    <cellStyle name="Input 2 7 2 4 2" xfId="8426" xr:uid="{00000000-0005-0000-0000-0000FE230000}"/>
    <cellStyle name="Input 2 7 2 4 2 2" xfId="24084" xr:uid="{00000000-0005-0000-0000-0000FF230000}"/>
    <cellStyle name="Input 2 7 2 4 3" xfId="14716" xr:uid="{00000000-0005-0000-0000-000000240000}"/>
    <cellStyle name="Input 2 7 2 4 3 2" xfId="29548" xr:uid="{00000000-0005-0000-0000-000001240000}"/>
    <cellStyle name="Input 2 7 2 4 4" xfId="21652" xr:uid="{00000000-0005-0000-0000-000002240000}"/>
    <cellStyle name="Input 2 7 2 5" xfId="2377" xr:uid="{00000000-0005-0000-0000-000003240000}"/>
    <cellStyle name="Input 2 7 2 5 2" xfId="6489" xr:uid="{00000000-0005-0000-0000-000004240000}"/>
    <cellStyle name="Input 2 7 2 5 2 2" xfId="22859" xr:uid="{00000000-0005-0000-0000-000005240000}"/>
    <cellStyle name="Input 2 7 2 5 3" xfId="12716" xr:uid="{00000000-0005-0000-0000-000006240000}"/>
    <cellStyle name="Input 2 7 2 5 3 2" xfId="27548" xr:uid="{00000000-0005-0000-0000-000007240000}"/>
    <cellStyle name="Input 2 7 2 5 4" xfId="20501" xr:uid="{00000000-0005-0000-0000-000008240000}"/>
    <cellStyle name="Input 2 7 2 6" xfId="5502" xr:uid="{00000000-0005-0000-0000-000009240000}"/>
    <cellStyle name="Input 2 7 2 6 2" xfId="15737" xr:uid="{00000000-0005-0000-0000-00000A240000}"/>
    <cellStyle name="Input 2 7 2 6 2 2" xfId="30569" xr:uid="{00000000-0005-0000-0000-00000B240000}"/>
    <cellStyle name="Input 2 7 2 6 3" xfId="22230" xr:uid="{00000000-0005-0000-0000-00000C240000}"/>
    <cellStyle name="Input 2 7 2 7" xfId="11752" xr:uid="{00000000-0005-0000-0000-00000D240000}"/>
    <cellStyle name="Input 2 7 2 7 2" xfId="26584" xr:uid="{00000000-0005-0000-0000-00000E240000}"/>
    <cellStyle name="Input 2 7 2 8" xfId="9423" xr:uid="{00000000-0005-0000-0000-00000F240000}"/>
    <cellStyle name="Input 2 7 2 8 2" xfId="19727" xr:uid="{00000000-0005-0000-0000-000010240000}"/>
    <cellStyle name="Input 2 7 3" xfId="1483" xr:uid="{00000000-0005-0000-0000-000011240000}"/>
    <cellStyle name="Input 2 7 3 2" xfId="1984" xr:uid="{00000000-0005-0000-0000-000012240000}"/>
    <cellStyle name="Input 2 7 3 2 2" xfId="3796" xr:uid="{00000000-0005-0000-0000-000013240000}"/>
    <cellStyle name="Input 2 7 3 2 2 2" xfId="7851" xr:uid="{00000000-0005-0000-0000-000014240000}"/>
    <cellStyle name="Input 2 7 3 2 2 2 2" xfId="23705" xr:uid="{00000000-0005-0000-0000-000015240000}"/>
    <cellStyle name="Input 2 7 3 2 2 3" xfId="14131" xr:uid="{00000000-0005-0000-0000-000016240000}"/>
    <cellStyle name="Input 2 7 3 2 2 3 2" xfId="28963" xr:uid="{00000000-0005-0000-0000-000017240000}"/>
    <cellStyle name="Input 2 7 3 2 2 4" xfId="21357" xr:uid="{00000000-0005-0000-0000-000018240000}"/>
    <cellStyle name="Input 2 7 3 2 3" xfId="4948" xr:uid="{00000000-0005-0000-0000-000019240000}"/>
    <cellStyle name="Input 2 7 3 2 3 2" xfId="8987" xr:uid="{00000000-0005-0000-0000-00001A240000}"/>
    <cellStyle name="Input 2 7 3 2 3 2 2" xfId="24453" xr:uid="{00000000-0005-0000-0000-00001B240000}"/>
    <cellStyle name="Input 2 7 3 2 3 3" xfId="15270" xr:uid="{00000000-0005-0000-0000-00001C240000}"/>
    <cellStyle name="Input 2 7 3 2 3 3 2" xfId="30102" xr:uid="{00000000-0005-0000-0000-00001D240000}"/>
    <cellStyle name="Input 2 7 3 2 3 4" xfId="21983" xr:uid="{00000000-0005-0000-0000-00001E240000}"/>
    <cellStyle name="Input 2 7 3 2 4" xfId="2938" xr:uid="{00000000-0005-0000-0000-00001F240000}"/>
    <cellStyle name="Input 2 7 3 2 4 2" xfId="7022" xr:uid="{00000000-0005-0000-0000-000020240000}"/>
    <cellStyle name="Input 2 7 3 2 4 2 2" xfId="23196" xr:uid="{00000000-0005-0000-0000-000021240000}"/>
    <cellStyle name="Input 2 7 3 2 4 3" xfId="13276" xr:uid="{00000000-0005-0000-0000-000022240000}"/>
    <cellStyle name="Input 2 7 3 2 4 3 2" xfId="28108" xr:uid="{00000000-0005-0000-0000-000023240000}"/>
    <cellStyle name="Input 2 7 3 2 4 4" xfId="20864" xr:uid="{00000000-0005-0000-0000-000024240000}"/>
    <cellStyle name="Input 2 7 3 2 5" xfId="6114" xr:uid="{00000000-0005-0000-0000-000025240000}"/>
    <cellStyle name="Input 2 7 3 2 5 2" xfId="16301" xr:uid="{00000000-0005-0000-0000-000026240000}"/>
    <cellStyle name="Input 2 7 3 2 5 2 2" xfId="31133" xr:uid="{00000000-0005-0000-0000-000027240000}"/>
    <cellStyle name="Input 2 7 3 2 5 3" xfId="22647" xr:uid="{00000000-0005-0000-0000-000028240000}"/>
    <cellStyle name="Input 2 7 3 2 6" xfId="12371" xr:uid="{00000000-0005-0000-0000-000029240000}"/>
    <cellStyle name="Input 2 7 3 2 6 2" xfId="27203" xr:uid="{00000000-0005-0000-0000-00002A240000}"/>
    <cellStyle name="Input 2 7 3 2 7" xfId="9953" xr:uid="{00000000-0005-0000-0000-00002B240000}"/>
    <cellStyle name="Input 2 7 3 2 7 2" xfId="20155" xr:uid="{00000000-0005-0000-0000-00002C240000}"/>
    <cellStyle name="Input 2 7 3 3" xfId="4093" xr:uid="{00000000-0005-0000-0000-00002D240000}"/>
    <cellStyle name="Input 2 7 3 3 2" xfId="8139" xr:uid="{00000000-0005-0000-0000-00002E240000}"/>
    <cellStyle name="Input 2 7 3 3 2 2" xfId="23886" xr:uid="{00000000-0005-0000-0000-00002F240000}"/>
    <cellStyle name="Input 2 7 3 3 3" xfId="14425" xr:uid="{00000000-0005-0000-0000-000030240000}"/>
    <cellStyle name="Input 2 7 3 3 3 2" xfId="29257" xr:uid="{00000000-0005-0000-0000-000031240000}"/>
    <cellStyle name="Input 2 7 3 3 4" xfId="21516" xr:uid="{00000000-0005-0000-0000-000032240000}"/>
    <cellStyle name="Input 2 7 3 4" xfId="4528" xr:uid="{00000000-0005-0000-0000-000033240000}"/>
    <cellStyle name="Input 2 7 3 4 2" xfId="8567" xr:uid="{00000000-0005-0000-0000-000034240000}"/>
    <cellStyle name="Input 2 7 3 4 2 2" xfId="24193" xr:uid="{00000000-0005-0000-0000-000035240000}"/>
    <cellStyle name="Input 2 7 3 4 3" xfId="14855" xr:uid="{00000000-0005-0000-0000-000036240000}"/>
    <cellStyle name="Input 2 7 3 4 3 2" xfId="29687" xr:uid="{00000000-0005-0000-0000-000037240000}"/>
    <cellStyle name="Input 2 7 3 4 4" xfId="21753" xr:uid="{00000000-0005-0000-0000-000038240000}"/>
    <cellStyle name="Input 2 7 3 5" xfId="2518" xr:uid="{00000000-0005-0000-0000-000039240000}"/>
    <cellStyle name="Input 2 7 3 5 2" xfId="6624" xr:uid="{00000000-0005-0000-0000-00003A240000}"/>
    <cellStyle name="Input 2 7 3 5 2 2" xfId="22962" xr:uid="{00000000-0005-0000-0000-00003B240000}"/>
    <cellStyle name="Input 2 7 3 5 3" xfId="12856" xr:uid="{00000000-0005-0000-0000-00003C240000}"/>
    <cellStyle name="Input 2 7 3 5 3 2" xfId="27688" xr:uid="{00000000-0005-0000-0000-00003D240000}"/>
    <cellStyle name="Input 2 7 3 5 4" xfId="20608" xr:uid="{00000000-0005-0000-0000-00003E240000}"/>
    <cellStyle name="Input 2 7 3 6" xfId="5641" xr:uid="{00000000-0005-0000-0000-00003F240000}"/>
    <cellStyle name="Input 2 7 3 6 2" xfId="15876" xr:uid="{00000000-0005-0000-0000-000040240000}"/>
    <cellStyle name="Input 2 7 3 6 2 2" xfId="30708" xr:uid="{00000000-0005-0000-0000-000041240000}"/>
    <cellStyle name="Input 2 7 3 6 3" xfId="22337" xr:uid="{00000000-0005-0000-0000-000042240000}"/>
    <cellStyle name="Input 2 7 3 7" xfId="11900" xr:uid="{00000000-0005-0000-0000-000043240000}"/>
    <cellStyle name="Input 2 7 3 7 2" xfId="26732" xr:uid="{00000000-0005-0000-0000-000044240000}"/>
    <cellStyle name="Input 2 7 3 8" xfId="9558" xr:uid="{00000000-0005-0000-0000-000045240000}"/>
    <cellStyle name="Input 2 7 3 8 2" xfId="19860" xr:uid="{00000000-0005-0000-0000-000046240000}"/>
    <cellStyle name="Input 2 7 4" xfId="1402" xr:uid="{00000000-0005-0000-0000-000047240000}"/>
    <cellStyle name="Input 2 7 4 2" xfId="1904" xr:uid="{00000000-0005-0000-0000-000048240000}"/>
    <cellStyle name="Input 2 7 4 2 2" xfId="4088" xr:uid="{00000000-0005-0000-0000-000049240000}"/>
    <cellStyle name="Input 2 7 4 2 2 2" xfId="8134" xr:uid="{00000000-0005-0000-0000-00004A240000}"/>
    <cellStyle name="Input 2 7 4 2 2 2 2" xfId="23882" xr:uid="{00000000-0005-0000-0000-00004B240000}"/>
    <cellStyle name="Input 2 7 4 2 2 3" xfId="14420" xr:uid="{00000000-0005-0000-0000-00004C240000}"/>
    <cellStyle name="Input 2 7 4 2 2 3 2" xfId="29252" xr:uid="{00000000-0005-0000-0000-00004D240000}"/>
    <cellStyle name="Input 2 7 4 2 2 4" xfId="21512" xr:uid="{00000000-0005-0000-0000-00004E240000}"/>
    <cellStyle name="Input 2 7 4 2 3" xfId="4882" xr:uid="{00000000-0005-0000-0000-00004F240000}"/>
    <cellStyle name="Input 2 7 4 2 3 2" xfId="8921" xr:uid="{00000000-0005-0000-0000-000050240000}"/>
    <cellStyle name="Input 2 7 4 2 3 2 2" xfId="24387" xr:uid="{00000000-0005-0000-0000-000051240000}"/>
    <cellStyle name="Input 2 7 4 2 3 3" xfId="15205" xr:uid="{00000000-0005-0000-0000-000052240000}"/>
    <cellStyle name="Input 2 7 4 2 3 3 2" xfId="30037" xr:uid="{00000000-0005-0000-0000-000053240000}"/>
    <cellStyle name="Input 2 7 4 2 3 4" xfId="21919" xr:uid="{00000000-0005-0000-0000-000054240000}"/>
    <cellStyle name="Input 2 7 4 2 4" xfId="2872" xr:uid="{00000000-0005-0000-0000-000055240000}"/>
    <cellStyle name="Input 2 7 4 2 4 2" xfId="6957" xr:uid="{00000000-0005-0000-0000-000056240000}"/>
    <cellStyle name="Input 2 7 4 2 4 2 2" xfId="23132" xr:uid="{00000000-0005-0000-0000-000057240000}"/>
    <cellStyle name="Input 2 7 4 2 4 3" xfId="13210" xr:uid="{00000000-0005-0000-0000-000058240000}"/>
    <cellStyle name="Input 2 7 4 2 4 3 2" xfId="28042" xr:uid="{00000000-0005-0000-0000-000059240000}"/>
    <cellStyle name="Input 2 7 4 2 4 4" xfId="20798" xr:uid="{00000000-0005-0000-0000-00005A240000}"/>
    <cellStyle name="Input 2 7 4 2 5" xfId="6035" xr:uid="{00000000-0005-0000-0000-00005B240000}"/>
    <cellStyle name="Input 2 7 4 2 5 2" xfId="16222" xr:uid="{00000000-0005-0000-0000-00005C240000}"/>
    <cellStyle name="Input 2 7 4 2 5 2 2" xfId="31054" xr:uid="{00000000-0005-0000-0000-00005D240000}"/>
    <cellStyle name="Input 2 7 4 2 5 3" xfId="22568" xr:uid="{00000000-0005-0000-0000-00005E240000}"/>
    <cellStyle name="Input 2 7 4 2 6" xfId="12292" xr:uid="{00000000-0005-0000-0000-00005F240000}"/>
    <cellStyle name="Input 2 7 4 2 6 2" xfId="27124" xr:uid="{00000000-0005-0000-0000-000060240000}"/>
    <cellStyle name="Input 2 7 4 2 7" xfId="9888" xr:uid="{00000000-0005-0000-0000-000061240000}"/>
    <cellStyle name="Input 2 7 4 2 7 2" xfId="20091" xr:uid="{00000000-0005-0000-0000-000062240000}"/>
    <cellStyle name="Input 2 7 4 3" xfId="3977" xr:uid="{00000000-0005-0000-0000-000063240000}"/>
    <cellStyle name="Input 2 7 4 3 2" xfId="8026" xr:uid="{00000000-0005-0000-0000-000064240000}"/>
    <cellStyle name="Input 2 7 4 3 2 2" xfId="23816" xr:uid="{00000000-0005-0000-0000-000065240000}"/>
    <cellStyle name="Input 2 7 4 3 3" xfId="14310" xr:uid="{00000000-0005-0000-0000-000066240000}"/>
    <cellStyle name="Input 2 7 4 3 3 2" xfId="29142" xr:uid="{00000000-0005-0000-0000-000067240000}"/>
    <cellStyle name="Input 2 7 4 3 4" xfId="21454" xr:uid="{00000000-0005-0000-0000-000068240000}"/>
    <cellStyle name="Input 2 7 4 4" xfId="4462" xr:uid="{00000000-0005-0000-0000-000069240000}"/>
    <cellStyle name="Input 2 7 4 4 2" xfId="8501" xr:uid="{00000000-0005-0000-0000-00006A240000}"/>
    <cellStyle name="Input 2 7 4 4 2 2" xfId="24127" xr:uid="{00000000-0005-0000-0000-00006B240000}"/>
    <cellStyle name="Input 2 7 4 4 3" xfId="14790" xr:uid="{00000000-0005-0000-0000-00006C240000}"/>
    <cellStyle name="Input 2 7 4 4 3 2" xfId="29622" xr:uid="{00000000-0005-0000-0000-00006D240000}"/>
    <cellStyle name="Input 2 7 4 4 4" xfId="21689" xr:uid="{00000000-0005-0000-0000-00006E240000}"/>
    <cellStyle name="Input 2 7 4 5" xfId="2452" xr:uid="{00000000-0005-0000-0000-00006F240000}"/>
    <cellStyle name="Input 2 7 4 5 2" xfId="6558" xr:uid="{00000000-0005-0000-0000-000070240000}"/>
    <cellStyle name="Input 2 7 4 5 2 2" xfId="22896" xr:uid="{00000000-0005-0000-0000-000071240000}"/>
    <cellStyle name="Input 2 7 4 5 3" xfId="12791" xr:uid="{00000000-0005-0000-0000-000072240000}"/>
    <cellStyle name="Input 2 7 4 5 3 2" xfId="27623" xr:uid="{00000000-0005-0000-0000-000073240000}"/>
    <cellStyle name="Input 2 7 4 5 4" xfId="20544" xr:uid="{00000000-0005-0000-0000-000074240000}"/>
    <cellStyle name="Input 2 7 4 6" xfId="5576" xr:uid="{00000000-0005-0000-0000-000075240000}"/>
    <cellStyle name="Input 2 7 4 6 2" xfId="15811" xr:uid="{00000000-0005-0000-0000-000076240000}"/>
    <cellStyle name="Input 2 7 4 6 2 2" xfId="30643" xr:uid="{00000000-0005-0000-0000-000077240000}"/>
    <cellStyle name="Input 2 7 4 6 3" xfId="22272" xr:uid="{00000000-0005-0000-0000-000078240000}"/>
    <cellStyle name="Input 2 7 4 7" xfId="11821" xr:uid="{00000000-0005-0000-0000-000079240000}"/>
    <cellStyle name="Input 2 7 4 7 2" xfId="26653" xr:uid="{00000000-0005-0000-0000-00007A240000}"/>
    <cellStyle name="Input 2 7 4 8" xfId="9493" xr:uid="{00000000-0005-0000-0000-00007B240000}"/>
    <cellStyle name="Input 2 7 4 8 2" xfId="19796" xr:uid="{00000000-0005-0000-0000-00007C240000}"/>
    <cellStyle name="Input 2 7 5" xfId="1473" xr:uid="{00000000-0005-0000-0000-00007D240000}"/>
    <cellStyle name="Input 2 7 5 2" xfId="1974" xr:uid="{00000000-0005-0000-0000-00007E240000}"/>
    <cellStyle name="Input 2 7 5 2 2" xfId="3481" xr:uid="{00000000-0005-0000-0000-00007F240000}"/>
    <cellStyle name="Input 2 7 5 2 2 2" xfId="7543" xr:uid="{00000000-0005-0000-0000-000080240000}"/>
    <cellStyle name="Input 2 7 5 2 2 2 2" xfId="23507" xr:uid="{00000000-0005-0000-0000-000081240000}"/>
    <cellStyle name="Input 2 7 5 2 2 3" xfId="13818" xr:uid="{00000000-0005-0000-0000-000082240000}"/>
    <cellStyle name="Input 2 7 5 2 2 3 2" xfId="28650" xr:uid="{00000000-0005-0000-0000-000083240000}"/>
    <cellStyle name="Input 2 7 5 2 2 4" xfId="21183" xr:uid="{00000000-0005-0000-0000-000084240000}"/>
    <cellStyle name="Input 2 7 5 2 3" xfId="4938" xr:uid="{00000000-0005-0000-0000-000085240000}"/>
    <cellStyle name="Input 2 7 5 2 3 2" xfId="8977" xr:uid="{00000000-0005-0000-0000-000086240000}"/>
    <cellStyle name="Input 2 7 5 2 3 2 2" xfId="24443" xr:uid="{00000000-0005-0000-0000-000087240000}"/>
    <cellStyle name="Input 2 7 5 2 3 3" xfId="15260" xr:uid="{00000000-0005-0000-0000-000088240000}"/>
    <cellStyle name="Input 2 7 5 2 3 3 2" xfId="30092" xr:uid="{00000000-0005-0000-0000-000089240000}"/>
    <cellStyle name="Input 2 7 5 2 3 4" xfId="21973" xr:uid="{00000000-0005-0000-0000-00008A240000}"/>
    <cellStyle name="Input 2 7 5 2 4" xfId="2928" xr:uid="{00000000-0005-0000-0000-00008B240000}"/>
    <cellStyle name="Input 2 7 5 2 4 2" xfId="7012" xr:uid="{00000000-0005-0000-0000-00008C240000}"/>
    <cellStyle name="Input 2 7 5 2 4 2 2" xfId="23186" xr:uid="{00000000-0005-0000-0000-00008D240000}"/>
    <cellStyle name="Input 2 7 5 2 4 3" xfId="13266" xr:uid="{00000000-0005-0000-0000-00008E240000}"/>
    <cellStyle name="Input 2 7 5 2 4 3 2" xfId="28098" xr:uid="{00000000-0005-0000-0000-00008F240000}"/>
    <cellStyle name="Input 2 7 5 2 4 4" xfId="20854" xr:uid="{00000000-0005-0000-0000-000090240000}"/>
    <cellStyle name="Input 2 7 5 2 5" xfId="6104" xr:uid="{00000000-0005-0000-0000-000091240000}"/>
    <cellStyle name="Input 2 7 5 2 5 2" xfId="16291" xr:uid="{00000000-0005-0000-0000-000092240000}"/>
    <cellStyle name="Input 2 7 5 2 5 2 2" xfId="31123" xr:uid="{00000000-0005-0000-0000-000093240000}"/>
    <cellStyle name="Input 2 7 5 2 5 3" xfId="22637" xr:uid="{00000000-0005-0000-0000-000094240000}"/>
    <cellStyle name="Input 2 7 5 2 6" xfId="12361" xr:uid="{00000000-0005-0000-0000-000095240000}"/>
    <cellStyle name="Input 2 7 5 2 6 2" xfId="27193" xr:uid="{00000000-0005-0000-0000-000096240000}"/>
    <cellStyle name="Input 2 7 5 2 7" xfId="9943" xr:uid="{00000000-0005-0000-0000-000097240000}"/>
    <cellStyle name="Input 2 7 5 2 7 2" xfId="20145" xr:uid="{00000000-0005-0000-0000-000098240000}"/>
    <cellStyle name="Input 2 7 5 3" xfId="4268" xr:uid="{00000000-0005-0000-0000-000099240000}"/>
    <cellStyle name="Input 2 7 5 3 2" xfId="8307" xr:uid="{00000000-0005-0000-0000-00009A240000}"/>
    <cellStyle name="Input 2 7 5 3 2 2" xfId="24001" xr:uid="{00000000-0005-0000-0000-00009B240000}"/>
    <cellStyle name="Input 2 7 5 3 3" xfId="14600" xr:uid="{00000000-0005-0000-0000-00009C240000}"/>
    <cellStyle name="Input 2 7 5 3 3 2" xfId="29432" xr:uid="{00000000-0005-0000-0000-00009D240000}"/>
    <cellStyle name="Input 2 7 5 3 4" xfId="21601" xr:uid="{00000000-0005-0000-0000-00009E240000}"/>
    <cellStyle name="Input 2 7 5 4" xfId="4518" xr:uid="{00000000-0005-0000-0000-00009F240000}"/>
    <cellStyle name="Input 2 7 5 4 2" xfId="8557" xr:uid="{00000000-0005-0000-0000-0000A0240000}"/>
    <cellStyle name="Input 2 7 5 4 2 2" xfId="24183" xr:uid="{00000000-0005-0000-0000-0000A1240000}"/>
    <cellStyle name="Input 2 7 5 4 3" xfId="14845" xr:uid="{00000000-0005-0000-0000-0000A2240000}"/>
    <cellStyle name="Input 2 7 5 4 3 2" xfId="29677" xr:uid="{00000000-0005-0000-0000-0000A3240000}"/>
    <cellStyle name="Input 2 7 5 4 4" xfId="21743" xr:uid="{00000000-0005-0000-0000-0000A4240000}"/>
    <cellStyle name="Input 2 7 5 5" xfId="2508" xr:uid="{00000000-0005-0000-0000-0000A5240000}"/>
    <cellStyle name="Input 2 7 5 5 2" xfId="6614" xr:uid="{00000000-0005-0000-0000-0000A6240000}"/>
    <cellStyle name="Input 2 7 5 5 2 2" xfId="22952" xr:uid="{00000000-0005-0000-0000-0000A7240000}"/>
    <cellStyle name="Input 2 7 5 5 3" xfId="12846" xr:uid="{00000000-0005-0000-0000-0000A8240000}"/>
    <cellStyle name="Input 2 7 5 5 3 2" xfId="27678" xr:uid="{00000000-0005-0000-0000-0000A9240000}"/>
    <cellStyle name="Input 2 7 5 5 4" xfId="20598" xr:uid="{00000000-0005-0000-0000-0000AA240000}"/>
    <cellStyle name="Input 2 7 5 6" xfId="5631" xr:uid="{00000000-0005-0000-0000-0000AB240000}"/>
    <cellStyle name="Input 2 7 5 6 2" xfId="15866" xr:uid="{00000000-0005-0000-0000-0000AC240000}"/>
    <cellStyle name="Input 2 7 5 6 2 2" xfId="30698" xr:uid="{00000000-0005-0000-0000-0000AD240000}"/>
    <cellStyle name="Input 2 7 5 6 3" xfId="22327" xr:uid="{00000000-0005-0000-0000-0000AE240000}"/>
    <cellStyle name="Input 2 7 5 7" xfId="11890" xr:uid="{00000000-0005-0000-0000-0000AF240000}"/>
    <cellStyle name="Input 2 7 5 7 2" xfId="26722" xr:uid="{00000000-0005-0000-0000-0000B0240000}"/>
    <cellStyle name="Input 2 7 5 8" xfId="9548" xr:uid="{00000000-0005-0000-0000-0000B1240000}"/>
    <cellStyle name="Input 2 7 5 8 2" xfId="19850" xr:uid="{00000000-0005-0000-0000-0000B2240000}"/>
    <cellStyle name="Input 2 7 6" xfId="1751" xr:uid="{00000000-0005-0000-0000-0000B3240000}"/>
    <cellStyle name="Input 2 7 6 2" xfId="3597" xr:uid="{00000000-0005-0000-0000-0000B4240000}"/>
    <cellStyle name="Input 2 7 6 2 2" xfId="7659" xr:uid="{00000000-0005-0000-0000-0000B5240000}"/>
    <cellStyle name="Input 2 7 6 2 2 2" xfId="23574" xr:uid="{00000000-0005-0000-0000-0000B6240000}"/>
    <cellStyle name="Input 2 7 6 2 3" xfId="13933" xr:uid="{00000000-0005-0000-0000-0000B7240000}"/>
    <cellStyle name="Input 2 7 6 2 3 2" xfId="28765" xr:uid="{00000000-0005-0000-0000-0000B8240000}"/>
    <cellStyle name="Input 2 7 6 2 4" xfId="21243" xr:uid="{00000000-0005-0000-0000-0000B9240000}"/>
    <cellStyle name="Input 2 7 6 3" xfId="4729" xr:uid="{00000000-0005-0000-0000-0000BA240000}"/>
    <cellStyle name="Input 2 7 6 3 2" xfId="8768" xr:uid="{00000000-0005-0000-0000-0000BB240000}"/>
    <cellStyle name="Input 2 7 6 3 2 2" xfId="24298" xr:uid="{00000000-0005-0000-0000-0000BC240000}"/>
    <cellStyle name="Input 2 7 6 3 3" xfId="15053" xr:uid="{00000000-0005-0000-0000-0000BD240000}"/>
    <cellStyle name="Input 2 7 6 3 3 2" xfId="29885" xr:uid="{00000000-0005-0000-0000-0000BE240000}"/>
    <cellStyle name="Input 2 7 6 3 4" xfId="21836" xr:uid="{00000000-0005-0000-0000-0000BF240000}"/>
    <cellStyle name="Input 2 7 6 4" xfId="2719" xr:uid="{00000000-0005-0000-0000-0000C0240000}"/>
    <cellStyle name="Input 2 7 6 4 2" xfId="6810" xr:uid="{00000000-0005-0000-0000-0000C1240000}"/>
    <cellStyle name="Input 2 7 6 4 2 2" xfId="23049" xr:uid="{00000000-0005-0000-0000-0000C2240000}"/>
    <cellStyle name="Input 2 7 6 4 3" xfId="13057" xr:uid="{00000000-0005-0000-0000-0000C3240000}"/>
    <cellStyle name="Input 2 7 6 4 3 2" xfId="27889" xr:uid="{00000000-0005-0000-0000-0000C4240000}"/>
    <cellStyle name="Input 2 7 6 4 4" xfId="20709" xr:uid="{00000000-0005-0000-0000-0000C5240000}"/>
    <cellStyle name="Input 2 7 6 5" xfId="5883" xr:uid="{00000000-0005-0000-0000-0000C6240000}"/>
    <cellStyle name="Input 2 7 6 5 2" xfId="16075" xr:uid="{00000000-0005-0000-0000-0000C7240000}"/>
    <cellStyle name="Input 2 7 6 5 2 2" xfId="30907" xr:uid="{00000000-0005-0000-0000-0000C8240000}"/>
    <cellStyle name="Input 2 7 6 5 3" xfId="22480" xr:uid="{00000000-0005-0000-0000-0000C9240000}"/>
    <cellStyle name="Input 2 7 6 6" xfId="12145" xr:uid="{00000000-0005-0000-0000-0000CA240000}"/>
    <cellStyle name="Input 2 7 6 6 2" xfId="26977" xr:uid="{00000000-0005-0000-0000-0000CB240000}"/>
    <cellStyle name="Input 2 7 6 7" xfId="9741" xr:uid="{00000000-0005-0000-0000-0000CC240000}"/>
    <cellStyle name="Input 2 7 6 7 2" xfId="20039" xr:uid="{00000000-0005-0000-0000-0000CD240000}"/>
    <cellStyle name="Input 2 7 7" xfId="2215" xr:uid="{00000000-0005-0000-0000-0000CE240000}"/>
    <cellStyle name="Input 2 7 7 2" xfId="3841" xr:uid="{00000000-0005-0000-0000-0000CF240000}"/>
    <cellStyle name="Input 2 7 7 2 2" xfId="7894" xr:uid="{00000000-0005-0000-0000-0000D0240000}"/>
    <cellStyle name="Input 2 7 7 2 2 2" xfId="23731" xr:uid="{00000000-0005-0000-0000-0000D1240000}"/>
    <cellStyle name="Input 2 7 7 2 3" xfId="14176" xr:uid="{00000000-0005-0000-0000-0000D2240000}"/>
    <cellStyle name="Input 2 7 7 2 3 2" xfId="29008" xr:uid="{00000000-0005-0000-0000-0000D3240000}"/>
    <cellStyle name="Input 2 7 7 2 4" xfId="21378" xr:uid="{00000000-0005-0000-0000-0000D4240000}"/>
    <cellStyle name="Input 2 7 7 3" xfId="5183" xr:uid="{00000000-0005-0000-0000-0000D5240000}"/>
    <cellStyle name="Input 2 7 7 3 2" xfId="9222" xr:uid="{00000000-0005-0000-0000-0000D6240000}"/>
    <cellStyle name="Input 2 7 7 3 2 2" xfId="24560" xr:uid="{00000000-0005-0000-0000-0000D7240000}"/>
    <cellStyle name="Input 2 7 7 3 3" xfId="15501" xr:uid="{00000000-0005-0000-0000-0000D8240000}"/>
    <cellStyle name="Input 2 7 7 3 3 2" xfId="30333" xr:uid="{00000000-0005-0000-0000-0000D9240000}"/>
    <cellStyle name="Input 2 7 7 3 4" xfId="22067" xr:uid="{00000000-0005-0000-0000-0000DA240000}"/>
    <cellStyle name="Input 2 7 7 4" xfId="4213" xr:uid="{00000000-0005-0000-0000-0000DB240000}"/>
    <cellStyle name="Input 2 7 7 4 2" xfId="8254" xr:uid="{00000000-0005-0000-0000-0000DC240000}"/>
    <cellStyle name="Input 2 7 7 4 2 2" xfId="23949" xr:uid="{00000000-0005-0000-0000-0000DD240000}"/>
    <cellStyle name="Input 2 7 7 4 3" xfId="14545" xr:uid="{00000000-0005-0000-0000-0000DE240000}"/>
    <cellStyle name="Input 2 7 7 4 3 2" xfId="29377" xr:uid="{00000000-0005-0000-0000-0000DF240000}"/>
    <cellStyle name="Input 2 7 7 4 4" xfId="21574" xr:uid="{00000000-0005-0000-0000-0000E0240000}"/>
    <cellStyle name="Input 2 7 7 5" xfId="6329" xr:uid="{00000000-0005-0000-0000-0000E1240000}"/>
    <cellStyle name="Input 2 7 7 5 2" xfId="22731" xr:uid="{00000000-0005-0000-0000-0000E2240000}"/>
    <cellStyle name="Input 2 7 7 6" xfId="12583" xr:uid="{00000000-0005-0000-0000-0000E3240000}"/>
    <cellStyle name="Input 2 7 7 6 2" xfId="27415" xr:uid="{00000000-0005-0000-0000-0000E4240000}"/>
    <cellStyle name="Input 2 7 7 7" xfId="20410" xr:uid="{00000000-0005-0000-0000-0000E5240000}"/>
    <cellStyle name="Input 2 7 8" xfId="4273" xr:uid="{00000000-0005-0000-0000-0000E6240000}"/>
    <cellStyle name="Input 2 7 8 2" xfId="8312" xr:uid="{00000000-0005-0000-0000-0000E7240000}"/>
    <cellStyle name="Input 2 7 8 2 2" xfId="24006" xr:uid="{00000000-0005-0000-0000-0000E8240000}"/>
    <cellStyle name="Input 2 7 8 3" xfId="14605" xr:uid="{00000000-0005-0000-0000-0000E9240000}"/>
    <cellStyle name="Input 2 7 8 3 2" xfId="29437" xr:uid="{00000000-0005-0000-0000-0000EA240000}"/>
    <cellStyle name="Input 2 7 8 4" xfId="21606" xr:uid="{00000000-0005-0000-0000-0000EB240000}"/>
    <cellStyle name="Input 2 7 9" xfId="3145" xr:uid="{00000000-0005-0000-0000-0000EC240000}"/>
    <cellStyle name="Input 2 7 9 2" xfId="7209" xr:uid="{00000000-0005-0000-0000-0000ED240000}"/>
    <cellStyle name="Input 2 7 9 2 2" xfId="23278" xr:uid="{00000000-0005-0000-0000-0000EE240000}"/>
    <cellStyle name="Input 2 7 9 3" xfId="13483" xr:uid="{00000000-0005-0000-0000-0000EF240000}"/>
    <cellStyle name="Input 2 7 9 3 2" xfId="28315" xr:uid="{00000000-0005-0000-0000-0000F0240000}"/>
    <cellStyle name="Input 2 7 9 4" xfId="20969" xr:uid="{00000000-0005-0000-0000-0000F1240000}"/>
    <cellStyle name="Input 2 8" xfId="1119" xr:uid="{00000000-0005-0000-0000-0000F2240000}"/>
    <cellStyle name="Input 2 8 10" xfId="2290" xr:uid="{00000000-0005-0000-0000-0000F3240000}"/>
    <cellStyle name="Input 2 8 10 2" xfId="6402" xr:uid="{00000000-0005-0000-0000-0000F4240000}"/>
    <cellStyle name="Input 2 8 10 2 2" xfId="22804" xr:uid="{00000000-0005-0000-0000-0000F5240000}"/>
    <cellStyle name="Input 2 8 10 3" xfId="12630" xr:uid="{00000000-0005-0000-0000-0000F6240000}"/>
    <cellStyle name="Input 2 8 10 3 2" xfId="27462" xr:uid="{00000000-0005-0000-0000-0000F7240000}"/>
    <cellStyle name="Input 2 8 10 4" xfId="20456" xr:uid="{00000000-0005-0000-0000-0000F8240000}"/>
    <cellStyle name="Input 2 8 11" xfId="5256" xr:uid="{00000000-0005-0000-0000-0000F9240000}"/>
    <cellStyle name="Input 2 8 11 2" xfId="15572" xr:uid="{00000000-0005-0000-0000-0000FA240000}"/>
    <cellStyle name="Input 2 8 11 2 2" xfId="30404" xr:uid="{00000000-0005-0000-0000-0000FB240000}"/>
    <cellStyle name="Input 2 8 11 3" xfId="22113" xr:uid="{00000000-0005-0000-0000-0000FC240000}"/>
    <cellStyle name="Input 2 8 12" xfId="5414" xr:uid="{00000000-0005-0000-0000-0000FD240000}"/>
    <cellStyle name="Input 2 8 12 2" xfId="15650" xr:uid="{00000000-0005-0000-0000-0000FE240000}"/>
    <cellStyle name="Input 2 8 12 2 2" xfId="30482" xr:uid="{00000000-0005-0000-0000-0000FF240000}"/>
    <cellStyle name="Input 2 8 12 3" xfId="22175" xr:uid="{00000000-0005-0000-0000-000000250000}"/>
    <cellStyle name="Input 2 8 13" xfId="9377" xr:uid="{00000000-0005-0000-0000-000001250000}"/>
    <cellStyle name="Input 2 8 13 2" xfId="24683" xr:uid="{00000000-0005-0000-0000-000002250000}"/>
    <cellStyle name="Input 2 8 14" xfId="5366" xr:uid="{00000000-0005-0000-0000-000003250000}"/>
    <cellStyle name="Input 2 8 14 2" xfId="18240" xr:uid="{00000000-0005-0000-0000-000004250000}"/>
    <cellStyle name="Input 2 8 2" xfId="1326" xr:uid="{00000000-0005-0000-0000-000005250000}"/>
    <cellStyle name="Input 2 8 2 2" xfId="1830" xr:uid="{00000000-0005-0000-0000-000006250000}"/>
    <cellStyle name="Input 2 8 2 2 2" xfId="3843" xr:uid="{00000000-0005-0000-0000-000007250000}"/>
    <cellStyle name="Input 2 8 2 2 2 2" xfId="7896" xr:uid="{00000000-0005-0000-0000-000008250000}"/>
    <cellStyle name="Input 2 8 2 2 2 2 2" xfId="23733" xr:uid="{00000000-0005-0000-0000-000009250000}"/>
    <cellStyle name="Input 2 8 2 2 2 3" xfId="14178" xr:uid="{00000000-0005-0000-0000-00000A250000}"/>
    <cellStyle name="Input 2 8 2 2 2 3 2" xfId="29010" xr:uid="{00000000-0005-0000-0000-00000B250000}"/>
    <cellStyle name="Input 2 8 2 2 2 4" xfId="21380" xr:uid="{00000000-0005-0000-0000-00000C250000}"/>
    <cellStyle name="Input 2 8 2 2 3" xfId="4808" xr:uid="{00000000-0005-0000-0000-00000D250000}"/>
    <cellStyle name="Input 2 8 2 2 3 2" xfId="8847" xr:uid="{00000000-0005-0000-0000-00000E250000}"/>
    <cellStyle name="Input 2 8 2 2 3 2 2" xfId="24345" xr:uid="{00000000-0005-0000-0000-00000F250000}"/>
    <cellStyle name="Input 2 8 2 2 3 3" xfId="15132" xr:uid="{00000000-0005-0000-0000-000010250000}"/>
    <cellStyle name="Input 2 8 2 2 3 3 2" xfId="29964" xr:uid="{00000000-0005-0000-0000-000011250000}"/>
    <cellStyle name="Input 2 8 2 2 3 4" xfId="21883" xr:uid="{00000000-0005-0000-0000-000012250000}"/>
    <cellStyle name="Input 2 8 2 2 4" xfId="2798" xr:uid="{00000000-0005-0000-0000-000013250000}"/>
    <cellStyle name="Input 2 8 2 2 4 2" xfId="6889" xr:uid="{00000000-0005-0000-0000-000014250000}"/>
    <cellStyle name="Input 2 8 2 2 4 2 2" xfId="23096" xr:uid="{00000000-0005-0000-0000-000015250000}"/>
    <cellStyle name="Input 2 8 2 2 4 3" xfId="13136" xr:uid="{00000000-0005-0000-0000-000016250000}"/>
    <cellStyle name="Input 2 8 2 2 4 3 2" xfId="27968" xr:uid="{00000000-0005-0000-0000-000017250000}"/>
    <cellStyle name="Input 2 8 2 2 4 4" xfId="20756" xr:uid="{00000000-0005-0000-0000-000018250000}"/>
    <cellStyle name="Input 2 8 2 2 5" xfId="5962" xr:uid="{00000000-0005-0000-0000-000019250000}"/>
    <cellStyle name="Input 2 8 2 2 5 2" xfId="16154" xr:uid="{00000000-0005-0000-0000-00001A250000}"/>
    <cellStyle name="Input 2 8 2 2 5 2 2" xfId="30986" xr:uid="{00000000-0005-0000-0000-00001B250000}"/>
    <cellStyle name="Input 2 8 2 2 5 3" xfId="22527" xr:uid="{00000000-0005-0000-0000-00001C250000}"/>
    <cellStyle name="Input 2 8 2 2 6" xfId="12224" xr:uid="{00000000-0005-0000-0000-00001D250000}"/>
    <cellStyle name="Input 2 8 2 2 6 2" xfId="27056" xr:uid="{00000000-0005-0000-0000-00001E250000}"/>
    <cellStyle name="Input 2 8 2 2 7" xfId="9820" xr:uid="{00000000-0005-0000-0000-00001F250000}"/>
    <cellStyle name="Input 2 8 2 2 7 2" xfId="20071" xr:uid="{00000000-0005-0000-0000-000020250000}"/>
    <cellStyle name="Input 2 8 2 3" xfId="4090" xr:uid="{00000000-0005-0000-0000-000021250000}"/>
    <cellStyle name="Input 2 8 2 3 2" xfId="8136" xr:uid="{00000000-0005-0000-0000-000022250000}"/>
    <cellStyle name="Input 2 8 2 3 2 2" xfId="23884" xr:uid="{00000000-0005-0000-0000-000023250000}"/>
    <cellStyle name="Input 2 8 2 3 3" xfId="14422" xr:uid="{00000000-0005-0000-0000-000024250000}"/>
    <cellStyle name="Input 2 8 2 3 3 2" xfId="29254" xr:uid="{00000000-0005-0000-0000-000025250000}"/>
    <cellStyle name="Input 2 8 2 3 4" xfId="21514" xr:uid="{00000000-0005-0000-0000-000026250000}"/>
    <cellStyle name="Input 2 8 2 4" xfId="4388" xr:uid="{00000000-0005-0000-0000-000027250000}"/>
    <cellStyle name="Input 2 8 2 4 2" xfId="8427" xr:uid="{00000000-0005-0000-0000-000028250000}"/>
    <cellStyle name="Input 2 8 2 4 2 2" xfId="24085" xr:uid="{00000000-0005-0000-0000-000029250000}"/>
    <cellStyle name="Input 2 8 2 4 3" xfId="14717" xr:uid="{00000000-0005-0000-0000-00002A250000}"/>
    <cellStyle name="Input 2 8 2 4 3 2" xfId="29549" xr:uid="{00000000-0005-0000-0000-00002B250000}"/>
    <cellStyle name="Input 2 8 2 4 4" xfId="21653" xr:uid="{00000000-0005-0000-0000-00002C250000}"/>
    <cellStyle name="Input 2 8 2 5" xfId="2378" xr:uid="{00000000-0005-0000-0000-00002D250000}"/>
    <cellStyle name="Input 2 8 2 5 2" xfId="6490" xr:uid="{00000000-0005-0000-0000-00002E250000}"/>
    <cellStyle name="Input 2 8 2 5 2 2" xfId="22860" xr:uid="{00000000-0005-0000-0000-00002F250000}"/>
    <cellStyle name="Input 2 8 2 5 3" xfId="12717" xr:uid="{00000000-0005-0000-0000-000030250000}"/>
    <cellStyle name="Input 2 8 2 5 3 2" xfId="27549" xr:uid="{00000000-0005-0000-0000-000031250000}"/>
    <cellStyle name="Input 2 8 2 5 4" xfId="20502" xr:uid="{00000000-0005-0000-0000-000032250000}"/>
    <cellStyle name="Input 2 8 2 6" xfId="5503" xr:uid="{00000000-0005-0000-0000-000033250000}"/>
    <cellStyle name="Input 2 8 2 6 2" xfId="15738" xr:uid="{00000000-0005-0000-0000-000034250000}"/>
    <cellStyle name="Input 2 8 2 6 2 2" xfId="30570" xr:uid="{00000000-0005-0000-0000-000035250000}"/>
    <cellStyle name="Input 2 8 2 6 3" xfId="22231" xr:uid="{00000000-0005-0000-0000-000036250000}"/>
    <cellStyle name="Input 2 8 2 7" xfId="11753" xr:uid="{00000000-0005-0000-0000-000037250000}"/>
    <cellStyle name="Input 2 8 2 7 2" xfId="26585" xr:uid="{00000000-0005-0000-0000-000038250000}"/>
    <cellStyle name="Input 2 8 2 8" xfId="9424" xr:uid="{00000000-0005-0000-0000-000039250000}"/>
    <cellStyle name="Input 2 8 2 8 2" xfId="19728" xr:uid="{00000000-0005-0000-0000-00003A250000}"/>
    <cellStyle name="Input 2 8 3" xfId="1484" xr:uid="{00000000-0005-0000-0000-00003B250000}"/>
    <cellStyle name="Input 2 8 3 2" xfId="1985" xr:uid="{00000000-0005-0000-0000-00003C250000}"/>
    <cellStyle name="Input 2 8 3 2 2" xfId="3482" xr:uid="{00000000-0005-0000-0000-00003D250000}"/>
    <cellStyle name="Input 2 8 3 2 2 2" xfId="7544" xr:uid="{00000000-0005-0000-0000-00003E250000}"/>
    <cellStyle name="Input 2 8 3 2 2 2 2" xfId="23508" xr:uid="{00000000-0005-0000-0000-00003F250000}"/>
    <cellStyle name="Input 2 8 3 2 2 3" xfId="13819" xr:uid="{00000000-0005-0000-0000-000040250000}"/>
    <cellStyle name="Input 2 8 3 2 2 3 2" xfId="28651" xr:uid="{00000000-0005-0000-0000-000041250000}"/>
    <cellStyle name="Input 2 8 3 2 2 4" xfId="21184" xr:uid="{00000000-0005-0000-0000-000042250000}"/>
    <cellStyle name="Input 2 8 3 2 3" xfId="4949" xr:uid="{00000000-0005-0000-0000-000043250000}"/>
    <cellStyle name="Input 2 8 3 2 3 2" xfId="8988" xr:uid="{00000000-0005-0000-0000-000044250000}"/>
    <cellStyle name="Input 2 8 3 2 3 2 2" xfId="24454" xr:uid="{00000000-0005-0000-0000-000045250000}"/>
    <cellStyle name="Input 2 8 3 2 3 3" xfId="15271" xr:uid="{00000000-0005-0000-0000-000046250000}"/>
    <cellStyle name="Input 2 8 3 2 3 3 2" xfId="30103" xr:uid="{00000000-0005-0000-0000-000047250000}"/>
    <cellStyle name="Input 2 8 3 2 3 4" xfId="21984" xr:uid="{00000000-0005-0000-0000-000048250000}"/>
    <cellStyle name="Input 2 8 3 2 4" xfId="2939" xr:uid="{00000000-0005-0000-0000-000049250000}"/>
    <cellStyle name="Input 2 8 3 2 4 2" xfId="7023" xr:uid="{00000000-0005-0000-0000-00004A250000}"/>
    <cellStyle name="Input 2 8 3 2 4 2 2" xfId="23197" xr:uid="{00000000-0005-0000-0000-00004B250000}"/>
    <cellStyle name="Input 2 8 3 2 4 3" xfId="13277" xr:uid="{00000000-0005-0000-0000-00004C250000}"/>
    <cellStyle name="Input 2 8 3 2 4 3 2" xfId="28109" xr:uid="{00000000-0005-0000-0000-00004D250000}"/>
    <cellStyle name="Input 2 8 3 2 4 4" xfId="20865" xr:uid="{00000000-0005-0000-0000-00004E250000}"/>
    <cellStyle name="Input 2 8 3 2 5" xfId="6115" xr:uid="{00000000-0005-0000-0000-00004F250000}"/>
    <cellStyle name="Input 2 8 3 2 5 2" xfId="16302" xr:uid="{00000000-0005-0000-0000-000050250000}"/>
    <cellStyle name="Input 2 8 3 2 5 2 2" xfId="31134" xr:uid="{00000000-0005-0000-0000-000051250000}"/>
    <cellStyle name="Input 2 8 3 2 5 3" xfId="22648" xr:uid="{00000000-0005-0000-0000-000052250000}"/>
    <cellStyle name="Input 2 8 3 2 6" xfId="12372" xr:uid="{00000000-0005-0000-0000-000053250000}"/>
    <cellStyle name="Input 2 8 3 2 6 2" xfId="27204" xr:uid="{00000000-0005-0000-0000-000054250000}"/>
    <cellStyle name="Input 2 8 3 2 7" xfId="9954" xr:uid="{00000000-0005-0000-0000-000055250000}"/>
    <cellStyle name="Input 2 8 3 2 7 2" xfId="20156" xr:uid="{00000000-0005-0000-0000-000056250000}"/>
    <cellStyle name="Input 2 8 3 3" xfId="3120" xr:uid="{00000000-0005-0000-0000-000057250000}"/>
    <cellStyle name="Input 2 8 3 3 2" xfId="7185" xr:uid="{00000000-0005-0000-0000-000058250000}"/>
    <cellStyle name="Input 2 8 3 3 2 2" xfId="23259" xr:uid="{00000000-0005-0000-0000-000059250000}"/>
    <cellStyle name="Input 2 8 3 3 3" xfId="13458" xr:uid="{00000000-0005-0000-0000-00005A250000}"/>
    <cellStyle name="Input 2 8 3 3 3 2" xfId="28290" xr:uid="{00000000-0005-0000-0000-00005B250000}"/>
    <cellStyle name="Input 2 8 3 3 4" xfId="20949" xr:uid="{00000000-0005-0000-0000-00005C250000}"/>
    <cellStyle name="Input 2 8 3 4" xfId="4529" xr:uid="{00000000-0005-0000-0000-00005D250000}"/>
    <cellStyle name="Input 2 8 3 4 2" xfId="8568" xr:uid="{00000000-0005-0000-0000-00005E250000}"/>
    <cellStyle name="Input 2 8 3 4 2 2" xfId="24194" xr:uid="{00000000-0005-0000-0000-00005F250000}"/>
    <cellStyle name="Input 2 8 3 4 3" xfId="14856" xr:uid="{00000000-0005-0000-0000-000060250000}"/>
    <cellStyle name="Input 2 8 3 4 3 2" xfId="29688" xr:uid="{00000000-0005-0000-0000-000061250000}"/>
    <cellStyle name="Input 2 8 3 4 4" xfId="21754" xr:uid="{00000000-0005-0000-0000-000062250000}"/>
    <cellStyle name="Input 2 8 3 5" xfId="2519" xr:uid="{00000000-0005-0000-0000-000063250000}"/>
    <cellStyle name="Input 2 8 3 5 2" xfId="6625" xr:uid="{00000000-0005-0000-0000-000064250000}"/>
    <cellStyle name="Input 2 8 3 5 2 2" xfId="22963" xr:uid="{00000000-0005-0000-0000-000065250000}"/>
    <cellStyle name="Input 2 8 3 5 3" xfId="12857" xr:uid="{00000000-0005-0000-0000-000066250000}"/>
    <cellStyle name="Input 2 8 3 5 3 2" xfId="27689" xr:uid="{00000000-0005-0000-0000-000067250000}"/>
    <cellStyle name="Input 2 8 3 5 4" xfId="20609" xr:uid="{00000000-0005-0000-0000-000068250000}"/>
    <cellStyle name="Input 2 8 3 6" xfId="5642" xr:uid="{00000000-0005-0000-0000-000069250000}"/>
    <cellStyle name="Input 2 8 3 6 2" xfId="15877" xr:uid="{00000000-0005-0000-0000-00006A250000}"/>
    <cellStyle name="Input 2 8 3 6 2 2" xfId="30709" xr:uid="{00000000-0005-0000-0000-00006B250000}"/>
    <cellStyle name="Input 2 8 3 6 3" xfId="22338" xr:uid="{00000000-0005-0000-0000-00006C250000}"/>
    <cellStyle name="Input 2 8 3 7" xfId="11901" xr:uid="{00000000-0005-0000-0000-00006D250000}"/>
    <cellStyle name="Input 2 8 3 7 2" xfId="26733" xr:uid="{00000000-0005-0000-0000-00006E250000}"/>
    <cellStyle name="Input 2 8 3 8" xfId="9559" xr:uid="{00000000-0005-0000-0000-00006F250000}"/>
    <cellStyle name="Input 2 8 3 8 2" xfId="19861" xr:uid="{00000000-0005-0000-0000-000070250000}"/>
    <cellStyle name="Input 2 8 4" xfId="1396" xr:uid="{00000000-0005-0000-0000-000071250000}"/>
    <cellStyle name="Input 2 8 4 2" xfId="1898" xr:uid="{00000000-0005-0000-0000-000072250000}"/>
    <cellStyle name="Input 2 8 4 2 2" xfId="3519" xr:uid="{00000000-0005-0000-0000-000073250000}"/>
    <cellStyle name="Input 2 8 4 2 2 2" xfId="7581" xr:uid="{00000000-0005-0000-0000-000074250000}"/>
    <cellStyle name="Input 2 8 4 2 2 2 2" xfId="23529" xr:uid="{00000000-0005-0000-0000-000075250000}"/>
    <cellStyle name="Input 2 8 4 2 2 3" xfId="13856" xr:uid="{00000000-0005-0000-0000-000076250000}"/>
    <cellStyle name="Input 2 8 4 2 2 3 2" xfId="28688" xr:uid="{00000000-0005-0000-0000-000077250000}"/>
    <cellStyle name="Input 2 8 4 2 2 4" xfId="21204" xr:uid="{00000000-0005-0000-0000-000078250000}"/>
    <cellStyle name="Input 2 8 4 2 3" xfId="4876" xr:uid="{00000000-0005-0000-0000-000079250000}"/>
    <cellStyle name="Input 2 8 4 2 3 2" xfId="8915" xr:uid="{00000000-0005-0000-0000-00007A250000}"/>
    <cellStyle name="Input 2 8 4 2 3 2 2" xfId="24381" xr:uid="{00000000-0005-0000-0000-00007B250000}"/>
    <cellStyle name="Input 2 8 4 2 3 3" xfId="15199" xr:uid="{00000000-0005-0000-0000-00007C250000}"/>
    <cellStyle name="Input 2 8 4 2 3 3 2" xfId="30031" xr:uid="{00000000-0005-0000-0000-00007D250000}"/>
    <cellStyle name="Input 2 8 4 2 3 4" xfId="21913" xr:uid="{00000000-0005-0000-0000-00007E250000}"/>
    <cellStyle name="Input 2 8 4 2 4" xfId="2866" xr:uid="{00000000-0005-0000-0000-00007F250000}"/>
    <cellStyle name="Input 2 8 4 2 4 2" xfId="6951" xr:uid="{00000000-0005-0000-0000-000080250000}"/>
    <cellStyle name="Input 2 8 4 2 4 2 2" xfId="23126" xr:uid="{00000000-0005-0000-0000-000081250000}"/>
    <cellStyle name="Input 2 8 4 2 4 3" xfId="13204" xr:uid="{00000000-0005-0000-0000-000082250000}"/>
    <cellStyle name="Input 2 8 4 2 4 3 2" xfId="28036" xr:uid="{00000000-0005-0000-0000-000083250000}"/>
    <cellStyle name="Input 2 8 4 2 4 4" xfId="20792" xr:uid="{00000000-0005-0000-0000-000084250000}"/>
    <cellStyle name="Input 2 8 4 2 5" xfId="6029" xr:uid="{00000000-0005-0000-0000-000085250000}"/>
    <cellStyle name="Input 2 8 4 2 5 2" xfId="16216" xr:uid="{00000000-0005-0000-0000-000086250000}"/>
    <cellStyle name="Input 2 8 4 2 5 2 2" xfId="31048" xr:uid="{00000000-0005-0000-0000-000087250000}"/>
    <cellStyle name="Input 2 8 4 2 5 3" xfId="22562" xr:uid="{00000000-0005-0000-0000-000088250000}"/>
    <cellStyle name="Input 2 8 4 2 6" xfId="12286" xr:uid="{00000000-0005-0000-0000-000089250000}"/>
    <cellStyle name="Input 2 8 4 2 6 2" xfId="27118" xr:uid="{00000000-0005-0000-0000-00008A250000}"/>
    <cellStyle name="Input 2 8 4 2 7" xfId="9882" xr:uid="{00000000-0005-0000-0000-00008B250000}"/>
    <cellStyle name="Input 2 8 4 2 7 2" xfId="20086" xr:uid="{00000000-0005-0000-0000-00008C250000}"/>
    <cellStyle name="Input 2 8 4 3" xfId="3774" xr:uid="{00000000-0005-0000-0000-00008D250000}"/>
    <cellStyle name="Input 2 8 4 3 2" xfId="7830" xr:uid="{00000000-0005-0000-0000-00008E250000}"/>
    <cellStyle name="Input 2 8 4 3 2 2" xfId="23686" xr:uid="{00000000-0005-0000-0000-00008F250000}"/>
    <cellStyle name="Input 2 8 4 3 3" xfId="14109" xr:uid="{00000000-0005-0000-0000-000090250000}"/>
    <cellStyle name="Input 2 8 4 3 3 2" xfId="28941" xr:uid="{00000000-0005-0000-0000-000091250000}"/>
    <cellStyle name="Input 2 8 4 3 4" xfId="21342" xr:uid="{00000000-0005-0000-0000-000092250000}"/>
    <cellStyle name="Input 2 8 4 4" xfId="4456" xr:uid="{00000000-0005-0000-0000-000093250000}"/>
    <cellStyle name="Input 2 8 4 4 2" xfId="8495" xr:uid="{00000000-0005-0000-0000-000094250000}"/>
    <cellStyle name="Input 2 8 4 4 2 2" xfId="24121" xr:uid="{00000000-0005-0000-0000-000095250000}"/>
    <cellStyle name="Input 2 8 4 4 3" xfId="14784" xr:uid="{00000000-0005-0000-0000-000096250000}"/>
    <cellStyle name="Input 2 8 4 4 3 2" xfId="29616" xr:uid="{00000000-0005-0000-0000-000097250000}"/>
    <cellStyle name="Input 2 8 4 4 4" xfId="21683" xr:uid="{00000000-0005-0000-0000-000098250000}"/>
    <cellStyle name="Input 2 8 4 5" xfId="2446" xr:uid="{00000000-0005-0000-0000-000099250000}"/>
    <cellStyle name="Input 2 8 4 5 2" xfId="6552" xr:uid="{00000000-0005-0000-0000-00009A250000}"/>
    <cellStyle name="Input 2 8 4 5 2 2" xfId="22890" xr:uid="{00000000-0005-0000-0000-00009B250000}"/>
    <cellStyle name="Input 2 8 4 5 3" xfId="12785" xr:uid="{00000000-0005-0000-0000-00009C250000}"/>
    <cellStyle name="Input 2 8 4 5 3 2" xfId="27617" xr:uid="{00000000-0005-0000-0000-00009D250000}"/>
    <cellStyle name="Input 2 8 4 5 4" xfId="20538" xr:uid="{00000000-0005-0000-0000-00009E250000}"/>
    <cellStyle name="Input 2 8 4 6" xfId="5570" xr:uid="{00000000-0005-0000-0000-00009F250000}"/>
    <cellStyle name="Input 2 8 4 6 2" xfId="15805" xr:uid="{00000000-0005-0000-0000-0000A0250000}"/>
    <cellStyle name="Input 2 8 4 6 2 2" xfId="30637" xr:uid="{00000000-0005-0000-0000-0000A1250000}"/>
    <cellStyle name="Input 2 8 4 6 3" xfId="22266" xr:uid="{00000000-0005-0000-0000-0000A2250000}"/>
    <cellStyle name="Input 2 8 4 7" xfId="11815" xr:uid="{00000000-0005-0000-0000-0000A3250000}"/>
    <cellStyle name="Input 2 8 4 7 2" xfId="26647" xr:uid="{00000000-0005-0000-0000-0000A4250000}"/>
    <cellStyle name="Input 2 8 4 8" xfId="9487" xr:uid="{00000000-0005-0000-0000-0000A5250000}"/>
    <cellStyle name="Input 2 8 4 8 2" xfId="19790" xr:uid="{00000000-0005-0000-0000-0000A6250000}"/>
    <cellStyle name="Input 2 8 5" xfId="1474" xr:uid="{00000000-0005-0000-0000-0000A7250000}"/>
    <cellStyle name="Input 2 8 5 2" xfId="1975" xr:uid="{00000000-0005-0000-0000-0000A8250000}"/>
    <cellStyle name="Input 2 8 5 2 2" xfId="4139" xr:uid="{00000000-0005-0000-0000-0000A9250000}"/>
    <cellStyle name="Input 2 8 5 2 2 2" xfId="8183" xr:uid="{00000000-0005-0000-0000-0000AA250000}"/>
    <cellStyle name="Input 2 8 5 2 2 2 2" xfId="23912" xr:uid="{00000000-0005-0000-0000-0000AB250000}"/>
    <cellStyle name="Input 2 8 5 2 2 3" xfId="14471" xr:uid="{00000000-0005-0000-0000-0000AC250000}"/>
    <cellStyle name="Input 2 8 5 2 2 3 2" xfId="29303" xr:uid="{00000000-0005-0000-0000-0000AD250000}"/>
    <cellStyle name="Input 2 8 5 2 2 4" xfId="21539" xr:uid="{00000000-0005-0000-0000-0000AE250000}"/>
    <cellStyle name="Input 2 8 5 2 3" xfId="4939" xr:uid="{00000000-0005-0000-0000-0000AF250000}"/>
    <cellStyle name="Input 2 8 5 2 3 2" xfId="8978" xr:uid="{00000000-0005-0000-0000-0000B0250000}"/>
    <cellStyle name="Input 2 8 5 2 3 2 2" xfId="24444" xr:uid="{00000000-0005-0000-0000-0000B1250000}"/>
    <cellStyle name="Input 2 8 5 2 3 3" xfId="15261" xr:uid="{00000000-0005-0000-0000-0000B2250000}"/>
    <cellStyle name="Input 2 8 5 2 3 3 2" xfId="30093" xr:uid="{00000000-0005-0000-0000-0000B3250000}"/>
    <cellStyle name="Input 2 8 5 2 3 4" xfId="21974" xr:uid="{00000000-0005-0000-0000-0000B4250000}"/>
    <cellStyle name="Input 2 8 5 2 4" xfId="2929" xr:uid="{00000000-0005-0000-0000-0000B5250000}"/>
    <cellStyle name="Input 2 8 5 2 4 2" xfId="7013" xr:uid="{00000000-0005-0000-0000-0000B6250000}"/>
    <cellStyle name="Input 2 8 5 2 4 2 2" xfId="23187" xr:uid="{00000000-0005-0000-0000-0000B7250000}"/>
    <cellStyle name="Input 2 8 5 2 4 3" xfId="13267" xr:uid="{00000000-0005-0000-0000-0000B8250000}"/>
    <cellStyle name="Input 2 8 5 2 4 3 2" xfId="28099" xr:uid="{00000000-0005-0000-0000-0000B9250000}"/>
    <cellStyle name="Input 2 8 5 2 4 4" xfId="20855" xr:uid="{00000000-0005-0000-0000-0000BA250000}"/>
    <cellStyle name="Input 2 8 5 2 5" xfId="6105" xr:uid="{00000000-0005-0000-0000-0000BB250000}"/>
    <cellStyle name="Input 2 8 5 2 5 2" xfId="16292" xr:uid="{00000000-0005-0000-0000-0000BC250000}"/>
    <cellStyle name="Input 2 8 5 2 5 2 2" xfId="31124" xr:uid="{00000000-0005-0000-0000-0000BD250000}"/>
    <cellStyle name="Input 2 8 5 2 5 3" xfId="22638" xr:uid="{00000000-0005-0000-0000-0000BE250000}"/>
    <cellStyle name="Input 2 8 5 2 6" xfId="12362" xr:uid="{00000000-0005-0000-0000-0000BF250000}"/>
    <cellStyle name="Input 2 8 5 2 6 2" xfId="27194" xr:uid="{00000000-0005-0000-0000-0000C0250000}"/>
    <cellStyle name="Input 2 8 5 2 7" xfId="9944" xr:uid="{00000000-0005-0000-0000-0000C1250000}"/>
    <cellStyle name="Input 2 8 5 2 7 2" xfId="20146" xr:uid="{00000000-0005-0000-0000-0000C2250000}"/>
    <cellStyle name="Input 2 8 5 3" xfId="3305" xr:uid="{00000000-0005-0000-0000-0000C3250000}"/>
    <cellStyle name="Input 2 8 5 3 2" xfId="7369" xr:uid="{00000000-0005-0000-0000-0000C4250000}"/>
    <cellStyle name="Input 2 8 5 3 2 2" xfId="23389" xr:uid="{00000000-0005-0000-0000-0000C5250000}"/>
    <cellStyle name="Input 2 8 5 3 3" xfId="13642" xr:uid="{00000000-0005-0000-0000-0000C6250000}"/>
    <cellStyle name="Input 2 8 5 3 3 2" xfId="28474" xr:uid="{00000000-0005-0000-0000-0000C7250000}"/>
    <cellStyle name="Input 2 8 5 3 4" xfId="21076" xr:uid="{00000000-0005-0000-0000-0000C8250000}"/>
    <cellStyle name="Input 2 8 5 4" xfId="4519" xr:uid="{00000000-0005-0000-0000-0000C9250000}"/>
    <cellStyle name="Input 2 8 5 4 2" xfId="8558" xr:uid="{00000000-0005-0000-0000-0000CA250000}"/>
    <cellStyle name="Input 2 8 5 4 2 2" xfId="24184" xr:uid="{00000000-0005-0000-0000-0000CB250000}"/>
    <cellStyle name="Input 2 8 5 4 3" xfId="14846" xr:uid="{00000000-0005-0000-0000-0000CC250000}"/>
    <cellStyle name="Input 2 8 5 4 3 2" xfId="29678" xr:uid="{00000000-0005-0000-0000-0000CD250000}"/>
    <cellStyle name="Input 2 8 5 4 4" xfId="21744" xr:uid="{00000000-0005-0000-0000-0000CE250000}"/>
    <cellStyle name="Input 2 8 5 5" xfId="2509" xr:uid="{00000000-0005-0000-0000-0000CF250000}"/>
    <cellStyle name="Input 2 8 5 5 2" xfId="6615" xr:uid="{00000000-0005-0000-0000-0000D0250000}"/>
    <cellStyle name="Input 2 8 5 5 2 2" xfId="22953" xr:uid="{00000000-0005-0000-0000-0000D1250000}"/>
    <cellStyle name="Input 2 8 5 5 3" xfId="12847" xr:uid="{00000000-0005-0000-0000-0000D2250000}"/>
    <cellStyle name="Input 2 8 5 5 3 2" xfId="27679" xr:uid="{00000000-0005-0000-0000-0000D3250000}"/>
    <cellStyle name="Input 2 8 5 5 4" xfId="20599" xr:uid="{00000000-0005-0000-0000-0000D4250000}"/>
    <cellStyle name="Input 2 8 5 6" xfId="5632" xr:uid="{00000000-0005-0000-0000-0000D5250000}"/>
    <cellStyle name="Input 2 8 5 6 2" xfId="15867" xr:uid="{00000000-0005-0000-0000-0000D6250000}"/>
    <cellStyle name="Input 2 8 5 6 2 2" xfId="30699" xr:uid="{00000000-0005-0000-0000-0000D7250000}"/>
    <cellStyle name="Input 2 8 5 6 3" xfId="22328" xr:uid="{00000000-0005-0000-0000-0000D8250000}"/>
    <cellStyle name="Input 2 8 5 7" xfId="11891" xr:uid="{00000000-0005-0000-0000-0000D9250000}"/>
    <cellStyle name="Input 2 8 5 7 2" xfId="26723" xr:uid="{00000000-0005-0000-0000-0000DA250000}"/>
    <cellStyle name="Input 2 8 5 8" xfId="9549" xr:uid="{00000000-0005-0000-0000-0000DB250000}"/>
    <cellStyle name="Input 2 8 5 8 2" xfId="19851" xr:uid="{00000000-0005-0000-0000-0000DC250000}"/>
    <cellStyle name="Input 2 8 6" xfId="1752" xr:uid="{00000000-0005-0000-0000-0000DD250000}"/>
    <cellStyle name="Input 2 8 6 2" xfId="4120" xr:uid="{00000000-0005-0000-0000-0000DE250000}"/>
    <cellStyle name="Input 2 8 6 2 2" xfId="8165" xr:uid="{00000000-0005-0000-0000-0000DF250000}"/>
    <cellStyle name="Input 2 8 6 2 2 2" xfId="23903" xr:uid="{00000000-0005-0000-0000-0000E0250000}"/>
    <cellStyle name="Input 2 8 6 2 3" xfId="14452" xr:uid="{00000000-0005-0000-0000-0000E1250000}"/>
    <cellStyle name="Input 2 8 6 2 3 2" xfId="29284" xr:uid="{00000000-0005-0000-0000-0000E2250000}"/>
    <cellStyle name="Input 2 8 6 2 4" xfId="21529" xr:uid="{00000000-0005-0000-0000-0000E3250000}"/>
    <cellStyle name="Input 2 8 6 3" xfId="4730" xr:uid="{00000000-0005-0000-0000-0000E4250000}"/>
    <cellStyle name="Input 2 8 6 3 2" xfId="8769" xr:uid="{00000000-0005-0000-0000-0000E5250000}"/>
    <cellStyle name="Input 2 8 6 3 2 2" xfId="24299" xr:uid="{00000000-0005-0000-0000-0000E6250000}"/>
    <cellStyle name="Input 2 8 6 3 3" xfId="15054" xr:uid="{00000000-0005-0000-0000-0000E7250000}"/>
    <cellStyle name="Input 2 8 6 3 3 2" xfId="29886" xr:uid="{00000000-0005-0000-0000-0000E8250000}"/>
    <cellStyle name="Input 2 8 6 3 4" xfId="21837" xr:uid="{00000000-0005-0000-0000-0000E9250000}"/>
    <cellStyle name="Input 2 8 6 4" xfId="2720" xr:uid="{00000000-0005-0000-0000-0000EA250000}"/>
    <cellStyle name="Input 2 8 6 4 2" xfId="6811" xr:uid="{00000000-0005-0000-0000-0000EB250000}"/>
    <cellStyle name="Input 2 8 6 4 2 2" xfId="23050" xr:uid="{00000000-0005-0000-0000-0000EC250000}"/>
    <cellStyle name="Input 2 8 6 4 3" xfId="13058" xr:uid="{00000000-0005-0000-0000-0000ED250000}"/>
    <cellStyle name="Input 2 8 6 4 3 2" xfId="27890" xr:uid="{00000000-0005-0000-0000-0000EE250000}"/>
    <cellStyle name="Input 2 8 6 4 4" xfId="20710" xr:uid="{00000000-0005-0000-0000-0000EF250000}"/>
    <cellStyle name="Input 2 8 6 5" xfId="5884" xr:uid="{00000000-0005-0000-0000-0000F0250000}"/>
    <cellStyle name="Input 2 8 6 5 2" xfId="16076" xr:uid="{00000000-0005-0000-0000-0000F1250000}"/>
    <cellStyle name="Input 2 8 6 5 2 2" xfId="30908" xr:uid="{00000000-0005-0000-0000-0000F2250000}"/>
    <cellStyle name="Input 2 8 6 5 3" xfId="22481" xr:uid="{00000000-0005-0000-0000-0000F3250000}"/>
    <cellStyle name="Input 2 8 6 6" xfId="12146" xr:uid="{00000000-0005-0000-0000-0000F4250000}"/>
    <cellStyle name="Input 2 8 6 6 2" xfId="26978" xr:uid="{00000000-0005-0000-0000-0000F5250000}"/>
    <cellStyle name="Input 2 8 6 7" xfId="9742" xr:uid="{00000000-0005-0000-0000-0000F6250000}"/>
    <cellStyle name="Input 2 8 6 7 2" xfId="20040" xr:uid="{00000000-0005-0000-0000-0000F7250000}"/>
    <cellStyle name="Input 2 8 7" xfId="2214" xr:uid="{00000000-0005-0000-0000-0000F8250000}"/>
    <cellStyle name="Input 2 8 7 2" xfId="3500" xr:uid="{00000000-0005-0000-0000-0000F9250000}"/>
    <cellStyle name="Input 2 8 7 2 2" xfId="7562" xr:uid="{00000000-0005-0000-0000-0000FA250000}"/>
    <cellStyle name="Input 2 8 7 2 2 2" xfId="23516" xr:uid="{00000000-0005-0000-0000-0000FB250000}"/>
    <cellStyle name="Input 2 8 7 2 3" xfId="13837" xr:uid="{00000000-0005-0000-0000-0000FC250000}"/>
    <cellStyle name="Input 2 8 7 2 3 2" xfId="28669" xr:uid="{00000000-0005-0000-0000-0000FD250000}"/>
    <cellStyle name="Input 2 8 7 2 4" xfId="21191" xr:uid="{00000000-0005-0000-0000-0000FE250000}"/>
    <cellStyle name="Input 2 8 7 3" xfId="5182" xr:uid="{00000000-0005-0000-0000-0000FF250000}"/>
    <cellStyle name="Input 2 8 7 3 2" xfId="9221" xr:uid="{00000000-0005-0000-0000-000000260000}"/>
    <cellStyle name="Input 2 8 7 3 2 2" xfId="24559" xr:uid="{00000000-0005-0000-0000-000001260000}"/>
    <cellStyle name="Input 2 8 7 3 3" xfId="15500" xr:uid="{00000000-0005-0000-0000-000002260000}"/>
    <cellStyle name="Input 2 8 7 3 3 2" xfId="30332" xr:uid="{00000000-0005-0000-0000-000003260000}"/>
    <cellStyle name="Input 2 8 7 3 4" xfId="22066" xr:uid="{00000000-0005-0000-0000-000004260000}"/>
    <cellStyle name="Input 2 8 7 4" xfId="4212" xr:uid="{00000000-0005-0000-0000-000005260000}"/>
    <cellStyle name="Input 2 8 7 4 2" xfId="8253" xr:uid="{00000000-0005-0000-0000-000006260000}"/>
    <cellStyle name="Input 2 8 7 4 2 2" xfId="23948" xr:uid="{00000000-0005-0000-0000-000007260000}"/>
    <cellStyle name="Input 2 8 7 4 3" xfId="14544" xr:uid="{00000000-0005-0000-0000-000008260000}"/>
    <cellStyle name="Input 2 8 7 4 3 2" xfId="29376" xr:uid="{00000000-0005-0000-0000-000009260000}"/>
    <cellStyle name="Input 2 8 7 4 4" xfId="21573" xr:uid="{00000000-0005-0000-0000-00000A260000}"/>
    <cellStyle name="Input 2 8 7 5" xfId="6328" xr:uid="{00000000-0005-0000-0000-00000B260000}"/>
    <cellStyle name="Input 2 8 7 5 2" xfId="22730" xr:uid="{00000000-0005-0000-0000-00000C260000}"/>
    <cellStyle name="Input 2 8 7 6" xfId="12582" xr:uid="{00000000-0005-0000-0000-00000D260000}"/>
    <cellStyle name="Input 2 8 7 6 2" xfId="27414" xr:uid="{00000000-0005-0000-0000-00000E260000}"/>
    <cellStyle name="Input 2 8 7 7" xfId="20409" xr:uid="{00000000-0005-0000-0000-00000F260000}"/>
    <cellStyle name="Input 2 8 8" xfId="4293" xr:uid="{00000000-0005-0000-0000-000010260000}"/>
    <cellStyle name="Input 2 8 8 2" xfId="8332" xr:uid="{00000000-0005-0000-0000-000011260000}"/>
    <cellStyle name="Input 2 8 8 2 2" xfId="24020" xr:uid="{00000000-0005-0000-0000-000012260000}"/>
    <cellStyle name="Input 2 8 8 3" xfId="14624" xr:uid="{00000000-0005-0000-0000-000013260000}"/>
    <cellStyle name="Input 2 8 8 3 2" xfId="29456" xr:uid="{00000000-0005-0000-0000-000014260000}"/>
    <cellStyle name="Input 2 8 8 4" xfId="21617" xr:uid="{00000000-0005-0000-0000-000015260000}"/>
    <cellStyle name="Input 2 8 9" xfId="3216" xr:uid="{00000000-0005-0000-0000-000016260000}"/>
    <cellStyle name="Input 2 8 9 2" xfId="7280" xr:uid="{00000000-0005-0000-0000-000017260000}"/>
    <cellStyle name="Input 2 8 9 2 2" xfId="23325" xr:uid="{00000000-0005-0000-0000-000018260000}"/>
    <cellStyle name="Input 2 8 9 3" xfId="13554" xr:uid="{00000000-0005-0000-0000-000019260000}"/>
    <cellStyle name="Input 2 8 9 3 2" xfId="28386" xr:uid="{00000000-0005-0000-0000-00001A260000}"/>
    <cellStyle name="Input 2 8 9 4" xfId="21014" xr:uid="{00000000-0005-0000-0000-00001B260000}"/>
    <cellStyle name="Input 2 9" xfId="1319" xr:uid="{00000000-0005-0000-0000-00001C260000}"/>
    <cellStyle name="Input 2 9 2" xfId="1823" xr:uid="{00000000-0005-0000-0000-00001D260000}"/>
    <cellStyle name="Input 2 9 2 2" xfId="3434" xr:uid="{00000000-0005-0000-0000-00001E260000}"/>
    <cellStyle name="Input 2 9 2 2 2" xfId="7497" xr:uid="{00000000-0005-0000-0000-00001F260000}"/>
    <cellStyle name="Input 2 9 2 2 2 2" xfId="23474" xr:uid="{00000000-0005-0000-0000-000020260000}"/>
    <cellStyle name="Input 2 9 2 2 3" xfId="13771" xr:uid="{00000000-0005-0000-0000-000021260000}"/>
    <cellStyle name="Input 2 9 2 2 3 2" xfId="28603" xr:uid="{00000000-0005-0000-0000-000022260000}"/>
    <cellStyle name="Input 2 9 2 2 4" xfId="21150" xr:uid="{00000000-0005-0000-0000-000023260000}"/>
    <cellStyle name="Input 2 9 2 3" xfId="4801" xr:uid="{00000000-0005-0000-0000-000024260000}"/>
    <cellStyle name="Input 2 9 2 3 2" xfId="8840" xr:uid="{00000000-0005-0000-0000-000025260000}"/>
    <cellStyle name="Input 2 9 2 3 2 2" xfId="24338" xr:uid="{00000000-0005-0000-0000-000026260000}"/>
    <cellStyle name="Input 2 9 2 3 3" xfId="15125" xr:uid="{00000000-0005-0000-0000-000027260000}"/>
    <cellStyle name="Input 2 9 2 3 3 2" xfId="29957" xr:uid="{00000000-0005-0000-0000-000028260000}"/>
    <cellStyle name="Input 2 9 2 3 4" xfId="21876" xr:uid="{00000000-0005-0000-0000-000029260000}"/>
    <cellStyle name="Input 2 9 2 4" xfId="2791" xr:uid="{00000000-0005-0000-0000-00002A260000}"/>
    <cellStyle name="Input 2 9 2 4 2" xfId="6882" xr:uid="{00000000-0005-0000-0000-00002B260000}"/>
    <cellStyle name="Input 2 9 2 4 2 2" xfId="23089" xr:uid="{00000000-0005-0000-0000-00002C260000}"/>
    <cellStyle name="Input 2 9 2 4 3" xfId="13129" xr:uid="{00000000-0005-0000-0000-00002D260000}"/>
    <cellStyle name="Input 2 9 2 4 3 2" xfId="27961" xr:uid="{00000000-0005-0000-0000-00002E260000}"/>
    <cellStyle name="Input 2 9 2 4 4" xfId="20749" xr:uid="{00000000-0005-0000-0000-00002F260000}"/>
    <cellStyle name="Input 2 9 2 5" xfId="5955" xr:uid="{00000000-0005-0000-0000-000030260000}"/>
    <cellStyle name="Input 2 9 2 5 2" xfId="16147" xr:uid="{00000000-0005-0000-0000-000031260000}"/>
    <cellStyle name="Input 2 9 2 5 2 2" xfId="30979" xr:uid="{00000000-0005-0000-0000-000032260000}"/>
    <cellStyle name="Input 2 9 2 5 3" xfId="22520" xr:uid="{00000000-0005-0000-0000-000033260000}"/>
    <cellStyle name="Input 2 9 2 6" xfId="12217" xr:uid="{00000000-0005-0000-0000-000034260000}"/>
    <cellStyle name="Input 2 9 2 6 2" xfId="27049" xr:uid="{00000000-0005-0000-0000-000035260000}"/>
    <cellStyle name="Input 2 9 2 7" xfId="9813" xr:uid="{00000000-0005-0000-0000-000036260000}"/>
    <cellStyle name="Input 2 9 2 7 2" xfId="20064" xr:uid="{00000000-0005-0000-0000-000037260000}"/>
    <cellStyle name="Input 2 9 3" xfId="3608" xr:uid="{00000000-0005-0000-0000-000038260000}"/>
    <cellStyle name="Input 2 9 3 2" xfId="7669" xr:uid="{00000000-0005-0000-0000-000039260000}"/>
    <cellStyle name="Input 2 9 3 2 2" xfId="23579" xr:uid="{00000000-0005-0000-0000-00003A260000}"/>
    <cellStyle name="Input 2 9 3 3" xfId="13944" xr:uid="{00000000-0005-0000-0000-00003B260000}"/>
    <cellStyle name="Input 2 9 3 3 2" xfId="28776" xr:uid="{00000000-0005-0000-0000-00003C260000}"/>
    <cellStyle name="Input 2 9 3 4" xfId="21248" xr:uid="{00000000-0005-0000-0000-00003D260000}"/>
    <cellStyle name="Input 2 9 4" xfId="4381" xr:uid="{00000000-0005-0000-0000-00003E260000}"/>
    <cellStyle name="Input 2 9 4 2" xfId="8420" xr:uid="{00000000-0005-0000-0000-00003F260000}"/>
    <cellStyle name="Input 2 9 4 2 2" xfId="24078" xr:uid="{00000000-0005-0000-0000-000040260000}"/>
    <cellStyle name="Input 2 9 4 3" xfId="14710" xr:uid="{00000000-0005-0000-0000-000041260000}"/>
    <cellStyle name="Input 2 9 4 3 2" xfId="29542" xr:uid="{00000000-0005-0000-0000-000042260000}"/>
    <cellStyle name="Input 2 9 4 4" xfId="21646" xr:uid="{00000000-0005-0000-0000-000043260000}"/>
    <cellStyle name="Input 2 9 5" xfId="2371" xr:uid="{00000000-0005-0000-0000-000044260000}"/>
    <cellStyle name="Input 2 9 5 2" xfId="6483" xr:uid="{00000000-0005-0000-0000-000045260000}"/>
    <cellStyle name="Input 2 9 5 2 2" xfId="22853" xr:uid="{00000000-0005-0000-0000-000046260000}"/>
    <cellStyle name="Input 2 9 5 3" xfId="12710" xr:uid="{00000000-0005-0000-0000-000047260000}"/>
    <cellStyle name="Input 2 9 5 3 2" xfId="27542" xr:uid="{00000000-0005-0000-0000-000048260000}"/>
    <cellStyle name="Input 2 9 5 4" xfId="20495" xr:uid="{00000000-0005-0000-0000-000049260000}"/>
    <cellStyle name="Input 2 9 6" xfId="5496" xr:uid="{00000000-0005-0000-0000-00004A260000}"/>
    <cellStyle name="Input 2 9 6 2" xfId="15731" xr:uid="{00000000-0005-0000-0000-00004B260000}"/>
    <cellStyle name="Input 2 9 6 2 2" xfId="30563" xr:uid="{00000000-0005-0000-0000-00004C260000}"/>
    <cellStyle name="Input 2 9 6 3" xfId="22224" xr:uid="{00000000-0005-0000-0000-00004D260000}"/>
    <cellStyle name="Input 2 9 7" xfId="11746" xr:uid="{00000000-0005-0000-0000-00004E260000}"/>
    <cellStyle name="Input 2 9 7 2" xfId="26578" xr:uid="{00000000-0005-0000-0000-00004F260000}"/>
    <cellStyle name="Input 2 9 8" xfId="9417" xr:uid="{00000000-0005-0000-0000-000050260000}"/>
    <cellStyle name="Input 2 9 8 2" xfId="19721" xr:uid="{00000000-0005-0000-0000-000051260000}"/>
    <cellStyle name="Input 3" xfId="1120" xr:uid="{00000000-0005-0000-0000-000052260000}"/>
    <cellStyle name="Input 3 10" xfId="2291" xr:uid="{00000000-0005-0000-0000-000053260000}"/>
    <cellStyle name="Input 3 10 2" xfId="6403" xr:uid="{00000000-0005-0000-0000-000054260000}"/>
    <cellStyle name="Input 3 10 2 2" xfId="22805" xr:uid="{00000000-0005-0000-0000-000055260000}"/>
    <cellStyle name="Input 3 10 3" xfId="12631" xr:uid="{00000000-0005-0000-0000-000056260000}"/>
    <cellStyle name="Input 3 10 3 2" xfId="27463" xr:uid="{00000000-0005-0000-0000-000057260000}"/>
    <cellStyle name="Input 3 10 4" xfId="20457" xr:uid="{00000000-0005-0000-0000-000058260000}"/>
    <cellStyle name="Input 3 11" xfId="5257" xr:uid="{00000000-0005-0000-0000-000059260000}"/>
    <cellStyle name="Input 3 11 2" xfId="15573" xr:uid="{00000000-0005-0000-0000-00005A260000}"/>
    <cellStyle name="Input 3 11 2 2" xfId="30405" xr:uid="{00000000-0005-0000-0000-00005B260000}"/>
    <cellStyle name="Input 3 11 3" xfId="22114" xr:uid="{00000000-0005-0000-0000-00005C260000}"/>
    <cellStyle name="Input 3 12" xfId="5415" xr:uid="{00000000-0005-0000-0000-00005D260000}"/>
    <cellStyle name="Input 3 12 2" xfId="15651" xr:uid="{00000000-0005-0000-0000-00005E260000}"/>
    <cellStyle name="Input 3 12 2 2" xfId="30483" xr:uid="{00000000-0005-0000-0000-00005F260000}"/>
    <cellStyle name="Input 3 12 3" xfId="22176" xr:uid="{00000000-0005-0000-0000-000060260000}"/>
    <cellStyle name="Input 3 13" xfId="9376" xr:uid="{00000000-0005-0000-0000-000061260000}"/>
    <cellStyle name="Input 3 13 2" xfId="24682" xr:uid="{00000000-0005-0000-0000-000062260000}"/>
    <cellStyle name="Input 3 14" xfId="5365" xr:uid="{00000000-0005-0000-0000-000063260000}"/>
    <cellStyle name="Input 3 14 2" xfId="18239" xr:uid="{00000000-0005-0000-0000-000064260000}"/>
    <cellStyle name="Input 3 2" xfId="1327" xr:uid="{00000000-0005-0000-0000-000065260000}"/>
    <cellStyle name="Input 3 2 2" xfId="1831" xr:uid="{00000000-0005-0000-0000-000066260000}"/>
    <cellStyle name="Input 3 2 2 2" xfId="3785" xr:uid="{00000000-0005-0000-0000-000067260000}"/>
    <cellStyle name="Input 3 2 2 2 2" xfId="7840" xr:uid="{00000000-0005-0000-0000-000068260000}"/>
    <cellStyle name="Input 3 2 2 2 2 2" xfId="23696" xr:uid="{00000000-0005-0000-0000-000069260000}"/>
    <cellStyle name="Input 3 2 2 2 3" xfId="14120" xr:uid="{00000000-0005-0000-0000-00006A260000}"/>
    <cellStyle name="Input 3 2 2 2 3 2" xfId="28952" xr:uid="{00000000-0005-0000-0000-00006B260000}"/>
    <cellStyle name="Input 3 2 2 2 4" xfId="21348" xr:uid="{00000000-0005-0000-0000-00006C260000}"/>
    <cellStyle name="Input 3 2 2 3" xfId="4809" xr:uid="{00000000-0005-0000-0000-00006D260000}"/>
    <cellStyle name="Input 3 2 2 3 2" xfId="8848" xr:uid="{00000000-0005-0000-0000-00006E260000}"/>
    <cellStyle name="Input 3 2 2 3 2 2" xfId="24346" xr:uid="{00000000-0005-0000-0000-00006F260000}"/>
    <cellStyle name="Input 3 2 2 3 3" xfId="15133" xr:uid="{00000000-0005-0000-0000-000070260000}"/>
    <cellStyle name="Input 3 2 2 3 3 2" xfId="29965" xr:uid="{00000000-0005-0000-0000-000071260000}"/>
    <cellStyle name="Input 3 2 2 3 4" xfId="21884" xr:uid="{00000000-0005-0000-0000-000072260000}"/>
    <cellStyle name="Input 3 2 2 4" xfId="2799" xr:uid="{00000000-0005-0000-0000-000073260000}"/>
    <cellStyle name="Input 3 2 2 4 2" xfId="6890" xr:uid="{00000000-0005-0000-0000-000074260000}"/>
    <cellStyle name="Input 3 2 2 4 2 2" xfId="23097" xr:uid="{00000000-0005-0000-0000-000075260000}"/>
    <cellStyle name="Input 3 2 2 4 3" xfId="13137" xr:uid="{00000000-0005-0000-0000-000076260000}"/>
    <cellStyle name="Input 3 2 2 4 3 2" xfId="27969" xr:uid="{00000000-0005-0000-0000-000077260000}"/>
    <cellStyle name="Input 3 2 2 4 4" xfId="20757" xr:uid="{00000000-0005-0000-0000-000078260000}"/>
    <cellStyle name="Input 3 2 2 5" xfId="5963" xr:uid="{00000000-0005-0000-0000-000079260000}"/>
    <cellStyle name="Input 3 2 2 5 2" xfId="16155" xr:uid="{00000000-0005-0000-0000-00007A260000}"/>
    <cellStyle name="Input 3 2 2 5 2 2" xfId="30987" xr:uid="{00000000-0005-0000-0000-00007B260000}"/>
    <cellStyle name="Input 3 2 2 5 3" xfId="22528" xr:uid="{00000000-0005-0000-0000-00007C260000}"/>
    <cellStyle name="Input 3 2 2 6" xfId="12225" xr:uid="{00000000-0005-0000-0000-00007D260000}"/>
    <cellStyle name="Input 3 2 2 6 2" xfId="27057" xr:uid="{00000000-0005-0000-0000-00007E260000}"/>
    <cellStyle name="Input 3 2 2 7" xfId="9821" xr:uid="{00000000-0005-0000-0000-00007F260000}"/>
    <cellStyle name="Input 3 2 2 7 2" xfId="20072" xr:uid="{00000000-0005-0000-0000-000080260000}"/>
    <cellStyle name="Input 3 2 3" xfId="3440" xr:uid="{00000000-0005-0000-0000-000081260000}"/>
    <cellStyle name="Input 3 2 3 2" xfId="7503" xr:uid="{00000000-0005-0000-0000-000082260000}"/>
    <cellStyle name="Input 3 2 3 2 2" xfId="23477" xr:uid="{00000000-0005-0000-0000-000083260000}"/>
    <cellStyle name="Input 3 2 3 3" xfId="13777" xr:uid="{00000000-0005-0000-0000-000084260000}"/>
    <cellStyle name="Input 3 2 3 3 2" xfId="28609" xr:uid="{00000000-0005-0000-0000-000085260000}"/>
    <cellStyle name="Input 3 2 3 4" xfId="21153" xr:uid="{00000000-0005-0000-0000-000086260000}"/>
    <cellStyle name="Input 3 2 4" xfId="4389" xr:uid="{00000000-0005-0000-0000-000087260000}"/>
    <cellStyle name="Input 3 2 4 2" xfId="8428" xr:uid="{00000000-0005-0000-0000-000088260000}"/>
    <cellStyle name="Input 3 2 4 2 2" xfId="24086" xr:uid="{00000000-0005-0000-0000-000089260000}"/>
    <cellStyle name="Input 3 2 4 3" xfId="14718" xr:uid="{00000000-0005-0000-0000-00008A260000}"/>
    <cellStyle name="Input 3 2 4 3 2" xfId="29550" xr:uid="{00000000-0005-0000-0000-00008B260000}"/>
    <cellStyle name="Input 3 2 4 4" xfId="21654" xr:uid="{00000000-0005-0000-0000-00008C260000}"/>
    <cellStyle name="Input 3 2 5" xfId="2379" xr:uid="{00000000-0005-0000-0000-00008D260000}"/>
    <cellStyle name="Input 3 2 5 2" xfId="6491" xr:uid="{00000000-0005-0000-0000-00008E260000}"/>
    <cellStyle name="Input 3 2 5 2 2" xfId="22861" xr:uid="{00000000-0005-0000-0000-00008F260000}"/>
    <cellStyle name="Input 3 2 5 3" xfId="12718" xr:uid="{00000000-0005-0000-0000-000090260000}"/>
    <cellStyle name="Input 3 2 5 3 2" xfId="27550" xr:uid="{00000000-0005-0000-0000-000091260000}"/>
    <cellStyle name="Input 3 2 5 4" xfId="20503" xr:uid="{00000000-0005-0000-0000-000092260000}"/>
    <cellStyle name="Input 3 2 6" xfId="5504" xr:uid="{00000000-0005-0000-0000-000093260000}"/>
    <cellStyle name="Input 3 2 6 2" xfId="15739" xr:uid="{00000000-0005-0000-0000-000094260000}"/>
    <cellStyle name="Input 3 2 6 2 2" xfId="30571" xr:uid="{00000000-0005-0000-0000-000095260000}"/>
    <cellStyle name="Input 3 2 6 3" xfId="22232" xr:uid="{00000000-0005-0000-0000-000096260000}"/>
    <cellStyle name="Input 3 2 7" xfId="11754" xr:uid="{00000000-0005-0000-0000-000097260000}"/>
    <cellStyle name="Input 3 2 7 2" xfId="26586" xr:uid="{00000000-0005-0000-0000-000098260000}"/>
    <cellStyle name="Input 3 2 8" xfId="9425" xr:uid="{00000000-0005-0000-0000-000099260000}"/>
    <cellStyle name="Input 3 2 8 2" xfId="19729" xr:uid="{00000000-0005-0000-0000-00009A260000}"/>
    <cellStyle name="Input 3 3" xfId="1485" xr:uid="{00000000-0005-0000-0000-00009B260000}"/>
    <cellStyle name="Input 3 3 2" xfId="1986" xr:uid="{00000000-0005-0000-0000-00009C260000}"/>
    <cellStyle name="Input 3 3 2 2" xfId="3906" xr:uid="{00000000-0005-0000-0000-00009D260000}"/>
    <cellStyle name="Input 3 3 2 2 2" xfId="7957" xr:uid="{00000000-0005-0000-0000-00009E260000}"/>
    <cellStyle name="Input 3 3 2 2 2 2" xfId="23771" xr:uid="{00000000-0005-0000-0000-00009F260000}"/>
    <cellStyle name="Input 3 3 2 2 3" xfId="14239" xr:uid="{00000000-0005-0000-0000-0000A0260000}"/>
    <cellStyle name="Input 3 3 2 2 3 2" xfId="29071" xr:uid="{00000000-0005-0000-0000-0000A1260000}"/>
    <cellStyle name="Input 3 3 2 2 4" xfId="21412" xr:uid="{00000000-0005-0000-0000-0000A2260000}"/>
    <cellStyle name="Input 3 3 2 3" xfId="4950" xr:uid="{00000000-0005-0000-0000-0000A3260000}"/>
    <cellStyle name="Input 3 3 2 3 2" xfId="8989" xr:uid="{00000000-0005-0000-0000-0000A4260000}"/>
    <cellStyle name="Input 3 3 2 3 2 2" xfId="24455" xr:uid="{00000000-0005-0000-0000-0000A5260000}"/>
    <cellStyle name="Input 3 3 2 3 3" xfId="15272" xr:uid="{00000000-0005-0000-0000-0000A6260000}"/>
    <cellStyle name="Input 3 3 2 3 3 2" xfId="30104" xr:uid="{00000000-0005-0000-0000-0000A7260000}"/>
    <cellStyle name="Input 3 3 2 3 4" xfId="21985" xr:uid="{00000000-0005-0000-0000-0000A8260000}"/>
    <cellStyle name="Input 3 3 2 4" xfId="2940" xr:uid="{00000000-0005-0000-0000-0000A9260000}"/>
    <cellStyle name="Input 3 3 2 4 2" xfId="7024" xr:uid="{00000000-0005-0000-0000-0000AA260000}"/>
    <cellStyle name="Input 3 3 2 4 2 2" xfId="23198" xr:uid="{00000000-0005-0000-0000-0000AB260000}"/>
    <cellStyle name="Input 3 3 2 4 3" xfId="13278" xr:uid="{00000000-0005-0000-0000-0000AC260000}"/>
    <cellStyle name="Input 3 3 2 4 3 2" xfId="28110" xr:uid="{00000000-0005-0000-0000-0000AD260000}"/>
    <cellStyle name="Input 3 3 2 4 4" xfId="20866" xr:uid="{00000000-0005-0000-0000-0000AE260000}"/>
    <cellStyle name="Input 3 3 2 5" xfId="6116" xr:uid="{00000000-0005-0000-0000-0000AF260000}"/>
    <cellStyle name="Input 3 3 2 5 2" xfId="16303" xr:uid="{00000000-0005-0000-0000-0000B0260000}"/>
    <cellStyle name="Input 3 3 2 5 2 2" xfId="31135" xr:uid="{00000000-0005-0000-0000-0000B1260000}"/>
    <cellStyle name="Input 3 3 2 5 3" xfId="22649" xr:uid="{00000000-0005-0000-0000-0000B2260000}"/>
    <cellStyle name="Input 3 3 2 6" xfId="12373" xr:uid="{00000000-0005-0000-0000-0000B3260000}"/>
    <cellStyle name="Input 3 3 2 6 2" xfId="27205" xr:uid="{00000000-0005-0000-0000-0000B4260000}"/>
    <cellStyle name="Input 3 3 2 7" xfId="9955" xr:uid="{00000000-0005-0000-0000-0000B5260000}"/>
    <cellStyle name="Input 3 3 2 7 2" xfId="20157" xr:uid="{00000000-0005-0000-0000-0000B6260000}"/>
    <cellStyle name="Input 3 3 3" xfId="3828" xr:uid="{00000000-0005-0000-0000-0000B7260000}"/>
    <cellStyle name="Input 3 3 3 2" xfId="7881" xr:uid="{00000000-0005-0000-0000-0000B8260000}"/>
    <cellStyle name="Input 3 3 3 2 2" xfId="23724" xr:uid="{00000000-0005-0000-0000-0000B9260000}"/>
    <cellStyle name="Input 3 3 3 3" xfId="14163" xr:uid="{00000000-0005-0000-0000-0000BA260000}"/>
    <cellStyle name="Input 3 3 3 3 2" xfId="28995" xr:uid="{00000000-0005-0000-0000-0000BB260000}"/>
    <cellStyle name="Input 3 3 3 4" xfId="21372" xr:uid="{00000000-0005-0000-0000-0000BC260000}"/>
    <cellStyle name="Input 3 3 4" xfId="4530" xr:uid="{00000000-0005-0000-0000-0000BD260000}"/>
    <cellStyle name="Input 3 3 4 2" xfId="8569" xr:uid="{00000000-0005-0000-0000-0000BE260000}"/>
    <cellStyle name="Input 3 3 4 2 2" xfId="24195" xr:uid="{00000000-0005-0000-0000-0000BF260000}"/>
    <cellStyle name="Input 3 3 4 3" xfId="14857" xr:uid="{00000000-0005-0000-0000-0000C0260000}"/>
    <cellStyle name="Input 3 3 4 3 2" xfId="29689" xr:uid="{00000000-0005-0000-0000-0000C1260000}"/>
    <cellStyle name="Input 3 3 4 4" xfId="21755" xr:uid="{00000000-0005-0000-0000-0000C2260000}"/>
    <cellStyle name="Input 3 3 5" xfId="2520" xr:uid="{00000000-0005-0000-0000-0000C3260000}"/>
    <cellStyle name="Input 3 3 5 2" xfId="6626" xr:uid="{00000000-0005-0000-0000-0000C4260000}"/>
    <cellStyle name="Input 3 3 5 2 2" xfId="22964" xr:uid="{00000000-0005-0000-0000-0000C5260000}"/>
    <cellStyle name="Input 3 3 5 3" xfId="12858" xr:uid="{00000000-0005-0000-0000-0000C6260000}"/>
    <cellStyle name="Input 3 3 5 3 2" xfId="27690" xr:uid="{00000000-0005-0000-0000-0000C7260000}"/>
    <cellStyle name="Input 3 3 5 4" xfId="20610" xr:uid="{00000000-0005-0000-0000-0000C8260000}"/>
    <cellStyle name="Input 3 3 6" xfId="5643" xr:uid="{00000000-0005-0000-0000-0000C9260000}"/>
    <cellStyle name="Input 3 3 6 2" xfId="15878" xr:uid="{00000000-0005-0000-0000-0000CA260000}"/>
    <cellStyle name="Input 3 3 6 2 2" xfId="30710" xr:uid="{00000000-0005-0000-0000-0000CB260000}"/>
    <cellStyle name="Input 3 3 6 3" xfId="22339" xr:uid="{00000000-0005-0000-0000-0000CC260000}"/>
    <cellStyle name="Input 3 3 7" xfId="11902" xr:uid="{00000000-0005-0000-0000-0000CD260000}"/>
    <cellStyle name="Input 3 3 7 2" xfId="26734" xr:uid="{00000000-0005-0000-0000-0000CE260000}"/>
    <cellStyle name="Input 3 3 8" xfId="9560" xr:uid="{00000000-0005-0000-0000-0000CF260000}"/>
    <cellStyle name="Input 3 3 8 2" xfId="19862" xr:uid="{00000000-0005-0000-0000-0000D0260000}"/>
    <cellStyle name="Input 3 4" xfId="1395" xr:uid="{00000000-0005-0000-0000-0000D1260000}"/>
    <cellStyle name="Input 3 4 2" xfId="1897" xr:uid="{00000000-0005-0000-0000-0000D2260000}"/>
    <cellStyle name="Input 3 4 2 2" xfId="3359" xr:uid="{00000000-0005-0000-0000-0000D3260000}"/>
    <cellStyle name="Input 3 4 2 2 2" xfId="7422" xr:uid="{00000000-0005-0000-0000-0000D4260000}"/>
    <cellStyle name="Input 3 4 2 2 2 2" xfId="23423" xr:uid="{00000000-0005-0000-0000-0000D5260000}"/>
    <cellStyle name="Input 3 4 2 2 3" xfId="13696" xr:uid="{00000000-0005-0000-0000-0000D6260000}"/>
    <cellStyle name="Input 3 4 2 2 3 2" xfId="28528" xr:uid="{00000000-0005-0000-0000-0000D7260000}"/>
    <cellStyle name="Input 3 4 2 2 4" xfId="21108" xr:uid="{00000000-0005-0000-0000-0000D8260000}"/>
    <cellStyle name="Input 3 4 2 3" xfId="4875" xr:uid="{00000000-0005-0000-0000-0000D9260000}"/>
    <cellStyle name="Input 3 4 2 3 2" xfId="8914" xr:uid="{00000000-0005-0000-0000-0000DA260000}"/>
    <cellStyle name="Input 3 4 2 3 2 2" xfId="24380" xr:uid="{00000000-0005-0000-0000-0000DB260000}"/>
    <cellStyle name="Input 3 4 2 3 3" xfId="15198" xr:uid="{00000000-0005-0000-0000-0000DC260000}"/>
    <cellStyle name="Input 3 4 2 3 3 2" xfId="30030" xr:uid="{00000000-0005-0000-0000-0000DD260000}"/>
    <cellStyle name="Input 3 4 2 3 4" xfId="21912" xr:uid="{00000000-0005-0000-0000-0000DE260000}"/>
    <cellStyle name="Input 3 4 2 4" xfId="2865" xr:uid="{00000000-0005-0000-0000-0000DF260000}"/>
    <cellStyle name="Input 3 4 2 4 2" xfId="6950" xr:uid="{00000000-0005-0000-0000-0000E0260000}"/>
    <cellStyle name="Input 3 4 2 4 2 2" xfId="23125" xr:uid="{00000000-0005-0000-0000-0000E1260000}"/>
    <cellStyle name="Input 3 4 2 4 3" xfId="13203" xr:uid="{00000000-0005-0000-0000-0000E2260000}"/>
    <cellStyle name="Input 3 4 2 4 3 2" xfId="28035" xr:uid="{00000000-0005-0000-0000-0000E3260000}"/>
    <cellStyle name="Input 3 4 2 4 4" xfId="20791" xr:uid="{00000000-0005-0000-0000-0000E4260000}"/>
    <cellStyle name="Input 3 4 2 5" xfId="6028" xr:uid="{00000000-0005-0000-0000-0000E5260000}"/>
    <cellStyle name="Input 3 4 2 5 2" xfId="16215" xr:uid="{00000000-0005-0000-0000-0000E6260000}"/>
    <cellStyle name="Input 3 4 2 5 2 2" xfId="31047" xr:uid="{00000000-0005-0000-0000-0000E7260000}"/>
    <cellStyle name="Input 3 4 2 5 3" xfId="22561" xr:uid="{00000000-0005-0000-0000-0000E8260000}"/>
    <cellStyle name="Input 3 4 2 6" xfId="12285" xr:uid="{00000000-0005-0000-0000-0000E9260000}"/>
    <cellStyle name="Input 3 4 2 6 2" xfId="27117" xr:uid="{00000000-0005-0000-0000-0000EA260000}"/>
    <cellStyle name="Input 3 4 2 7" xfId="9881" xr:uid="{00000000-0005-0000-0000-0000EB260000}"/>
    <cellStyle name="Input 3 4 2 7 2" xfId="20085" xr:uid="{00000000-0005-0000-0000-0000EC260000}"/>
    <cellStyle name="Input 3 4 3" xfId="3741" xr:uid="{00000000-0005-0000-0000-0000ED260000}"/>
    <cellStyle name="Input 3 4 3 2" xfId="7797" xr:uid="{00000000-0005-0000-0000-0000EE260000}"/>
    <cellStyle name="Input 3 4 3 2 2" xfId="23670" xr:uid="{00000000-0005-0000-0000-0000EF260000}"/>
    <cellStyle name="Input 3 4 3 3" xfId="14076" xr:uid="{00000000-0005-0000-0000-0000F0260000}"/>
    <cellStyle name="Input 3 4 3 3 2" xfId="28908" xr:uid="{00000000-0005-0000-0000-0000F1260000}"/>
    <cellStyle name="Input 3 4 3 4" xfId="21326" xr:uid="{00000000-0005-0000-0000-0000F2260000}"/>
    <cellStyle name="Input 3 4 4" xfId="4455" xr:uid="{00000000-0005-0000-0000-0000F3260000}"/>
    <cellStyle name="Input 3 4 4 2" xfId="8494" xr:uid="{00000000-0005-0000-0000-0000F4260000}"/>
    <cellStyle name="Input 3 4 4 2 2" xfId="24120" xr:uid="{00000000-0005-0000-0000-0000F5260000}"/>
    <cellStyle name="Input 3 4 4 3" xfId="14783" xr:uid="{00000000-0005-0000-0000-0000F6260000}"/>
    <cellStyle name="Input 3 4 4 3 2" xfId="29615" xr:uid="{00000000-0005-0000-0000-0000F7260000}"/>
    <cellStyle name="Input 3 4 4 4" xfId="21682" xr:uid="{00000000-0005-0000-0000-0000F8260000}"/>
    <cellStyle name="Input 3 4 5" xfId="2445" xr:uid="{00000000-0005-0000-0000-0000F9260000}"/>
    <cellStyle name="Input 3 4 5 2" xfId="6551" xr:uid="{00000000-0005-0000-0000-0000FA260000}"/>
    <cellStyle name="Input 3 4 5 2 2" xfId="22889" xr:uid="{00000000-0005-0000-0000-0000FB260000}"/>
    <cellStyle name="Input 3 4 5 3" xfId="12784" xr:uid="{00000000-0005-0000-0000-0000FC260000}"/>
    <cellStyle name="Input 3 4 5 3 2" xfId="27616" xr:uid="{00000000-0005-0000-0000-0000FD260000}"/>
    <cellStyle name="Input 3 4 5 4" xfId="20537" xr:uid="{00000000-0005-0000-0000-0000FE260000}"/>
    <cellStyle name="Input 3 4 6" xfId="5569" xr:uid="{00000000-0005-0000-0000-0000FF260000}"/>
    <cellStyle name="Input 3 4 6 2" xfId="15804" xr:uid="{00000000-0005-0000-0000-000000270000}"/>
    <cellStyle name="Input 3 4 6 2 2" xfId="30636" xr:uid="{00000000-0005-0000-0000-000001270000}"/>
    <cellStyle name="Input 3 4 6 3" xfId="22265" xr:uid="{00000000-0005-0000-0000-000002270000}"/>
    <cellStyle name="Input 3 4 7" xfId="11814" xr:uid="{00000000-0005-0000-0000-000003270000}"/>
    <cellStyle name="Input 3 4 7 2" xfId="26646" xr:uid="{00000000-0005-0000-0000-000004270000}"/>
    <cellStyle name="Input 3 4 8" xfId="9486" xr:uid="{00000000-0005-0000-0000-000005270000}"/>
    <cellStyle name="Input 3 4 8 2" xfId="19789" xr:uid="{00000000-0005-0000-0000-000006270000}"/>
    <cellStyle name="Input 3 5" xfId="1475" xr:uid="{00000000-0005-0000-0000-000007270000}"/>
    <cellStyle name="Input 3 5 2" xfId="1976" xr:uid="{00000000-0005-0000-0000-000008270000}"/>
    <cellStyle name="Input 3 5 2 2" xfId="3524" xr:uid="{00000000-0005-0000-0000-000009270000}"/>
    <cellStyle name="Input 3 5 2 2 2" xfId="7586" xr:uid="{00000000-0005-0000-0000-00000A270000}"/>
    <cellStyle name="Input 3 5 2 2 2 2" xfId="23534" xr:uid="{00000000-0005-0000-0000-00000B270000}"/>
    <cellStyle name="Input 3 5 2 2 3" xfId="13861" xr:uid="{00000000-0005-0000-0000-00000C270000}"/>
    <cellStyle name="Input 3 5 2 2 3 2" xfId="28693" xr:uid="{00000000-0005-0000-0000-00000D270000}"/>
    <cellStyle name="Input 3 5 2 2 4" xfId="21209" xr:uid="{00000000-0005-0000-0000-00000E270000}"/>
    <cellStyle name="Input 3 5 2 3" xfId="4940" xr:uid="{00000000-0005-0000-0000-00000F270000}"/>
    <cellStyle name="Input 3 5 2 3 2" xfId="8979" xr:uid="{00000000-0005-0000-0000-000010270000}"/>
    <cellStyle name="Input 3 5 2 3 2 2" xfId="24445" xr:uid="{00000000-0005-0000-0000-000011270000}"/>
    <cellStyle name="Input 3 5 2 3 3" xfId="15262" xr:uid="{00000000-0005-0000-0000-000012270000}"/>
    <cellStyle name="Input 3 5 2 3 3 2" xfId="30094" xr:uid="{00000000-0005-0000-0000-000013270000}"/>
    <cellStyle name="Input 3 5 2 3 4" xfId="21975" xr:uid="{00000000-0005-0000-0000-000014270000}"/>
    <cellStyle name="Input 3 5 2 4" xfId="2930" xr:uid="{00000000-0005-0000-0000-000015270000}"/>
    <cellStyle name="Input 3 5 2 4 2" xfId="7014" xr:uid="{00000000-0005-0000-0000-000016270000}"/>
    <cellStyle name="Input 3 5 2 4 2 2" xfId="23188" xr:uid="{00000000-0005-0000-0000-000017270000}"/>
    <cellStyle name="Input 3 5 2 4 3" xfId="13268" xr:uid="{00000000-0005-0000-0000-000018270000}"/>
    <cellStyle name="Input 3 5 2 4 3 2" xfId="28100" xr:uid="{00000000-0005-0000-0000-000019270000}"/>
    <cellStyle name="Input 3 5 2 4 4" xfId="20856" xr:uid="{00000000-0005-0000-0000-00001A270000}"/>
    <cellStyle name="Input 3 5 2 5" xfId="6106" xr:uid="{00000000-0005-0000-0000-00001B270000}"/>
    <cellStyle name="Input 3 5 2 5 2" xfId="16293" xr:uid="{00000000-0005-0000-0000-00001C270000}"/>
    <cellStyle name="Input 3 5 2 5 2 2" xfId="31125" xr:uid="{00000000-0005-0000-0000-00001D270000}"/>
    <cellStyle name="Input 3 5 2 5 3" xfId="22639" xr:uid="{00000000-0005-0000-0000-00001E270000}"/>
    <cellStyle name="Input 3 5 2 6" xfId="12363" xr:uid="{00000000-0005-0000-0000-00001F270000}"/>
    <cellStyle name="Input 3 5 2 6 2" xfId="27195" xr:uid="{00000000-0005-0000-0000-000020270000}"/>
    <cellStyle name="Input 3 5 2 7" xfId="9945" xr:uid="{00000000-0005-0000-0000-000021270000}"/>
    <cellStyle name="Input 3 5 2 7 2" xfId="20147" xr:uid="{00000000-0005-0000-0000-000022270000}"/>
    <cellStyle name="Input 3 5 3" xfId="3141" xr:uid="{00000000-0005-0000-0000-000023270000}"/>
    <cellStyle name="Input 3 5 3 2" xfId="7205" xr:uid="{00000000-0005-0000-0000-000024270000}"/>
    <cellStyle name="Input 3 5 3 2 2" xfId="23275" xr:uid="{00000000-0005-0000-0000-000025270000}"/>
    <cellStyle name="Input 3 5 3 3" xfId="13479" xr:uid="{00000000-0005-0000-0000-000026270000}"/>
    <cellStyle name="Input 3 5 3 3 2" xfId="28311" xr:uid="{00000000-0005-0000-0000-000027270000}"/>
    <cellStyle name="Input 3 5 3 4" xfId="20966" xr:uid="{00000000-0005-0000-0000-000028270000}"/>
    <cellStyle name="Input 3 5 4" xfId="4520" xr:uid="{00000000-0005-0000-0000-000029270000}"/>
    <cellStyle name="Input 3 5 4 2" xfId="8559" xr:uid="{00000000-0005-0000-0000-00002A270000}"/>
    <cellStyle name="Input 3 5 4 2 2" xfId="24185" xr:uid="{00000000-0005-0000-0000-00002B270000}"/>
    <cellStyle name="Input 3 5 4 3" xfId="14847" xr:uid="{00000000-0005-0000-0000-00002C270000}"/>
    <cellStyle name="Input 3 5 4 3 2" xfId="29679" xr:uid="{00000000-0005-0000-0000-00002D270000}"/>
    <cellStyle name="Input 3 5 4 4" xfId="21745" xr:uid="{00000000-0005-0000-0000-00002E270000}"/>
    <cellStyle name="Input 3 5 5" xfId="2510" xr:uid="{00000000-0005-0000-0000-00002F270000}"/>
    <cellStyle name="Input 3 5 5 2" xfId="6616" xr:uid="{00000000-0005-0000-0000-000030270000}"/>
    <cellStyle name="Input 3 5 5 2 2" xfId="22954" xr:uid="{00000000-0005-0000-0000-000031270000}"/>
    <cellStyle name="Input 3 5 5 3" xfId="12848" xr:uid="{00000000-0005-0000-0000-000032270000}"/>
    <cellStyle name="Input 3 5 5 3 2" xfId="27680" xr:uid="{00000000-0005-0000-0000-000033270000}"/>
    <cellStyle name="Input 3 5 5 4" xfId="20600" xr:uid="{00000000-0005-0000-0000-000034270000}"/>
    <cellStyle name="Input 3 5 6" xfId="5633" xr:uid="{00000000-0005-0000-0000-000035270000}"/>
    <cellStyle name="Input 3 5 6 2" xfId="15868" xr:uid="{00000000-0005-0000-0000-000036270000}"/>
    <cellStyle name="Input 3 5 6 2 2" xfId="30700" xr:uid="{00000000-0005-0000-0000-000037270000}"/>
    <cellStyle name="Input 3 5 6 3" xfId="22329" xr:uid="{00000000-0005-0000-0000-000038270000}"/>
    <cellStyle name="Input 3 5 7" xfId="11892" xr:uid="{00000000-0005-0000-0000-000039270000}"/>
    <cellStyle name="Input 3 5 7 2" xfId="26724" xr:uid="{00000000-0005-0000-0000-00003A270000}"/>
    <cellStyle name="Input 3 5 8" xfId="9550" xr:uid="{00000000-0005-0000-0000-00003B270000}"/>
    <cellStyle name="Input 3 5 8 2" xfId="19852" xr:uid="{00000000-0005-0000-0000-00003C270000}"/>
    <cellStyle name="Input 3 6" xfId="1753" xr:uid="{00000000-0005-0000-0000-00003D270000}"/>
    <cellStyle name="Input 3 6 2" xfId="4149" xr:uid="{00000000-0005-0000-0000-00003E270000}"/>
    <cellStyle name="Input 3 6 2 2" xfId="8192" xr:uid="{00000000-0005-0000-0000-00003F270000}"/>
    <cellStyle name="Input 3 6 2 2 2" xfId="23919" xr:uid="{00000000-0005-0000-0000-000040270000}"/>
    <cellStyle name="Input 3 6 2 3" xfId="14481" xr:uid="{00000000-0005-0000-0000-000041270000}"/>
    <cellStyle name="Input 3 6 2 3 2" xfId="29313" xr:uid="{00000000-0005-0000-0000-000042270000}"/>
    <cellStyle name="Input 3 6 2 4" xfId="21547" xr:uid="{00000000-0005-0000-0000-000043270000}"/>
    <cellStyle name="Input 3 6 3" xfId="4731" xr:uid="{00000000-0005-0000-0000-000044270000}"/>
    <cellStyle name="Input 3 6 3 2" xfId="8770" xr:uid="{00000000-0005-0000-0000-000045270000}"/>
    <cellStyle name="Input 3 6 3 2 2" xfId="24300" xr:uid="{00000000-0005-0000-0000-000046270000}"/>
    <cellStyle name="Input 3 6 3 3" xfId="15055" xr:uid="{00000000-0005-0000-0000-000047270000}"/>
    <cellStyle name="Input 3 6 3 3 2" xfId="29887" xr:uid="{00000000-0005-0000-0000-000048270000}"/>
    <cellStyle name="Input 3 6 3 4" xfId="21838" xr:uid="{00000000-0005-0000-0000-000049270000}"/>
    <cellStyle name="Input 3 6 4" xfId="2721" xr:uid="{00000000-0005-0000-0000-00004A270000}"/>
    <cellStyle name="Input 3 6 4 2" xfId="6812" xr:uid="{00000000-0005-0000-0000-00004B270000}"/>
    <cellStyle name="Input 3 6 4 2 2" xfId="23051" xr:uid="{00000000-0005-0000-0000-00004C270000}"/>
    <cellStyle name="Input 3 6 4 3" xfId="13059" xr:uid="{00000000-0005-0000-0000-00004D270000}"/>
    <cellStyle name="Input 3 6 4 3 2" xfId="27891" xr:uid="{00000000-0005-0000-0000-00004E270000}"/>
    <cellStyle name="Input 3 6 4 4" xfId="20711" xr:uid="{00000000-0005-0000-0000-00004F270000}"/>
    <cellStyle name="Input 3 6 5" xfId="5885" xr:uid="{00000000-0005-0000-0000-000050270000}"/>
    <cellStyle name="Input 3 6 5 2" xfId="16077" xr:uid="{00000000-0005-0000-0000-000051270000}"/>
    <cellStyle name="Input 3 6 5 2 2" xfId="30909" xr:uid="{00000000-0005-0000-0000-000052270000}"/>
    <cellStyle name="Input 3 6 5 3" xfId="22482" xr:uid="{00000000-0005-0000-0000-000053270000}"/>
    <cellStyle name="Input 3 6 6" xfId="12147" xr:uid="{00000000-0005-0000-0000-000054270000}"/>
    <cellStyle name="Input 3 6 6 2" xfId="26979" xr:uid="{00000000-0005-0000-0000-000055270000}"/>
    <cellStyle name="Input 3 6 7" xfId="9743" xr:uid="{00000000-0005-0000-0000-000056270000}"/>
    <cellStyle name="Input 3 6 7 2" xfId="20041" xr:uid="{00000000-0005-0000-0000-000057270000}"/>
    <cellStyle name="Input 3 7" xfId="2213" xr:uid="{00000000-0005-0000-0000-000058270000}"/>
    <cellStyle name="Input 3 7 2" xfId="3576" xr:uid="{00000000-0005-0000-0000-000059270000}"/>
    <cellStyle name="Input 3 7 2 2" xfId="7638" xr:uid="{00000000-0005-0000-0000-00005A270000}"/>
    <cellStyle name="Input 3 7 2 2 2" xfId="23561" xr:uid="{00000000-0005-0000-0000-00005B270000}"/>
    <cellStyle name="Input 3 7 2 3" xfId="13912" xr:uid="{00000000-0005-0000-0000-00005C270000}"/>
    <cellStyle name="Input 3 7 2 3 2" xfId="28744" xr:uid="{00000000-0005-0000-0000-00005D270000}"/>
    <cellStyle name="Input 3 7 2 4" xfId="21230" xr:uid="{00000000-0005-0000-0000-00005E270000}"/>
    <cellStyle name="Input 3 7 3" xfId="5181" xr:uid="{00000000-0005-0000-0000-00005F270000}"/>
    <cellStyle name="Input 3 7 3 2" xfId="9220" xr:uid="{00000000-0005-0000-0000-000060270000}"/>
    <cellStyle name="Input 3 7 3 2 2" xfId="24558" xr:uid="{00000000-0005-0000-0000-000061270000}"/>
    <cellStyle name="Input 3 7 3 3" xfId="15499" xr:uid="{00000000-0005-0000-0000-000062270000}"/>
    <cellStyle name="Input 3 7 3 3 2" xfId="30331" xr:uid="{00000000-0005-0000-0000-000063270000}"/>
    <cellStyle name="Input 3 7 3 4" xfId="22065" xr:uid="{00000000-0005-0000-0000-000064270000}"/>
    <cellStyle name="Input 3 7 4" xfId="4211" xr:uid="{00000000-0005-0000-0000-000065270000}"/>
    <cellStyle name="Input 3 7 4 2" xfId="8252" xr:uid="{00000000-0005-0000-0000-000066270000}"/>
    <cellStyle name="Input 3 7 4 2 2" xfId="23947" xr:uid="{00000000-0005-0000-0000-000067270000}"/>
    <cellStyle name="Input 3 7 4 3" xfId="14543" xr:uid="{00000000-0005-0000-0000-000068270000}"/>
    <cellStyle name="Input 3 7 4 3 2" xfId="29375" xr:uid="{00000000-0005-0000-0000-000069270000}"/>
    <cellStyle name="Input 3 7 4 4" xfId="21572" xr:uid="{00000000-0005-0000-0000-00006A270000}"/>
    <cellStyle name="Input 3 7 5" xfId="6327" xr:uid="{00000000-0005-0000-0000-00006B270000}"/>
    <cellStyle name="Input 3 7 5 2" xfId="22729" xr:uid="{00000000-0005-0000-0000-00006C270000}"/>
    <cellStyle name="Input 3 7 6" xfId="12581" xr:uid="{00000000-0005-0000-0000-00006D270000}"/>
    <cellStyle name="Input 3 7 6 2" xfId="27413" xr:uid="{00000000-0005-0000-0000-00006E270000}"/>
    <cellStyle name="Input 3 7 7" xfId="20408" xr:uid="{00000000-0005-0000-0000-00006F270000}"/>
    <cellStyle name="Input 3 8" xfId="3309" xr:uid="{00000000-0005-0000-0000-000070270000}"/>
    <cellStyle name="Input 3 8 2" xfId="7373" xr:uid="{00000000-0005-0000-0000-000071270000}"/>
    <cellStyle name="Input 3 8 2 2" xfId="23392" xr:uid="{00000000-0005-0000-0000-000072270000}"/>
    <cellStyle name="Input 3 8 3" xfId="13646" xr:uid="{00000000-0005-0000-0000-000073270000}"/>
    <cellStyle name="Input 3 8 3 2" xfId="28478" xr:uid="{00000000-0005-0000-0000-000074270000}"/>
    <cellStyle name="Input 3 8 4" xfId="21079" xr:uid="{00000000-0005-0000-0000-000075270000}"/>
    <cellStyle name="Input 3 9" xfId="3857" xr:uid="{00000000-0005-0000-0000-000076270000}"/>
    <cellStyle name="Input 3 9 2" xfId="7909" xr:uid="{00000000-0005-0000-0000-000077270000}"/>
    <cellStyle name="Input 3 9 2 2" xfId="23745" xr:uid="{00000000-0005-0000-0000-000078270000}"/>
    <cellStyle name="Input 3 9 3" xfId="14192" xr:uid="{00000000-0005-0000-0000-000079270000}"/>
    <cellStyle name="Input 3 9 3 2" xfId="29024" xr:uid="{00000000-0005-0000-0000-00007A270000}"/>
    <cellStyle name="Input 3 9 4" xfId="21387" xr:uid="{00000000-0005-0000-0000-00007B270000}"/>
    <cellStyle name="Input 4" xfId="1121" xr:uid="{00000000-0005-0000-0000-00007C270000}"/>
    <cellStyle name="Input 4 10" xfId="2292" xr:uid="{00000000-0005-0000-0000-00007D270000}"/>
    <cellStyle name="Input 4 10 2" xfId="6404" xr:uid="{00000000-0005-0000-0000-00007E270000}"/>
    <cellStyle name="Input 4 10 2 2" xfId="22806" xr:uid="{00000000-0005-0000-0000-00007F270000}"/>
    <cellStyle name="Input 4 10 3" xfId="12632" xr:uid="{00000000-0005-0000-0000-000080270000}"/>
    <cellStyle name="Input 4 10 3 2" xfId="27464" xr:uid="{00000000-0005-0000-0000-000081270000}"/>
    <cellStyle name="Input 4 10 4" xfId="20458" xr:uid="{00000000-0005-0000-0000-000082270000}"/>
    <cellStyle name="Input 4 11" xfId="5258" xr:uid="{00000000-0005-0000-0000-000083270000}"/>
    <cellStyle name="Input 4 11 2" xfId="15574" xr:uid="{00000000-0005-0000-0000-000084270000}"/>
    <cellStyle name="Input 4 11 2 2" xfId="30406" xr:uid="{00000000-0005-0000-0000-000085270000}"/>
    <cellStyle name="Input 4 11 3" xfId="22115" xr:uid="{00000000-0005-0000-0000-000086270000}"/>
    <cellStyle name="Input 4 12" xfId="5416" xr:uid="{00000000-0005-0000-0000-000087270000}"/>
    <cellStyle name="Input 4 12 2" xfId="15652" xr:uid="{00000000-0005-0000-0000-000088270000}"/>
    <cellStyle name="Input 4 12 2 2" xfId="30484" xr:uid="{00000000-0005-0000-0000-000089270000}"/>
    <cellStyle name="Input 4 12 3" xfId="22177" xr:uid="{00000000-0005-0000-0000-00008A270000}"/>
    <cellStyle name="Input 4 13" xfId="9375" xr:uid="{00000000-0005-0000-0000-00008B270000}"/>
    <cellStyle name="Input 4 13 2" xfId="24681" xr:uid="{00000000-0005-0000-0000-00008C270000}"/>
    <cellStyle name="Input 4 14" xfId="5364" xr:uid="{00000000-0005-0000-0000-00008D270000}"/>
    <cellStyle name="Input 4 14 2" xfId="18238" xr:uid="{00000000-0005-0000-0000-00008E270000}"/>
    <cellStyle name="Input 4 2" xfId="1328" xr:uid="{00000000-0005-0000-0000-00008F270000}"/>
    <cellStyle name="Input 4 2 2" xfId="1832" xr:uid="{00000000-0005-0000-0000-000090270000}"/>
    <cellStyle name="Input 4 2 2 2" xfId="3662" xr:uid="{00000000-0005-0000-0000-000091270000}"/>
    <cellStyle name="Input 4 2 2 2 2" xfId="7721" xr:uid="{00000000-0005-0000-0000-000092270000}"/>
    <cellStyle name="Input 4 2 2 2 2 2" xfId="23617" xr:uid="{00000000-0005-0000-0000-000093270000}"/>
    <cellStyle name="Input 4 2 2 2 3" xfId="13997" xr:uid="{00000000-0005-0000-0000-000094270000}"/>
    <cellStyle name="Input 4 2 2 2 3 2" xfId="28829" xr:uid="{00000000-0005-0000-0000-000095270000}"/>
    <cellStyle name="Input 4 2 2 2 4" xfId="21281" xr:uid="{00000000-0005-0000-0000-000096270000}"/>
    <cellStyle name="Input 4 2 2 3" xfId="4810" xr:uid="{00000000-0005-0000-0000-000097270000}"/>
    <cellStyle name="Input 4 2 2 3 2" xfId="8849" xr:uid="{00000000-0005-0000-0000-000098270000}"/>
    <cellStyle name="Input 4 2 2 3 2 2" xfId="24347" xr:uid="{00000000-0005-0000-0000-000099270000}"/>
    <cellStyle name="Input 4 2 2 3 3" xfId="15134" xr:uid="{00000000-0005-0000-0000-00009A270000}"/>
    <cellStyle name="Input 4 2 2 3 3 2" xfId="29966" xr:uid="{00000000-0005-0000-0000-00009B270000}"/>
    <cellStyle name="Input 4 2 2 3 4" xfId="21885" xr:uid="{00000000-0005-0000-0000-00009C270000}"/>
    <cellStyle name="Input 4 2 2 4" xfId="2800" xr:uid="{00000000-0005-0000-0000-00009D270000}"/>
    <cellStyle name="Input 4 2 2 4 2" xfId="6891" xr:uid="{00000000-0005-0000-0000-00009E270000}"/>
    <cellStyle name="Input 4 2 2 4 2 2" xfId="23098" xr:uid="{00000000-0005-0000-0000-00009F270000}"/>
    <cellStyle name="Input 4 2 2 4 3" xfId="13138" xr:uid="{00000000-0005-0000-0000-0000A0270000}"/>
    <cellStyle name="Input 4 2 2 4 3 2" xfId="27970" xr:uid="{00000000-0005-0000-0000-0000A1270000}"/>
    <cellStyle name="Input 4 2 2 4 4" xfId="20758" xr:uid="{00000000-0005-0000-0000-0000A2270000}"/>
    <cellStyle name="Input 4 2 2 5" xfId="5964" xr:uid="{00000000-0005-0000-0000-0000A3270000}"/>
    <cellStyle name="Input 4 2 2 5 2" xfId="16156" xr:uid="{00000000-0005-0000-0000-0000A4270000}"/>
    <cellStyle name="Input 4 2 2 5 2 2" xfId="30988" xr:uid="{00000000-0005-0000-0000-0000A5270000}"/>
    <cellStyle name="Input 4 2 2 5 3" xfId="22529" xr:uid="{00000000-0005-0000-0000-0000A6270000}"/>
    <cellStyle name="Input 4 2 2 6" xfId="12226" xr:uid="{00000000-0005-0000-0000-0000A7270000}"/>
    <cellStyle name="Input 4 2 2 6 2" xfId="27058" xr:uid="{00000000-0005-0000-0000-0000A8270000}"/>
    <cellStyle name="Input 4 2 2 7" xfId="9822" xr:uid="{00000000-0005-0000-0000-0000A9270000}"/>
    <cellStyle name="Input 4 2 2 7 2" xfId="20073" xr:uid="{00000000-0005-0000-0000-0000AA270000}"/>
    <cellStyle name="Input 4 2 3" xfId="3790" xr:uid="{00000000-0005-0000-0000-0000AB270000}"/>
    <cellStyle name="Input 4 2 3 2" xfId="7845" xr:uid="{00000000-0005-0000-0000-0000AC270000}"/>
    <cellStyle name="Input 4 2 3 2 2" xfId="23700" xr:uid="{00000000-0005-0000-0000-0000AD270000}"/>
    <cellStyle name="Input 4 2 3 3" xfId="14125" xr:uid="{00000000-0005-0000-0000-0000AE270000}"/>
    <cellStyle name="Input 4 2 3 3 2" xfId="28957" xr:uid="{00000000-0005-0000-0000-0000AF270000}"/>
    <cellStyle name="Input 4 2 3 4" xfId="21352" xr:uid="{00000000-0005-0000-0000-0000B0270000}"/>
    <cellStyle name="Input 4 2 4" xfId="4390" xr:uid="{00000000-0005-0000-0000-0000B1270000}"/>
    <cellStyle name="Input 4 2 4 2" xfId="8429" xr:uid="{00000000-0005-0000-0000-0000B2270000}"/>
    <cellStyle name="Input 4 2 4 2 2" xfId="24087" xr:uid="{00000000-0005-0000-0000-0000B3270000}"/>
    <cellStyle name="Input 4 2 4 3" xfId="14719" xr:uid="{00000000-0005-0000-0000-0000B4270000}"/>
    <cellStyle name="Input 4 2 4 3 2" xfId="29551" xr:uid="{00000000-0005-0000-0000-0000B5270000}"/>
    <cellStyle name="Input 4 2 4 4" xfId="21655" xr:uid="{00000000-0005-0000-0000-0000B6270000}"/>
    <cellStyle name="Input 4 2 5" xfId="2380" xr:uid="{00000000-0005-0000-0000-0000B7270000}"/>
    <cellStyle name="Input 4 2 5 2" xfId="6492" xr:uid="{00000000-0005-0000-0000-0000B8270000}"/>
    <cellStyle name="Input 4 2 5 2 2" xfId="22862" xr:uid="{00000000-0005-0000-0000-0000B9270000}"/>
    <cellStyle name="Input 4 2 5 3" xfId="12719" xr:uid="{00000000-0005-0000-0000-0000BA270000}"/>
    <cellStyle name="Input 4 2 5 3 2" xfId="27551" xr:uid="{00000000-0005-0000-0000-0000BB270000}"/>
    <cellStyle name="Input 4 2 5 4" xfId="20504" xr:uid="{00000000-0005-0000-0000-0000BC270000}"/>
    <cellStyle name="Input 4 2 6" xfId="5505" xr:uid="{00000000-0005-0000-0000-0000BD270000}"/>
    <cellStyle name="Input 4 2 6 2" xfId="15740" xr:uid="{00000000-0005-0000-0000-0000BE270000}"/>
    <cellStyle name="Input 4 2 6 2 2" xfId="30572" xr:uid="{00000000-0005-0000-0000-0000BF270000}"/>
    <cellStyle name="Input 4 2 6 3" xfId="22233" xr:uid="{00000000-0005-0000-0000-0000C0270000}"/>
    <cellStyle name="Input 4 2 7" xfId="11755" xr:uid="{00000000-0005-0000-0000-0000C1270000}"/>
    <cellStyle name="Input 4 2 7 2" xfId="26587" xr:uid="{00000000-0005-0000-0000-0000C2270000}"/>
    <cellStyle name="Input 4 2 8" xfId="9426" xr:uid="{00000000-0005-0000-0000-0000C3270000}"/>
    <cellStyle name="Input 4 2 8 2" xfId="19730" xr:uid="{00000000-0005-0000-0000-0000C4270000}"/>
    <cellStyle name="Input 4 3" xfId="1486" xr:uid="{00000000-0005-0000-0000-0000C5270000}"/>
    <cellStyle name="Input 4 3 2" xfId="1987" xr:uid="{00000000-0005-0000-0000-0000C6270000}"/>
    <cellStyle name="Input 4 3 2 2" xfId="3525" xr:uid="{00000000-0005-0000-0000-0000C7270000}"/>
    <cellStyle name="Input 4 3 2 2 2" xfId="7587" xr:uid="{00000000-0005-0000-0000-0000C8270000}"/>
    <cellStyle name="Input 4 3 2 2 2 2" xfId="23535" xr:uid="{00000000-0005-0000-0000-0000C9270000}"/>
    <cellStyle name="Input 4 3 2 2 3" xfId="13862" xr:uid="{00000000-0005-0000-0000-0000CA270000}"/>
    <cellStyle name="Input 4 3 2 2 3 2" xfId="28694" xr:uid="{00000000-0005-0000-0000-0000CB270000}"/>
    <cellStyle name="Input 4 3 2 2 4" xfId="21210" xr:uid="{00000000-0005-0000-0000-0000CC270000}"/>
    <cellStyle name="Input 4 3 2 3" xfId="4951" xr:uid="{00000000-0005-0000-0000-0000CD270000}"/>
    <cellStyle name="Input 4 3 2 3 2" xfId="8990" xr:uid="{00000000-0005-0000-0000-0000CE270000}"/>
    <cellStyle name="Input 4 3 2 3 2 2" xfId="24456" xr:uid="{00000000-0005-0000-0000-0000CF270000}"/>
    <cellStyle name="Input 4 3 2 3 3" xfId="15273" xr:uid="{00000000-0005-0000-0000-0000D0270000}"/>
    <cellStyle name="Input 4 3 2 3 3 2" xfId="30105" xr:uid="{00000000-0005-0000-0000-0000D1270000}"/>
    <cellStyle name="Input 4 3 2 3 4" xfId="21986" xr:uid="{00000000-0005-0000-0000-0000D2270000}"/>
    <cellStyle name="Input 4 3 2 4" xfId="2941" xr:uid="{00000000-0005-0000-0000-0000D3270000}"/>
    <cellStyle name="Input 4 3 2 4 2" xfId="7025" xr:uid="{00000000-0005-0000-0000-0000D4270000}"/>
    <cellStyle name="Input 4 3 2 4 2 2" xfId="23199" xr:uid="{00000000-0005-0000-0000-0000D5270000}"/>
    <cellStyle name="Input 4 3 2 4 3" xfId="13279" xr:uid="{00000000-0005-0000-0000-0000D6270000}"/>
    <cellStyle name="Input 4 3 2 4 3 2" xfId="28111" xr:uid="{00000000-0005-0000-0000-0000D7270000}"/>
    <cellStyle name="Input 4 3 2 4 4" xfId="20867" xr:uid="{00000000-0005-0000-0000-0000D8270000}"/>
    <cellStyle name="Input 4 3 2 5" xfId="6117" xr:uid="{00000000-0005-0000-0000-0000D9270000}"/>
    <cellStyle name="Input 4 3 2 5 2" xfId="16304" xr:uid="{00000000-0005-0000-0000-0000DA270000}"/>
    <cellStyle name="Input 4 3 2 5 2 2" xfId="31136" xr:uid="{00000000-0005-0000-0000-0000DB270000}"/>
    <cellStyle name="Input 4 3 2 5 3" xfId="22650" xr:uid="{00000000-0005-0000-0000-0000DC270000}"/>
    <cellStyle name="Input 4 3 2 6" xfId="12374" xr:uid="{00000000-0005-0000-0000-0000DD270000}"/>
    <cellStyle name="Input 4 3 2 6 2" xfId="27206" xr:uid="{00000000-0005-0000-0000-0000DE270000}"/>
    <cellStyle name="Input 4 3 2 7" xfId="9956" xr:uid="{00000000-0005-0000-0000-0000DF270000}"/>
    <cellStyle name="Input 4 3 2 7 2" xfId="20158" xr:uid="{00000000-0005-0000-0000-0000E0270000}"/>
    <cellStyle name="Input 4 3 3" xfId="4014" xr:uid="{00000000-0005-0000-0000-0000E1270000}"/>
    <cellStyle name="Input 4 3 3 2" xfId="8061" xr:uid="{00000000-0005-0000-0000-0000E2270000}"/>
    <cellStyle name="Input 4 3 3 2 2" xfId="23838" xr:uid="{00000000-0005-0000-0000-0000E3270000}"/>
    <cellStyle name="Input 4 3 3 3" xfId="14346" xr:uid="{00000000-0005-0000-0000-0000E4270000}"/>
    <cellStyle name="Input 4 3 3 3 2" xfId="29178" xr:uid="{00000000-0005-0000-0000-0000E5270000}"/>
    <cellStyle name="Input 4 3 3 4" xfId="21476" xr:uid="{00000000-0005-0000-0000-0000E6270000}"/>
    <cellStyle name="Input 4 3 4" xfId="4531" xr:uid="{00000000-0005-0000-0000-0000E7270000}"/>
    <cellStyle name="Input 4 3 4 2" xfId="8570" xr:uid="{00000000-0005-0000-0000-0000E8270000}"/>
    <cellStyle name="Input 4 3 4 2 2" xfId="24196" xr:uid="{00000000-0005-0000-0000-0000E9270000}"/>
    <cellStyle name="Input 4 3 4 3" xfId="14858" xr:uid="{00000000-0005-0000-0000-0000EA270000}"/>
    <cellStyle name="Input 4 3 4 3 2" xfId="29690" xr:uid="{00000000-0005-0000-0000-0000EB270000}"/>
    <cellStyle name="Input 4 3 4 4" xfId="21756" xr:uid="{00000000-0005-0000-0000-0000EC270000}"/>
    <cellStyle name="Input 4 3 5" xfId="2521" xr:uid="{00000000-0005-0000-0000-0000ED270000}"/>
    <cellStyle name="Input 4 3 5 2" xfId="6627" xr:uid="{00000000-0005-0000-0000-0000EE270000}"/>
    <cellStyle name="Input 4 3 5 2 2" xfId="22965" xr:uid="{00000000-0005-0000-0000-0000EF270000}"/>
    <cellStyle name="Input 4 3 5 3" xfId="12859" xr:uid="{00000000-0005-0000-0000-0000F0270000}"/>
    <cellStyle name="Input 4 3 5 3 2" xfId="27691" xr:uid="{00000000-0005-0000-0000-0000F1270000}"/>
    <cellStyle name="Input 4 3 5 4" xfId="20611" xr:uid="{00000000-0005-0000-0000-0000F2270000}"/>
    <cellStyle name="Input 4 3 6" xfId="5644" xr:uid="{00000000-0005-0000-0000-0000F3270000}"/>
    <cellStyle name="Input 4 3 6 2" xfId="15879" xr:uid="{00000000-0005-0000-0000-0000F4270000}"/>
    <cellStyle name="Input 4 3 6 2 2" xfId="30711" xr:uid="{00000000-0005-0000-0000-0000F5270000}"/>
    <cellStyle name="Input 4 3 6 3" xfId="22340" xr:uid="{00000000-0005-0000-0000-0000F6270000}"/>
    <cellStyle name="Input 4 3 7" xfId="11903" xr:uid="{00000000-0005-0000-0000-0000F7270000}"/>
    <cellStyle name="Input 4 3 7 2" xfId="26735" xr:uid="{00000000-0005-0000-0000-0000F8270000}"/>
    <cellStyle name="Input 4 3 8" xfId="9561" xr:uid="{00000000-0005-0000-0000-0000F9270000}"/>
    <cellStyle name="Input 4 3 8 2" xfId="19863" xr:uid="{00000000-0005-0000-0000-0000FA270000}"/>
    <cellStyle name="Input 4 4" xfId="1401" xr:uid="{00000000-0005-0000-0000-0000FB270000}"/>
    <cellStyle name="Input 4 4 2" xfId="1903" xr:uid="{00000000-0005-0000-0000-0000FC270000}"/>
    <cellStyle name="Input 4 4 2 2" xfId="3709" xr:uid="{00000000-0005-0000-0000-0000FD270000}"/>
    <cellStyle name="Input 4 4 2 2 2" xfId="7765" xr:uid="{00000000-0005-0000-0000-0000FE270000}"/>
    <cellStyle name="Input 4 4 2 2 2 2" xfId="23647" xr:uid="{00000000-0005-0000-0000-0000FF270000}"/>
    <cellStyle name="Input 4 4 2 2 3" xfId="14044" xr:uid="{00000000-0005-0000-0000-000000280000}"/>
    <cellStyle name="Input 4 4 2 2 3 2" xfId="28876" xr:uid="{00000000-0005-0000-0000-000001280000}"/>
    <cellStyle name="Input 4 4 2 2 4" xfId="21307" xr:uid="{00000000-0005-0000-0000-000002280000}"/>
    <cellStyle name="Input 4 4 2 3" xfId="4881" xr:uid="{00000000-0005-0000-0000-000003280000}"/>
    <cellStyle name="Input 4 4 2 3 2" xfId="8920" xr:uid="{00000000-0005-0000-0000-000004280000}"/>
    <cellStyle name="Input 4 4 2 3 2 2" xfId="24386" xr:uid="{00000000-0005-0000-0000-000005280000}"/>
    <cellStyle name="Input 4 4 2 3 3" xfId="15204" xr:uid="{00000000-0005-0000-0000-000006280000}"/>
    <cellStyle name="Input 4 4 2 3 3 2" xfId="30036" xr:uid="{00000000-0005-0000-0000-000007280000}"/>
    <cellStyle name="Input 4 4 2 3 4" xfId="21918" xr:uid="{00000000-0005-0000-0000-000008280000}"/>
    <cellStyle name="Input 4 4 2 4" xfId="2871" xr:uid="{00000000-0005-0000-0000-000009280000}"/>
    <cellStyle name="Input 4 4 2 4 2" xfId="6956" xr:uid="{00000000-0005-0000-0000-00000A280000}"/>
    <cellStyle name="Input 4 4 2 4 2 2" xfId="23131" xr:uid="{00000000-0005-0000-0000-00000B280000}"/>
    <cellStyle name="Input 4 4 2 4 3" xfId="13209" xr:uid="{00000000-0005-0000-0000-00000C280000}"/>
    <cellStyle name="Input 4 4 2 4 3 2" xfId="28041" xr:uid="{00000000-0005-0000-0000-00000D280000}"/>
    <cellStyle name="Input 4 4 2 4 4" xfId="20797" xr:uid="{00000000-0005-0000-0000-00000E280000}"/>
    <cellStyle name="Input 4 4 2 5" xfId="6034" xr:uid="{00000000-0005-0000-0000-00000F280000}"/>
    <cellStyle name="Input 4 4 2 5 2" xfId="16221" xr:uid="{00000000-0005-0000-0000-000010280000}"/>
    <cellStyle name="Input 4 4 2 5 2 2" xfId="31053" xr:uid="{00000000-0005-0000-0000-000011280000}"/>
    <cellStyle name="Input 4 4 2 5 3" xfId="22567" xr:uid="{00000000-0005-0000-0000-000012280000}"/>
    <cellStyle name="Input 4 4 2 6" xfId="12291" xr:uid="{00000000-0005-0000-0000-000013280000}"/>
    <cellStyle name="Input 4 4 2 6 2" xfId="27123" xr:uid="{00000000-0005-0000-0000-000014280000}"/>
    <cellStyle name="Input 4 4 2 7" xfId="9887" xr:uid="{00000000-0005-0000-0000-000015280000}"/>
    <cellStyle name="Input 4 4 2 7 2" xfId="20090" xr:uid="{00000000-0005-0000-0000-000016280000}"/>
    <cellStyle name="Input 4 4 3" xfId="3561" xr:uid="{00000000-0005-0000-0000-000017280000}"/>
    <cellStyle name="Input 4 4 3 2" xfId="7623" xr:uid="{00000000-0005-0000-0000-000018280000}"/>
    <cellStyle name="Input 4 4 3 2 2" xfId="23553" xr:uid="{00000000-0005-0000-0000-000019280000}"/>
    <cellStyle name="Input 4 4 3 3" xfId="13897" xr:uid="{00000000-0005-0000-0000-00001A280000}"/>
    <cellStyle name="Input 4 4 3 3 2" xfId="28729" xr:uid="{00000000-0005-0000-0000-00001B280000}"/>
    <cellStyle name="Input 4 4 3 4" xfId="21223" xr:uid="{00000000-0005-0000-0000-00001C280000}"/>
    <cellStyle name="Input 4 4 4" xfId="4461" xr:uid="{00000000-0005-0000-0000-00001D280000}"/>
    <cellStyle name="Input 4 4 4 2" xfId="8500" xr:uid="{00000000-0005-0000-0000-00001E280000}"/>
    <cellStyle name="Input 4 4 4 2 2" xfId="24126" xr:uid="{00000000-0005-0000-0000-00001F280000}"/>
    <cellStyle name="Input 4 4 4 3" xfId="14789" xr:uid="{00000000-0005-0000-0000-000020280000}"/>
    <cellStyle name="Input 4 4 4 3 2" xfId="29621" xr:uid="{00000000-0005-0000-0000-000021280000}"/>
    <cellStyle name="Input 4 4 4 4" xfId="21688" xr:uid="{00000000-0005-0000-0000-000022280000}"/>
    <cellStyle name="Input 4 4 5" xfId="2451" xr:uid="{00000000-0005-0000-0000-000023280000}"/>
    <cellStyle name="Input 4 4 5 2" xfId="6557" xr:uid="{00000000-0005-0000-0000-000024280000}"/>
    <cellStyle name="Input 4 4 5 2 2" xfId="22895" xr:uid="{00000000-0005-0000-0000-000025280000}"/>
    <cellStyle name="Input 4 4 5 3" xfId="12790" xr:uid="{00000000-0005-0000-0000-000026280000}"/>
    <cellStyle name="Input 4 4 5 3 2" xfId="27622" xr:uid="{00000000-0005-0000-0000-000027280000}"/>
    <cellStyle name="Input 4 4 5 4" xfId="20543" xr:uid="{00000000-0005-0000-0000-000028280000}"/>
    <cellStyle name="Input 4 4 6" xfId="5575" xr:uid="{00000000-0005-0000-0000-000029280000}"/>
    <cellStyle name="Input 4 4 6 2" xfId="15810" xr:uid="{00000000-0005-0000-0000-00002A280000}"/>
    <cellStyle name="Input 4 4 6 2 2" xfId="30642" xr:uid="{00000000-0005-0000-0000-00002B280000}"/>
    <cellStyle name="Input 4 4 6 3" xfId="22271" xr:uid="{00000000-0005-0000-0000-00002C280000}"/>
    <cellStyle name="Input 4 4 7" xfId="11820" xr:uid="{00000000-0005-0000-0000-00002D280000}"/>
    <cellStyle name="Input 4 4 7 2" xfId="26652" xr:uid="{00000000-0005-0000-0000-00002E280000}"/>
    <cellStyle name="Input 4 4 8" xfId="9492" xr:uid="{00000000-0005-0000-0000-00002F280000}"/>
    <cellStyle name="Input 4 4 8 2" xfId="19795" xr:uid="{00000000-0005-0000-0000-000030280000}"/>
    <cellStyle name="Input 4 5" xfId="1492" xr:uid="{00000000-0005-0000-0000-000031280000}"/>
    <cellStyle name="Input 4 5 2" xfId="1993" xr:uid="{00000000-0005-0000-0000-000032280000}"/>
    <cellStyle name="Input 4 5 2 2" xfId="4034" xr:uid="{00000000-0005-0000-0000-000033280000}"/>
    <cellStyle name="Input 4 5 2 2 2" xfId="8081" xr:uid="{00000000-0005-0000-0000-000034280000}"/>
    <cellStyle name="Input 4 5 2 2 2 2" xfId="23850" xr:uid="{00000000-0005-0000-0000-000035280000}"/>
    <cellStyle name="Input 4 5 2 2 3" xfId="14366" xr:uid="{00000000-0005-0000-0000-000036280000}"/>
    <cellStyle name="Input 4 5 2 2 3 2" xfId="29198" xr:uid="{00000000-0005-0000-0000-000037280000}"/>
    <cellStyle name="Input 4 5 2 2 4" xfId="21484" xr:uid="{00000000-0005-0000-0000-000038280000}"/>
    <cellStyle name="Input 4 5 2 3" xfId="4957" xr:uid="{00000000-0005-0000-0000-000039280000}"/>
    <cellStyle name="Input 4 5 2 3 2" xfId="8996" xr:uid="{00000000-0005-0000-0000-00003A280000}"/>
    <cellStyle name="Input 4 5 2 3 2 2" xfId="24462" xr:uid="{00000000-0005-0000-0000-00003B280000}"/>
    <cellStyle name="Input 4 5 2 3 3" xfId="15279" xr:uid="{00000000-0005-0000-0000-00003C280000}"/>
    <cellStyle name="Input 4 5 2 3 3 2" xfId="30111" xr:uid="{00000000-0005-0000-0000-00003D280000}"/>
    <cellStyle name="Input 4 5 2 3 4" xfId="21992" xr:uid="{00000000-0005-0000-0000-00003E280000}"/>
    <cellStyle name="Input 4 5 2 4" xfId="2947" xr:uid="{00000000-0005-0000-0000-00003F280000}"/>
    <cellStyle name="Input 4 5 2 4 2" xfId="7031" xr:uid="{00000000-0005-0000-0000-000040280000}"/>
    <cellStyle name="Input 4 5 2 4 2 2" xfId="23205" xr:uid="{00000000-0005-0000-0000-000041280000}"/>
    <cellStyle name="Input 4 5 2 4 3" xfId="13285" xr:uid="{00000000-0005-0000-0000-000042280000}"/>
    <cellStyle name="Input 4 5 2 4 3 2" xfId="28117" xr:uid="{00000000-0005-0000-0000-000043280000}"/>
    <cellStyle name="Input 4 5 2 4 4" xfId="20873" xr:uid="{00000000-0005-0000-0000-000044280000}"/>
    <cellStyle name="Input 4 5 2 5" xfId="6123" xr:uid="{00000000-0005-0000-0000-000045280000}"/>
    <cellStyle name="Input 4 5 2 5 2" xfId="16310" xr:uid="{00000000-0005-0000-0000-000046280000}"/>
    <cellStyle name="Input 4 5 2 5 2 2" xfId="31142" xr:uid="{00000000-0005-0000-0000-000047280000}"/>
    <cellStyle name="Input 4 5 2 5 3" xfId="22656" xr:uid="{00000000-0005-0000-0000-000048280000}"/>
    <cellStyle name="Input 4 5 2 6" xfId="12380" xr:uid="{00000000-0005-0000-0000-000049280000}"/>
    <cellStyle name="Input 4 5 2 6 2" xfId="27212" xr:uid="{00000000-0005-0000-0000-00004A280000}"/>
    <cellStyle name="Input 4 5 2 7" xfId="9962" xr:uid="{00000000-0005-0000-0000-00004B280000}"/>
    <cellStyle name="Input 4 5 2 7 2" xfId="20164" xr:uid="{00000000-0005-0000-0000-00004C280000}"/>
    <cellStyle name="Input 4 5 3" xfId="3998" xr:uid="{00000000-0005-0000-0000-00004D280000}"/>
    <cellStyle name="Input 4 5 3 2" xfId="8045" xr:uid="{00000000-0005-0000-0000-00004E280000}"/>
    <cellStyle name="Input 4 5 3 2 2" xfId="23828" xr:uid="{00000000-0005-0000-0000-00004F280000}"/>
    <cellStyle name="Input 4 5 3 3" xfId="14330" xr:uid="{00000000-0005-0000-0000-000050280000}"/>
    <cellStyle name="Input 4 5 3 3 2" xfId="29162" xr:uid="{00000000-0005-0000-0000-000051280000}"/>
    <cellStyle name="Input 4 5 3 4" xfId="21466" xr:uid="{00000000-0005-0000-0000-000052280000}"/>
    <cellStyle name="Input 4 5 4" xfId="4537" xr:uid="{00000000-0005-0000-0000-000053280000}"/>
    <cellStyle name="Input 4 5 4 2" xfId="8576" xr:uid="{00000000-0005-0000-0000-000054280000}"/>
    <cellStyle name="Input 4 5 4 2 2" xfId="24202" xr:uid="{00000000-0005-0000-0000-000055280000}"/>
    <cellStyle name="Input 4 5 4 3" xfId="14864" xr:uid="{00000000-0005-0000-0000-000056280000}"/>
    <cellStyle name="Input 4 5 4 3 2" xfId="29696" xr:uid="{00000000-0005-0000-0000-000057280000}"/>
    <cellStyle name="Input 4 5 4 4" xfId="21762" xr:uid="{00000000-0005-0000-0000-000058280000}"/>
    <cellStyle name="Input 4 5 5" xfId="2527" xr:uid="{00000000-0005-0000-0000-000059280000}"/>
    <cellStyle name="Input 4 5 5 2" xfId="6633" xr:uid="{00000000-0005-0000-0000-00005A280000}"/>
    <cellStyle name="Input 4 5 5 2 2" xfId="22971" xr:uid="{00000000-0005-0000-0000-00005B280000}"/>
    <cellStyle name="Input 4 5 5 3" xfId="12865" xr:uid="{00000000-0005-0000-0000-00005C280000}"/>
    <cellStyle name="Input 4 5 5 3 2" xfId="27697" xr:uid="{00000000-0005-0000-0000-00005D280000}"/>
    <cellStyle name="Input 4 5 5 4" xfId="20617" xr:uid="{00000000-0005-0000-0000-00005E280000}"/>
    <cellStyle name="Input 4 5 6" xfId="5650" xr:uid="{00000000-0005-0000-0000-00005F280000}"/>
    <cellStyle name="Input 4 5 6 2" xfId="15885" xr:uid="{00000000-0005-0000-0000-000060280000}"/>
    <cellStyle name="Input 4 5 6 2 2" xfId="30717" xr:uid="{00000000-0005-0000-0000-000061280000}"/>
    <cellStyle name="Input 4 5 6 3" xfId="22346" xr:uid="{00000000-0005-0000-0000-000062280000}"/>
    <cellStyle name="Input 4 5 7" xfId="11909" xr:uid="{00000000-0005-0000-0000-000063280000}"/>
    <cellStyle name="Input 4 5 7 2" xfId="26741" xr:uid="{00000000-0005-0000-0000-000064280000}"/>
    <cellStyle name="Input 4 5 8" xfId="9567" xr:uid="{00000000-0005-0000-0000-000065280000}"/>
    <cellStyle name="Input 4 5 8 2" xfId="19869" xr:uid="{00000000-0005-0000-0000-000066280000}"/>
    <cellStyle name="Input 4 6" xfId="1754" xr:uid="{00000000-0005-0000-0000-000067280000}"/>
    <cellStyle name="Input 4 6 2" xfId="3372" xr:uid="{00000000-0005-0000-0000-000068280000}"/>
    <cellStyle name="Input 4 6 2 2" xfId="7435" xr:uid="{00000000-0005-0000-0000-000069280000}"/>
    <cellStyle name="Input 4 6 2 2 2" xfId="23433" xr:uid="{00000000-0005-0000-0000-00006A280000}"/>
    <cellStyle name="Input 4 6 2 3" xfId="13709" xr:uid="{00000000-0005-0000-0000-00006B280000}"/>
    <cellStyle name="Input 4 6 2 3 2" xfId="28541" xr:uid="{00000000-0005-0000-0000-00006C280000}"/>
    <cellStyle name="Input 4 6 2 4" xfId="21115" xr:uid="{00000000-0005-0000-0000-00006D280000}"/>
    <cellStyle name="Input 4 6 3" xfId="4732" xr:uid="{00000000-0005-0000-0000-00006E280000}"/>
    <cellStyle name="Input 4 6 3 2" xfId="8771" xr:uid="{00000000-0005-0000-0000-00006F280000}"/>
    <cellStyle name="Input 4 6 3 2 2" xfId="24301" xr:uid="{00000000-0005-0000-0000-000070280000}"/>
    <cellStyle name="Input 4 6 3 3" xfId="15056" xr:uid="{00000000-0005-0000-0000-000071280000}"/>
    <cellStyle name="Input 4 6 3 3 2" xfId="29888" xr:uid="{00000000-0005-0000-0000-000072280000}"/>
    <cellStyle name="Input 4 6 3 4" xfId="21839" xr:uid="{00000000-0005-0000-0000-000073280000}"/>
    <cellStyle name="Input 4 6 4" xfId="2722" xr:uid="{00000000-0005-0000-0000-000074280000}"/>
    <cellStyle name="Input 4 6 4 2" xfId="6813" xr:uid="{00000000-0005-0000-0000-000075280000}"/>
    <cellStyle name="Input 4 6 4 2 2" xfId="23052" xr:uid="{00000000-0005-0000-0000-000076280000}"/>
    <cellStyle name="Input 4 6 4 3" xfId="13060" xr:uid="{00000000-0005-0000-0000-000077280000}"/>
    <cellStyle name="Input 4 6 4 3 2" xfId="27892" xr:uid="{00000000-0005-0000-0000-000078280000}"/>
    <cellStyle name="Input 4 6 4 4" xfId="20712" xr:uid="{00000000-0005-0000-0000-000079280000}"/>
    <cellStyle name="Input 4 6 5" xfId="5886" xr:uid="{00000000-0005-0000-0000-00007A280000}"/>
    <cellStyle name="Input 4 6 5 2" xfId="16078" xr:uid="{00000000-0005-0000-0000-00007B280000}"/>
    <cellStyle name="Input 4 6 5 2 2" xfId="30910" xr:uid="{00000000-0005-0000-0000-00007C280000}"/>
    <cellStyle name="Input 4 6 5 3" xfId="22483" xr:uid="{00000000-0005-0000-0000-00007D280000}"/>
    <cellStyle name="Input 4 6 6" xfId="12148" xr:uid="{00000000-0005-0000-0000-00007E280000}"/>
    <cellStyle name="Input 4 6 6 2" xfId="26980" xr:uid="{00000000-0005-0000-0000-00007F280000}"/>
    <cellStyle name="Input 4 6 7" xfId="9744" xr:uid="{00000000-0005-0000-0000-000080280000}"/>
    <cellStyle name="Input 4 6 7 2" xfId="20042" xr:uid="{00000000-0005-0000-0000-000081280000}"/>
    <cellStyle name="Input 4 7" xfId="2212" xr:uid="{00000000-0005-0000-0000-000082280000}"/>
    <cellStyle name="Input 4 7 2" xfId="3882" xr:uid="{00000000-0005-0000-0000-000083280000}"/>
    <cellStyle name="Input 4 7 2 2" xfId="7933" xr:uid="{00000000-0005-0000-0000-000084280000}"/>
    <cellStyle name="Input 4 7 2 2 2" xfId="23759" xr:uid="{00000000-0005-0000-0000-000085280000}"/>
    <cellStyle name="Input 4 7 2 3" xfId="14216" xr:uid="{00000000-0005-0000-0000-000086280000}"/>
    <cellStyle name="Input 4 7 2 3 2" xfId="29048" xr:uid="{00000000-0005-0000-0000-000087280000}"/>
    <cellStyle name="Input 4 7 2 4" xfId="21401" xr:uid="{00000000-0005-0000-0000-000088280000}"/>
    <cellStyle name="Input 4 7 3" xfId="5180" xr:uid="{00000000-0005-0000-0000-000089280000}"/>
    <cellStyle name="Input 4 7 3 2" xfId="9219" xr:uid="{00000000-0005-0000-0000-00008A280000}"/>
    <cellStyle name="Input 4 7 3 2 2" xfId="24557" xr:uid="{00000000-0005-0000-0000-00008B280000}"/>
    <cellStyle name="Input 4 7 3 3" xfId="15498" xr:uid="{00000000-0005-0000-0000-00008C280000}"/>
    <cellStyle name="Input 4 7 3 3 2" xfId="30330" xr:uid="{00000000-0005-0000-0000-00008D280000}"/>
    <cellStyle name="Input 4 7 3 4" xfId="22064" xr:uid="{00000000-0005-0000-0000-00008E280000}"/>
    <cellStyle name="Input 4 7 4" xfId="4210" xr:uid="{00000000-0005-0000-0000-00008F280000}"/>
    <cellStyle name="Input 4 7 4 2" xfId="8251" xr:uid="{00000000-0005-0000-0000-000090280000}"/>
    <cellStyle name="Input 4 7 4 2 2" xfId="23946" xr:uid="{00000000-0005-0000-0000-000091280000}"/>
    <cellStyle name="Input 4 7 4 3" xfId="14542" xr:uid="{00000000-0005-0000-0000-000092280000}"/>
    <cellStyle name="Input 4 7 4 3 2" xfId="29374" xr:uid="{00000000-0005-0000-0000-000093280000}"/>
    <cellStyle name="Input 4 7 4 4" xfId="21571" xr:uid="{00000000-0005-0000-0000-000094280000}"/>
    <cellStyle name="Input 4 7 5" xfId="6326" xr:uid="{00000000-0005-0000-0000-000095280000}"/>
    <cellStyle name="Input 4 7 5 2" xfId="22728" xr:uid="{00000000-0005-0000-0000-000096280000}"/>
    <cellStyle name="Input 4 7 6" xfId="12580" xr:uid="{00000000-0005-0000-0000-000097280000}"/>
    <cellStyle name="Input 4 7 6 2" xfId="27412" xr:uid="{00000000-0005-0000-0000-000098280000}"/>
    <cellStyle name="Input 4 7 7" xfId="20407" xr:uid="{00000000-0005-0000-0000-000099280000}"/>
    <cellStyle name="Input 4 8" xfId="3257" xr:uid="{00000000-0005-0000-0000-00009A280000}"/>
    <cellStyle name="Input 4 8 2" xfId="7321" xr:uid="{00000000-0005-0000-0000-00009B280000}"/>
    <cellStyle name="Input 4 8 2 2" xfId="23357" xr:uid="{00000000-0005-0000-0000-00009C280000}"/>
    <cellStyle name="Input 4 8 3" xfId="13594" xr:uid="{00000000-0005-0000-0000-00009D280000}"/>
    <cellStyle name="Input 4 8 3 2" xfId="28426" xr:uid="{00000000-0005-0000-0000-00009E280000}"/>
    <cellStyle name="Input 4 8 4" xfId="21044" xr:uid="{00000000-0005-0000-0000-00009F280000}"/>
    <cellStyle name="Input 4 9" xfId="3147" xr:uid="{00000000-0005-0000-0000-0000A0280000}"/>
    <cellStyle name="Input 4 9 2" xfId="7211" xr:uid="{00000000-0005-0000-0000-0000A1280000}"/>
    <cellStyle name="Input 4 9 2 2" xfId="23280" xr:uid="{00000000-0005-0000-0000-0000A2280000}"/>
    <cellStyle name="Input 4 9 3" xfId="13485" xr:uid="{00000000-0005-0000-0000-0000A3280000}"/>
    <cellStyle name="Input 4 9 3 2" xfId="28317" xr:uid="{00000000-0005-0000-0000-0000A4280000}"/>
    <cellStyle name="Input 4 9 4" xfId="20971" xr:uid="{00000000-0005-0000-0000-0000A5280000}"/>
    <cellStyle name="Input 5" xfId="1122" xr:uid="{00000000-0005-0000-0000-0000A6280000}"/>
    <cellStyle name="Input 5 10" xfId="2293" xr:uid="{00000000-0005-0000-0000-0000A7280000}"/>
    <cellStyle name="Input 5 10 2" xfId="6405" xr:uid="{00000000-0005-0000-0000-0000A8280000}"/>
    <cellStyle name="Input 5 10 2 2" xfId="22807" xr:uid="{00000000-0005-0000-0000-0000A9280000}"/>
    <cellStyle name="Input 5 10 3" xfId="12633" xr:uid="{00000000-0005-0000-0000-0000AA280000}"/>
    <cellStyle name="Input 5 10 3 2" xfId="27465" xr:uid="{00000000-0005-0000-0000-0000AB280000}"/>
    <cellStyle name="Input 5 10 4" xfId="20459" xr:uid="{00000000-0005-0000-0000-0000AC280000}"/>
    <cellStyle name="Input 5 11" xfId="5259" xr:uid="{00000000-0005-0000-0000-0000AD280000}"/>
    <cellStyle name="Input 5 11 2" xfId="15575" xr:uid="{00000000-0005-0000-0000-0000AE280000}"/>
    <cellStyle name="Input 5 11 2 2" xfId="30407" xr:uid="{00000000-0005-0000-0000-0000AF280000}"/>
    <cellStyle name="Input 5 11 3" xfId="22116" xr:uid="{00000000-0005-0000-0000-0000B0280000}"/>
    <cellStyle name="Input 5 12" xfId="5417" xr:uid="{00000000-0005-0000-0000-0000B1280000}"/>
    <cellStyle name="Input 5 12 2" xfId="15653" xr:uid="{00000000-0005-0000-0000-0000B2280000}"/>
    <cellStyle name="Input 5 12 2 2" xfId="30485" xr:uid="{00000000-0005-0000-0000-0000B3280000}"/>
    <cellStyle name="Input 5 12 3" xfId="22178" xr:uid="{00000000-0005-0000-0000-0000B4280000}"/>
    <cellStyle name="Input 5 13" xfId="9374" xr:uid="{00000000-0005-0000-0000-0000B5280000}"/>
    <cellStyle name="Input 5 13 2" xfId="24680" xr:uid="{00000000-0005-0000-0000-0000B6280000}"/>
    <cellStyle name="Input 5 14" xfId="5363" xr:uid="{00000000-0005-0000-0000-0000B7280000}"/>
    <cellStyle name="Input 5 14 2" xfId="18237" xr:uid="{00000000-0005-0000-0000-0000B8280000}"/>
    <cellStyle name="Input 5 2" xfId="1329" xr:uid="{00000000-0005-0000-0000-0000B9280000}"/>
    <cellStyle name="Input 5 2 2" xfId="1833" xr:uid="{00000000-0005-0000-0000-0000BA280000}"/>
    <cellStyle name="Input 5 2 2 2" xfId="3695" xr:uid="{00000000-0005-0000-0000-0000BB280000}"/>
    <cellStyle name="Input 5 2 2 2 2" xfId="7751" xr:uid="{00000000-0005-0000-0000-0000BC280000}"/>
    <cellStyle name="Input 5 2 2 2 2 2" xfId="23636" xr:uid="{00000000-0005-0000-0000-0000BD280000}"/>
    <cellStyle name="Input 5 2 2 2 3" xfId="14030" xr:uid="{00000000-0005-0000-0000-0000BE280000}"/>
    <cellStyle name="Input 5 2 2 2 3 2" xfId="28862" xr:uid="{00000000-0005-0000-0000-0000BF280000}"/>
    <cellStyle name="Input 5 2 2 2 4" xfId="21297" xr:uid="{00000000-0005-0000-0000-0000C0280000}"/>
    <cellStyle name="Input 5 2 2 3" xfId="4811" xr:uid="{00000000-0005-0000-0000-0000C1280000}"/>
    <cellStyle name="Input 5 2 2 3 2" xfId="8850" xr:uid="{00000000-0005-0000-0000-0000C2280000}"/>
    <cellStyle name="Input 5 2 2 3 2 2" xfId="24348" xr:uid="{00000000-0005-0000-0000-0000C3280000}"/>
    <cellStyle name="Input 5 2 2 3 3" xfId="15135" xr:uid="{00000000-0005-0000-0000-0000C4280000}"/>
    <cellStyle name="Input 5 2 2 3 3 2" xfId="29967" xr:uid="{00000000-0005-0000-0000-0000C5280000}"/>
    <cellStyle name="Input 5 2 2 3 4" xfId="21886" xr:uid="{00000000-0005-0000-0000-0000C6280000}"/>
    <cellStyle name="Input 5 2 2 4" xfId="2801" xr:uid="{00000000-0005-0000-0000-0000C7280000}"/>
    <cellStyle name="Input 5 2 2 4 2" xfId="6892" xr:uid="{00000000-0005-0000-0000-0000C8280000}"/>
    <cellStyle name="Input 5 2 2 4 2 2" xfId="23099" xr:uid="{00000000-0005-0000-0000-0000C9280000}"/>
    <cellStyle name="Input 5 2 2 4 3" xfId="13139" xr:uid="{00000000-0005-0000-0000-0000CA280000}"/>
    <cellStyle name="Input 5 2 2 4 3 2" xfId="27971" xr:uid="{00000000-0005-0000-0000-0000CB280000}"/>
    <cellStyle name="Input 5 2 2 4 4" xfId="20759" xr:uid="{00000000-0005-0000-0000-0000CC280000}"/>
    <cellStyle name="Input 5 2 2 5" xfId="5965" xr:uid="{00000000-0005-0000-0000-0000CD280000}"/>
    <cellStyle name="Input 5 2 2 5 2" xfId="16157" xr:uid="{00000000-0005-0000-0000-0000CE280000}"/>
    <cellStyle name="Input 5 2 2 5 2 2" xfId="30989" xr:uid="{00000000-0005-0000-0000-0000CF280000}"/>
    <cellStyle name="Input 5 2 2 5 3" xfId="22530" xr:uid="{00000000-0005-0000-0000-0000D0280000}"/>
    <cellStyle name="Input 5 2 2 6" xfId="12227" xr:uid="{00000000-0005-0000-0000-0000D1280000}"/>
    <cellStyle name="Input 5 2 2 6 2" xfId="27059" xr:uid="{00000000-0005-0000-0000-0000D2280000}"/>
    <cellStyle name="Input 5 2 2 7" xfId="9823" xr:uid="{00000000-0005-0000-0000-0000D3280000}"/>
    <cellStyle name="Input 5 2 2 7 2" xfId="20074" xr:uid="{00000000-0005-0000-0000-0000D4280000}"/>
    <cellStyle name="Input 5 2 3" xfId="3819" xr:uid="{00000000-0005-0000-0000-0000D5280000}"/>
    <cellStyle name="Input 5 2 3 2" xfId="7872" xr:uid="{00000000-0005-0000-0000-0000D6280000}"/>
    <cellStyle name="Input 5 2 3 2 2" xfId="23719" xr:uid="{00000000-0005-0000-0000-0000D7280000}"/>
    <cellStyle name="Input 5 2 3 3" xfId="14154" xr:uid="{00000000-0005-0000-0000-0000D8280000}"/>
    <cellStyle name="Input 5 2 3 3 2" xfId="28986" xr:uid="{00000000-0005-0000-0000-0000D9280000}"/>
    <cellStyle name="Input 5 2 3 4" xfId="21367" xr:uid="{00000000-0005-0000-0000-0000DA280000}"/>
    <cellStyle name="Input 5 2 4" xfId="4391" xr:uid="{00000000-0005-0000-0000-0000DB280000}"/>
    <cellStyle name="Input 5 2 4 2" xfId="8430" xr:uid="{00000000-0005-0000-0000-0000DC280000}"/>
    <cellStyle name="Input 5 2 4 2 2" xfId="24088" xr:uid="{00000000-0005-0000-0000-0000DD280000}"/>
    <cellStyle name="Input 5 2 4 3" xfId="14720" xr:uid="{00000000-0005-0000-0000-0000DE280000}"/>
    <cellStyle name="Input 5 2 4 3 2" xfId="29552" xr:uid="{00000000-0005-0000-0000-0000DF280000}"/>
    <cellStyle name="Input 5 2 4 4" xfId="21656" xr:uid="{00000000-0005-0000-0000-0000E0280000}"/>
    <cellStyle name="Input 5 2 5" xfId="2381" xr:uid="{00000000-0005-0000-0000-0000E1280000}"/>
    <cellStyle name="Input 5 2 5 2" xfId="6493" xr:uid="{00000000-0005-0000-0000-0000E2280000}"/>
    <cellStyle name="Input 5 2 5 2 2" xfId="22863" xr:uid="{00000000-0005-0000-0000-0000E3280000}"/>
    <cellStyle name="Input 5 2 5 3" xfId="12720" xr:uid="{00000000-0005-0000-0000-0000E4280000}"/>
    <cellStyle name="Input 5 2 5 3 2" xfId="27552" xr:uid="{00000000-0005-0000-0000-0000E5280000}"/>
    <cellStyle name="Input 5 2 5 4" xfId="20505" xr:uid="{00000000-0005-0000-0000-0000E6280000}"/>
    <cellStyle name="Input 5 2 6" xfId="5506" xr:uid="{00000000-0005-0000-0000-0000E7280000}"/>
    <cellStyle name="Input 5 2 6 2" xfId="15741" xr:uid="{00000000-0005-0000-0000-0000E8280000}"/>
    <cellStyle name="Input 5 2 6 2 2" xfId="30573" xr:uid="{00000000-0005-0000-0000-0000E9280000}"/>
    <cellStyle name="Input 5 2 6 3" xfId="22234" xr:uid="{00000000-0005-0000-0000-0000EA280000}"/>
    <cellStyle name="Input 5 2 7" xfId="11756" xr:uid="{00000000-0005-0000-0000-0000EB280000}"/>
    <cellStyle name="Input 5 2 7 2" xfId="26588" xr:uid="{00000000-0005-0000-0000-0000EC280000}"/>
    <cellStyle name="Input 5 2 8" xfId="9427" xr:uid="{00000000-0005-0000-0000-0000ED280000}"/>
    <cellStyle name="Input 5 2 8 2" xfId="19731" xr:uid="{00000000-0005-0000-0000-0000EE280000}"/>
    <cellStyle name="Input 5 3" xfId="1487" xr:uid="{00000000-0005-0000-0000-0000EF280000}"/>
    <cellStyle name="Input 5 3 2" xfId="1988" xr:uid="{00000000-0005-0000-0000-0000F0280000}"/>
    <cellStyle name="Input 5 3 2 2" xfId="3910" xr:uid="{00000000-0005-0000-0000-0000F1280000}"/>
    <cellStyle name="Input 5 3 2 2 2" xfId="7961" xr:uid="{00000000-0005-0000-0000-0000F2280000}"/>
    <cellStyle name="Input 5 3 2 2 2 2" xfId="23773" xr:uid="{00000000-0005-0000-0000-0000F3280000}"/>
    <cellStyle name="Input 5 3 2 2 3" xfId="14243" xr:uid="{00000000-0005-0000-0000-0000F4280000}"/>
    <cellStyle name="Input 5 3 2 2 3 2" xfId="29075" xr:uid="{00000000-0005-0000-0000-0000F5280000}"/>
    <cellStyle name="Input 5 3 2 2 4" xfId="21414" xr:uid="{00000000-0005-0000-0000-0000F6280000}"/>
    <cellStyle name="Input 5 3 2 3" xfId="4952" xr:uid="{00000000-0005-0000-0000-0000F7280000}"/>
    <cellStyle name="Input 5 3 2 3 2" xfId="8991" xr:uid="{00000000-0005-0000-0000-0000F8280000}"/>
    <cellStyle name="Input 5 3 2 3 2 2" xfId="24457" xr:uid="{00000000-0005-0000-0000-0000F9280000}"/>
    <cellStyle name="Input 5 3 2 3 3" xfId="15274" xr:uid="{00000000-0005-0000-0000-0000FA280000}"/>
    <cellStyle name="Input 5 3 2 3 3 2" xfId="30106" xr:uid="{00000000-0005-0000-0000-0000FB280000}"/>
    <cellStyle name="Input 5 3 2 3 4" xfId="21987" xr:uid="{00000000-0005-0000-0000-0000FC280000}"/>
    <cellStyle name="Input 5 3 2 4" xfId="2942" xr:uid="{00000000-0005-0000-0000-0000FD280000}"/>
    <cellStyle name="Input 5 3 2 4 2" xfId="7026" xr:uid="{00000000-0005-0000-0000-0000FE280000}"/>
    <cellStyle name="Input 5 3 2 4 2 2" xfId="23200" xr:uid="{00000000-0005-0000-0000-0000FF280000}"/>
    <cellStyle name="Input 5 3 2 4 3" xfId="13280" xr:uid="{00000000-0005-0000-0000-000000290000}"/>
    <cellStyle name="Input 5 3 2 4 3 2" xfId="28112" xr:uid="{00000000-0005-0000-0000-000001290000}"/>
    <cellStyle name="Input 5 3 2 4 4" xfId="20868" xr:uid="{00000000-0005-0000-0000-000002290000}"/>
    <cellStyle name="Input 5 3 2 5" xfId="6118" xr:uid="{00000000-0005-0000-0000-000003290000}"/>
    <cellStyle name="Input 5 3 2 5 2" xfId="16305" xr:uid="{00000000-0005-0000-0000-000004290000}"/>
    <cellStyle name="Input 5 3 2 5 2 2" xfId="31137" xr:uid="{00000000-0005-0000-0000-000005290000}"/>
    <cellStyle name="Input 5 3 2 5 3" xfId="22651" xr:uid="{00000000-0005-0000-0000-000006290000}"/>
    <cellStyle name="Input 5 3 2 6" xfId="12375" xr:uid="{00000000-0005-0000-0000-000007290000}"/>
    <cellStyle name="Input 5 3 2 6 2" xfId="27207" xr:uid="{00000000-0005-0000-0000-000008290000}"/>
    <cellStyle name="Input 5 3 2 7" xfId="9957" xr:uid="{00000000-0005-0000-0000-000009290000}"/>
    <cellStyle name="Input 5 3 2 7 2" xfId="20159" xr:uid="{00000000-0005-0000-0000-00000A290000}"/>
    <cellStyle name="Input 5 3 3" xfId="3949" xr:uid="{00000000-0005-0000-0000-00000B290000}"/>
    <cellStyle name="Input 5 3 3 2" xfId="7999" xr:uid="{00000000-0005-0000-0000-00000C290000}"/>
    <cellStyle name="Input 5 3 3 2 2" xfId="23799" xr:uid="{00000000-0005-0000-0000-00000D290000}"/>
    <cellStyle name="Input 5 3 3 3" xfId="14282" xr:uid="{00000000-0005-0000-0000-00000E290000}"/>
    <cellStyle name="Input 5 3 3 3 2" xfId="29114" xr:uid="{00000000-0005-0000-0000-00000F290000}"/>
    <cellStyle name="Input 5 3 3 4" xfId="21441" xr:uid="{00000000-0005-0000-0000-000010290000}"/>
    <cellStyle name="Input 5 3 4" xfId="4532" xr:uid="{00000000-0005-0000-0000-000011290000}"/>
    <cellStyle name="Input 5 3 4 2" xfId="8571" xr:uid="{00000000-0005-0000-0000-000012290000}"/>
    <cellStyle name="Input 5 3 4 2 2" xfId="24197" xr:uid="{00000000-0005-0000-0000-000013290000}"/>
    <cellStyle name="Input 5 3 4 3" xfId="14859" xr:uid="{00000000-0005-0000-0000-000014290000}"/>
    <cellStyle name="Input 5 3 4 3 2" xfId="29691" xr:uid="{00000000-0005-0000-0000-000015290000}"/>
    <cellStyle name="Input 5 3 4 4" xfId="21757" xr:uid="{00000000-0005-0000-0000-000016290000}"/>
    <cellStyle name="Input 5 3 5" xfId="2522" xr:uid="{00000000-0005-0000-0000-000017290000}"/>
    <cellStyle name="Input 5 3 5 2" xfId="6628" xr:uid="{00000000-0005-0000-0000-000018290000}"/>
    <cellStyle name="Input 5 3 5 2 2" xfId="22966" xr:uid="{00000000-0005-0000-0000-000019290000}"/>
    <cellStyle name="Input 5 3 5 3" xfId="12860" xr:uid="{00000000-0005-0000-0000-00001A290000}"/>
    <cellStyle name="Input 5 3 5 3 2" xfId="27692" xr:uid="{00000000-0005-0000-0000-00001B290000}"/>
    <cellStyle name="Input 5 3 5 4" xfId="20612" xr:uid="{00000000-0005-0000-0000-00001C290000}"/>
    <cellStyle name="Input 5 3 6" xfId="5645" xr:uid="{00000000-0005-0000-0000-00001D290000}"/>
    <cellStyle name="Input 5 3 6 2" xfId="15880" xr:uid="{00000000-0005-0000-0000-00001E290000}"/>
    <cellStyle name="Input 5 3 6 2 2" xfId="30712" xr:uid="{00000000-0005-0000-0000-00001F290000}"/>
    <cellStyle name="Input 5 3 6 3" xfId="22341" xr:uid="{00000000-0005-0000-0000-000020290000}"/>
    <cellStyle name="Input 5 3 7" xfId="11904" xr:uid="{00000000-0005-0000-0000-000021290000}"/>
    <cellStyle name="Input 5 3 7 2" xfId="26736" xr:uid="{00000000-0005-0000-0000-000022290000}"/>
    <cellStyle name="Input 5 3 8" xfId="9562" xr:uid="{00000000-0005-0000-0000-000023290000}"/>
    <cellStyle name="Input 5 3 8 2" xfId="19864" xr:uid="{00000000-0005-0000-0000-000024290000}"/>
    <cellStyle name="Input 5 4" xfId="1506" xr:uid="{00000000-0005-0000-0000-000025290000}"/>
    <cellStyle name="Input 5 4 2" xfId="2003" xr:uid="{00000000-0005-0000-0000-000026290000}"/>
    <cellStyle name="Input 5 4 2 2" xfId="3484" xr:uid="{00000000-0005-0000-0000-000027290000}"/>
    <cellStyle name="Input 5 4 2 2 2" xfId="7546" xr:uid="{00000000-0005-0000-0000-000028290000}"/>
    <cellStyle name="Input 5 4 2 2 2 2" xfId="23510" xr:uid="{00000000-0005-0000-0000-000029290000}"/>
    <cellStyle name="Input 5 4 2 2 3" xfId="13821" xr:uid="{00000000-0005-0000-0000-00002A290000}"/>
    <cellStyle name="Input 5 4 2 2 3 2" xfId="28653" xr:uid="{00000000-0005-0000-0000-00002B290000}"/>
    <cellStyle name="Input 5 4 2 2 4" xfId="21186" xr:uid="{00000000-0005-0000-0000-00002C290000}"/>
    <cellStyle name="Input 5 4 2 3" xfId="4971" xr:uid="{00000000-0005-0000-0000-00002D290000}"/>
    <cellStyle name="Input 5 4 2 3 2" xfId="9010" xr:uid="{00000000-0005-0000-0000-00002E290000}"/>
    <cellStyle name="Input 5 4 2 3 2 2" xfId="24476" xr:uid="{00000000-0005-0000-0000-00002F290000}"/>
    <cellStyle name="Input 5 4 2 3 3" xfId="15293" xr:uid="{00000000-0005-0000-0000-000030290000}"/>
    <cellStyle name="Input 5 4 2 3 3 2" xfId="30125" xr:uid="{00000000-0005-0000-0000-000031290000}"/>
    <cellStyle name="Input 5 4 2 3 4" xfId="22002" xr:uid="{00000000-0005-0000-0000-000032290000}"/>
    <cellStyle name="Input 5 4 2 4" xfId="2961" xr:uid="{00000000-0005-0000-0000-000033290000}"/>
    <cellStyle name="Input 5 4 2 4 2" xfId="7041" xr:uid="{00000000-0005-0000-0000-000034290000}"/>
    <cellStyle name="Input 5 4 2 4 2 2" xfId="23215" xr:uid="{00000000-0005-0000-0000-000035290000}"/>
    <cellStyle name="Input 5 4 2 4 3" xfId="13299" xr:uid="{00000000-0005-0000-0000-000036290000}"/>
    <cellStyle name="Input 5 4 2 4 3 2" xfId="28131" xr:uid="{00000000-0005-0000-0000-000037290000}"/>
    <cellStyle name="Input 5 4 2 4 4" xfId="20887" xr:uid="{00000000-0005-0000-0000-000038290000}"/>
    <cellStyle name="Input 5 4 2 5" xfId="6133" xr:uid="{00000000-0005-0000-0000-000039290000}"/>
    <cellStyle name="Input 5 4 2 5 2" xfId="16320" xr:uid="{00000000-0005-0000-0000-00003A290000}"/>
    <cellStyle name="Input 5 4 2 5 2 2" xfId="31152" xr:uid="{00000000-0005-0000-0000-00003B290000}"/>
    <cellStyle name="Input 5 4 2 5 3" xfId="22666" xr:uid="{00000000-0005-0000-0000-00003C290000}"/>
    <cellStyle name="Input 5 4 2 6" xfId="12390" xr:uid="{00000000-0005-0000-0000-00003D290000}"/>
    <cellStyle name="Input 5 4 2 6 2" xfId="27222" xr:uid="{00000000-0005-0000-0000-00003E290000}"/>
    <cellStyle name="Input 5 4 2 7" xfId="9972" xr:uid="{00000000-0005-0000-0000-00003F290000}"/>
    <cellStyle name="Input 5 4 2 7 2" xfId="20170" xr:uid="{00000000-0005-0000-0000-000040290000}"/>
    <cellStyle name="Input 5 4 3" xfId="3286" xr:uid="{00000000-0005-0000-0000-000041290000}"/>
    <cellStyle name="Input 5 4 3 2" xfId="7350" xr:uid="{00000000-0005-0000-0000-000042290000}"/>
    <cellStyle name="Input 5 4 3 2 2" xfId="23377" xr:uid="{00000000-0005-0000-0000-000043290000}"/>
    <cellStyle name="Input 5 4 3 3" xfId="13623" xr:uid="{00000000-0005-0000-0000-000044290000}"/>
    <cellStyle name="Input 5 4 3 3 2" xfId="28455" xr:uid="{00000000-0005-0000-0000-000045290000}"/>
    <cellStyle name="Input 5 4 3 4" xfId="21064" xr:uid="{00000000-0005-0000-0000-000046290000}"/>
    <cellStyle name="Input 5 4 4" xfId="4551" xr:uid="{00000000-0005-0000-0000-000047290000}"/>
    <cellStyle name="Input 5 4 4 2" xfId="8590" xr:uid="{00000000-0005-0000-0000-000048290000}"/>
    <cellStyle name="Input 5 4 4 2 2" xfId="24216" xr:uid="{00000000-0005-0000-0000-000049290000}"/>
    <cellStyle name="Input 5 4 4 3" xfId="14878" xr:uid="{00000000-0005-0000-0000-00004A290000}"/>
    <cellStyle name="Input 5 4 4 3 2" xfId="29710" xr:uid="{00000000-0005-0000-0000-00004B290000}"/>
    <cellStyle name="Input 5 4 4 4" xfId="21772" xr:uid="{00000000-0005-0000-0000-00004C290000}"/>
    <cellStyle name="Input 5 4 5" xfId="2541" xr:uid="{00000000-0005-0000-0000-00004D290000}"/>
    <cellStyle name="Input 5 4 5 2" xfId="6647" xr:uid="{00000000-0005-0000-0000-00004E290000}"/>
    <cellStyle name="Input 5 4 5 2 2" xfId="22985" xr:uid="{00000000-0005-0000-0000-00004F290000}"/>
    <cellStyle name="Input 5 4 5 3" xfId="12879" xr:uid="{00000000-0005-0000-0000-000050290000}"/>
    <cellStyle name="Input 5 4 5 3 2" xfId="27711" xr:uid="{00000000-0005-0000-0000-000051290000}"/>
    <cellStyle name="Input 5 4 5 4" xfId="20627" xr:uid="{00000000-0005-0000-0000-000052290000}"/>
    <cellStyle name="Input 5 4 6" xfId="5664" xr:uid="{00000000-0005-0000-0000-000053290000}"/>
    <cellStyle name="Input 5 4 6 2" xfId="15899" xr:uid="{00000000-0005-0000-0000-000054290000}"/>
    <cellStyle name="Input 5 4 6 2 2" xfId="30731" xr:uid="{00000000-0005-0000-0000-000055290000}"/>
    <cellStyle name="Input 5 4 6 3" xfId="22360" xr:uid="{00000000-0005-0000-0000-000056290000}"/>
    <cellStyle name="Input 5 4 7" xfId="11919" xr:uid="{00000000-0005-0000-0000-000057290000}"/>
    <cellStyle name="Input 5 4 7 2" xfId="26751" xr:uid="{00000000-0005-0000-0000-000058290000}"/>
    <cellStyle name="Input 5 4 8" xfId="9577" xr:uid="{00000000-0005-0000-0000-000059290000}"/>
    <cellStyle name="Input 5 4 8 2" xfId="19879" xr:uid="{00000000-0005-0000-0000-00005A290000}"/>
    <cellStyle name="Input 5 5" xfId="1493" xr:uid="{00000000-0005-0000-0000-00005B290000}"/>
    <cellStyle name="Input 5 5 2" xfId="1994" xr:uid="{00000000-0005-0000-0000-00005C290000}"/>
    <cellStyle name="Input 5 5 2 2" xfId="3474" xr:uid="{00000000-0005-0000-0000-00005D290000}"/>
    <cellStyle name="Input 5 5 2 2 2" xfId="7536" xr:uid="{00000000-0005-0000-0000-00005E290000}"/>
    <cellStyle name="Input 5 5 2 2 2 2" xfId="23502" xr:uid="{00000000-0005-0000-0000-00005F290000}"/>
    <cellStyle name="Input 5 5 2 2 3" xfId="13811" xr:uid="{00000000-0005-0000-0000-000060290000}"/>
    <cellStyle name="Input 5 5 2 2 3 2" xfId="28643" xr:uid="{00000000-0005-0000-0000-000061290000}"/>
    <cellStyle name="Input 5 5 2 2 4" xfId="21178" xr:uid="{00000000-0005-0000-0000-000062290000}"/>
    <cellStyle name="Input 5 5 2 3" xfId="4958" xr:uid="{00000000-0005-0000-0000-000063290000}"/>
    <cellStyle name="Input 5 5 2 3 2" xfId="8997" xr:uid="{00000000-0005-0000-0000-000064290000}"/>
    <cellStyle name="Input 5 5 2 3 2 2" xfId="24463" xr:uid="{00000000-0005-0000-0000-000065290000}"/>
    <cellStyle name="Input 5 5 2 3 3" xfId="15280" xr:uid="{00000000-0005-0000-0000-000066290000}"/>
    <cellStyle name="Input 5 5 2 3 3 2" xfId="30112" xr:uid="{00000000-0005-0000-0000-000067290000}"/>
    <cellStyle name="Input 5 5 2 3 4" xfId="21993" xr:uid="{00000000-0005-0000-0000-000068290000}"/>
    <cellStyle name="Input 5 5 2 4" xfId="2948" xr:uid="{00000000-0005-0000-0000-000069290000}"/>
    <cellStyle name="Input 5 5 2 4 2" xfId="7032" xr:uid="{00000000-0005-0000-0000-00006A290000}"/>
    <cellStyle name="Input 5 5 2 4 2 2" xfId="23206" xr:uid="{00000000-0005-0000-0000-00006B290000}"/>
    <cellStyle name="Input 5 5 2 4 3" xfId="13286" xr:uid="{00000000-0005-0000-0000-00006C290000}"/>
    <cellStyle name="Input 5 5 2 4 3 2" xfId="28118" xr:uid="{00000000-0005-0000-0000-00006D290000}"/>
    <cellStyle name="Input 5 5 2 4 4" xfId="20874" xr:uid="{00000000-0005-0000-0000-00006E290000}"/>
    <cellStyle name="Input 5 5 2 5" xfId="6124" xr:uid="{00000000-0005-0000-0000-00006F290000}"/>
    <cellStyle name="Input 5 5 2 5 2" xfId="16311" xr:uid="{00000000-0005-0000-0000-000070290000}"/>
    <cellStyle name="Input 5 5 2 5 2 2" xfId="31143" xr:uid="{00000000-0005-0000-0000-000071290000}"/>
    <cellStyle name="Input 5 5 2 5 3" xfId="22657" xr:uid="{00000000-0005-0000-0000-000072290000}"/>
    <cellStyle name="Input 5 5 2 6" xfId="12381" xr:uid="{00000000-0005-0000-0000-000073290000}"/>
    <cellStyle name="Input 5 5 2 6 2" xfId="27213" xr:uid="{00000000-0005-0000-0000-000074290000}"/>
    <cellStyle name="Input 5 5 2 7" xfId="9963" xr:uid="{00000000-0005-0000-0000-000075290000}"/>
    <cellStyle name="Input 5 5 2 7 2" xfId="20165" xr:uid="{00000000-0005-0000-0000-000076290000}"/>
    <cellStyle name="Input 5 5 3" xfId="4299" xr:uid="{00000000-0005-0000-0000-000077290000}"/>
    <cellStyle name="Input 5 5 3 2" xfId="8338" xr:uid="{00000000-0005-0000-0000-000078290000}"/>
    <cellStyle name="Input 5 5 3 2 2" xfId="24023" xr:uid="{00000000-0005-0000-0000-000079290000}"/>
    <cellStyle name="Input 5 5 3 3" xfId="14630" xr:uid="{00000000-0005-0000-0000-00007A290000}"/>
    <cellStyle name="Input 5 5 3 3 2" xfId="29462" xr:uid="{00000000-0005-0000-0000-00007B290000}"/>
    <cellStyle name="Input 5 5 3 4" xfId="21620" xr:uid="{00000000-0005-0000-0000-00007C290000}"/>
    <cellStyle name="Input 5 5 4" xfId="4538" xr:uid="{00000000-0005-0000-0000-00007D290000}"/>
    <cellStyle name="Input 5 5 4 2" xfId="8577" xr:uid="{00000000-0005-0000-0000-00007E290000}"/>
    <cellStyle name="Input 5 5 4 2 2" xfId="24203" xr:uid="{00000000-0005-0000-0000-00007F290000}"/>
    <cellStyle name="Input 5 5 4 3" xfId="14865" xr:uid="{00000000-0005-0000-0000-000080290000}"/>
    <cellStyle name="Input 5 5 4 3 2" xfId="29697" xr:uid="{00000000-0005-0000-0000-000081290000}"/>
    <cellStyle name="Input 5 5 4 4" xfId="21763" xr:uid="{00000000-0005-0000-0000-000082290000}"/>
    <cellStyle name="Input 5 5 5" xfId="2528" xr:uid="{00000000-0005-0000-0000-000083290000}"/>
    <cellStyle name="Input 5 5 5 2" xfId="6634" xr:uid="{00000000-0005-0000-0000-000084290000}"/>
    <cellStyle name="Input 5 5 5 2 2" xfId="22972" xr:uid="{00000000-0005-0000-0000-000085290000}"/>
    <cellStyle name="Input 5 5 5 3" xfId="12866" xr:uid="{00000000-0005-0000-0000-000086290000}"/>
    <cellStyle name="Input 5 5 5 3 2" xfId="27698" xr:uid="{00000000-0005-0000-0000-000087290000}"/>
    <cellStyle name="Input 5 5 5 4" xfId="20618" xr:uid="{00000000-0005-0000-0000-000088290000}"/>
    <cellStyle name="Input 5 5 6" xfId="5651" xr:uid="{00000000-0005-0000-0000-000089290000}"/>
    <cellStyle name="Input 5 5 6 2" xfId="15886" xr:uid="{00000000-0005-0000-0000-00008A290000}"/>
    <cellStyle name="Input 5 5 6 2 2" xfId="30718" xr:uid="{00000000-0005-0000-0000-00008B290000}"/>
    <cellStyle name="Input 5 5 6 3" xfId="22347" xr:uid="{00000000-0005-0000-0000-00008C290000}"/>
    <cellStyle name="Input 5 5 7" xfId="11910" xr:uid="{00000000-0005-0000-0000-00008D290000}"/>
    <cellStyle name="Input 5 5 7 2" xfId="26742" xr:uid="{00000000-0005-0000-0000-00008E290000}"/>
    <cellStyle name="Input 5 5 8" xfId="9568" xr:uid="{00000000-0005-0000-0000-00008F290000}"/>
    <cellStyle name="Input 5 5 8 2" xfId="19870" xr:uid="{00000000-0005-0000-0000-000090290000}"/>
    <cellStyle name="Input 5 6" xfId="1755" xr:uid="{00000000-0005-0000-0000-000091290000}"/>
    <cellStyle name="Input 5 6 2" xfId="3433" xr:uid="{00000000-0005-0000-0000-000092290000}"/>
    <cellStyle name="Input 5 6 2 2" xfId="7496" xr:uid="{00000000-0005-0000-0000-000093290000}"/>
    <cellStyle name="Input 5 6 2 2 2" xfId="23473" xr:uid="{00000000-0005-0000-0000-000094290000}"/>
    <cellStyle name="Input 5 6 2 3" xfId="13770" xr:uid="{00000000-0005-0000-0000-000095290000}"/>
    <cellStyle name="Input 5 6 2 3 2" xfId="28602" xr:uid="{00000000-0005-0000-0000-000096290000}"/>
    <cellStyle name="Input 5 6 2 4" xfId="21149" xr:uid="{00000000-0005-0000-0000-000097290000}"/>
    <cellStyle name="Input 5 6 3" xfId="4733" xr:uid="{00000000-0005-0000-0000-000098290000}"/>
    <cellStyle name="Input 5 6 3 2" xfId="8772" xr:uid="{00000000-0005-0000-0000-000099290000}"/>
    <cellStyle name="Input 5 6 3 2 2" xfId="24302" xr:uid="{00000000-0005-0000-0000-00009A290000}"/>
    <cellStyle name="Input 5 6 3 3" xfId="15057" xr:uid="{00000000-0005-0000-0000-00009B290000}"/>
    <cellStyle name="Input 5 6 3 3 2" xfId="29889" xr:uid="{00000000-0005-0000-0000-00009C290000}"/>
    <cellStyle name="Input 5 6 3 4" xfId="21840" xr:uid="{00000000-0005-0000-0000-00009D290000}"/>
    <cellStyle name="Input 5 6 4" xfId="2723" xr:uid="{00000000-0005-0000-0000-00009E290000}"/>
    <cellStyle name="Input 5 6 4 2" xfId="6814" xr:uid="{00000000-0005-0000-0000-00009F290000}"/>
    <cellStyle name="Input 5 6 4 2 2" xfId="23053" xr:uid="{00000000-0005-0000-0000-0000A0290000}"/>
    <cellStyle name="Input 5 6 4 3" xfId="13061" xr:uid="{00000000-0005-0000-0000-0000A1290000}"/>
    <cellStyle name="Input 5 6 4 3 2" xfId="27893" xr:uid="{00000000-0005-0000-0000-0000A2290000}"/>
    <cellStyle name="Input 5 6 4 4" xfId="20713" xr:uid="{00000000-0005-0000-0000-0000A3290000}"/>
    <cellStyle name="Input 5 6 5" xfId="5887" xr:uid="{00000000-0005-0000-0000-0000A4290000}"/>
    <cellStyle name="Input 5 6 5 2" xfId="16079" xr:uid="{00000000-0005-0000-0000-0000A5290000}"/>
    <cellStyle name="Input 5 6 5 2 2" xfId="30911" xr:uid="{00000000-0005-0000-0000-0000A6290000}"/>
    <cellStyle name="Input 5 6 5 3" xfId="22484" xr:uid="{00000000-0005-0000-0000-0000A7290000}"/>
    <cellStyle name="Input 5 6 6" xfId="12149" xr:uid="{00000000-0005-0000-0000-0000A8290000}"/>
    <cellStyle name="Input 5 6 6 2" xfId="26981" xr:uid="{00000000-0005-0000-0000-0000A9290000}"/>
    <cellStyle name="Input 5 6 7" xfId="9745" xr:uid="{00000000-0005-0000-0000-0000AA290000}"/>
    <cellStyle name="Input 5 6 7 2" xfId="20043" xr:uid="{00000000-0005-0000-0000-0000AB290000}"/>
    <cellStyle name="Input 5 7" xfId="2211" xr:uid="{00000000-0005-0000-0000-0000AC290000}"/>
    <cellStyle name="Input 5 7 2" xfId="4266" xr:uid="{00000000-0005-0000-0000-0000AD290000}"/>
    <cellStyle name="Input 5 7 2 2" xfId="8305" xr:uid="{00000000-0005-0000-0000-0000AE290000}"/>
    <cellStyle name="Input 5 7 2 2 2" xfId="23999" xr:uid="{00000000-0005-0000-0000-0000AF290000}"/>
    <cellStyle name="Input 5 7 2 3" xfId="14598" xr:uid="{00000000-0005-0000-0000-0000B0290000}"/>
    <cellStyle name="Input 5 7 2 3 2" xfId="29430" xr:uid="{00000000-0005-0000-0000-0000B1290000}"/>
    <cellStyle name="Input 5 7 2 4" xfId="21599" xr:uid="{00000000-0005-0000-0000-0000B2290000}"/>
    <cellStyle name="Input 5 7 3" xfId="5179" xr:uid="{00000000-0005-0000-0000-0000B3290000}"/>
    <cellStyle name="Input 5 7 3 2" xfId="9218" xr:uid="{00000000-0005-0000-0000-0000B4290000}"/>
    <cellStyle name="Input 5 7 3 2 2" xfId="24556" xr:uid="{00000000-0005-0000-0000-0000B5290000}"/>
    <cellStyle name="Input 5 7 3 3" xfId="15497" xr:uid="{00000000-0005-0000-0000-0000B6290000}"/>
    <cellStyle name="Input 5 7 3 3 2" xfId="30329" xr:uid="{00000000-0005-0000-0000-0000B7290000}"/>
    <cellStyle name="Input 5 7 3 4" xfId="22063" xr:uid="{00000000-0005-0000-0000-0000B8290000}"/>
    <cellStyle name="Input 5 7 4" xfId="4209" xr:uid="{00000000-0005-0000-0000-0000B9290000}"/>
    <cellStyle name="Input 5 7 4 2" xfId="8250" xr:uid="{00000000-0005-0000-0000-0000BA290000}"/>
    <cellStyle name="Input 5 7 4 2 2" xfId="23945" xr:uid="{00000000-0005-0000-0000-0000BB290000}"/>
    <cellStyle name="Input 5 7 4 3" xfId="14541" xr:uid="{00000000-0005-0000-0000-0000BC290000}"/>
    <cellStyle name="Input 5 7 4 3 2" xfId="29373" xr:uid="{00000000-0005-0000-0000-0000BD290000}"/>
    <cellStyle name="Input 5 7 4 4" xfId="21570" xr:uid="{00000000-0005-0000-0000-0000BE290000}"/>
    <cellStyle name="Input 5 7 5" xfId="6325" xr:uid="{00000000-0005-0000-0000-0000BF290000}"/>
    <cellStyle name="Input 5 7 5 2" xfId="22727" xr:uid="{00000000-0005-0000-0000-0000C0290000}"/>
    <cellStyle name="Input 5 7 6" xfId="12579" xr:uid="{00000000-0005-0000-0000-0000C1290000}"/>
    <cellStyle name="Input 5 7 6 2" xfId="27411" xr:uid="{00000000-0005-0000-0000-0000C2290000}"/>
    <cellStyle name="Input 5 7 7" xfId="20406" xr:uid="{00000000-0005-0000-0000-0000C3290000}"/>
    <cellStyle name="Input 5 8" xfId="3252" xr:uid="{00000000-0005-0000-0000-0000C4290000}"/>
    <cellStyle name="Input 5 8 2" xfId="7316" xr:uid="{00000000-0005-0000-0000-0000C5290000}"/>
    <cellStyle name="Input 5 8 2 2" xfId="23354" xr:uid="{00000000-0005-0000-0000-0000C6290000}"/>
    <cellStyle name="Input 5 8 3" xfId="13589" xr:uid="{00000000-0005-0000-0000-0000C7290000}"/>
    <cellStyle name="Input 5 8 3 2" xfId="28421" xr:uid="{00000000-0005-0000-0000-0000C8290000}"/>
    <cellStyle name="Input 5 8 4" xfId="21041" xr:uid="{00000000-0005-0000-0000-0000C9290000}"/>
    <cellStyle name="Input 5 9" xfId="3263" xr:uid="{00000000-0005-0000-0000-0000CA290000}"/>
    <cellStyle name="Input 5 9 2" xfId="7327" xr:uid="{00000000-0005-0000-0000-0000CB290000}"/>
    <cellStyle name="Input 5 9 2 2" xfId="23362" xr:uid="{00000000-0005-0000-0000-0000CC290000}"/>
    <cellStyle name="Input 5 9 3" xfId="13600" xr:uid="{00000000-0005-0000-0000-0000CD290000}"/>
    <cellStyle name="Input 5 9 3 2" xfId="28432" xr:uid="{00000000-0005-0000-0000-0000CE290000}"/>
    <cellStyle name="Input 5 9 4" xfId="21049" xr:uid="{00000000-0005-0000-0000-0000CF290000}"/>
    <cellStyle name="Input 6" xfId="1123" xr:uid="{00000000-0005-0000-0000-0000D0290000}"/>
    <cellStyle name="Input 6 10" xfId="2294" xr:uid="{00000000-0005-0000-0000-0000D1290000}"/>
    <cellStyle name="Input 6 10 2" xfId="6406" xr:uid="{00000000-0005-0000-0000-0000D2290000}"/>
    <cellStyle name="Input 6 10 2 2" xfId="22808" xr:uid="{00000000-0005-0000-0000-0000D3290000}"/>
    <cellStyle name="Input 6 10 3" xfId="12634" xr:uid="{00000000-0005-0000-0000-0000D4290000}"/>
    <cellStyle name="Input 6 10 3 2" xfId="27466" xr:uid="{00000000-0005-0000-0000-0000D5290000}"/>
    <cellStyle name="Input 6 10 4" xfId="20460" xr:uid="{00000000-0005-0000-0000-0000D6290000}"/>
    <cellStyle name="Input 6 11" xfId="5260" xr:uid="{00000000-0005-0000-0000-0000D7290000}"/>
    <cellStyle name="Input 6 11 2" xfId="15576" xr:uid="{00000000-0005-0000-0000-0000D8290000}"/>
    <cellStyle name="Input 6 11 2 2" xfId="30408" xr:uid="{00000000-0005-0000-0000-0000D9290000}"/>
    <cellStyle name="Input 6 11 3" xfId="22117" xr:uid="{00000000-0005-0000-0000-0000DA290000}"/>
    <cellStyle name="Input 6 12" xfId="5418" xr:uid="{00000000-0005-0000-0000-0000DB290000}"/>
    <cellStyle name="Input 6 12 2" xfId="15654" xr:uid="{00000000-0005-0000-0000-0000DC290000}"/>
    <cellStyle name="Input 6 12 2 2" xfId="30486" xr:uid="{00000000-0005-0000-0000-0000DD290000}"/>
    <cellStyle name="Input 6 12 3" xfId="22179" xr:uid="{00000000-0005-0000-0000-0000DE290000}"/>
    <cellStyle name="Input 6 13" xfId="9373" xr:uid="{00000000-0005-0000-0000-0000DF290000}"/>
    <cellStyle name="Input 6 13 2" xfId="24679" xr:uid="{00000000-0005-0000-0000-0000E0290000}"/>
    <cellStyle name="Input 6 14" xfId="5362" xr:uid="{00000000-0005-0000-0000-0000E1290000}"/>
    <cellStyle name="Input 6 14 2" xfId="18236" xr:uid="{00000000-0005-0000-0000-0000E2290000}"/>
    <cellStyle name="Input 6 2" xfId="1330" xr:uid="{00000000-0005-0000-0000-0000E3290000}"/>
    <cellStyle name="Input 6 2 2" xfId="1834" xr:uid="{00000000-0005-0000-0000-0000E4290000}"/>
    <cellStyle name="Input 6 2 2 2" xfId="3432" xr:uid="{00000000-0005-0000-0000-0000E5290000}"/>
    <cellStyle name="Input 6 2 2 2 2" xfId="7495" xr:uid="{00000000-0005-0000-0000-0000E6290000}"/>
    <cellStyle name="Input 6 2 2 2 2 2" xfId="23472" xr:uid="{00000000-0005-0000-0000-0000E7290000}"/>
    <cellStyle name="Input 6 2 2 2 3" xfId="13769" xr:uid="{00000000-0005-0000-0000-0000E8290000}"/>
    <cellStyle name="Input 6 2 2 2 3 2" xfId="28601" xr:uid="{00000000-0005-0000-0000-0000E9290000}"/>
    <cellStyle name="Input 6 2 2 2 4" xfId="21148" xr:uid="{00000000-0005-0000-0000-0000EA290000}"/>
    <cellStyle name="Input 6 2 2 3" xfId="4812" xr:uid="{00000000-0005-0000-0000-0000EB290000}"/>
    <cellStyle name="Input 6 2 2 3 2" xfId="8851" xr:uid="{00000000-0005-0000-0000-0000EC290000}"/>
    <cellStyle name="Input 6 2 2 3 2 2" xfId="24349" xr:uid="{00000000-0005-0000-0000-0000ED290000}"/>
    <cellStyle name="Input 6 2 2 3 3" xfId="15136" xr:uid="{00000000-0005-0000-0000-0000EE290000}"/>
    <cellStyle name="Input 6 2 2 3 3 2" xfId="29968" xr:uid="{00000000-0005-0000-0000-0000EF290000}"/>
    <cellStyle name="Input 6 2 2 3 4" xfId="21887" xr:uid="{00000000-0005-0000-0000-0000F0290000}"/>
    <cellStyle name="Input 6 2 2 4" xfId="2802" xr:uid="{00000000-0005-0000-0000-0000F1290000}"/>
    <cellStyle name="Input 6 2 2 4 2" xfId="6893" xr:uid="{00000000-0005-0000-0000-0000F2290000}"/>
    <cellStyle name="Input 6 2 2 4 2 2" xfId="23100" xr:uid="{00000000-0005-0000-0000-0000F3290000}"/>
    <cellStyle name="Input 6 2 2 4 3" xfId="13140" xr:uid="{00000000-0005-0000-0000-0000F4290000}"/>
    <cellStyle name="Input 6 2 2 4 3 2" xfId="27972" xr:uid="{00000000-0005-0000-0000-0000F5290000}"/>
    <cellStyle name="Input 6 2 2 4 4" xfId="20760" xr:uid="{00000000-0005-0000-0000-0000F6290000}"/>
    <cellStyle name="Input 6 2 2 5" xfId="5966" xr:uid="{00000000-0005-0000-0000-0000F7290000}"/>
    <cellStyle name="Input 6 2 2 5 2" xfId="16158" xr:uid="{00000000-0005-0000-0000-0000F8290000}"/>
    <cellStyle name="Input 6 2 2 5 2 2" xfId="30990" xr:uid="{00000000-0005-0000-0000-0000F9290000}"/>
    <cellStyle name="Input 6 2 2 5 3" xfId="22531" xr:uid="{00000000-0005-0000-0000-0000FA290000}"/>
    <cellStyle name="Input 6 2 2 6" xfId="12228" xr:uid="{00000000-0005-0000-0000-0000FB290000}"/>
    <cellStyle name="Input 6 2 2 6 2" xfId="27060" xr:uid="{00000000-0005-0000-0000-0000FC290000}"/>
    <cellStyle name="Input 6 2 2 7" xfId="9824" xr:uid="{00000000-0005-0000-0000-0000FD290000}"/>
    <cellStyle name="Input 6 2 2 7 2" xfId="20075" xr:uid="{00000000-0005-0000-0000-0000FE290000}"/>
    <cellStyle name="Input 6 2 3" xfId="3916" xr:uid="{00000000-0005-0000-0000-0000FF290000}"/>
    <cellStyle name="Input 6 2 3 2" xfId="7967" xr:uid="{00000000-0005-0000-0000-0000002A0000}"/>
    <cellStyle name="Input 6 2 3 2 2" xfId="23776" xr:uid="{00000000-0005-0000-0000-0000012A0000}"/>
    <cellStyle name="Input 6 2 3 3" xfId="14249" xr:uid="{00000000-0005-0000-0000-0000022A0000}"/>
    <cellStyle name="Input 6 2 3 3 2" xfId="29081" xr:uid="{00000000-0005-0000-0000-0000032A0000}"/>
    <cellStyle name="Input 6 2 3 4" xfId="21417" xr:uid="{00000000-0005-0000-0000-0000042A0000}"/>
    <cellStyle name="Input 6 2 4" xfId="4392" xr:uid="{00000000-0005-0000-0000-0000052A0000}"/>
    <cellStyle name="Input 6 2 4 2" xfId="8431" xr:uid="{00000000-0005-0000-0000-0000062A0000}"/>
    <cellStyle name="Input 6 2 4 2 2" xfId="24089" xr:uid="{00000000-0005-0000-0000-0000072A0000}"/>
    <cellStyle name="Input 6 2 4 3" xfId="14721" xr:uid="{00000000-0005-0000-0000-0000082A0000}"/>
    <cellStyle name="Input 6 2 4 3 2" xfId="29553" xr:uid="{00000000-0005-0000-0000-0000092A0000}"/>
    <cellStyle name="Input 6 2 4 4" xfId="21657" xr:uid="{00000000-0005-0000-0000-00000A2A0000}"/>
    <cellStyle name="Input 6 2 5" xfId="2382" xr:uid="{00000000-0005-0000-0000-00000B2A0000}"/>
    <cellStyle name="Input 6 2 5 2" xfId="6494" xr:uid="{00000000-0005-0000-0000-00000C2A0000}"/>
    <cellStyle name="Input 6 2 5 2 2" xfId="22864" xr:uid="{00000000-0005-0000-0000-00000D2A0000}"/>
    <cellStyle name="Input 6 2 5 3" xfId="12721" xr:uid="{00000000-0005-0000-0000-00000E2A0000}"/>
    <cellStyle name="Input 6 2 5 3 2" xfId="27553" xr:uid="{00000000-0005-0000-0000-00000F2A0000}"/>
    <cellStyle name="Input 6 2 5 4" xfId="20506" xr:uid="{00000000-0005-0000-0000-0000102A0000}"/>
    <cellStyle name="Input 6 2 6" xfId="5507" xr:uid="{00000000-0005-0000-0000-0000112A0000}"/>
    <cellStyle name="Input 6 2 6 2" xfId="15742" xr:uid="{00000000-0005-0000-0000-0000122A0000}"/>
    <cellStyle name="Input 6 2 6 2 2" xfId="30574" xr:uid="{00000000-0005-0000-0000-0000132A0000}"/>
    <cellStyle name="Input 6 2 6 3" xfId="22235" xr:uid="{00000000-0005-0000-0000-0000142A0000}"/>
    <cellStyle name="Input 6 2 7" xfId="11757" xr:uid="{00000000-0005-0000-0000-0000152A0000}"/>
    <cellStyle name="Input 6 2 7 2" xfId="26589" xr:uid="{00000000-0005-0000-0000-0000162A0000}"/>
    <cellStyle name="Input 6 2 8" xfId="9428" xr:uid="{00000000-0005-0000-0000-0000172A0000}"/>
    <cellStyle name="Input 6 2 8 2" xfId="19732" xr:uid="{00000000-0005-0000-0000-0000182A0000}"/>
    <cellStyle name="Input 6 3" xfId="1488" xr:uid="{00000000-0005-0000-0000-0000192A0000}"/>
    <cellStyle name="Input 6 3 2" xfId="1989" xr:uid="{00000000-0005-0000-0000-00001A2A0000}"/>
    <cellStyle name="Input 6 3 2 2" xfId="3822" xr:uid="{00000000-0005-0000-0000-00001B2A0000}"/>
    <cellStyle name="Input 6 3 2 2 2" xfId="7875" xr:uid="{00000000-0005-0000-0000-00001C2A0000}"/>
    <cellStyle name="Input 6 3 2 2 2 2" xfId="23721" xr:uid="{00000000-0005-0000-0000-00001D2A0000}"/>
    <cellStyle name="Input 6 3 2 2 3" xfId="14157" xr:uid="{00000000-0005-0000-0000-00001E2A0000}"/>
    <cellStyle name="Input 6 3 2 2 3 2" xfId="28989" xr:uid="{00000000-0005-0000-0000-00001F2A0000}"/>
    <cellStyle name="Input 6 3 2 2 4" xfId="21369" xr:uid="{00000000-0005-0000-0000-0000202A0000}"/>
    <cellStyle name="Input 6 3 2 3" xfId="4953" xr:uid="{00000000-0005-0000-0000-0000212A0000}"/>
    <cellStyle name="Input 6 3 2 3 2" xfId="8992" xr:uid="{00000000-0005-0000-0000-0000222A0000}"/>
    <cellStyle name="Input 6 3 2 3 2 2" xfId="24458" xr:uid="{00000000-0005-0000-0000-0000232A0000}"/>
    <cellStyle name="Input 6 3 2 3 3" xfId="15275" xr:uid="{00000000-0005-0000-0000-0000242A0000}"/>
    <cellStyle name="Input 6 3 2 3 3 2" xfId="30107" xr:uid="{00000000-0005-0000-0000-0000252A0000}"/>
    <cellStyle name="Input 6 3 2 3 4" xfId="21988" xr:uid="{00000000-0005-0000-0000-0000262A0000}"/>
    <cellStyle name="Input 6 3 2 4" xfId="2943" xr:uid="{00000000-0005-0000-0000-0000272A0000}"/>
    <cellStyle name="Input 6 3 2 4 2" xfId="7027" xr:uid="{00000000-0005-0000-0000-0000282A0000}"/>
    <cellStyle name="Input 6 3 2 4 2 2" xfId="23201" xr:uid="{00000000-0005-0000-0000-0000292A0000}"/>
    <cellStyle name="Input 6 3 2 4 3" xfId="13281" xr:uid="{00000000-0005-0000-0000-00002A2A0000}"/>
    <cellStyle name="Input 6 3 2 4 3 2" xfId="28113" xr:uid="{00000000-0005-0000-0000-00002B2A0000}"/>
    <cellStyle name="Input 6 3 2 4 4" xfId="20869" xr:uid="{00000000-0005-0000-0000-00002C2A0000}"/>
    <cellStyle name="Input 6 3 2 5" xfId="6119" xr:uid="{00000000-0005-0000-0000-00002D2A0000}"/>
    <cellStyle name="Input 6 3 2 5 2" xfId="16306" xr:uid="{00000000-0005-0000-0000-00002E2A0000}"/>
    <cellStyle name="Input 6 3 2 5 2 2" xfId="31138" xr:uid="{00000000-0005-0000-0000-00002F2A0000}"/>
    <cellStyle name="Input 6 3 2 5 3" xfId="22652" xr:uid="{00000000-0005-0000-0000-0000302A0000}"/>
    <cellStyle name="Input 6 3 2 6" xfId="12376" xr:uid="{00000000-0005-0000-0000-0000312A0000}"/>
    <cellStyle name="Input 6 3 2 6 2" xfId="27208" xr:uid="{00000000-0005-0000-0000-0000322A0000}"/>
    <cellStyle name="Input 6 3 2 7" xfId="9958" xr:uid="{00000000-0005-0000-0000-0000332A0000}"/>
    <cellStyle name="Input 6 3 2 7 2" xfId="20160" xr:uid="{00000000-0005-0000-0000-0000342A0000}"/>
    <cellStyle name="Input 6 3 3" xfId="3555" xr:uid="{00000000-0005-0000-0000-0000352A0000}"/>
    <cellStyle name="Input 6 3 3 2" xfId="7617" xr:uid="{00000000-0005-0000-0000-0000362A0000}"/>
    <cellStyle name="Input 6 3 3 2 2" xfId="23550" xr:uid="{00000000-0005-0000-0000-0000372A0000}"/>
    <cellStyle name="Input 6 3 3 3" xfId="13891" xr:uid="{00000000-0005-0000-0000-0000382A0000}"/>
    <cellStyle name="Input 6 3 3 3 2" xfId="28723" xr:uid="{00000000-0005-0000-0000-0000392A0000}"/>
    <cellStyle name="Input 6 3 3 4" xfId="21220" xr:uid="{00000000-0005-0000-0000-00003A2A0000}"/>
    <cellStyle name="Input 6 3 4" xfId="4533" xr:uid="{00000000-0005-0000-0000-00003B2A0000}"/>
    <cellStyle name="Input 6 3 4 2" xfId="8572" xr:uid="{00000000-0005-0000-0000-00003C2A0000}"/>
    <cellStyle name="Input 6 3 4 2 2" xfId="24198" xr:uid="{00000000-0005-0000-0000-00003D2A0000}"/>
    <cellStyle name="Input 6 3 4 3" xfId="14860" xr:uid="{00000000-0005-0000-0000-00003E2A0000}"/>
    <cellStyle name="Input 6 3 4 3 2" xfId="29692" xr:uid="{00000000-0005-0000-0000-00003F2A0000}"/>
    <cellStyle name="Input 6 3 4 4" xfId="21758" xr:uid="{00000000-0005-0000-0000-0000402A0000}"/>
    <cellStyle name="Input 6 3 5" xfId="2523" xr:uid="{00000000-0005-0000-0000-0000412A0000}"/>
    <cellStyle name="Input 6 3 5 2" xfId="6629" xr:uid="{00000000-0005-0000-0000-0000422A0000}"/>
    <cellStyle name="Input 6 3 5 2 2" xfId="22967" xr:uid="{00000000-0005-0000-0000-0000432A0000}"/>
    <cellStyle name="Input 6 3 5 3" xfId="12861" xr:uid="{00000000-0005-0000-0000-0000442A0000}"/>
    <cellStyle name="Input 6 3 5 3 2" xfId="27693" xr:uid="{00000000-0005-0000-0000-0000452A0000}"/>
    <cellStyle name="Input 6 3 5 4" xfId="20613" xr:uid="{00000000-0005-0000-0000-0000462A0000}"/>
    <cellStyle name="Input 6 3 6" xfId="5646" xr:uid="{00000000-0005-0000-0000-0000472A0000}"/>
    <cellStyle name="Input 6 3 6 2" xfId="15881" xr:uid="{00000000-0005-0000-0000-0000482A0000}"/>
    <cellStyle name="Input 6 3 6 2 2" xfId="30713" xr:uid="{00000000-0005-0000-0000-0000492A0000}"/>
    <cellStyle name="Input 6 3 6 3" xfId="22342" xr:uid="{00000000-0005-0000-0000-00004A2A0000}"/>
    <cellStyle name="Input 6 3 7" xfId="11905" xr:uid="{00000000-0005-0000-0000-00004B2A0000}"/>
    <cellStyle name="Input 6 3 7 2" xfId="26737" xr:uid="{00000000-0005-0000-0000-00004C2A0000}"/>
    <cellStyle name="Input 6 3 8" xfId="9563" xr:uid="{00000000-0005-0000-0000-00004D2A0000}"/>
    <cellStyle name="Input 6 3 8 2" xfId="19865" xr:uid="{00000000-0005-0000-0000-00004E2A0000}"/>
    <cellStyle name="Input 6 4" xfId="1394" xr:uid="{00000000-0005-0000-0000-00004F2A0000}"/>
    <cellStyle name="Input 6 4 2" xfId="1896" xr:uid="{00000000-0005-0000-0000-0000502A0000}"/>
    <cellStyle name="Input 6 4 2 2" xfId="3183" xr:uid="{00000000-0005-0000-0000-0000512A0000}"/>
    <cellStyle name="Input 6 4 2 2 2" xfId="7247" xr:uid="{00000000-0005-0000-0000-0000522A0000}"/>
    <cellStyle name="Input 6 4 2 2 2 2" xfId="23305" xr:uid="{00000000-0005-0000-0000-0000532A0000}"/>
    <cellStyle name="Input 6 4 2 2 3" xfId="13521" xr:uid="{00000000-0005-0000-0000-0000542A0000}"/>
    <cellStyle name="Input 6 4 2 2 3 2" xfId="28353" xr:uid="{00000000-0005-0000-0000-0000552A0000}"/>
    <cellStyle name="Input 6 4 2 2 4" xfId="20995" xr:uid="{00000000-0005-0000-0000-0000562A0000}"/>
    <cellStyle name="Input 6 4 2 3" xfId="4874" xr:uid="{00000000-0005-0000-0000-0000572A0000}"/>
    <cellStyle name="Input 6 4 2 3 2" xfId="8913" xr:uid="{00000000-0005-0000-0000-0000582A0000}"/>
    <cellStyle name="Input 6 4 2 3 2 2" xfId="24379" xr:uid="{00000000-0005-0000-0000-0000592A0000}"/>
    <cellStyle name="Input 6 4 2 3 3" xfId="15197" xr:uid="{00000000-0005-0000-0000-00005A2A0000}"/>
    <cellStyle name="Input 6 4 2 3 3 2" xfId="30029" xr:uid="{00000000-0005-0000-0000-00005B2A0000}"/>
    <cellStyle name="Input 6 4 2 3 4" xfId="21911" xr:uid="{00000000-0005-0000-0000-00005C2A0000}"/>
    <cellStyle name="Input 6 4 2 4" xfId="2864" xr:uid="{00000000-0005-0000-0000-00005D2A0000}"/>
    <cellStyle name="Input 6 4 2 4 2" xfId="6949" xr:uid="{00000000-0005-0000-0000-00005E2A0000}"/>
    <cellStyle name="Input 6 4 2 4 2 2" xfId="23124" xr:uid="{00000000-0005-0000-0000-00005F2A0000}"/>
    <cellStyle name="Input 6 4 2 4 3" xfId="13202" xr:uid="{00000000-0005-0000-0000-0000602A0000}"/>
    <cellStyle name="Input 6 4 2 4 3 2" xfId="28034" xr:uid="{00000000-0005-0000-0000-0000612A0000}"/>
    <cellStyle name="Input 6 4 2 4 4" xfId="20790" xr:uid="{00000000-0005-0000-0000-0000622A0000}"/>
    <cellStyle name="Input 6 4 2 5" xfId="6027" xr:uid="{00000000-0005-0000-0000-0000632A0000}"/>
    <cellStyle name="Input 6 4 2 5 2" xfId="16214" xr:uid="{00000000-0005-0000-0000-0000642A0000}"/>
    <cellStyle name="Input 6 4 2 5 2 2" xfId="31046" xr:uid="{00000000-0005-0000-0000-0000652A0000}"/>
    <cellStyle name="Input 6 4 2 5 3" xfId="22560" xr:uid="{00000000-0005-0000-0000-0000662A0000}"/>
    <cellStyle name="Input 6 4 2 6" xfId="12284" xr:uid="{00000000-0005-0000-0000-0000672A0000}"/>
    <cellStyle name="Input 6 4 2 6 2" xfId="27116" xr:uid="{00000000-0005-0000-0000-0000682A0000}"/>
    <cellStyle name="Input 6 4 2 7" xfId="9880" xr:uid="{00000000-0005-0000-0000-0000692A0000}"/>
    <cellStyle name="Input 6 4 2 7 2" xfId="20084" xr:uid="{00000000-0005-0000-0000-00006A2A0000}"/>
    <cellStyle name="Input 6 4 3" xfId="3943" xr:uid="{00000000-0005-0000-0000-00006B2A0000}"/>
    <cellStyle name="Input 6 4 3 2" xfId="7993" xr:uid="{00000000-0005-0000-0000-00006C2A0000}"/>
    <cellStyle name="Input 6 4 3 2 2" xfId="23794" xr:uid="{00000000-0005-0000-0000-00006D2A0000}"/>
    <cellStyle name="Input 6 4 3 3" xfId="14276" xr:uid="{00000000-0005-0000-0000-00006E2A0000}"/>
    <cellStyle name="Input 6 4 3 3 2" xfId="29108" xr:uid="{00000000-0005-0000-0000-00006F2A0000}"/>
    <cellStyle name="Input 6 4 3 4" xfId="21436" xr:uid="{00000000-0005-0000-0000-0000702A0000}"/>
    <cellStyle name="Input 6 4 4" xfId="4454" xr:uid="{00000000-0005-0000-0000-0000712A0000}"/>
    <cellStyle name="Input 6 4 4 2" xfId="8493" xr:uid="{00000000-0005-0000-0000-0000722A0000}"/>
    <cellStyle name="Input 6 4 4 2 2" xfId="24119" xr:uid="{00000000-0005-0000-0000-0000732A0000}"/>
    <cellStyle name="Input 6 4 4 3" xfId="14782" xr:uid="{00000000-0005-0000-0000-0000742A0000}"/>
    <cellStyle name="Input 6 4 4 3 2" xfId="29614" xr:uid="{00000000-0005-0000-0000-0000752A0000}"/>
    <cellStyle name="Input 6 4 4 4" xfId="21681" xr:uid="{00000000-0005-0000-0000-0000762A0000}"/>
    <cellStyle name="Input 6 4 5" xfId="2444" xr:uid="{00000000-0005-0000-0000-0000772A0000}"/>
    <cellStyle name="Input 6 4 5 2" xfId="6550" xr:uid="{00000000-0005-0000-0000-0000782A0000}"/>
    <cellStyle name="Input 6 4 5 2 2" xfId="22888" xr:uid="{00000000-0005-0000-0000-0000792A0000}"/>
    <cellStyle name="Input 6 4 5 3" xfId="12783" xr:uid="{00000000-0005-0000-0000-00007A2A0000}"/>
    <cellStyle name="Input 6 4 5 3 2" xfId="27615" xr:uid="{00000000-0005-0000-0000-00007B2A0000}"/>
    <cellStyle name="Input 6 4 5 4" xfId="20536" xr:uid="{00000000-0005-0000-0000-00007C2A0000}"/>
    <cellStyle name="Input 6 4 6" xfId="5568" xr:uid="{00000000-0005-0000-0000-00007D2A0000}"/>
    <cellStyle name="Input 6 4 6 2" xfId="15803" xr:uid="{00000000-0005-0000-0000-00007E2A0000}"/>
    <cellStyle name="Input 6 4 6 2 2" xfId="30635" xr:uid="{00000000-0005-0000-0000-00007F2A0000}"/>
    <cellStyle name="Input 6 4 6 3" xfId="22264" xr:uid="{00000000-0005-0000-0000-0000802A0000}"/>
    <cellStyle name="Input 6 4 7" xfId="11813" xr:uid="{00000000-0005-0000-0000-0000812A0000}"/>
    <cellStyle name="Input 6 4 7 2" xfId="26645" xr:uid="{00000000-0005-0000-0000-0000822A0000}"/>
    <cellStyle name="Input 6 4 8" xfId="9485" xr:uid="{00000000-0005-0000-0000-0000832A0000}"/>
    <cellStyle name="Input 6 4 8 2" xfId="19788" xr:uid="{00000000-0005-0000-0000-0000842A0000}"/>
    <cellStyle name="Input 6 5" xfId="1494" xr:uid="{00000000-0005-0000-0000-0000852A0000}"/>
    <cellStyle name="Input 6 5 2" xfId="1995" xr:uid="{00000000-0005-0000-0000-0000862A0000}"/>
    <cellStyle name="Input 6 5 2 2" xfId="4097" xr:uid="{00000000-0005-0000-0000-0000872A0000}"/>
    <cellStyle name="Input 6 5 2 2 2" xfId="8143" xr:uid="{00000000-0005-0000-0000-0000882A0000}"/>
    <cellStyle name="Input 6 5 2 2 2 2" xfId="23888" xr:uid="{00000000-0005-0000-0000-0000892A0000}"/>
    <cellStyle name="Input 6 5 2 2 3" xfId="14429" xr:uid="{00000000-0005-0000-0000-00008A2A0000}"/>
    <cellStyle name="Input 6 5 2 2 3 2" xfId="29261" xr:uid="{00000000-0005-0000-0000-00008B2A0000}"/>
    <cellStyle name="Input 6 5 2 2 4" xfId="21518" xr:uid="{00000000-0005-0000-0000-00008C2A0000}"/>
    <cellStyle name="Input 6 5 2 3" xfId="4959" xr:uid="{00000000-0005-0000-0000-00008D2A0000}"/>
    <cellStyle name="Input 6 5 2 3 2" xfId="8998" xr:uid="{00000000-0005-0000-0000-00008E2A0000}"/>
    <cellStyle name="Input 6 5 2 3 2 2" xfId="24464" xr:uid="{00000000-0005-0000-0000-00008F2A0000}"/>
    <cellStyle name="Input 6 5 2 3 3" xfId="15281" xr:uid="{00000000-0005-0000-0000-0000902A0000}"/>
    <cellStyle name="Input 6 5 2 3 3 2" xfId="30113" xr:uid="{00000000-0005-0000-0000-0000912A0000}"/>
    <cellStyle name="Input 6 5 2 3 4" xfId="21994" xr:uid="{00000000-0005-0000-0000-0000922A0000}"/>
    <cellStyle name="Input 6 5 2 4" xfId="2949" xr:uid="{00000000-0005-0000-0000-0000932A0000}"/>
    <cellStyle name="Input 6 5 2 4 2" xfId="7033" xr:uid="{00000000-0005-0000-0000-0000942A0000}"/>
    <cellStyle name="Input 6 5 2 4 2 2" xfId="23207" xr:uid="{00000000-0005-0000-0000-0000952A0000}"/>
    <cellStyle name="Input 6 5 2 4 3" xfId="13287" xr:uid="{00000000-0005-0000-0000-0000962A0000}"/>
    <cellStyle name="Input 6 5 2 4 3 2" xfId="28119" xr:uid="{00000000-0005-0000-0000-0000972A0000}"/>
    <cellStyle name="Input 6 5 2 4 4" xfId="20875" xr:uid="{00000000-0005-0000-0000-0000982A0000}"/>
    <cellStyle name="Input 6 5 2 5" xfId="6125" xr:uid="{00000000-0005-0000-0000-0000992A0000}"/>
    <cellStyle name="Input 6 5 2 5 2" xfId="16312" xr:uid="{00000000-0005-0000-0000-00009A2A0000}"/>
    <cellStyle name="Input 6 5 2 5 2 2" xfId="31144" xr:uid="{00000000-0005-0000-0000-00009B2A0000}"/>
    <cellStyle name="Input 6 5 2 5 3" xfId="22658" xr:uid="{00000000-0005-0000-0000-00009C2A0000}"/>
    <cellStyle name="Input 6 5 2 6" xfId="12382" xr:uid="{00000000-0005-0000-0000-00009D2A0000}"/>
    <cellStyle name="Input 6 5 2 6 2" xfId="27214" xr:uid="{00000000-0005-0000-0000-00009E2A0000}"/>
    <cellStyle name="Input 6 5 2 7" xfId="9964" xr:uid="{00000000-0005-0000-0000-00009F2A0000}"/>
    <cellStyle name="Input 6 5 2 7 2" xfId="20166" xr:uid="{00000000-0005-0000-0000-0000A02A0000}"/>
    <cellStyle name="Input 6 5 3" xfId="3224" xr:uid="{00000000-0005-0000-0000-0000A12A0000}"/>
    <cellStyle name="Input 6 5 3 2" xfId="7288" xr:uid="{00000000-0005-0000-0000-0000A22A0000}"/>
    <cellStyle name="Input 6 5 3 2 2" xfId="23331" xr:uid="{00000000-0005-0000-0000-0000A32A0000}"/>
    <cellStyle name="Input 6 5 3 3" xfId="13562" xr:uid="{00000000-0005-0000-0000-0000A42A0000}"/>
    <cellStyle name="Input 6 5 3 3 2" xfId="28394" xr:uid="{00000000-0005-0000-0000-0000A52A0000}"/>
    <cellStyle name="Input 6 5 3 4" xfId="21020" xr:uid="{00000000-0005-0000-0000-0000A62A0000}"/>
    <cellStyle name="Input 6 5 4" xfId="4539" xr:uid="{00000000-0005-0000-0000-0000A72A0000}"/>
    <cellStyle name="Input 6 5 4 2" xfId="8578" xr:uid="{00000000-0005-0000-0000-0000A82A0000}"/>
    <cellStyle name="Input 6 5 4 2 2" xfId="24204" xr:uid="{00000000-0005-0000-0000-0000A92A0000}"/>
    <cellStyle name="Input 6 5 4 3" xfId="14866" xr:uid="{00000000-0005-0000-0000-0000AA2A0000}"/>
    <cellStyle name="Input 6 5 4 3 2" xfId="29698" xr:uid="{00000000-0005-0000-0000-0000AB2A0000}"/>
    <cellStyle name="Input 6 5 4 4" xfId="21764" xr:uid="{00000000-0005-0000-0000-0000AC2A0000}"/>
    <cellStyle name="Input 6 5 5" xfId="2529" xr:uid="{00000000-0005-0000-0000-0000AD2A0000}"/>
    <cellStyle name="Input 6 5 5 2" xfId="6635" xr:uid="{00000000-0005-0000-0000-0000AE2A0000}"/>
    <cellStyle name="Input 6 5 5 2 2" xfId="22973" xr:uid="{00000000-0005-0000-0000-0000AF2A0000}"/>
    <cellStyle name="Input 6 5 5 3" xfId="12867" xr:uid="{00000000-0005-0000-0000-0000B02A0000}"/>
    <cellStyle name="Input 6 5 5 3 2" xfId="27699" xr:uid="{00000000-0005-0000-0000-0000B12A0000}"/>
    <cellStyle name="Input 6 5 5 4" xfId="20619" xr:uid="{00000000-0005-0000-0000-0000B22A0000}"/>
    <cellStyle name="Input 6 5 6" xfId="5652" xr:uid="{00000000-0005-0000-0000-0000B32A0000}"/>
    <cellStyle name="Input 6 5 6 2" xfId="15887" xr:uid="{00000000-0005-0000-0000-0000B42A0000}"/>
    <cellStyle name="Input 6 5 6 2 2" xfId="30719" xr:uid="{00000000-0005-0000-0000-0000B52A0000}"/>
    <cellStyle name="Input 6 5 6 3" xfId="22348" xr:uid="{00000000-0005-0000-0000-0000B62A0000}"/>
    <cellStyle name="Input 6 5 7" xfId="11911" xr:uid="{00000000-0005-0000-0000-0000B72A0000}"/>
    <cellStyle name="Input 6 5 7 2" xfId="26743" xr:uid="{00000000-0005-0000-0000-0000B82A0000}"/>
    <cellStyle name="Input 6 5 8" xfId="9569" xr:uid="{00000000-0005-0000-0000-0000B92A0000}"/>
    <cellStyle name="Input 6 5 8 2" xfId="19871" xr:uid="{00000000-0005-0000-0000-0000BA2A0000}"/>
    <cellStyle name="Input 6 6" xfId="1756" xr:uid="{00000000-0005-0000-0000-0000BB2A0000}"/>
    <cellStyle name="Input 6 6 2" xfId="3788" xr:uid="{00000000-0005-0000-0000-0000BC2A0000}"/>
    <cellStyle name="Input 6 6 2 2" xfId="7843" xr:uid="{00000000-0005-0000-0000-0000BD2A0000}"/>
    <cellStyle name="Input 6 6 2 2 2" xfId="23699" xr:uid="{00000000-0005-0000-0000-0000BE2A0000}"/>
    <cellStyle name="Input 6 6 2 3" xfId="14123" xr:uid="{00000000-0005-0000-0000-0000BF2A0000}"/>
    <cellStyle name="Input 6 6 2 3 2" xfId="28955" xr:uid="{00000000-0005-0000-0000-0000C02A0000}"/>
    <cellStyle name="Input 6 6 2 4" xfId="21351" xr:uid="{00000000-0005-0000-0000-0000C12A0000}"/>
    <cellStyle name="Input 6 6 3" xfId="4734" xr:uid="{00000000-0005-0000-0000-0000C22A0000}"/>
    <cellStyle name="Input 6 6 3 2" xfId="8773" xr:uid="{00000000-0005-0000-0000-0000C32A0000}"/>
    <cellStyle name="Input 6 6 3 2 2" xfId="24303" xr:uid="{00000000-0005-0000-0000-0000C42A0000}"/>
    <cellStyle name="Input 6 6 3 3" xfId="15058" xr:uid="{00000000-0005-0000-0000-0000C52A0000}"/>
    <cellStyle name="Input 6 6 3 3 2" xfId="29890" xr:uid="{00000000-0005-0000-0000-0000C62A0000}"/>
    <cellStyle name="Input 6 6 3 4" xfId="21841" xr:uid="{00000000-0005-0000-0000-0000C72A0000}"/>
    <cellStyle name="Input 6 6 4" xfId="2724" xr:uid="{00000000-0005-0000-0000-0000C82A0000}"/>
    <cellStyle name="Input 6 6 4 2" xfId="6815" xr:uid="{00000000-0005-0000-0000-0000C92A0000}"/>
    <cellStyle name="Input 6 6 4 2 2" xfId="23054" xr:uid="{00000000-0005-0000-0000-0000CA2A0000}"/>
    <cellStyle name="Input 6 6 4 3" xfId="13062" xr:uid="{00000000-0005-0000-0000-0000CB2A0000}"/>
    <cellStyle name="Input 6 6 4 3 2" xfId="27894" xr:uid="{00000000-0005-0000-0000-0000CC2A0000}"/>
    <cellStyle name="Input 6 6 4 4" xfId="20714" xr:uid="{00000000-0005-0000-0000-0000CD2A0000}"/>
    <cellStyle name="Input 6 6 5" xfId="5888" xr:uid="{00000000-0005-0000-0000-0000CE2A0000}"/>
    <cellStyle name="Input 6 6 5 2" xfId="16080" xr:uid="{00000000-0005-0000-0000-0000CF2A0000}"/>
    <cellStyle name="Input 6 6 5 2 2" xfId="30912" xr:uid="{00000000-0005-0000-0000-0000D02A0000}"/>
    <cellStyle name="Input 6 6 5 3" xfId="22485" xr:uid="{00000000-0005-0000-0000-0000D12A0000}"/>
    <cellStyle name="Input 6 6 6" xfId="12150" xr:uid="{00000000-0005-0000-0000-0000D22A0000}"/>
    <cellStyle name="Input 6 6 6 2" xfId="26982" xr:uid="{00000000-0005-0000-0000-0000D32A0000}"/>
    <cellStyle name="Input 6 6 7" xfId="9746" xr:uid="{00000000-0005-0000-0000-0000D42A0000}"/>
    <cellStyle name="Input 6 6 7 2" xfId="20044" xr:uid="{00000000-0005-0000-0000-0000D52A0000}"/>
    <cellStyle name="Input 6 7" xfId="2210" xr:uid="{00000000-0005-0000-0000-0000D62A0000}"/>
    <cellStyle name="Input 6 7 2" xfId="3443" xr:uid="{00000000-0005-0000-0000-0000D72A0000}"/>
    <cellStyle name="Input 6 7 2 2" xfId="7506" xr:uid="{00000000-0005-0000-0000-0000D82A0000}"/>
    <cellStyle name="Input 6 7 2 2 2" xfId="23479" xr:uid="{00000000-0005-0000-0000-0000D92A0000}"/>
    <cellStyle name="Input 6 7 2 3" xfId="13780" xr:uid="{00000000-0005-0000-0000-0000DA2A0000}"/>
    <cellStyle name="Input 6 7 2 3 2" xfId="28612" xr:uid="{00000000-0005-0000-0000-0000DB2A0000}"/>
    <cellStyle name="Input 6 7 2 4" xfId="21155" xr:uid="{00000000-0005-0000-0000-0000DC2A0000}"/>
    <cellStyle name="Input 6 7 3" xfId="5178" xr:uid="{00000000-0005-0000-0000-0000DD2A0000}"/>
    <cellStyle name="Input 6 7 3 2" xfId="9217" xr:uid="{00000000-0005-0000-0000-0000DE2A0000}"/>
    <cellStyle name="Input 6 7 3 2 2" xfId="24555" xr:uid="{00000000-0005-0000-0000-0000DF2A0000}"/>
    <cellStyle name="Input 6 7 3 3" xfId="15496" xr:uid="{00000000-0005-0000-0000-0000E02A0000}"/>
    <cellStyle name="Input 6 7 3 3 2" xfId="30328" xr:uid="{00000000-0005-0000-0000-0000E12A0000}"/>
    <cellStyle name="Input 6 7 3 4" xfId="22062" xr:uid="{00000000-0005-0000-0000-0000E22A0000}"/>
    <cellStyle name="Input 6 7 4" xfId="4208" xr:uid="{00000000-0005-0000-0000-0000E32A0000}"/>
    <cellStyle name="Input 6 7 4 2" xfId="8249" xr:uid="{00000000-0005-0000-0000-0000E42A0000}"/>
    <cellStyle name="Input 6 7 4 2 2" xfId="23944" xr:uid="{00000000-0005-0000-0000-0000E52A0000}"/>
    <cellStyle name="Input 6 7 4 3" xfId="14540" xr:uid="{00000000-0005-0000-0000-0000E62A0000}"/>
    <cellStyle name="Input 6 7 4 3 2" xfId="29372" xr:uid="{00000000-0005-0000-0000-0000E72A0000}"/>
    <cellStyle name="Input 6 7 4 4" xfId="21569" xr:uid="{00000000-0005-0000-0000-0000E82A0000}"/>
    <cellStyle name="Input 6 7 5" xfId="6324" xr:uid="{00000000-0005-0000-0000-0000E92A0000}"/>
    <cellStyle name="Input 6 7 5 2" xfId="22726" xr:uid="{00000000-0005-0000-0000-0000EA2A0000}"/>
    <cellStyle name="Input 6 7 6" xfId="12578" xr:uid="{00000000-0005-0000-0000-0000EB2A0000}"/>
    <cellStyle name="Input 6 7 6 2" xfId="27410" xr:uid="{00000000-0005-0000-0000-0000EC2A0000}"/>
    <cellStyle name="Input 6 7 7" xfId="20405" xr:uid="{00000000-0005-0000-0000-0000ED2A0000}"/>
    <cellStyle name="Input 6 8" xfId="3259" xr:uid="{00000000-0005-0000-0000-0000EE2A0000}"/>
    <cellStyle name="Input 6 8 2" xfId="7323" xr:uid="{00000000-0005-0000-0000-0000EF2A0000}"/>
    <cellStyle name="Input 6 8 2 2" xfId="23358" xr:uid="{00000000-0005-0000-0000-0000F02A0000}"/>
    <cellStyle name="Input 6 8 3" xfId="13596" xr:uid="{00000000-0005-0000-0000-0000F12A0000}"/>
    <cellStyle name="Input 6 8 3 2" xfId="28428" xr:uid="{00000000-0005-0000-0000-0000F22A0000}"/>
    <cellStyle name="Input 6 8 4" xfId="21045" xr:uid="{00000000-0005-0000-0000-0000F32A0000}"/>
    <cellStyle name="Input 6 9" xfId="3316" xr:uid="{00000000-0005-0000-0000-0000F42A0000}"/>
    <cellStyle name="Input 6 9 2" xfId="7379" xr:uid="{00000000-0005-0000-0000-0000F52A0000}"/>
    <cellStyle name="Input 6 9 2 2" xfId="23395" xr:uid="{00000000-0005-0000-0000-0000F62A0000}"/>
    <cellStyle name="Input 6 9 3" xfId="13653" xr:uid="{00000000-0005-0000-0000-0000F72A0000}"/>
    <cellStyle name="Input 6 9 3 2" xfId="28485" xr:uid="{00000000-0005-0000-0000-0000F82A0000}"/>
    <cellStyle name="Input 6 9 4" xfId="21083" xr:uid="{00000000-0005-0000-0000-0000F92A0000}"/>
    <cellStyle name="Input 7" xfId="1124" xr:uid="{00000000-0005-0000-0000-0000FA2A0000}"/>
    <cellStyle name="Input 7 10" xfId="2295" xr:uid="{00000000-0005-0000-0000-0000FB2A0000}"/>
    <cellStyle name="Input 7 10 2" xfId="6407" xr:uid="{00000000-0005-0000-0000-0000FC2A0000}"/>
    <cellStyle name="Input 7 10 2 2" xfId="22809" xr:uid="{00000000-0005-0000-0000-0000FD2A0000}"/>
    <cellStyle name="Input 7 10 3" xfId="12635" xr:uid="{00000000-0005-0000-0000-0000FE2A0000}"/>
    <cellStyle name="Input 7 10 3 2" xfId="27467" xr:uid="{00000000-0005-0000-0000-0000FF2A0000}"/>
    <cellStyle name="Input 7 10 4" xfId="20461" xr:uid="{00000000-0005-0000-0000-0000002B0000}"/>
    <cellStyle name="Input 7 11" xfId="5261" xr:uid="{00000000-0005-0000-0000-0000012B0000}"/>
    <cellStyle name="Input 7 11 2" xfId="15577" xr:uid="{00000000-0005-0000-0000-0000022B0000}"/>
    <cellStyle name="Input 7 11 2 2" xfId="30409" xr:uid="{00000000-0005-0000-0000-0000032B0000}"/>
    <cellStyle name="Input 7 11 3" xfId="22118" xr:uid="{00000000-0005-0000-0000-0000042B0000}"/>
    <cellStyle name="Input 7 12" xfId="5419" xr:uid="{00000000-0005-0000-0000-0000052B0000}"/>
    <cellStyle name="Input 7 12 2" xfId="15655" xr:uid="{00000000-0005-0000-0000-0000062B0000}"/>
    <cellStyle name="Input 7 12 2 2" xfId="30487" xr:uid="{00000000-0005-0000-0000-0000072B0000}"/>
    <cellStyle name="Input 7 12 3" xfId="22180" xr:uid="{00000000-0005-0000-0000-0000082B0000}"/>
    <cellStyle name="Input 7 13" xfId="9372" xr:uid="{00000000-0005-0000-0000-0000092B0000}"/>
    <cellStyle name="Input 7 13 2" xfId="24678" xr:uid="{00000000-0005-0000-0000-00000A2B0000}"/>
    <cellStyle name="Input 7 14" xfId="5361" xr:uid="{00000000-0005-0000-0000-00000B2B0000}"/>
    <cellStyle name="Input 7 14 2" xfId="18235" xr:uid="{00000000-0005-0000-0000-00000C2B0000}"/>
    <cellStyle name="Input 7 2" xfId="1331" xr:uid="{00000000-0005-0000-0000-00000D2B0000}"/>
    <cellStyle name="Input 7 2 2" xfId="1835" xr:uid="{00000000-0005-0000-0000-00000E2B0000}"/>
    <cellStyle name="Input 7 2 2 2" xfId="3825" xr:uid="{00000000-0005-0000-0000-00000F2B0000}"/>
    <cellStyle name="Input 7 2 2 2 2" xfId="7878" xr:uid="{00000000-0005-0000-0000-0000102B0000}"/>
    <cellStyle name="Input 7 2 2 2 2 2" xfId="23722" xr:uid="{00000000-0005-0000-0000-0000112B0000}"/>
    <cellStyle name="Input 7 2 2 2 3" xfId="14160" xr:uid="{00000000-0005-0000-0000-0000122B0000}"/>
    <cellStyle name="Input 7 2 2 2 3 2" xfId="28992" xr:uid="{00000000-0005-0000-0000-0000132B0000}"/>
    <cellStyle name="Input 7 2 2 2 4" xfId="21370" xr:uid="{00000000-0005-0000-0000-0000142B0000}"/>
    <cellStyle name="Input 7 2 2 3" xfId="4813" xr:uid="{00000000-0005-0000-0000-0000152B0000}"/>
    <cellStyle name="Input 7 2 2 3 2" xfId="8852" xr:uid="{00000000-0005-0000-0000-0000162B0000}"/>
    <cellStyle name="Input 7 2 2 3 2 2" xfId="24350" xr:uid="{00000000-0005-0000-0000-0000172B0000}"/>
    <cellStyle name="Input 7 2 2 3 3" xfId="15137" xr:uid="{00000000-0005-0000-0000-0000182B0000}"/>
    <cellStyle name="Input 7 2 2 3 3 2" xfId="29969" xr:uid="{00000000-0005-0000-0000-0000192B0000}"/>
    <cellStyle name="Input 7 2 2 3 4" xfId="21888" xr:uid="{00000000-0005-0000-0000-00001A2B0000}"/>
    <cellStyle name="Input 7 2 2 4" xfId="2803" xr:uid="{00000000-0005-0000-0000-00001B2B0000}"/>
    <cellStyle name="Input 7 2 2 4 2" xfId="6894" xr:uid="{00000000-0005-0000-0000-00001C2B0000}"/>
    <cellStyle name="Input 7 2 2 4 2 2" xfId="23101" xr:uid="{00000000-0005-0000-0000-00001D2B0000}"/>
    <cellStyle name="Input 7 2 2 4 3" xfId="13141" xr:uid="{00000000-0005-0000-0000-00001E2B0000}"/>
    <cellStyle name="Input 7 2 2 4 3 2" xfId="27973" xr:uid="{00000000-0005-0000-0000-00001F2B0000}"/>
    <cellStyle name="Input 7 2 2 4 4" xfId="20761" xr:uid="{00000000-0005-0000-0000-0000202B0000}"/>
    <cellStyle name="Input 7 2 2 5" xfId="5967" xr:uid="{00000000-0005-0000-0000-0000212B0000}"/>
    <cellStyle name="Input 7 2 2 5 2" xfId="16159" xr:uid="{00000000-0005-0000-0000-0000222B0000}"/>
    <cellStyle name="Input 7 2 2 5 2 2" xfId="30991" xr:uid="{00000000-0005-0000-0000-0000232B0000}"/>
    <cellStyle name="Input 7 2 2 5 3" xfId="22532" xr:uid="{00000000-0005-0000-0000-0000242B0000}"/>
    <cellStyle name="Input 7 2 2 6" xfId="12229" xr:uid="{00000000-0005-0000-0000-0000252B0000}"/>
    <cellStyle name="Input 7 2 2 6 2" xfId="27061" xr:uid="{00000000-0005-0000-0000-0000262B0000}"/>
    <cellStyle name="Input 7 2 2 7" xfId="9825" xr:uid="{00000000-0005-0000-0000-0000272B0000}"/>
    <cellStyle name="Input 7 2 2 7 2" xfId="20076" xr:uid="{00000000-0005-0000-0000-0000282B0000}"/>
    <cellStyle name="Input 7 2 3" xfId="3198" xr:uid="{00000000-0005-0000-0000-0000292B0000}"/>
    <cellStyle name="Input 7 2 3 2" xfId="7262" xr:uid="{00000000-0005-0000-0000-00002A2B0000}"/>
    <cellStyle name="Input 7 2 3 2 2" xfId="23313" xr:uid="{00000000-0005-0000-0000-00002B2B0000}"/>
    <cellStyle name="Input 7 2 3 3" xfId="13536" xr:uid="{00000000-0005-0000-0000-00002C2B0000}"/>
    <cellStyle name="Input 7 2 3 3 2" xfId="28368" xr:uid="{00000000-0005-0000-0000-00002D2B0000}"/>
    <cellStyle name="Input 7 2 3 4" xfId="21003" xr:uid="{00000000-0005-0000-0000-00002E2B0000}"/>
    <cellStyle name="Input 7 2 4" xfId="4393" xr:uid="{00000000-0005-0000-0000-00002F2B0000}"/>
    <cellStyle name="Input 7 2 4 2" xfId="8432" xr:uid="{00000000-0005-0000-0000-0000302B0000}"/>
    <cellStyle name="Input 7 2 4 2 2" xfId="24090" xr:uid="{00000000-0005-0000-0000-0000312B0000}"/>
    <cellStyle name="Input 7 2 4 3" xfId="14722" xr:uid="{00000000-0005-0000-0000-0000322B0000}"/>
    <cellStyle name="Input 7 2 4 3 2" xfId="29554" xr:uid="{00000000-0005-0000-0000-0000332B0000}"/>
    <cellStyle name="Input 7 2 4 4" xfId="21658" xr:uid="{00000000-0005-0000-0000-0000342B0000}"/>
    <cellStyle name="Input 7 2 5" xfId="2383" xr:uid="{00000000-0005-0000-0000-0000352B0000}"/>
    <cellStyle name="Input 7 2 5 2" xfId="6495" xr:uid="{00000000-0005-0000-0000-0000362B0000}"/>
    <cellStyle name="Input 7 2 5 2 2" xfId="22865" xr:uid="{00000000-0005-0000-0000-0000372B0000}"/>
    <cellStyle name="Input 7 2 5 3" xfId="12722" xr:uid="{00000000-0005-0000-0000-0000382B0000}"/>
    <cellStyle name="Input 7 2 5 3 2" xfId="27554" xr:uid="{00000000-0005-0000-0000-0000392B0000}"/>
    <cellStyle name="Input 7 2 5 4" xfId="20507" xr:uid="{00000000-0005-0000-0000-00003A2B0000}"/>
    <cellStyle name="Input 7 2 6" xfId="5508" xr:uid="{00000000-0005-0000-0000-00003B2B0000}"/>
    <cellStyle name="Input 7 2 6 2" xfId="15743" xr:uid="{00000000-0005-0000-0000-00003C2B0000}"/>
    <cellStyle name="Input 7 2 6 2 2" xfId="30575" xr:uid="{00000000-0005-0000-0000-00003D2B0000}"/>
    <cellStyle name="Input 7 2 6 3" xfId="22236" xr:uid="{00000000-0005-0000-0000-00003E2B0000}"/>
    <cellStyle name="Input 7 2 7" xfId="11758" xr:uid="{00000000-0005-0000-0000-00003F2B0000}"/>
    <cellStyle name="Input 7 2 7 2" xfId="26590" xr:uid="{00000000-0005-0000-0000-0000402B0000}"/>
    <cellStyle name="Input 7 2 8" xfId="9429" xr:uid="{00000000-0005-0000-0000-0000412B0000}"/>
    <cellStyle name="Input 7 2 8 2" xfId="19733" xr:uid="{00000000-0005-0000-0000-0000422B0000}"/>
    <cellStyle name="Input 7 3" xfId="1489" xr:uid="{00000000-0005-0000-0000-0000432B0000}"/>
    <cellStyle name="Input 7 3 2" xfId="1990" xr:uid="{00000000-0005-0000-0000-0000442B0000}"/>
    <cellStyle name="Input 7 3 2 2" xfId="3913" xr:uid="{00000000-0005-0000-0000-0000452B0000}"/>
    <cellStyle name="Input 7 3 2 2 2" xfId="7964" xr:uid="{00000000-0005-0000-0000-0000462B0000}"/>
    <cellStyle name="Input 7 3 2 2 2 2" xfId="23774" xr:uid="{00000000-0005-0000-0000-0000472B0000}"/>
    <cellStyle name="Input 7 3 2 2 3" xfId="14246" xr:uid="{00000000-0005-0000-0000-0000482B0000}"/>
    <cellStyle name="Input 7 3 2 2 3 2" xfId="29078" xr:uid="{00000000-0005-0000-0000-0000492B0000}"/>
    <cellStyle name="Input 7 3 2 2 4" xfId="21415" xr:uid="{00000000-0005-0000-0000-00004A2B0000}"/>
    <cellStyle name="Input 7 3 2 3" xfId="4954" xr:uid="{00000000-0005-0000-0000-00004B2B0000}"/>
    <cellStyle name="Input 7 3 2 3 2" xfId="8993" xr:uid="{00000000-0005-0000-0000-00004C2B0000}"/>
    <cellStyle name="Input 7 3 2 3 2 2" xfId="24459" xr:uid="{00000000-0005-0000-0000-00004D2B0000}"/>
    <cellStyle name="Input 7 3 2 3 3" xfId="15276" xr:uid="{00000000-0005-0000-0000-00004E2B0000}"/>
    <cellStyle name="Input 7 3 2 3 3 2" xfId="30108" xr:uid="{00000000-0005-0000-0000-00004F2B0000}"/>
    <cellStyle name="Input 7 3 2 3 4" xfId="21989" xr:uid="{00000000-0005-0000-0000-0000502B0000}"/>
    <cellStyle name="Input 7 3 2 4" xfId="2944" xr:uid="{00000000-0005-0000-0000-0000512B0000}"/>
    <cellStyle name="Input 7 3 2 4 2" xfId="7028" xr:uid="{00000000-0005-0000-0000-0000522B0000}"/>
    <cellStyle name="Input 7 3 2 4 2 2" xfId="23202" xr:uid="{00000000-0005-0000-0000-0000532B0000}"/>
    <cellStyle name="Input 7 3 2 4 3" xfId="13282" xr:uid="{00000000-0005-0000-0000-0000542B0000}"/>
    <cellStyle name="Input 7 3 2 4 3 2" xfId="28114" xr:uid="{00000000-0005-0000-0000-0000552B0000}"/>
    <cellStyle name="Input 7 3 2 4 4" xfId="20870" xr:uid="{00000000-0005-0000-0000-0000562B0000}"/>
    <cellStyle name="Input 7 3 2 5" xfId="6120" xr:uid="{00000000-0005-0000-0000-0000572B0000}"/>
    <cellStyle name="Input 7 3 2 5 2" xfId="16307" xr:uid="{00000000-0005-0000-0000-0000582B0000}"/>
    <cellStyle name="Input 7 3 2 5 2 2" xfId="31139" xr:uid="{00000000-0005-0000-0000-0000592B0000}"/>
    <cellStyle name="Input 7 3 2 5 3" xfId="22653" xr:uid="{00000000-0005-0000-0000-00005A2B0000}"/>
    <cellStyle name="Input 7 3 2 6" xfId="12377" xr:uid="{00000000-0005-0000-0000-00005B2B0000}"/>
    <cellStyle name="Input 7 3 2 6 2" xfId="27209" xr:uid="{00000000-0005-0000-0000-00005C2B0000}"/>
    <cellStyle name="Input 7 3 2 7" xfId="9959" xr:uid="{00000000-0005-0000-0000-00005D2B0000}"/>
    <cellStyle name="Input 7 3 2 7 2" xfId="20161" xr:uid="{00000000-0005-0000-0000-00005E2B0000}"/>
    <cellStyle name="Input 7 3 3" xfId="4111" xr:uid="{00000000-0005-0000-0000-00005F2B0000}"/>
    <cellStyle name="Input 7 3 3 2" xfId="8157" xr:uid="{00000000-0005-0000-0000-0000602B0000}"/>
    <cellStyle name="Input 7 3 3 2 2" xfId="23896" xr:uid="{00000000-0005-0000-0000-0000612B0000}"/>
    <cellStyle name="Input 7 3 3 3" xfId="14443" xr:uid="{00000000-0005-0000-0000-0000622B0000}"/>
    <cellStyle name="Input 7 3 3 3 2" xfId="29275" xr:uid="{00000000-0005-0000-0000-0000632B0000}"/>
    <cellStyle name="Input 7 3 3 4" xfId="21526" xr:uid="{00000000-0005-0000-0000-0000642B0000}"/>
    <cellStyle name="Input 7 3 4" xfId="4534" xr:uid="{00000000-0005-0000-0000-0000652B0000}"/>
    <cellStyle name="Input 7 3 4 2" xfId="8573" xr:uid="{00000000-0005-0000-0000-0000662B0000}"/>
    <cellStyle name="Input 7 3 4 2 2" xfId="24199" xr:uid="{00000000-0005-0000-0000-0000672B0000}"/>
    <cellStyle name="Input 7 3 4 3" xfId="14861" xr:uid="{00000000-0005-0000-0000-0000682B0000}"/>
    <cellStyle name="Input 7 3 4 3 2" xfId="29693" xr:uid="{00000000-0005-0000-0000-0000692B0000}"/>
    <cellStyle name="Input 7 3 4 4" xfId="21759" xr:uid="{00000000-0005-0000-0000-00006A2B0000}"/>
    <cellStyle name="Input 7 3 5" xfId="2524" xr:uid="{00000000-0005-0000-0000-00006B2B0000}"/>
    <cellStyle name="Input 7 3 5 2" xfId="6630" xr:uid="{00000000-0005-0000-0000-00006C2B0000}"/>
    <cellStyle name="Input 7 3 5 2 2" xfId="22968" xr:uid="{00000000-0005-0000-0000-00006D2B0000}"/>
    <cellStyle name="Input 7 3 5 3" xfId="12862" xr:uid="{00000000-0005-0000-0000-00006E2B0000}"/>
    <cellStyle name="Input 7 3 5 3 2" xfId="27694" xr:uid="{00000000-0005-0000-0000-00006F2B0000}"/>
    <cellStyle name="Input 7 3 5 4" xfId="20614" xr:uid="{00000000-0005-0000-0000-0000702B0000}"/>
    <cellStyle name="Input 7 3 6" xfId="5647" xr:uid="{00000000-0005-0000-0000-0000712B0000}"/>
    <cellStyle name="Input 7 3 6 2" xfId="15882" xr:uid="{00000000-0005-0000-0000-0000722B0000}"/>
    <cellStyle name="Input 7 3 6 2 2" xfId="30714" xr:uid="{00000000-0005-0000-0000-0000732B0000}"/>
    <cellStyle name="Input 7 3 6 3" xfId="22343" xr:uid="{00000000-0005-0000-0000-0000742B0000}"/>
    <cellStyle name="Input 7 3 7" xfId="11906" xr:uid="{00000000-0005-0000-0000-0000752B0000}"/>
    <cellStyle name="Input 7 3 7 2" xfId="26738" xr:uid="{00000000-0005-0000-0000-0000762B0000}"/>
    <cellStyle name="Input 7 3 8" xfId="9564" xr:uid="{00000000-0005-0000-0000-0000772B0000}"/>
    <cellStyle name="Input 7 3 8 2" xfId="19866" xr:uid="{00000000-0005-0000-0000-0000782B0000}"/>
    <cellStyle name="Input 7 4" xfId="1391" xr:uid="{00000000-0005-0000-0000-0000792B0000}"/>
    <cellStyle name="Input 7 4 2" xfId="1893" xr:uid="{00000000-0005-0000-0000-00007A2B0000}"/>
    <cellStyle name="Input 7 4 2 2" xfId="3347" xr:uid="{00000000-0005-0000-0000-00007B2B0000}"/>
    <cellStyle name="Input 7 4 2 2 2" xfId="7410" xr:uid="{00000000-0005-0000-0000-00007C2B0000}"/>
    <cellStyle name="Input 7 4 2 2 2 2" xfId="23415" xr:uid="{00000000-0005-0000-0000-00007D2B0000}"/>
    <cellStyle name="Input 7 4 2 2 3" xfId="13684" xr:uid="{00000000-0005-0000-0000-00007E2B0000}"/>
    <cellStyle name="Input 7 4 2 2 3 2" xfId="28516" xr:uid="{00000000-0005-0000-0000-00007F2B0000}"/>
    <cellStyle name="Input 7 4 2 2 4" xfId="21102" xr:uid="{00000000-0005-0000-0000-0000802B0000}"/>
    <cellStyle name="Input 7 4 2 3" xfId="4871" xr:uid="{00000000-0005-0000-0000-0000812B0000}"/>
    <cellStyle name="Input 7 4 2 3 2" xfId="8910" xr:uid="{00000000-0005-0000-0000-0000822B0000}"/>
    <cellStyle name="Input 7 4 2 3 2 2" xfId="24376" xr:uid="{00000000-0005-0000-0000-0000832B0000}"/>
    <cellStyle name="Input 7 4 2 3 3" xfId="15194" xr:uid="{00000000-0005-0000-0000-0000842B0000}"/>
    <cellStyle name="Input 7 4 2 3 3 2" xfId="30026" xr:uid="{00000000-0005-0000-0000-0000852B0000}"/>
    <cellStyle name="Input 7 4 2 3 4" xfId="21908" xr:uid="{00000000-0005-0000-0000-0000862B0000}"/>
    <cellStyle name="Input 7 4 2 4" xfId="2861" xr:uid="{00000000-0005-0000-0000-0000872B0000}"/>
    <cellStyle name="Input 7 4 2 4 2" xfId="6946" xr:uid="{00000000-0005-0000-0000-0000882B0000}"/>
    <cellStyle name="Input 7 4 2 4 2 2" xfId="23121" xr:uid="{00000000-0005-0000-0000-0000892B0000}"/>
    <cellStyle name="Input 7 4 2 4 3" xfId="13199" xr:uid="{00000000-0005-0000-0000-00008A2B0000}"/>
    <cellStyle name="Input 7 4 2 4 3 2" xfId="28031" xr:uid="{00000000-0005-0000-0000-00008B2B0000}"/>
    <cellStyle name="Input 7 4 2 4 4" xfId="20787" xr:uid="{00000000-0005-0000-0000-00008C2B0000}"/>
    <cellStyle name="Input 7 4 2 5" xfId="6024" xr:uid="{00000000-0005-0000-0000-00008D2B0000}"/>
    <cellStyle name="Input 7 4 2 5 2" xfId="16211" xr:uid="{00000000-0005-0000-0000-00008E2B0000}"/>
    <cellStyle name="Input 7 4 2 5 2 2" xfId="31043" xr:uid="{00000000-0005-0000-0000-00008F2B0000}"/>
    <cellStyle name="Input 7 4 2 5 3" xfId="22557" xr:uid="{00000000-0005-0000-0000-0000902B0000}"/>
    <cellStyle name="Input 7 4 2 6" xfId="12281" xr:uid="{00000000-0005-0000-0000-0000912B0000}"/>
    <cellStyle name="Input 7 4 2 6 2" xfId="27113" xr:uid="{00000000-0005-0000-0000-0000922B0000}"/>
    <cellStyle name="Input 7 4 2 7" xfId="9877" xr:uid="{00000000-0005-0000-0000-0000932B0000}"/>
    <cellStyle name="Input 7 4 2 7 2" xfId="20081" xr:uid="{00000000-0005-0000-0000-0000942B0000}"/>
    <cellStyle name="Input 7 4 3" xfId="3456" xr:uid="{00000000-0005-0000-0000-0000952B0000}"/>
    <cellStyle name="Input 7 4 3 2" xfId="7519" xr:uid="{00000000-0005-0000-0000-0000962B0000}"/>
    <cellStyle name="Input 7 4 3 2 2" xfId="23489" xr:uid="{00000000-0005-0000-0000-0000972B0000}"/>
    <cellStyle name="Input 7 4 3 3" xfId="13793" xr:uid="{00000000-0005-0000-0000-0000982B0000}"/>
    <cellStyle name="Input 7 4 3 3 2" xfId="28625" xr:uid="{00000000-0005-0000-0000-0000992B0000}"/>
    <cellStyle name="Input 7 4 3 4" xfId="21164" xr:uid="{00000000-0005-0000-0000-00009A2B0000}"/>
    <cellStyle name="Input 7 4 4" xfId="4451" xr:uid="{00000000-0005-0000-0000-00009B2B0000}"/>
    <cellStyle name="Input 7 4 4 2" xfId="8490" xr:uid="{00000000-0005-0000-0000-00009C2B0000}"/>
    <cellStyle name="Input 7 4 4 2 2" xfId="24116" xr:uid="{00000000-0005-0000-0000-00009D2B0000}"/>
    <cellStyle name="Input 7 4 4 3" xfId="14779" xr:uid="{00000000-0005-0000-0000-00009E2B0000}"/>
    <cellStyle name="Input 7 4 4 3 2" xfId="29611" xr:uid="{00000000-0005-0000-0000-00009F2B0000}"/>
    <cellStyle name="Input 7 4 4 4" xfId="21678" xr:uid="{00000000-0005-0000-0000-0000A02B0000}"/>
    <cellStyle name="Input 7 4 5" xfId="2441" xr:uid="{00000000-0005-0000-0000-0000A12B0000}"/>
    <cellStyle name="Input 7 4 5 2" xfId="6547" xr:uid="{00000000-0005-0000-0000-0000A22B0000}"/>
    <cellStyle name="Input 7 4 5 2 2" xfId="22885" xr:uid="{00000000-0005-0000-0000-0000A32B0000}"/>
    <cellStyle name="Input 7 4 5 3" xfId="12780" xr:uid="{00000000-0005-0000-0000-0000A42B0000}"/>
    <cellStyle name="Input 7 4 5 3 2" xfId="27612" xr:uid="{00000000-0005-0000-0000-0000A52B0000}"/>
    <cellStyle name="Input 7 4 5 4" xfId="20533" xr:uid="{00000000-0005-0000-0000-0000A62B0000}"/>
    <cellStyle name="Input 7 4 6" xfId="5565" xr:uid="{00000000-0005-0000-0000-0000A72B0000}"/>
    <cellStyle name="Input 7 4 6 2" xfId="15800" xr:uid="{00000000-0005-0000-0000-0000A82B0000}"/>
    <cellStyle name="Input 7 4 6 2 2" xfId="30632" xr:uid="{00000000-0005-0000-0000-0000A92B0000}"/>
    <cellStyle name="Input 7 4 6 3" xfId="22261" xr:uid="{00000000-0005-0000-0000-0000AA2B0000}"/>
    <cellStyle name="Input 7 4 7" xfId="11810" xr:uid="{00000000-0005-0000-0000-0000AB2B0000}"/>
    <cellStyle name="Input 7 4 7 2" xfId="26642" xr:uid="{00000000-0005-0000-0000-0000AC2B0000}"/>
    <cellStyle name="Input 7 4 8" xfId="9482" xr:uid="{00000000-0005-0000-0000-0000AD2B0000}"/>
    <cellStyle name="Input 7 4 8 2" xfId="19785" xr:uid="{00000000-0005-0000-0000-0000AE2B0000}"/>
    <cellStyle name="Input 7 5" xfId="1495" xr:uid="{00000000-0005-0000-0000-0000AF2B0000}"/>
    <cellStyle name="Input 7 5 2" xfId="1996" xr:uid="{00000000-0005-0000-0000-0000B02B0000}"/>
    <cellStyle name="Input 7 5 2 2" xfId="3483" xr:uid="{00000000-0005-0000-0000-0000B12B0000}"/>
    <cellStyle name="Input 7 5 2 2 2" xfId="7545" xr:uid="{00000000-0005-0000-0000-0000B22B0000}"/>
    <cellStyle name="Input 7 5 2 2 2 2" xfId="23509" xr:uid="{00000000-0005-0000-0000-0000B32B0000}"/>
    <cellStyle name="Input 7 5 2 2 3" xfId="13820" xr:uid="{00000000-0005-0000-0000-0000B42B0000}"/>
    <cellStyle name="Input 7 5 2 2 3 2" xfId="28652" xr:uid="{00000000-0005-0000-0000-0000B52B0000}"/>
    <cellStyle name="Input 7 5 2 2 4" xfId="21185" xr:uid="{00000000-0005-0000-0000-0000B62B0000}"/>
    <cellStyle name="Input 7 5 2 3" xfId="4960" xr:uid="{00000000-0005-0000-0000-0000B72B0000}"/>
    <cellStyle name="Input 7 5 2 3 2" xfId="8999" xr:uid="{00000000-0005-0000-0000-0000B82B0000}"/>
    <cellStyle name="Input 7 5 2 3 2 2" xfId="24465" xr:uid="{00000000-0005-0000-0000-0000B92B0000}"/>
    <cellStyle name="Input 7 5 2 3 3" xfId="15282" xr:uid="{00000000-0005-0000-0000-0000BA2B0000}"/>
    <cellStyle name="Input 7 5 2 3 3 2" xfId="30114" xr:uid="{00000000-0005-0000-0000-0000BB2B0000}"/>
    <cellStyle name="Input 7 5 2 3 4" xfId="21995" xr:uid="{00000000-0005-0000-0000-0000BC2B0000}"/>
    <cellStyle name="Input 7 5 2 4" xfId="2950" xr:uid="{00000000-0005-0000-0000-0000BD2B0000}"/>
    <cellStyle name="Input 7 5 2 4 2" xfId="7034" xr:uid="{00000000-0005-0000-0000-0000BE2B0000}"/>
    <cellStyle name="Input 7 5 2 4 2 2" xfId="23208" xr:uid="{00000000-0005-0000-0000-0000BF2B0000}"/>
    <cellStyle name="Input 7 5 2 4 3" xfId="13288" xr:uid="{00000000-0005-0000-0000-0000C02B0000}"/>
    <cellStyle name="Input 7 5 2 4 3 2" xfId="28120" xr:uid="{00000000-0005-0000-0000-0000C12B0000}"/>
    <cellStyle name="Input 7 5 2 4 4" xfId="20876" xr:uid="{00000000-0005-0000-0000-0000C22B0000}"/>
    <cellStyle name="Input 7 5 2 5" xfId="6126" xr:uid="{00000000-0005-0000-0000-0000C32B0000}"/>
    <cellStyle name="Input 7 5 2 5 2" xfId="16313" xr:uid="{00000000-0005-0000-0000-0000C42B0000}"/>
    <cellStyle name="Input 7 5 2 5 2 2" xfId="31145" xr:uid="{00000000-0005-0000-0000-0000C52B0000}"/>
    <cellStyle name="Input 7 5 2 5 3" xfId="22659" xr:uid="{00000000-0005-0000-0000-0000C62B0000}"/>
    <cellStyle name="Input 7 5 2 6" xfId="12383" xr:uid="{00000000-0005-0000-0000-0000C72B0000}"/>
    <cellStyle name="Input 7 5 2 6 2" xfId="27215" xr:uid="{00000000-0005-0000-0000-0000C82B0000}"/>
    <cellStyle name="Input 7 5 2 7" xfId="9965" xr:uid="{00000000-0005-0000-0000-0000C92B0000}"/>
    <cellStyle name="Input 7 5 2 7 2" xfId="20167" xr:uid="{00000000-0005-0000-0000-0000CA2B0000}"/>
    <cellStyle name="Input 7 5 3" xfId="3164" xr:uid="{00000000-0005-0000-0000-0000CB2B0000}"/>
    <cellStyle name="Input 7 5 3 2" xfId="7228" xr:uid="{00000000-0005-0000-0000-0000CC2B0000}"/>
    <cellStyle name="Input 7 5 3 2 2" xfId="23291" xr:uid="{00000000-0005-0000-0000-0000CD2B0000}"/>
    <cellStyle name="Input 7 5 3 3" xfId="13502" xr:uid="{00000000-0005-0000-0000-0000CE2B0000}"/>
    <cellStyle name="Input 7 5 3 3 2" xfId="28334" xr:uid="{00000000-0005-0000-0000-0000CF2B0000}"/>
    <cellStyle name="Input 7 5 3 4" xfId="20982" xr:uid="{00000000-0005-0000-0000-0000D02B0000}"/>
    <cellStyle name="Input 7 5 4" xfId="4540" xr:uid="{00000000-0005-0000-0000-0000D12B0000}"/>
    <cellStyle name="Input 7 5 4 2" xfId="8579" xr:uid="{00000000-0005-0000-0000-0000D22B0000}"/>
    <cellStyle name="Input 7 5 4 2 2" xfId="24205" xr:uid="{00000000-0005-0000-0000-0000D32B0000}"/>
    <cellStyle name="Input 7 5 4 3" xfId="14867" xr:uid="{00000000-0005-0000-0000-0000D42B0000}"/>
    <cellStyle name="Input 7 5 4 3 2" xfId="29699" xr:uid="{00000000-0005-0000-0000-0000D52B0000}"/>
    <cellStyle name="Input 7 5 4 4" xfId="21765" xr:uid="{00000000-0005-0000-0000-0000D62B0000}"/>
    <cellStyle name="Input 7 5 5" xfId="2530" xr:uid="{00000000-0005-0000-0000-0000D72B0000}"/>
    <cellStyle name="Input 7 5 5 2" xfId="6636" xr:uid="{00000000-0005-0000-0000-0000D82B0000}"/>
    <cellStyle name="Input 7 5 5 2 2" xfId="22974" xr:uid="{00000000-0005-0000-0000-0000D92B0000}"/>
    <cellStyle name="Input 7 5 5 3" xfId="12868" xr:uid="{00000000-0005-0000-0000-0000DA2B0000}"/>
    <cellStyle name="Input 7 5 5 3 2" xfId="27700" xr:uid="{00000000-0005-0000-0000-0000DB2B0000}"/>
    <cellStyle name="Input 7 5 5 4" xfId="20620" xr:uid="{00000000-0005-0000-0000-0000DC2B0000}"/>
    <cellStyle name="Input 7 5 6" xfId="5653" xr:uid="{00000000-0005-0000-0000-0000DD2B0000}"/>
    <cellStyle name="Input 7 5 6 2" xfId="15888" xr:uid="{00000000-0005-0000-0000-0000DE2B0000}"/>
    <cellStyle name="Input 7 5 6 2 2" xfId="30720" xr:uid="{00000000-0005-0000-0000-0000DF2B0000}"/>
    <cellStyle name="Input 7 5 6 3" xfId="22349" xr:uid="{00000000-0005-0000-0000-0000E02B0000}"/>
    <cellStyle name="Input 7 5 7" xfId="11912" xr:uid="{00000000-0005-0000-0000-0000E12B0000}"/>
    <cellStyle name="Input 7 5 7 2" xfId="26744" xr:uid="{00000000-0005-0000-0000-0000E22B0000}"/>
    <cellStyle name="Input 7 5 8" xfId="9570" xr:uid="{00000000-0005-0000-0000-0000E32B0000}"/>
    <cellStyle name="Input 7 5 8 2" xfId="19872" xr:uid="{00000000-0005-0000-0000-0000E42B0000}"/>
    <cellStyle name="Input 7 6" xfId="1757" xr:uid="{00000000-0005-0000-0000-0000E52B0000}"/>
    <cellStyle name="Input 7 6 2" xfId="3626" xr:uid="{00000000-0005-0000-0000-0000E62B0000}"/>
    <cellStyle name="Input 7 6 2 2" xfId="7685" xr:uid="{00000000-0005-0000-0000-0000E72B0000}"/>
    <cellStyle name="Input 7 6 2 2 2" xfId="23594" xr:uid="{00000000-0005-0000-0000-0000E82B0000}"/>
    <cellStyle name="Input 7 6 2 3" xfId="13961" xr:uid="{00000000-0005-0000-0000-0000E92B0000}"/>
    <cellStyle name="Input 7 6 2 3 2" xfId="28793" xr:uid="{00000000-0005-0000-0000-0000EA2B0000}"/>
    <cellStyle name="Input 7 6 2 4" xfId="21259" xr:uid="{00000000-0005-0000-0000-0000EB2B0000}"/>
    <cellStyle name="Input 7 6 3" xfId="4735" xr:uid="{00000000-0005-0000-0000-0000EC2B0000}"/>
    <cellStyle name="Input 7 6 3 2" xfId="8774" xr:uid="{00000000-0005-0000-0000-0000ED2B0000}"/>
    <cellStyle name="Input 7 6 3 2 2" xfId="24304" xr:uid="{00000000-0005-0000-0000-0000EE2B0000}"/>
    <cellStyle name="Input 7 6 3 3" xfId="15059" xr:uid="{00000000-0005-0000-0000-0000EF2B0000}"/>
    <cellStyle name="Input 7 6 3 3 2" xfId="29891" xr:uid="{00000000-0005-0000-0000-0000F02B0000}"/>
    <cellStyle name="Input 7 6 3 4" xfId="21842" xr:uid="{00000000-0005-0000-0000-0000F12B0000}"/>
    <cellStyle name="Input 7 6 4" xfId="2725" xr:uid="{00000000-0005-0000-0000-0000F22B0000}"/>
    <cellStyle name="Input 7 6 4 2" xfId="6816" xr:uid="{00000000-0005-0000-0000-0000F32B0000}"/>
    <cellStyle name="Input 7 6 4 2 2" xfId="23055" xr:uid="{00000000-0005-0000-0000-0000F42B0000}"/>
    <cellStyle name="Input 7 6 4 3" xfId="13063" xr:uid="{00000000-0005-0000-0000-0000F52B0000}"/>
    <cellStyle name="Input 7 6 4 3 2" xfId="27895" xr:uid="{00000000-0005-0000-0000-0000F62B0000}"/>
    <cellStyle name="Input 7 6 4 4" xfId="20715" xr:uid="{00000000-0005-0000-0000-0000F72B0000}"/>
    <cellStyle name="Input 7 6 5" xfId="5889" xr:uid="{00000000-0005-0000-0000-0000F82B0000}"/>
    <cellStyle name="Input 7 6 5 2" xfId="16081" xr:uid="{00000000-0005-0000-0000-0000F92B0000}"/>
    <cellStyle name="Input 7 6 5 2 2" xfId="30913" xr:uid="{00000000-0005-0000-0000-0000FA2B0000}"/>
    <cellStyle name="Input 7 6 5 3" xfId="22486" xr:uid="{00000000-0005-0000-0000-0000FB2B0000}"/>
    <cellStyle name="Input 7 6 6" xfId="12151" xr:uid="{00000000-0005-0000-0000-0000FC2B0000}"/>
    <cellStyle name="Input 7 6 6 2" xfId="26983" xr:uid="{00000000-0005-0000-0000-0000FD2B0000}"/>
    <cellStyle name="Input 7 6 7" xfId="9747" xr:uid="{00000000-0005-0000-0000-0000FE2B0000}"/>
    <cellStyle name="Input 7 6 7 2" xfId="20045" xr:uid="{00000000-0005-0000-0000-0000FF2B0000}"/>
    <cellStyle name="Input 7 7" xfId="2209" xr:uid="{00000000-0005-0000-0000-0000002C0000}"/>
    <cellStyle name="Input 7 7 2" xfId="3422" xr:uid="{00000000-0005-0000-0000-0000012C0000}"/>
    <cellStyle name="Input 7 7 2 2" xfId="7485" xr:uid="{00000000-0005-0000-0000-0000022C0000}"/>
    <cellStyle name="Input 7 7 2 2 2" xfId="23465" xr:uid="{00000000-0005-0000-0000-0000032C0000}"/>
    <cellStyle name="Input 7 7 2 3" xfId="13759" xr:uid="{00000000-0005-0000-0000-0000042C0000}"/>
    <cellStyle name="Input 7 7 2 3 2" xfId="28591" xr:uid="{00000000-0005-0000-0000-0000052C0000}"/>
    <cellStyle name="Input 7 7 2 4" xfId="21142" xr:uid="{00000000-0005-0000-0000-0000062C0000}"/>
    <cellStyle name="Input 7 7 3" xfId="5177" xr:uid="{00000000-0005-0000-0000-0000072C0000}"/>
    <cellStyle name="Input 7 7 3 2" xfId="9216" xr:uid="{00000000-0005-0000-0000-0000082C0000}"/>
    <cellStyle name="Input 7 7 3 2 2" xfId="24554" xr:uid="{00000000-0005-0000-0000-0000092C0000}"/>
    <cellStyle name="Input 7 7 3 3" xfId="15495" xr:uid="{00000000-0005-0000-0000-00000A2C0000}"/>
    <cellStyle name="Input 7 7 3 3 2" xfId="30327" xr:uid="{00000000-0005-0000-0000-00000B2C0000}"/>
    <cellStyle name="Input 7 7 3 4" xfId="22061" xr:uid="{00000000-0005-0000-0000-00000C2C0000}"/>
    <cellStyle name="Input 7 7 4" xfId="4207" xr:uid="{00000000-0005-0000-0000-00000D2C0000}"/>
    <cellStyle name="Input 7 7 4 2" xfId="8248" xr:uid="{00000000-0005-0000-0000-00000E2C0000}"/>
    <cellStyle name="Input 7 7 4 2 2" xfId="23943" xr:uid="{00000000-0005-0000-0000-00000F2C0000}"/>
    <cellStyle name="Input 7 7 4 3" xfId="14539" xr:uid="{00000000-0005-0000-0000-0000102C0000}"/>
    <cellStyle name="Input 7 7 4 3 2" xfId="29371" xr:uid="{00000000-0005-0000-0000-0000112C0000}"/>
    <cellStyle name="Input 7 7 4 4" xfId="21568" xr:uid="{00000000-0005-0000-0000-0000122C0000}"/>
    <cellStyle name="Input 7 7 5" xfId="6323" xr:uid="{00000000-0005-0000-0000-0000132C0000}"/>
    <cellStyle name="Input 7 7 5 2" xfId="22725" xr:uid="{00000000-0005-0000-0000-0000142C0000}"/>
    <cellStyle name="Input 7 7 6" xfId="12577" xr:uid="{00000000-0005-0000-0000-0000152C0000}"/>
    <cellStyle name="Input 7 7 6 2" xfId="27409" xr:uid="{00000000-0005-0000-0000-0000162C0000}"/>
    <cellStyle name="Input 7 7 7" xfId="20404" xr:uid="{00000000-0005-0000-0000-0000172C0000}"/>
    <cellStyle name="Input 7 8" xfId="3692" xr:uid="{00000000-0005-0000-0000-0000182C0000}"/>
    <cellStyle name="Input 7 8 2" xfId="7748" xr:uid="{00000000-0005-0000-0000-0000192C0000}"/>
    <cellStyle name="Input 7 8 2 2" xfId="23635" xr:uid="{00000000-0005-0000-0000-00001A2C0000}"/>
    <cellStyle name="Input 7 8 3" xfId="14027" xr:uid="{00000000-0005-0000-0000-00001B2C0000}"/>
    <cellStyle name="Input 7 8 3 2" xfId="28859" xr:uid="{00000000-0005-0000-0000-00001C2C0000}"/>
    <cellStyle name="Input 7 8 4" xfId="21296" xr:uid="{00000000-0005-0000-0000-00001D2C0000}"/>
    <cellStyle name="Input 7 9" xfId="3596" xr:uid="{00000000-0005-0000-0000-00001E2C0000}"/>
    <cellStyle name="Input 7 9 2" xfId="7658" xr:uid="{00000000-0005-0000-0000-00001F2C0000}"/>
    <cellStyle name="Input 7 9 2 2" xfId="23573" xr:uid="{00000000-0005-0000-0000-0000202C0000}"/>
    <cellStyle name="Input 7 9 3" xfId="13932" xr:uid="{00000000-0005-0000-0000-0000212C0000}"/>
    <cellStyle name="Input 7 9 3 2" xfId="28764" xr:uid="{00000000-0005-0000-0000-0000222C0000}"/>
    <cellStyle name="Input 7 9 4" xfId="21242" xr:uid="{00000000-0005-0000-0000-0000232C0000}"/>
    <cellStyle name="Input 8" xfId="1125" xr:uid="{00000000-0005-0000-0000-0000242C0000}"/>
    <cellStyle name="Input 8 10" xfId="2296" xr:uid="{00000000-0005-0000-0000-0000252C0000}"/>
    <cellStyle name="Input 8 10 2" xfId="6408" xr:uid="{00000000-0005-0000-0000-0000262C0000}"/>
    <cellStyle name="Input 8 10 2 2" xfId="22810" xr:uid="{00000000-0005-0000-0000-0000272C0000}"/>
    <cellStyle name="Input 8 10 3" xfId="12636" xr:uid="{00000000-0005-0000-0000-0000282C0000}"/>
    <cellStyle name="Input 8 10 3 2" xfId="27468" xr:uid="{00000000-0005-0000-0000-0000292C0000}"/>
    <cellStyle name="Input 8 10 4" xfId="20462" xr:uid="{00000000-0005-0000-0000-00002A2C0000}"/>
    <cellStyle name="Input 8 11" xfId="5262" xr:uid="{00000000-0005-0000-0000-00002B2C0000}"/>
    <cellStyle name="Input 8 11 2" xfId="15578" xr:uid="{00000000-0005-0000-0000-00002C2C0000}"/>
    <cellStyle name="Input 8 11 2 2" xfId="30410" xr:uid="{00000000-0005-0000-0000-00002D2C0000}"/>
    <cellStyle name="Input 8 11 3" xfId="22119" xr:uid="{00000000-0005-0000-0000-00002E2C0000}"/>
    <cellStyle name="Input 8 12" xfId="5420" xr:uid="{00000000-0005-0000-0000-00002F2C0000}"/>
    <cellStyle name="Input 8 12 2" xfId="15656" xr:uid="{00000000-0005-0000-0000-0000302C0000}"/>
    <cellStyle name="Input 8 12 2 2" xfId="30488" xr:uid="{00000000-0005-0000-0000-0000312C0000}"/>
    <cellStyle name="Input 8 12 3" xfId="22181" xr:uid="{00000000-0005-0000-0000-0000322C0000}"/>
    <cellStyle name="Input 8 13" xfId="9371" xr:uid="{00000000-0005-0000-0000-0000332C0000}"/>
    <cellStyle name="Input 8 13 2" xfId="24677" xr:uid="{00000000-0005-0000-0000-0000342C0000}"/>
    <cellStyle name="Input 8 14" xfId="5360" xr:uid="{00000000-0005-0000-0000-0000352C0000}"/>
    <cellStyle name="Input 8 14 2" xfId="18234" xr:uid="{00000000-0005-0000-0000-0000362C0000}"/>
    <cellStyle name="Input 8 2" xfId="1332" xr:uid="{00000000-0005-0000-0000-0000372C0000}"/>
    <cellStyle name="Input 8 2 2" xfId="1836" xr:uid="{00000000-0005-0000-0000-0000382C0000}"/>
    <cellStyle name="Input 8 2 2 2" xfId="3722" xr:uid="{00000000-0005-0000-0000-0000392C0000}"/>
    <cellStyle name="Input 8 2 2 2 2" xfId="7778" xr:uid="{00000000-0005-0000-0000-00003A2C0000}"/>
    <cellStyle name="Input 8 2 2 2 2 2" xfId="23658" xr:uid="{00000000-0005-0000-0000-00003B2C0000}"/>
    <cellStyle name="Input 8 2 2 2 3" xfId="14057" xr:uid="{00000000-0005-0000-0000-00003C2C0000}"/>
    <cellStyle name="Input 8 2 2 2 3 2" xfId="28889" xr:uid="{00000000-0005-0000-0000-00003D2C0000}"/>
    <cellStyle name="Input 8 2 2 2 4" xfId="21318" xr:uid="{00000000-0005-0000-0000-00003E2C0000}"/>
    <cellStyle name="Input 8 2 2 3" xfId="4814" xr:uid="{00000000-0005-0000-0000-00003F2C0000}"/>
    <cellStyle name="Input 8 2 2 3 2" xfId="8853" xr:uid="{00000000-0005-0000-0000-0000402C0000}"/>
    <cellStyle name="Input 8 2 2 3 2 2" xfId="24351" xr:uid="{00000000-0005-0000-0000-0000412C0000}"/>
    <cellStyle name="Input 8 2 2 3 3" xfId="15138" xr:uid="{00000000-0005-0000-0000-0000422C0000}"/>
    <cellStyle name="Input 8 2 2 3 3 2" xfId="29970" xr:uid="{00000000-0005-0000-0000-0000432C0000}"/>
    <cellStyle name="Input 8 2 2 3 4" xfId="21889" xr:uid="{00000000-0005-0000-0000-0000442C0000}"/>
    <cellStyle name="Input 8 2 2 4" xfId="2804" xr:uid="{00000000-0005-0000-0000-0000452C0000}"/>
    <cellStyle name="Input 8 2 2 4 2" xfId="6895" xr:uid="{00000000-0005-0000-0000-0000462C0000}"/>
    <cellStyle name="Input 8 2 2 4 2 2" xfId="23102" xr:uid="{00000000-0005-0000-0000-0000472C0000}"/>
    <cellStyle name="Input 8 2 2 4 3" xfId="13142" xr:uid="{00000000-0005-0000-0000-0000482C0000}"/>
    <cellStyle name="Input 8 2 2 4 3 2" xfId="27974" xr:uid="{00000000-0005-0000-0000-0000492C0000}"/>
    <cellStyle name="Input 8 2 2 4 4" xfId="20762" xr:uid="{00000000-0005-0000-0000-00004A2C0000}"/>
    <cellStyle name="Input 8 2 2 5" xfId="5968" xr:uid="{00000000-0005-0000-0000-00004B2C0000}"/>
    <cellStyle name="Input 8 2 2 5 2" xfId="16160" xr:uid="{00000000-0005-0000-0000-00004C2C0000}"/>
    <cellStyle name="Input 8 2 2 5 2 2" xfId="30992" xr:uid="{00000000-0005-0000-0000-00004D2C0000}"/>
    <cellStyle name="Input 8 2 2 5 3" xfId="22533" xr:uid="{00000000-0005-0000-0000-00004E2C0000}"/>
    <cellStyle name="Input 8 2 2 6" xfId="12230" xr:uid="{00000000-0005-0000-0000-00004F2C0000}"/>
    <cellStyle name="Input 8 2 2 6 2" xfId="27062" xr:uid="{00000000-0005-0000-0000-0000502C0000}"/>
    <cellStyle name="Input 8 2 2 7" xfId="9826" xr:uid="{00000000-0005-0000-0000-0000512C0000}"/>
    <cellStyle name="Input 8 2 2 7 2" xfId="20077" xr:uid="{00000000-0005-0000-0000-0000522C0000}"/>
    <cellStyle name="Input 8 2 3" xfId="3863" xr:uid="{00000000-0005-0000-0000-0000532C0000}"/>
    <cellStyle name="Input 8 2 3 2" xfId="7915" xr:uid="{00000000-0005-0000-0000-0000542C0000}"/>
    <cellStyle name="Input 8 2 3 2 2" xfId="23748" xr:uid="{00000000-0005-0000-0000-0000552C0000}"/>
    <cellStyle name="Input 8 2 3 3" xfId="14198" xr:uid="{00000000-0005-0000-0000-0000562C0000}"/>
    <cellStyle name="Input 8 2 3 3 2" xfId="29030" xr:uid="{00000000-0005-0000-0000-0000572C0000}"/>
    <cellStyle name="Input 8 2 3 4" xfId="21390" xr:uid="{00000000-0005-0000-0000-0000582C0000}"/>
    <cellStyle name="Input 8 2 4" xfId="4394" xr:uid="{00000000-0005-0000-0000-0000592C0000}"/>
    <cellStyle name="Input 8 2 4 2" xfId="8433" xr:uid="{00000000-0005-0000-0000-00005A2C0000}"/>
    <cellStyle name="Input 8 2 4 2 2" xfId="24091" xr:uid="{00000000-0005-0000-0000-00005B2C0000}"/>
    <cellStyle name="Input 8 2 4 3" xfId="14723" xr:uid="{00000000-0005-0000-0000-00005C2C0000}"/>
    <cellStyle name="Input 8 2 4 3 2" xfId="29555" xr:uid="{00000000-0005-0000-0000-00005D2C0000}"/>
    <cellStyle name="Input 8 2 4 4" xfId="21659" xr:uid="{00000000-0005-0000-0000-00005E2C0000}"/>
    <cellStyle name="Input 8 2 5" xfId="2384" xr:uid="{00000000-0005-0000-0000-00005F2C0000}"/>
    <cellStyle name="Input 8 2 5 2" xfId="6496" xr:uid="{00000000-0005-0000-0000-0000602C0000}"/>
    <cellStyle name="Input 8 2 5 2 2" xfId="22866" xr:uid="{00000000-0005-0000-0000-0000612C0000}"/>
    <cellStyle name="Input 8 2 5 3" xfId="12723" xr:uid="{00000000-0005-0000-0000-0000622C0000}"/>
    <cellStyle name="Input 8 2 5 3 2" xfId="27555" xr:uid="{00000000-0005-0000-0000-0000632C0000}"/>
    <cellStyle name="Input 8 2 5 4" xfId="20508" xr:uid="{00000000-0005-0000-0000-0000642C0000}"/>
    <cellStyle name="Input 8 2 6" xfId="5509" xr:uid="{00000000-0005-0000-0000-0000652C0000}"/>
    <cellStyle name="Input 8 2 6 2" xfId="15744" xr:uid="{00000000-0005-0000-0000-0000662C0000}"/>
    <cellStyle name="Input 8 2 6 2 2" xfId="30576" xr:uid="{00000000-0005-0000-0000-0000672C0000}"/>
    <cellStyle name="Input 8 2 6 3" xfId="22237" xr:uid="{00000000-0005-0000-0000-0000682C0000}"/>
    <cellStyle name="Input 8 2 7" xfId="11759" xr:uid="{00000000-0005-0000-0000-0000692C0000}"/>
    <cellStyle name="Input 8 2 7 2" xfId="26591" xr:uid="{00000000-0005-0000-0000-00006A2C0000}"/>
    <cellStyle name="Input 8 2 8" xfId="9430" xr:uid="{00000000-0005-0000-0000-00006B2C0000}"/>
    <cellStyle name="Input 8 2 8 2" xfId="19734" xr:uid="{00000000-0005-0000-0000-00006C2C0000}"/>
    <cellStyle name="Input 8 3" xfId="1490" xr:uid="{00000000-0005-0000-0000-00006D2C0000}"/>
    <cellStyle name="Input 8 3 2" xfId="1991" xr:uid="{00000000-0005-0000-0000-00006E2C0000}"/>
    <cellStyle name="Input 8 3 2 2" xfId="3670" xr:uid="{00000000-0005-0000-0000-00006F2C0000}"/>
    <cellStyle name="Input 8 3 2 2 2" xfId="7728" xr:uid="{00000000-0005-0000-0000-0000702C0000}"/>
    <cellStyle name="Input 8 3 2 2 2 2" xfId="23624" xr:uid="{00000000-0005-0000-0000-0000712C0000}"/>
    <cellStyle name="Input 8 3 2 2 3" xfId="14005" xr:uid="{00000000-0005-0000-0000-0000722C0000}"/>
    <cellStyle name="Input 8 3 2 2 3 2" xfId="28837" xr:uid="{00000000-0005-0000-0000-0000732C0000}"/>
    <cellStyle name="Input 8 3 2 2 4" xfId="21284" xr:uid="{00000000-0005-0000-0000-0000742C0000}"/>
    <cellStyle name="Input 8 3 2 3" xfId="4955" xr:uid="{00000000-0005-0000-0000-0000752C0000}"/>
    <cellStyle name="Input 8 3 2 3 2" xfId="8994" xr:uid="{00000000-0005-0000-0000-0000762C0000}"/>
    <cellStyle name="Input 8 3 2 3 2 2" xfId="24460" xr:uid="{00000000-0005-0000-0000-0000772C0000}"/>
    <cellStyle name="Input 8 3 2 3 3" xfId="15277" xr:uid="{00000000-0005-0000-0000-0000782C0000}"/>
    <cellStyle name="Input 8 3 2 3 3 2" xfId="30109" xr:uid="{00000000-0005-0000-0000-0000792C0000}"/>
    <cellStyle name="Input 8 3 2 3 4" xfId="21990" xr:uid="{00000000-0005-0000-0000-00007A2C0000}"/>
    <cellStyle name="Input 8 3 2 4" xfId="2945" xr:uid="{00000000-0005-0000-0000-00007B2C0000}"/>
    <cellStyle name="Input 8 3 2 4 2" xfId="7029" xr:uid="{00000000-0005-0000-0000-00007C2C0000}"/>
    <cellStyle name="Input 8 3 2 4 2 2" xfId="23203" xr:uid="{00000000-0005-0000-0000-00007D2C0000}"/>
    <cellStyle name="Input 8 3 2 4 3" xfId="13283" xr:uid="{00000000-0005-0000-0000-00007E2C0000}"/>
    <cellStyle name="Input 8 3 2 4 3 2" xfId="28115" xr:uid="{00000000-0005-0000-0000-00007F2C0000}"/>
    <cellStyle name="Input 8 3 2 4 4" xfId="20871" xr:uid="{00000000-0005-0000-0000-0000802C0000}"/>
    <cellStyle name="Input 8 3 2 5" xfId="6121" xr:uid="{00000000-0005-0000-0000-0000812C0000}"/>
    <cellStyle name="Input 8 3 2 5 2" xfId="16308" xr:uid="{00000000-0005-0000-0000-0000822C0000}"/>
    <cellStyle name="Input 8 3 2 5 2 2" xfId="31140" xr:uid="{00000000-0005-0000-0000-0000832C0000}"/>
    <cellStyle name="Input 8 3 2 5 3" xfId="22654" xr:uid="{00000000-0005-0000-0000-0000842C0000}"/>
    <cellStyle name="Input 8 3 2 6" xfId="12378" xr:uid="{00000000-0005-0000-0000-0000852C0000}"/>
    <cellStyle name="Input 8 3 2 6 2" xfId="27210" xr:uid="{00000000-0005-0000-0000-0000862C0000}"/>
    <cellStyle name="Input 8 3 2 7" xfId="9960" xr:uid="{00000000-0005-0000-0000-0000872C0000}"/>
    <cellStyle name="Input 8 3 2 7 2" xfId="20162" xr:uid="{00000000-0005-0000-0000-0000882C0000}"/>
    <cellStyle name="Input 8 3 3" xfId="3199" xr:uid="{00000000-0005-0000-0000-0000892C0000}"/>
    <cellStyle name="Input 8 3 3 2" xfId="7263" xr:uid="{00000000-0005-0000-0000-00008A2C0000}"/>
    <cellStyle name="Input 8 3 3 2 2" xfId="23314" xr:uid="{00000000-0005-0000-0000-00008B2C0000}"/>
    <cellStyle name="Input 8 3 3 3" xfId="13537" xr:uid="{00000000-0005-0000-0000-00008C2C0000}"/>
    <cellStyle name="Input 8 3 3 3 2" xfId="28369" xr:uid="{00000000-0005-0000-0000-00008D2C0000}"/>
    <cellStyle name="Input 8 3 3 4" xfId="21004" xr:uid="{00000000-0005-0000-0000-00008E2C0000}"/>
    <cellStyle name="Input 8 3 4" xfId="4535" xr:uid="{00000000-0005-0000-0000-00008F2C0000}"/>
    <cellStyle name="Input 8 3 4 2" xfId="8574" xr:uid="{00000000-0005-0000-0000-0000902C0000}"/>
    <cellStyle name="Input 8 3 4 2 2" xfId="24200" xr:uid="{00000000-0005-0000-0000-0000912C0000}"/>
    <cellStyle name="Input 8 3 4 3" xfId="14862" xr:uid="{00000000-0005-0000-0000-0000922C0000}"/>
    <cellStyle name="Input 8 3 4 3 2" xfId="29694" xr:uid="{00000000-0005-0000-0000-0000932C0000}"/>
    <cellStyle name="Input 8 3 4 4" xfId="21760" xr:uid="{00000000-0005-0000-0000-0000942C0000}"/>
    <cellStyle name="Input 8 3 5" xfId="2525" xr:uid="{00000000-0005-0000-0000-0000952C0000}"/>
    <cellStyle name="Input 8 3 5 2" xfId="6631" xr:uid="{00000000-0005-0000-0000-0000962C0000}"/>
    <cellStyle name="Input 8 3 5 2 2" xfId="22969" xr:uid="{00000000-0005-0000-0000-0000972C0000}"/>
    <cellStyle name="Input 8 3 5 3" xfId="12863" xr:uid="{00000000-0005-0000-0000-0000982C0000}"/>
    <cellStyle name="Input 8 3 5 3 2" xfId="27695" xr:uid="{00000000-0005-0000-0000-0000992C0000}"/>
    <cellStyle name="Input 8 3 5 4" xfId="20615" xr:uid="{00000000-0005-0000-0000-00009A2C0000}"/>
    <cellStyle name="Input 8 3 6" xfId="5648" xr:uid="{00000000-0005-0000-0000-00009B2C0000}"/>
    <cellStyle name="Input 8 3 6 2" xfId="15883" xr:uid="{00000000-0005-0000-0000-00009C2C0000}"/>
    <cellStyle name="Input 8 3 6 2 2" xfId="30715" xr:uid="{00000000-0005-0000-0000-00009D2C0000}"/>
    <cellStyle name="Input 8 3 6 3" xfId="22344" xr:uid="{00000000-0005-0000-0000-00009E2C0000}"/>
    <cellStyle name="Input 8 3 7" xfId="11907" xr:uid="{00000000-0005-0000-0000-00009F2C0000}"/>
    <cellStyle name="Input 8 3 7 2" xfId="26739" xr:uid="{00000000-0005-0000-0000-0000A02C0000}"/>
    <cellStyle name="Input 8 3 8" xfId="9565" xr:uid="{00000000-0005-0000-0000-0000A12C0000}"/>
    <cellStyle name="Input 8 3 8 2" xfId="19867" xr:uid="{00000000-0005-0000-0000-0000A22C0000}"/>
    <cellStyle name="Input 8 4" xfId="1393" xr:uid="{00000000-0005-0000-0000-0000A32C0000}"/>
    <cellStyle name="Input 8 4 2" xfId="1895" xr:uid="{00000000-0005-0000-0000-0000A42C0000}"/>
    <cellStyle name="Input 8 4 2 2" xfId="3135" xr:uid="{00000000-0005-0000-0000-0000A52C0000}"/>
    <cellStyle name="Input 8 4 2 2 2" xfId="7199" xr:uid="{00000000-0005-0000-0000-0000A62C0000}"/>
    <cellStyle name="Input 8 4 2 2 2 2" xfId="23271" xr:uid="{00000000-0005-0000-0000-0000A72C0000}"/>
    <cellStyle name="Input 8 4 2 2 3" xfId="13473" xr:uid="{00000000-0005-0000-0000-0000A82C0000}"/>
    <cellStyle name="Input 8 4 2 2 3 2" xfId="28305" xr:uid="{00000000-0005-0000-0000-0000A92C0000}"/>
    <cellStyle name="Input 8 4 2 2 4" xfId="20962" xr:uid="{00000000-0005-0000-0000-0000AA2C0000}"/>
    <cellStyle name="Input 8 4 2 3" xfId="4873" xr:uid="{00000000-0005-0000-0000-0000AB2C0000}"/>
    <cellStyle name="Input 8 4 2 3 2" xfId="8912" xr:uid="{00000000-0005-0000-0000-0000AC2C0000}"/>
    <cellStyle name="Input 8 4 2 3 2 2" xfId="24378" xr:uid="{00000000-0005-0000-0000-0000AD2C0000}"/>
    <cellStyle name="Input 8 4 2 3 3" xfId="15196" xr:uid="{00000000-0005-0000-0000-0000AE2C0000}"/>
    <cellStyle name="Input 8 4 2 3 3 2" xfId="30028" xr:uid="{00000000-0005-0000-0000-0000AF2C0000}"/>
    <cellStyle name="Input 8 4 2 3 4" xfId="21910" xr:uid="{00000000-0005-0000-0000-0000B02C0000}"/>
    <cellStyle name="Input 8 4 2 4" xfId="2863" xr:uid="{00000000-0005-0000-0000-0000B12C0000}"/>
    <cellStyle name="Input 8 4 2 4 2" xfId="6948" xr:uid="{00000000-0005-0000-0000-0000B22C0000}"/>
    <cellStyle name="Input 8 4 2 4 2 2" xfId="23123" xr:uid="{00000000-0005-0000-0000-0000B32C0000}"/>
    <cellStyle name="Input 8 4 2 4 3" xfId="13201" xr:uid="{00000000-0005-0000-0000-0000B42C0000}"/>
    <cellStyle name="Input 8 4 2 4 3 2" xfId="28033" xr:uid="{00000000-0005-0000-0000-0000B52C0000}"/>
    <cellStyle name="Input 8 4 2 4 4" xfId="20789" xr:uid="{00000000-0005-0000-0000-0000B62C0000}"/>
    <cellStyle name="Input 8 4 2 5" xfId="6026" xr:uid="{00000000-0005-0000-0000-0000B72C0000}"/>
    <cellStyle name="Input 8 4 2 5 2" xfId="16213" xr:uid="{00000000-0005-0000-0000-0000B82C0000}"/>
    <cellStyle name="Input 8 4 2 5 2 2" xfId="31045" xr:uid="{00000000-0005-0000-0000-0000B92C0000}"/>
    <cellStyle name="Input 8 4 2 5 3" xfId="22559" xr:uid="{00000000-0005-0000-0000-0000BA2C0000}"/>
    <cellStyle name="Input 8 4 2 6" xfId="12283" xr:uid="{00000000-0005-0000-0000-0000BB2C0000}"/>
    <cellStyle name="Input 8 4 2 6 2" xfId="27115" xr:uid="{00000000-0005-0000-0000-0000BC2C0000}"/>
    <cellStyle name="Input 8 4 2 7" xfId="9879" xr:uid="{00000000-0005-0000-0000-0000BD2C0000}"/>
    <cellStyle name="Input 8 4 2 7 2" xfId="20083" xr:uid="{00000000-0005-0000-0000-0000BE2C0000}"/>
    <cellStyle name="Input 8 4 3" xfId="3682" xr:uid="{00000000-0005-0000-0000-0000BF2C0000}"/>
    <cellStyle name="Input 8 4 3 2" xfId="7740" xr:uid="{00000000-0005-0000-0000-0000C02C0000}"/>
    <cellStyle name="Input 8 4 3 2 2" xfId="23630" xr:uid="{00000000-0005-0000-0000-0000C12C0000}"/>
    <cellStyle name="Input 8 4 3 3" xfId="14017" xr:uid="{00000000-0005-0000-0000-0000C22C0000}"/>
    <cellStyle name="Input 8 4 3 3 2" xfId="28849" xr:uid="{00000000-0005-0000-0000-0000C32C0000}"/>
    <cellStyle name="Input 8 4 3 4" xfId="21290" xr:uid="{00000000-0005-0000-0000-0000C42C0000}"/>
    <cellStyle name="Input 8 4 4" xfId="4453" xr:uid="{00000000-0005-0000-0000-0000C52C0000}"/>
    <cellStyle name="Input 8 4 4 2" xfId="8492" xr:uid="{00000000-0005-0000-0000-0000C62C0000}"/>
    <cellStyle name="Input 8 4 4 2 2" xfId="24118" xr:uid="{00000000-0005-0000-0000-0000C72C0000}"/>
    <cellStyle name="Input 8 4 4 3" xfId="14781" xr:uid="{00000000-0005-0000-0000-0000C82C0000}"/>
    <cellStyle name="Input 8 4 4 3 2" xfId="29613" xr:uid="{00000000-0005-0000-0000-0000C92C0000}"/>
    <cellStyle name="Input 8 4 4 4" xfId="21680" xr:uid="{00000000-0005-0000-0000-0000CA2C0000}"/>
    <cellStyle name="Input 8 4 5" xfId="2443" xr:uid="{00000000-0005-0000-0000-0000CB2C0000}"/>
    <cellStyle name="Input 8 4 5 2" xfId="6549" xr:uid="{00000000-0005-0000-0000-0000CC2C0000}"/>
    <cellStyle name="Input 8 4 5 2 2" xfId="22887" xr:uid="{00000000-0005-0000-0000-0000CD2C0000}"/>
    <cellStyle name="Input 8 4 5 3" xfId="12782" xr:uid="{00000000-0005-0000-0000-0000CE2C0000}"/>
    <cellStyle name="Input 8 4 5 3 2" xfId="27614" xr:uid="{00000000-0005-0000-0000-0000CF2C0000}"/>
    <cellStyle name="Input 8 4 5 4" xfId="20535" xr:uid="{00000000-0005-0000-0000-0000D02C0000}"/>
    <cellStyle name="Input 8 4 6" xfId="5567" xr:uid="{00000000-0005-0000-0000-0000D12C0000}"/>
    <cellStyle name="Input 8 4 6 2" xfId="15802" xr:uid="{00000000-0005-0000-0000-0000D22C0000}"/>
    <cellStyle name="Input 8 4 6 2 2" xfId="30634" xr:uid="{00000000-0005-0000-0000-0000D32C0000}"/>
    <cellStyle name="Input 8 4 6 3" xfId="22263" xr:uid="{00000000-0005-0000-0000-0000D42C0000}"/>
    <cellStyle name="Input 8 4 7" xfId="11812" xr:uid="{00000000-0005-0000-0000-0000D52C0000}"/>
    <cellStyle name="Input 8 4 7 2" xfId="26644" xr:uid="{00000000-0005-0000-0000-0000D62C0000}"/>
    <cellStyle name="Input 8 4 8" xfId="9484" xr:uid="{00000000-0005-0000-0000-0000D72C0000}"/>
    <cellStyle name="Input 8 4 8 2" xfId="19787" xr:uid="{00000000-0005-0000-0000-0000D82C0000}"/>
    <cellStyle name="Input 8 5" xfId="1496" xr:uid="{00000000-0005-0000-0000-0000D92C0000}"/>
    <cellStyle name="Input 8 5 2" xfId="1997" xr:uid="{00000000-0005-0000-0000-0000DA2C0000}"/>
    <cellStyle name="Input 8 5 2 2" xfId="3594" xr:uid="{00000000-0005-0000-0000-0000DB2C0000}"/>
    <cellStyle name="Input 8 5 2 2 2" xfId="7656" xr:uid="{00000000-0005-0000-0000-0000DC2C0000}"/>
    <cellStyle name="Input 8 5 2 2 2 2" xfId="23572" xr:uid="{00000000-0005-0000-0000-0000DD2C0000}"/>
    <cellStyle name="Input 8 5 2 2 3" xfId="13930" xr:uid="{00000000-0005-0000-0000-0000DE2C0000}"/>
    <cellStyle name="Input 8 5 2 2 3 2" xfId="28762" xr:uid="{00000000-0005-0000-0000-0000DF2C0000}"/>
    <cellStyle name="Input 8 5 2 2 4" xfId="21241" xr:uid="{00000000-0005-0000-0000-0000E02C0000}"/>
    <cellStyle name="Input 8 5 2 3" xfId="4961" xr:uid="{00000000-0005-0000-0000-0000E12C0000}"/>
    <cellStyle name="Input 8 5 2 3 2" xfId="9000" xr:uid="{00000000-0005-0000-0000-0000E22C0000}"/>
    <cellStyle name="Input 8 5 2 3 2 2" xfId="24466" xr:uid="{00000000-0005-0000-0000-0000E32C0000}"/>
    <cellStyle name="Input 8 5 2 3 3" xfId="15283" xr:uid="{00000000-0005-0000-0000-0000E42C0000}"/>
    <cellStyle name="Input 8 5 2 3 3 2" xfId="30115" xr:uid="{00000000-0005-0000-0000-0000E52C0000}"/>
    <cellStyle name="Input 8 5 2 3 4" xfId="21996" xr:uid="{00000000-0005-0000-0000-0000E62C0000}"/>
    <cellStyle name="Input 8 5 2 4" xfId="2951" xr:uid="{00000000-0005-0000-0000-0000E72C0000}"/>
    <cellStyle name="Input 8 5 2 4 2" xfId="7035" xr:uid="{00000000-0005-0000-0000-0000E82C0000}"/>
    <cellStyle name="Input 8 5 2 4 2 2" xfId="23209" xr:uid="{00000000-0005-0000-0000-0000E92C0000}"/>
    <cellStyle name="Input 8 5 2 4 3" xfId="13289" xr:uid="{00000000-0005-0000-0000-0000EA2C0000}"/>
    <cellStyle name="Input 8 5 2 4 3 2" xfId="28121" xr:uid="{00000000-0005-0000-0000-0000EB2C0000}"/>
    <cellStyle name="Input 8 5 2 4 4" xfId="20877" xr:uid="{00000000-0005-0000-0000-0000EC2C0000}"/>
    <cellStyle name="Input 8 5 2 5" xfId="6127" xr:uid="{00000000-0005-0000-0000-0000ED2C0000}"/>
    <cellStyle name="Input 8 5 2 5 2" xfId="16314" xr:uid="{00000000-0005-0000-0000-0000EE2C0000}"/>
    <cellStyle name="Input 8 5 2 5 2 2" xfId="31146" xr:uid="{00000000-0005-0000-0000-0000EF2C0000}"/>
    <cellStyle name="Input 8 5 2 5 3" xfId="22660" xr:uid="{00000000-0005-0000-0000-0000F02C0000}"/>
    <cellStyle name="Input 8 5 2 6" xfId="12384" xr:uid="{00000000-0005-0000-0000-0000F12C0000}"/>
    <cellStyle name="Input 8 5 2 6 2" xfId="27216" xr:uid="{00000000-0005-0000-0000-0000F22C0000}"/>
    <cellStyle name="Input 8 5 2 7" xfId="9966" xr:uid="{00000000-0005-0000-0000-0000F32C0000}"/>
    <cellStyle name="Input 8 5 2 7 2" xfId="20168" xr:uid="{00000000-0005-0000-0000-0000F42C0000}"/>
    <cellStyle name="Input 8 5 3" xfId="3280" xr:uid="{00000000-0005-0000-0000-0000F52C0000}"/>
    <cellStyle name="Input 8 5 3 2" xfId="7344" xr:uid="{00000000-0005-0000-0000-0000F62C0000}"/>
    <cellStyle name="Input 8 5 3 2 2" xfId="23373" xr:uid="{00000000-0005-0000-0000-0000F72C0000}"/>
    <cellStyle name="Input 8 5 3 3" xfId="13617" xr:uid="{00000000-0005-0000-0000-0000F82C0000}"/>
    <cellStyle name="Input 8 5 3 3 2" xfId="28449" xr:uid="{00000000-0005-0000-0000-0000F92C0000}"/>
    <cellStyle name="Input 8 5 3 4" xfId="21060" xr:uid="{00000000-0005-0000-0000-0000FA2C0000}"/>
    <cellStyle name="Input 8 5 4" xfId="4541" xr:uid="{00000000-0005-0000-0000-0000FB2C0000}"/>
    <cellStyle name="Input 8 5 4 2" xfId="8580" xr:uid="{00000000-0005-0000-0000-0000FC2C0000}"/>
    <cellStyle name="Input 8 5 4 2 2" xfId="24206" xr:uid="{00000000-0005-0000-0000-0000FD2C0000}"/>
    <cellStyle name="Input 8 5 4 3" xfId="14868" xr:uid="{00000000-0005-0000-0000-0000FE2C0000}"/>
    <cellStyle name="Input 8 5 4 3 2" xfId="29700" xr:uid="{00000000-0005-0000-0000-0000FF2C0000}"/>
    <cellStyle name="Input 8 5 4 4" xfId="21766" xr:uid="{00000000-0005-0000-0000-0000002D0000}"/>
    <cellStyle name="Input 8 5 5" xfId="2531" xr:uid="{00000000-0005-0000-0000-0000012D0000}"/>
    <cellStyle name="Input 8 5 5 2" xfId="6637" xr:uid="{00000000-0005-0000-0000-0000022D0000}"/>
    <cellStyle name="Input 8 5 5 2 2" xfId="22975" xr:uid="{00000000-0005-0000-0000-0000032D0000}"/>
    <cellStyle name="Input 8 5 5 3" xfId="12869" xr:uid="{00000000-0005-0000-0000-0000042D0000}"/>
    <cellStyle name="Input 8 5 5 3 2" xfId="27701" xr:uid="{00000000-0005-0000-0000-0000052D0000}"/>
    <cellStyle name="Input 8 5 5 4" xfId="20621" xr:uid="{00000000-0005-0000-0000-0000062D0000}"/>
    <cellStyle name="Input 8 5 6" xfId="5654" xr:uid="{00000000-0005-0000-0000-0000072D0000}"/>
    <cellStyle name="Input 8 5 6 2" xfId="15889" xr:uid="{00000000-0005-0000-0000-0000082D0000}"/>
    <cellStyle name="Input 8 5 6 2 2" xfId="30721" xr:uid="{00000000-0005-0000-0000-0000092D0000}"/>
    <cellStyle name="Input 8 5 6 3" xfId="22350" xr:uid="{00000000-0005-0000-0000-00000A2D0000}"/>
    <cellStyle name="Input 8 5 7" xfId="11913" xr:uid="{00000000-0005-0000-0000-00000B2D0000}"/>
    <cellStyle name="Input 8 5 7 2" xfId="26745" xr:uid="{00000000-0005-0000-0000-00000C2D0000}"/>
    <cellStyle name="Input 8 5 8" xfId="9571" xr:uid="{00000000-0005-0000-0000-00000D2D0000}"/>
    <cellStyle name="Input 8 5 8 2" xfId="19873" xr:uid="{00000000-0005-0000-0000-00000E2D0000}"/>
    <cellStyle name="Input 8 6" xfId="1758" xr:uid="{00000000-0005-0000-0000-00000F2D0000}"/>
    <cellStyle name="Input 8 6 2" xfId="3835" xr:uid="{00000000-0005-0000-0000-0000102D0000}"/>
    <cellStyle name="Input 8 6 2 2" xfId="7888" xr:uid="{00000000-0005-0000-0000-0000112D0000}"/>
    <cellStyle name="Input 8 6 2 2 2" xfId="23728" xr:uid="{00000000-0005-0000-0000-0000122D0000}"/>
    <cellStyle name="Input 8 6 2 3" xfId="14170" xr:uid="{00000000-0005-0000-0000-0000132D0000}"/>
    <cellStyle name="Input 8 6 2 3 2" xfId="29002" xr:uid="{00000000-0005-0000-0000-0000142D0000}"/>
    <cellStyle name="Input 8 6 2 4" xfId="21376" xr:uid="{00000000-0005-0000-0000-0000152D0000}"/>
    <cellStyle name="Input 8 6 3" xfId="4736" xr:uid="{00000000-0005-0000-0000-0000162D0000}"/>
    <cellStyle name="Input 8 6 3 2" xfId="8775" xr:uid="{00000000-0005-0000-0000-0000172D0000}"/>
    <cellStyle name="Input 8 6 3 2 2" xfId="24305" xr:uid="{00000000-0005-0000-0000-0000182D0000}"/>
    <cellStyle name="Input 8 6 3 3" xfId="15060" xr:uid="{00000000-0005-0000-0000-0000192D0000}"/>
    <cellStyle name="Input 8 6 3 3 2" xfId="29892" xr:uid="{00000000-0005-0000-0000-00001A2D0000}"/>
    <cellStyle name="Input 8 6 3 4" xfId="21843" xr:uid="{00000000-0005-0000-0000-00001B2D0000}"/>
    <cellStyle name="Input 8 6 4" xfId="2726" xr:uid="{00000000-0005-0000-0000-00001C2D0000}"/>
    <cellStyle name="Input 8 6 4 2" xfId="6817" xr:uid="{00000000-0005-0000-0000-00001D2D0000}"/>
    <cellStyle name="Input 8 6 4 2 2" xfId="23056" xr:uid="{00000000-0005-0000-0000-00001E2D0000}"/>
    <cellStyle name="Input 8 6 4 3" xfId="13064" xr:uid="{00000000-0005-0000-0000-00001F2D0000}"/>
    <cellStyle name="Input 8 6 4 3 2" xfId="27896" xr:uid="{00000000-0005-0000-0000-0000202D0000}"/>
    <cellStyle name="Input 8 6 4 4" xfId="20716" xr:uid="{00000000-0005-0000-0000-0000212D0000}"/>
    <cellStyle name="Input 8 6 5" xfId="5890" xr:uid="{00000000-0005-0000-0000-0000222D0000}"/>
    <cellStyle name="Input 8 6 5 2" xfId="16082" xr:uid="{00000000-0005-0000-0000-0000232D0000}"/>
    <cellStyle name="Input 8 6 5 2 2" xfId="30914" xr:uid="{00000000-0005-0000-0000-0000242D0000}"/>
    <cellStyle name="Input 8 6 5 3" xfId="22487" xr:uid="{00000000-0005-0000-0000-0000252D0000}"/>
    <cellStyle name="Input 8 6 6" xfId="12152" xr:uid="{00000000-0005-0000-0000-0000262D0000}"/>
    <cellStyle name="Input 8 6 6 2" xfId="26984" xr:uid="{00000000-0005-0000-0000-0000272D0000}"/>
    <cellStyle name="Input 8 6 7" xfId="9748" xr:uid="{00000000-0005-0000-0000-0000282D0000}"/>
    <cellStyle name="Input 8 6 7 2" xfId="20046" xr:uid="{00000000-0005-0000-0000-0000292D0000}"/>
    <cellStyle name="Input 8 7" xfId="2208" xr:uid="{00000000-0005-0000-0000-00002A2D0000}"/>
    <cellStyle name="Input 8 7 2" xfId="3961" xr:uid="{00000000-0005-0000-0000-00002B2D0000}"/>
    <cellStyle name="Input 8 7 2 2" xfId="8011" xr:uid="{00000000-0005-0000-0000-00002C2D0000}"/>
    <cellStyle name="Input 8 7 2 2 2" xfId="23805" xr:uid="{00000000-0005-0000-0000-00002D2D0000}"/>
    <cellStyle name="Input 8 7 2 3" xfId="14294" xr:uid="{00000000-0005-0000-0000-00002E2D0000}"/>
    <cellStyle name="Input 8 7 2 3 2" xfId="29126" xr:uid="{00000000-0005-0000-0000-00002F2D0000}"/>
    <cellStyle name="Input 8 7 2 4" xfId="21447" xr:uid="{00000000-0005-0000-0000-0000302D0000}"/>
    <cellStyle name="Input 8 7 3" xfId="5176" xr:uid="{00000000-0005-0000-0000-0000312D0000}"/>
    <cellStyle name="Input 8 7 3 2" xfId="9215" xr:uid="{00000000-0005-0000-0000-0000322D0000}"/>
    <cellStyle name="Input 8 7 3 2 2" xfId="24553" xr:uid="{00000000-0005-0000-0000-0000332D0000}"/>
    <cellStyle name="Input 8 7 3 3" xfId="15494" xr:uid="{00000000-0005-0000-0000-0000342D0000}"/>
    <cellStyle name="Input 8 7 3 3 2" xfId="30326" xr:uid="{00000000-0005-0000-0000-0000352D0000}"/>
    <cellStyle name="Input 8 7 3 4" xfId="22060" xr:uid="{00000000-0005-0000-0000-0000362D0000}"/>
    <cellStyle name="Input 8 7 4" xfId="4206" xr:uid="{00000000-0005-0000-0000-0000372D0000}"/>
    <cellStyle name="Input 8 7 4 2" xfId="8247" xr:uid="{00000000-0005-0000-0000-0000382D0000}"/>
    <cellStyle name="Input 8 7 4 2 2" xfId="23942" xr:uid="{00000000-0005-0000-0000-0000392D0000}"/>
    <cellStyle name="Input 8 7 4 3" xfId="14538" xr:uid="{00000000-0005-0000-0000-00003A2D0000}"/>
    <cellStyle name="Input 8 7 4 3 2" xfId="29370" xr:uid="{00000000-0005-0000-0000-00003B2D0000}"/>
    <cellStyle name="Input 8 7 4 4" xfId="21567" xr:uid="{00000000-0005-0000-0000-00003C2D0000}"/>
    <cellStyle name="Input 8 7 5" xfId="6322" xr:uid="{00000000-0005-0000-0000-00003D2D0000}"/>
    <cellStyle name="Input 8 7 5 2" xfId="22724" xr:uid="{00000000-0005-0000-0000-00003E2D0000}"/>
    <cellStyle name="Input 8 7 6" xfId="12576" xr:uid="{00000000-0005-0000-0000-00003F2D0000}"/>
    <cellStyle name="Input 8 7 6 2" xfId="27408" xr:uid="{00000000-0005-0000-0000-0000402D0000}"/>
    <cellStyle name="Input 8 7 7" xfId="20403" xr:uid="{00000000-0005-0000-0000-0000412D0000}"/>
    <cellStyle name="Input 8 8" xfId="3127" xr:uid="{00000000-0005-0000-0000-0000422D0000}"/>
    <cellStyle name="Input 8 8 2" xfId="7191" xr:uid="{00000000-0005-0000-0000-0000432D0000}"/>
    <cellStyle name="Input 8 8 2 2" xfId="23264" xr:uid="{00000000-0005-0000-0000-0000442D0000}"/>
    <cellStyle name="Input 8 8 3" xfId="13465" xr:uid="{00000000-0005-0000-0000-0000452D0000}"/>
    <cellStyle name="Input 8 8 3 2" xfId="28297" xr:uid="{00000000-0005-0000-0000-0000462D0000}"/>
    <cellStyle name="Input 8 8 4" xfId="20955" xr:uid="{00000000-0005-0000-0000-0000472D0000}"/>
    <cellStyle name="Input 8 9" xfId="3610" xr:uid="{00000000-0005-0000-0000-0000482D0000}"/>
    <cellStyle name="Input 8 9 2" xfId="7671" xr:uid="{00000000-0005-0000-0000-0000492D0000}"/>
    <cellStyle name="Input 8 9 2 2" xfId="23581" xr:uid="{00000000-0005-0000-0000-00004A2D0000}"/>
    <cellStyle name="Input 8 9 3" xfId="13946" xr:uid="{00000000-0005-0000-0000-00004B2D0000}"/>
    <cellStyle name="Input 8 9 3 2" xfId="28778" xr:uid="{00000000-0005-0000-0000-00004C2D0000}"/>
    <cellStyle name="Input 8 9 4" xfId="21250" xr:uid="{00000000-0005-0000-0000-00004D2D0000}"/>
    <cellStyle name="Input 9" xfId="1126" xr:uid="{00000000-0005-0000-0000-00004E2D0000}"/>
    <cellStyle name="Input 9 10" xfId="2297" xr:uid="{00000000-0005-0000-0000-00004F2D0000}"/>
    <cellStyle name="Input 9 10 2" xfId="6409" xr:uid="{00000000-0005-0000-0000-0000502D0000}"/>
    <cellStyle name="Input 9 10 2 2" xfId="22811" xr:uid="{00000000-0005-0000-0000-0000512D0000}"/>
    <cellStyle name="Input 9 10 3" xfId="12637" xr:uid="{00000000-0005-0000-0000-0000522D0000}"/>
    <cellStyle name="Input 9 10 3 2" xfId="27469" xr:uid="{00000000-0005-0000-0000-0000532D0000}"/>
    <cellStyle name="Input 9 10 4" xfId="20463" xr:uid="{00000000-0005-0000-0000-0000542D0000}"/>
    <cellStyle name="Input 9 11" xfId="5263" xr:uid="{00000000-0005-0000-0000-0000552D0000}"/>
    <cellStyle name="Input 9 11 2" xfId="15579" xr:uid="{00000000-0005-0000-0000-0000562D0000}"/>
    <cellStyle name="Input 9 11 2 2" xfId="30411" xr:uid="{00000000-0005-0000-0000-0000572D0000}"/>
    <cellStyle name="Input 9 11 3" xfId="22120" xr:uid="{00000000-0005-0000-0000-0000582D0000}"/>
    <cellStyle name="Input 9 12" xfId="5421" xr:uid="{00000000-0005-0000-0000-0000592D0000}"/>
    <cellStyle name="Input 9 12 2" xfId="15657" xr:uid="{00000000-0005-0000-0000-00005A2D0000}"/>
    <cellStyle name="Input 9 12 2 2" xfId="30489" xr:uid="{00000000-0005-0000-0000-00005B2D0000}"/>
    <cellStyle name="Input 9 12 3" xfId="22182" xr:uid="{00000000-0005-0000-0000-00005C2D0000}"/>
    <cellStyle name="Input 9 13" xfId="9370" xr:uid="{00000000-0005-0000-0000-00005D2D0000}"/>
    <cellStyle name="Input 9 13 2" xfId="24676" xr:uid="{00000000-0005-0000-0000-00005E2D0000}"/>
    <cellStyle name="Input 9 14" xfId="5359" xr:uid="{00000000-0005-0000-0000-00005F2D0000}"/>
    <cellStyle name="Input 9 14 2" xfId="18233" xr:uid="{00000000-0005-0000-0000-0000602D0000}"/>
    <cellStyle name="Input 9 2" xfId="1333" xr:uid="{00000000-0005-0000-0000-0000612D0000}"/>
    <cellStyle name="Input 9 2 2" xfId="1837" xr:uid="{00000000-0005-0000-0000-0000622D0000}"/>
    <cellStyle name="Input 9 2 2 2" xfId="3834" xr:uid="{00000000-0005-0000-0000-0000632D0000}"/>
    <cellStyle name="Input 9 2 2 2 2" xfId="7887" xr:uid="{00000000-0005-0000-0000-0000642D0000}"/>
    <cellStyle name="Input 9 2 2 2 2 2" xfId="23727" xr:uid="{00000000-0005-0000-0000-0000652D0000}"/>
    <cellStyle name="Input 9 2 2 2 3" xfId="14169" xr:uid="{00000000-0005-0000-0000-0000662D0000}"/>
    <cellStyle name="Input 9 2 2 2 3 2" xfId="29001" xr:uid="{00000000-0005-0000-0000-0000672D0000}"/>
    <cellStyle name="Input 9 2 2 2 4" xfId="21375" xr:uid="{00000000-0005-0000-0000-0000682D0000}"/>
    <cellStyle name="Input 9 2 2 3" xfId="4815" xr:uid="{00000000-0005-0000-0000-0000692D0000}"/>
    <cellStyle name="Input 9 2 2 3 2" xfId="8854" xr:uid="{00000000-0005-0000-0000-00006A2D0000}"/>
    <cellStyle name="Input 9 2 2 3 2 2" xfId="24352" xr:uid="{00000000-0005-0000-0000-00006B2D0000}"/>
    <cellStyle name="Input 9 2 2 3 3" xfId="15139" xr:uid="{00000000-0005-0000-0000-00006C2D0000}"/>
    <cellStyle name="Input 9 2 2 3 3 2" xfId="29971" xr:uid="{00000000-0005-0000-0000-00006D2D0000}"/>
    <cellStyle name="Input 9 2 2 3 4" xfId="21890" xr:uid="{00000000-0005-0000-0000-00006E2D0000}"/>
    <cellStyle name="Input 9 2 2 4" xfId="2805" xr:uid="{00000000-0005-0000-0000-00006F2D0000}"/>
    <cellStyle name="Input 9 2 2 4 2" xfId="6896" xr:uid="{00000000-0005-0000-0000-0000702D0000}"/>
    <cellStyle name="Input 9 2 2 4 2 2" xfId="23103" xr:uid="{00000000-0005-0000-0000-0000712D0000}"/>
    <cellStyle name="Input 9 2 2 4 3" xfId="13143" xr:uid="{00000000-0005-0000-0000-0000722D0000}"/>
    <cellStyle name="Input 9 2 2 4 3 2" xfId="27975" xr:uid="{00000000-0005-0000-0000-0000732D0000}"/>
    <cellStyle name="Input 9 2 2 4 4" xfId="20763" xr:uid="{00000000-0005-0000-0000-0000742D0000}"/>
    <cellStyle name="Input 9 2 2 5" xfId="5969" xr:uid="{00000000-0005-0000-0000-0000752D0000}"/>
    <cellStyle name="Input 9 2 2 5 2" xfId="16161" xr:uid="{00000000-0005-0000-0000-0000762D0000}"/>
    <cellStyle name="Input 9 2 2 5 2 2" xfId="30993" xr:uid="{00000000-0005-0000-0000-0000772D0000}"/>
    <cellStyle name="Input 9 2 2 5 3" xfId="22534" xr:uid="{00000000-0005-0000-0000-0000782D0000}"/>
    <cellStyle name="Input 9 2 2 6" xfId="12231" xr:uid="{00000000-0005-0000-0000-0000792D0000}"/>
    <cellStyle name="Input 9 2 2 6 2" xfId="27063" xr:uid="{00000000-0005-0000-0000-00007A2D0000}"/>
    <cellStyle name="Input 9 2 2 7" xfId="9827" xr:uid="{00000000-0005-0000-0000-00007B2D0000}"/>
    <cellStyle name="Input 9 2 2 7 2" xfId="20078" xr:uid="{00000000-0005-0000-0000-00007C2D0000}"/>
    <cellStyle name="Input 9 2 3" xfId="4043" xr:uid="{00000000-0005-0000-0000-00007D2D0000}"/>
    <cellStyle name="Input 9 2 3 2" xfId="8090" xr:uid="{00000000-0005-0000-0000-00007E2D0000}"/>
    <cellStyle name="Input 9 2 3 2 2" xfId="23855" xr:uid="{00000000-0005-0000-0000-00007F2D0000}"/>
    <cellStyle name="Input 9 2 3 3" xfId="14375" xr:uid="{00000000-0005-0000-0000-0000802D0000}"/>
    <cellStyle name="Input 9 2 3 3 2" xfId="29207" xr:uid="{00000000-0005-0000-0000-0000812D0000}"/>
    <cellStyle name="Input 9 2 3 4" xfId="21489" xr:uid="{00000000-0005-0000-0000-0000822D0000}"/>
    <cellStyle name="Input 9 2 4" xfId="4395" xr:uid="{00000000-0005-0000-0000-0000832D0000}"/>
    <cellStyle name="Input 9 2 4 2" xfId="8434" xr:uid="{00000000-0005-0000-0000-0000842D0000}"/>
    <cellStyle name="Input 9 2 4 2 2" xfId="24092" xr:uid="{00000000-0005-0000-0000-0000852D0000}"/>
    <cellStyle name="Input 9 2 4 3" xfId="14724" xr:uid="{00000000-0005-0000-0000-0000862D0000}"/>
    <cellStyle name="Input 9 2 4 3 2" xfId="29556" xr:uid="{00000000-0005-0000-0000-0000872D0000}"/>
    <cellStyle name="Input 9 2 4 4" xfId="21660" xr:uid="{00000000-0005-0000-0000-0000882D0000}"/>
    <cellStyle name="Input 9 2 5" xfId="2385" xr:uid="{00000000-0005-0000-0000-0000892D0000}"/>
    <cellStyle name="Input 9 2 5 2" xfId="6497" xr:uid="{00000000-0005-0000-0000-00008A2D0000}"/>
    <cellStyle name="Input 9 2 5 2 2" xfId="22867" xr:uid="{00000000-0005-0000-0000-00008B2D0000}"/>
    <cellStyle name="Input 9 2 5 3" xfId="12724" xr:uid="{00000000-0005-0000-0000-00008C2D0000}"/>
    <cellStyle name="Input 9 2 5 3 2" xfId="27556" xr:uid="{00000000-0005-0000-0000-00008D2D0000}"/>
    <cellStyle name="Input 9 2 5 4" xfId="20509" xr:uid="{00000000-0005-0000-0000-00008E2D0000}"/>
    <cellStyle name="Input 9 2 6" xfId="5510" xr:uid="{00000000-0005-0000-0000-00008F2D0000}"/>
    <cellStyle name="Input 9 2 6 2" xfId="15745" xr:uid="{00000000-0005-0000-0000-0000902D0000}"/>
    <cellStyle name="Input 9 2 6 2 2" xfId="30577" xr:uid="{00000000-0005-0000-0000-0000912D0000}"/>
    <cellStyle name="Input 9 2 6 3" xfId="22238" xr:uid="{00000000-0005-0000-0000-0000922D0000}"/>
    <cellStyle name="Input 9 2 7" xfId="11760" xr:uid="{00000000-0005-0000-0000-0000932D0000}"/>
    <cellStyle name="Input 9 2 7 2" xfId="26592" xr:uid="{00000000-0005-0000-0000-0000942D0000}"/>
    <cellStyle name="Input 9 2 8" xfId="9431" xr:uid="{00000000-0005-0000-0000-0000952D0000}"/>
    <cellStyle name="Input 9 2 8 2" xfId="19735" xr:uid="{00000000-0005-0000-0000-0000962D0000}"/>
    <cellStyle name="Input 9 3" xfId="1491" xr:uid="{00000000-0005-0000-0000-0000972D0000}"/>
    <cellStyle name="Input 9 3 2" xfId="1992" xr:uid="{00000000-0005-0000-0000-0000982D0000}"/>
    <cellStyle name="Input 9 3 2 2" xfId="3711" xr:uid="{00000000-0005-0000-0000-0000992D0000}"/>
    <cellStyle name="Input 9 3 2 2 2" xfId="7767" xr:uid="{00000000-0005-0000-0000-00009A2D0000}"/>
    <cellStyle name="Input 9 3 2 2 2 2" xfId="23649" xr:uid="{00000000-0005-0000-0000-00009B2D0000}"/>
    <cellStyle name="Input 9 3 2 2 3" xfId="14046" xr:uid="{00000000-0005-0000-0000-00009C2D0000}"/>
    <cellStyle name="Input 9 3 2 2 3 2" xfId="28878" xr:uid="{00000000-0005-0000-0000-00009D2D0000}"/>
    <cellStyle name="Input 9 3 2 2 4" xfId="21309" xr:uid="{00000000-0005-0000-0000-00009E2D0000}"/>
    <cellStyle name="Input 9 3 2 3" xfId="4956" xr:uid="{00000000-0005-0000-0000-00009F2D0000}"/>
    <cellStyle name="Input 9 3 2 3 2" xfId="8995" xr:uid="{00000000-0005-0000-0000-0000A02D0000}"/>
    <cellStyle name="Input 9 3 2 3 2 2" xfId="24461" xr:uid="{00000000-0005-0000-0000-0000A12D0000}"/>
    <cellStyle name="Input 9 3 2 3 3" xfId="15278" xr:uid="{00000000-0005-0000-0000-0000A22D0000}"/>
    <cellStyle name="Input 9 3 2 3 3 2" xfId="30110" xr:uid="{00000000-0005-0000-0000-0000A32D0000}"/>
    <cellStyle name="Input 9 3 2 3 4" xfId="21991" xr:uid="{00000000-0005-0000-0000-0000A42D0000}"/>
    <cellStyle name="Input 9 3 2 4" xfId="2946" xr:uid="{00000000-0005-0000-0000-0000A52D0000}"/>
    <cellStyle name="Input 9 3 2 4 2" xfId="7030" xr:uid="{00000000-0005-0000-0000-0000A62D0000}"/>
    <cellStyle name="Input 9 3 2 4 2 2" xfId="23204" xr:uid="{00000000-0005-0000-0000-0000A72D0000}"/>
    <cellStyle name="Input 9 3 2 4 3" xfId="13284" xr:uid="{00000000-0005-0000-0000-0000A82D0000}"/>
    <cellStyle name="Input 9 3 2 4 3 2" xfId="28116" xr:uid="{00000000-0005-0000-0000-0000A92D0000}"/>
    <cellStyle name="Input 9 3 2 4 4" xfId="20872" xr:uid="{00000000-0005-0000-0000-0000AA2D0000}"/>
    <cellStyle name="Input 9 3 2 5" xfId="6122" xr:uid="{00000000-0005-0000-0000-0000AB2D0000}"/>
    <cellStyle name="Input 9 3 2 5 2" xfId="16309" xr:uid="{00000000-0005-0000-0000-0000AC2D0000}"/>
    <cellStyle name="Input 9 3 2 5 2 2" xfId="31141" xr:uid="{00000000-0005-0000-0000-0000AD2D0000}"/>
    <cellStyle name="Input 9 3 2 5 3" xfId="22655" xr:uid="{00000000-0005-0000-0000-0000AE2D0000}"/>
    <cellStyle name="Input 9 3 2 6" xfId="12379" xr:uid="{00000000-0005-0000-0000-0000AF2D0000}"/>
    <cellStyle name="Input 9 3 2 6 2" xfId="27211" xr:uid="{00000000-0005-0000-0000-0000B02D0000}"/>
    <cellStyle name="Input 9 3 2 7" xfId="9961" xr:uid="{00000000-0005-0000-0000-0000B12D0000}"/>
    <cellStyle name="Input 9 3 2 7 2" xfId="20163" xr:uid="{00000000-0005-0000-0000-0000B22D0000}"/>
    <cellStyle name="Input 9 3 3" xfId="3322" xr:uid="{00000000-0005-0000-0000-0000B32D0000}"/>
    <cellStyle name="Input 9 3 3 2" xfId="7385" xr:uid="{00000000-0005-0000-0000-0000B42D0000}"/>
    <cellStyle name="Input 9 3 3 2 2" xfId="23398" xr:uid="{00000000-0005-0000-0000-0000B52D0000}"/>
    <cellStyle name="Input 9 3 3 3" xfId="13659" xr:uid="{00000000-0005-0000-0000-0000B62D0000}"/>
    <cellStyle name="Input 9 3 3 3 2" xfId="28491" xr:uid="{00000000-0005-0000-0000-0000B72D0000}"/>
    <cellStyle name="Input 9 3 3 4" xfId="21086" xr:uid="{00000000-0005-0000-0000-0000B82D0000}"/>
    <cellStyle name="Input 9 3 4" xfId="4536" xr:uid="{00000000-0005-0000-0000-0000B92D0000}"/>
    <cellStyle name="Input 9 3 4 2" xfId="8575" xr:uid="{00000000-0005-0000-0000-0000BA2D0000}"/>
    <cellStyle name="Input 9 3 4 2 2" xfId="24201" xr:uid="{00000000-0005-0000-0000-0000BB2D0000}"/>
    <cellStyle name="Input 9 3 4 3" xfId="14863" xr:uid="{00000000-0005-0000-0000-0000BC2D0000}"/>
    <cellStyle name="Input 9 3 4 3 2" xfId="29695" xr:uid="{00000000-0005-0000-0000-0000BD2D0000}"/>
    <cellStyle name="Input 9 3 4 4" xfId="21761" xr:uid="{00000000-0005-0000-0000-0000BE2D0000}"/>
    <cellStyle name="Input 9 3 5" xfId="2526" xr:uid="{00000000-0005-0000-0000-0000BF2D0000}"/>
    <cellStyle name="Input 9 3 5 2" xfId="6632" xr:uid="{00000000-0005-0000-0000-0000C02D0000}"/>
    <cellStyle name="Input 9 3 5 2 2" xfId="22970" xr:uid="{00000000-0005-0000-0000-0000C12D0000}"/>
    <cellStyle name="Input 9 3 5 3" xfId="12864" xr:uid="{00000000-0005-0000-0000-0000C22D0000}"/>
    <cellStyle name="Input 9 3 5 3 2" xfId="27696" xr:uid="{00000000-0005-0000-0000-0000C32D0000}"/>
    <cellStyle name="Input 9 3 5 4" xfId="20616" xr:uid="{00000000-0005-0000-0000-0000C42D0000}"/>
    <cellStyle name="Input 9 3 6" xfId="5649" xr:uid="{00000000-0005-0000-0000-0000C52D0000}"/>
    <cellStyle name="Input 9 3 6 2" xfId="15884" xr:uid="{00000000-0005-0000-0000-0000C62D0000}"/>
    <cellStyle name="Input 9 3 6 2 2" xfId="30716" xr:uid="{00000000-0005-0000-0000-0000C72D0000}"/>
    <cellStyle name="Input 9 3 6 3" xfId="22345" xr:uid="{00000000-0005-0000-0000-0000C82D0000}"/>
    <cellStyle name="Input 9 3 7" xfId="11908" xr:uid="{00000000-0005-0000-0000-0000C92D0000}"/>
    <cellStyle name="Input 9 3 7 2" xfId="26740" xr:uid="{00000000-0005-0000-0000-0000CA2D0000}"/>
    <cellStyle name="Input 9 3 8" xfId="9566" xr:uid="{00000000-0005-0000-0000-0000CB2D0000}"/>
    <cellStyle name="Input 9 3 8 2" xfId="19868" xr:uid="{00000000-0005-0000-0000-0000CC2D0000}"/>
    <cellStyle name="Input 9 4" xfId="1392" xr:uid="{00000000-0005-0000-0000-0000CD2D0000}"/>
    <cellStyle name="Input 9 4 2" xfId="1894" xr:uid="{00000000-0005-0000-0000-0000CE2D0000}"/>
    <cellStyle name="Input 9 4 2 2" xfId="4341" xr:uid="{00000000-0005-0000-0000-0000CF2D0000}"/>
    <cellStyle name="Input 9 4 2 2 2" xfId="8380" xr:uid="{00000000-0005-0000-0000-0000D02D0000}"/>
    <cellStyle name="Input 9 4 2 2 2 2" xfId="24038" xr:uid="{00000000-0005-0000-0000-0000D12D0000}"/>
    <cellStyle name="Input 9 4 2 2 3" xfId="14672" xr:uid="{00000000-0005-0000-0000-0000D22D0000}"/>
    <cellStyle name="Input 9 4 2 2 3 2" xfId="29504" xr:uid="{00000000-0005-0000-0000-0000D32D0000}"/>
    <cellStyle name="Input 9 4 2 2 4" xfId="21633" xr:uid="{00000000-0005-0000-0000-0000D42D0000}"/>
    <cellStyle name="Input 9 4 2 3" xfId="4872" xr:uid="{00000000-0005-0000-0000-0000D52D0000}"/>
    <cellStyle name="Input 9 4 2 3 2" xfId="8911" xr:uid="{00000000-0005-0000-0000-0000D62D0000}"/>
    <cellStyle name="Input 9 4 2 3 2 2" xfId="24377" xr:uid="{00000000-0005-0000-0000-0000D72D0000}"/>
    <cellStyle name="Input 9 4 2 3 3" xfId="15195" xr:uid="{00000000-0005-0000-0000-0000D82D0000}"/>
    <cellStyle name="Input 9 4 2 3 3 2" xfId="30027" xr:uid="{00000000-0005-0000-0000-0000D92D0000}"/>
    <cellStyle name="Input 9 4 2 3 4" xfId="21909" xr:uid="{00000000-0005-0000-0000-0000DA2D0000}"/>
    <cellStyle name="Input 9 4 2 4" xfId="2862" xr:uid="{00000000-0005-0000-0000-0000DB2D0000}"/>
    <cellStyle name="Input 9 4 2 4 2" xfId="6947" xr:uid="{00000000-0005-0000-0000-0000DC2D0000}"/>
    <cellStyle name="Input 9 4 2 4 2 2" xfId="23122" xr:uid="{00000000-0005-0000-0000-0000DD2D0000}"/>
    <cellStyle name="Input 9 4 2 4 3" xfId="13200" xr:uid="{00000000-0005-0000-0000-0000DE2D0000}"/>
    <cellStyle name="Input 9 4 2 4 3 2" xfId="28032" xr:uid="{00000000-0005-0000-0000-0000DF2D0000}"/>
    <cellStyle name="Input 9 4 2 4 4" xfId="20788" xr:uid="{00000000-0005-0000-0000-0000E02D0000}"/>
    <cellStyle name="Input 9 4 2 5" xfId="6025" xr:uid="{00000000-0005-0000-0000-0000E12D0000}"/>
    <cellStyle name="Input 9 4 2 5 2" xfId="16212" xr:uid="{00000000-0005-0000-0000-0000E22D0000}"/>
    <cellStyle name="Input 9 4 2 5 2 2" xfId="31044" xr:uid="{00000000-0005-0000-0000-0000E32D0000}"/>
    <cellStyle name="Input 9 4 2 5 3" xfId="22558" xr:uid="{00000000-0005-0000-0000-0000E42D0000}"/>
    <cellStyle name="Input 9 4 2 6" xfId="12282" xr:uid="{00000000-0005-0000-0000-0000E52D0000}"/>
    <cellStyle name="Input 9 4 2 6 2" xfId="27114" xr:uid="{00000000-0005-0000-0000-0000E62D0000}"/>
    <cellStyle name="Input 9 4 2 7" xfId="9878" xr:uid="{00000000-0005-0000-0000-0000E72D0000}"/>
    <cellStyle name="Input 9 4 2 7 2" xfId="20082" xr:uid="{00000000-0005-0000-0000-0000E82D0000}"/>
    <cellStyle name="Input 9 4 3" xfId="3750" xr:uid="{00000000-0005-0000-0000-0000E92D0000}"/>
    <cellStyle name="Input 9 4 3 2" xfId="7806" xr:uid="{00000000-0005-0000-0000-0000EA2D0000}"/>
    <cellStyle name="Input 9 4 3 2 2" xfId="23676" xr:uid="{00000000-0005-0000-0000-0000EB2D0000}"/>
    <cellStyle name="Input 9 4 3 3" xfId="14085" xr:uid="{00000000-0005-0000-0000-0000EC2D0000}"/>
    <cellStyle name="Input 9 4 3 3 2" xfId="28917" xr:uid="{00000000-0005-0000-0000-0000ED2D0000}"/>
    <cellStyle name="Input 9 4 3 4" xfId="21332" xr:uid="{00000000-0005-0000-0000-0000EE2D0000}"/>
    <cellStyle name="Input 9 4 4" xfId="4452" xr:uid="{00000000-0005-0000-0000-0000EF2D0000}"/>
    <cellStyle name="Input 9 4 4 2" xfId="8491" xr:uid="{00000000-0005-0000-0000-0000F02D0000}"/>
    <cellStyle name="Input 9 4 4 2 2" xfId="24117" xr:uid="{00000000-0005-0000-0000-0000F12D0000}"/>
    <cellStyle name="Input 9 4 4 3" xfId="14780" xr:uid="{00000000-0005-0000-0000-0000F22D0000}"/>
    <cellStyle name="Input 9 4 4 3 2" xfId="29612" xr:uid="{00000000-0005-0000-0000-0000F32D0000}"/>
    <cellStyle name="Input 9 4 4 4" xfId="21679" xr:uid="{00000000-0005-0000-0000-0000F42D0000}"/>
    <cellStyle name="Input 9 4 5" xfId="2442" xr:uid="{00000000-0005-0000-0000-0000F52D0000}"/>
    <cellStyle name="Input 9 4 5 2" xfId="6548" xr:uid="{00000000-0005-0000-0000-0000F62D0000}"/>
    <cellStyle name="Input 9 4 5 2 2" xfId="22886" xr:uid="{00000000-0005-0000-0000-0000F72D0000}"/>
    <cellStyle name="Input 9 4 5 3" xfId="12781" xr:uid="{00000000-0005-0000-0000-0000F82D0000}"/>
    <cellStyle name="Input 9 4 5 3 2" xfId="27613" xr:uid="{00000000-0005-0000-0000-0000F92D0000}"/>
    <cellStyle name="Input 9 4 5 4" xfId="20534" xr:uid="{00000000-0005-0000-0000-0000FA2D0000}"/>
    <cellStyle name="Input 9 4 6" xfId="5566" xr:uid="{00000000-0005-0000-0000-0000FB2D0000}"/>
    <cellStyle name="Input 9 4 6 2" xfId="15801" xr:uid="{00000000-0005-0000-0000-0000FC2D0000}"/>
    <cellStyle name="Input 9 4 6 2 2" xfId="30633" xr:uid="{00000000-0005-0000-0000-0000FD2D0000}"/>
    <cellStyle name="Input 9 4 6 3" xfId="22262" xr:uid="{00000000-0005-0000-0000-0000FE2D0000}"/>
    <cellStyle name="Input 9 4 7" xfId="11811" xr:uid="{00000000-0005-0000-0000-0000FF2D0000}"/>
    <cellStyle name="Input 9 4 7 2" xfId="26643" xr:uid="{00000000-0005-0000-0000-0000002E0000}"/>
    <cellStyle name="Input 9 4 8" xfId="9483" xr:uid="{00000000-0005-0000-0000-0000012E0000}"/>
    <cellStyle name="Input 9 4 8 2" xfId="19786" xr:uid="{00000000-0005-0000-0000-0000022E0000}"/>
    <cellStyle name="Input 9 5" xfId="1497" xr:uid="{00000000-0005-0000-0000-0000032E0000}"/>
    <cellStyle name="Input 9 5 2" xfId="1998" xr:uid="{00000000-0005-0000-0000-0000042E0000}"/>
    <cellStyle name="Input 9 5 2 2" xfId="3526" xr:uid="{00000000-0005-0000-0000-0000052E0000}"/>
    <cellStyle name="Input 9 5 2 2 2" xfId="7588" xr:uid="{00000000-0005-0000-0000-0000062E0000}"/>
    <cellStyle name="Input 9 5 2 2 2 2" xfId="23536" xr:uid="{00000000-0005-0000-0000-0000072E0000}"/>
    <cellStyle name="Input 9 5 2 2 3" xfId="13863" xr:uid="{00000000-0005-0000-0000-0000082E0000}"/>
    <cellStyle name="Input 9 5 2 2 3 2" xfId="28695" xr:uid="{00000000-0005-0000-0000-0000092E0000}"/>
    <cellStyle name="Input 9 5 2 2 4" xfId="21211" xr:uid="{00000000-0005-0000-0000-00000A2E0000}"/>
    <cellStyle name="Input 9 5 2 3" xfId="4962" xr:uid="{00000000-0005-0000-0000-00000B2E0000}"/>
    <cellStyle name="Input 9 5 2 3 2" xfId="9001" xr:uid="{00000000-0005-0000-0000-00000C2E0000}"/>
    <cellStyle name="Input 9 5 2 3 2 2" xfId="24467" xr:uid="{00000000-0005-0000-0000-00000D2E0000}"/>
    <cellStyle name="Input 9 5 2 3 3" xfId="15284" xr:uid="{00000000-0005-0000-0000-00000E2E0000}"/>
    <cellStyle name="Input 9 5 2 3 3 2" xfId="30116" xr:uid="{00000000-0005-0000-0000-00000F2E0000}"/>
    <cellStyle name="Input 9 5 2 3 4" xfId="21997" xr:uid="{00000000-0005-0000-0000-0000102E0000}"/>
    <cellStyle name="Input 9 5 2 4" xfId="2952" xr:uid="{00000000-0005-0000-0000-0000112E0000}"/>
    <cellStyle name="Input 9 5 2 4 2" xfId="7036" xr:uid="{00000000-0005-0000-0000-0000122E0000}"/>
    <cellStyle name="Input 9 5 2 4 2 2" xfId="23210" xr:uid="{00000000-0005-0000-0000-0000132E0000}"/>
    <cellStyle name="Input 9 5 2 4 3" xfId="13290" xr:uid="{00000000-0005-0000-0000-0000142E0000}"/>
    <cellStyle name="Input 9 5 2 4 3 2" xfId="28122" xr:uid="{00000000-0005-0000-0000-0000152E0000}"/>
    <cellStyle name="Input 9 5 2 4 4" xfId="20878" xr:uid="{00000000-0005-0000-0000-0000162E0000}"/>
    <cellStyle name="Input 9 5 2 5" xfId="6128" xr:uid="{00000000-0005-0000-0000-0000172E0000}"/>
    <cellStyle name="Input 9 5 2 5 2" xfId="16315" xr:uid="{00000000-0005-0000-0000-0000182E0000}"/>
    <cellStyle name="Input 9 5 2 5 2 2" xfId="31147" xr:uid="{00000000-0005-0000-0000-0000192E0000}"/>
    <cellStyle name="Input 9 5 2 5 3" xfId="22661" xr:uid="{00000000-0005-0000-0000-00001A2E0000}"/>
    <cellStyle name="Input 9 5 2 6" xfId="12385" xr:uid="{00000000-0005-0000-0000-00001B2E0000}"/>
    <cellStyle name="Input 9 5 2 6 2" xfId="27217" xr:uid="{00000000-0005-0000-0000-00001C2E0000}"/>
    <cellStyle name="Input 9 5 2 7" xfId="9967" xr:uid="{00000000-0005-0000-0000-00001D2E0000}"/>
    <cellStyle name="Input 9 5 2 7 2" xfId="20169" xr:uid="{00000000-0005-0000-0000-00001E2E0000}"/>
    <cellStyle name="Input 9 5 3" xfId="3172" xr:uid="{00000000-0005-0000-0000-00001F2E0000}"/>
    <cellStyle name="Input 9 5 3 2" xfId="7236" xr:uid="{00000000-0005-0000-0000-0000202E0000}"/>
    <cellStyle name="Input 9 5 3 2 2" xfId="23296" xr:uid="{00000000-0005-0000-0000-0000212E0000}"/>
    <cellStyle name="Input 9 5 3 3" xfId="13510" xr:uid="{00000000-0005-0000-0000-0000222E0000}"/>
    <cellStyle name="Input 9 5 3 3 2" xfId="28342" xr:uid="{00000000-0005-0000-0000-0000232E0000}"/>
    <cellStyle name="Input 9 5 3 4" xfId="20986" xr:uid="{00000000-0005-0000-0000-0000242E0000}"/>
    <cellStyle name="Input 9 5 4" xfId="4542" xr:uid="{00000000-0005-0000-0000-0000252E0000}"/>
    <cellStyle name="Input 9 5 4 2" xfId="8581" xr:uid="{00000000-0005-0000-0000-0000262E0000}"/>
    <cellStyle name="Input 9 5 4 2 2" xfId="24207" xr:uid="{00000000-0005-0000-0000-0000272E0000}"/>
    <cellStyle name="Input 9 5 4 3" xfId="14869" xr:uid="{00000000-0005-0000-0000-0000282E0000}"/>
    <cellStyle name="Input 9 5 4 3 2" xfId="29701" xr:uid="{00000000-0005-0000-0000-0000292E0000}"/>
    <cellStyle name="Input 9 5 4 4" xfId="21767" xr:uid="{00000000-0005-0000-0000-00002A2E0000}"/>
    <cellStyle name="Input 9 5 5" xfId="2532" xr:uid="{00000000-0005-0000-0000-00002B2E0000}"/>
    <cellStyle name="Input 9 5 5 2" xfId="6638" xr:uid="{00000000-0005-0000-0000-00002C2E0000}"/>
    <cellStyle name="Input 9 5 5 2 2" xfId="22976" xr:uid="{00000000-0005-0000-0000-00002D2E0000}"/>
    <cellStyle name="Input 9 5 5 3" xfId="12870" xr:uid="{00000000-0005-0000-0000-00002E2E0000}"/>
    <cellStyle name="Input 9 5 5 3 2" xfId="27702" xr:uid="{00000000-0005-0000-0000-00002F2E0000}"/>
    <cellStyle name="Input 9 5 5 4" xfId="20622" xr:uid="{00000000-0005-0000-0000-0000302E0000}"/>
    <cellStyle name="Input 9 5 6" xfId="5655" xr:uid="{00000000-0005-0000-0000-0000312E0000}"/>
    <cellStyle name="Input 9 5 6 2" xfId="15890" xr:uid="{00000000-0005-0000-0000-0000322E0000}"/>
    <cellStyle name="Input 9 5 6 2 2" xfId="30722" xr:uid="{00000000-0005-0000-0000-0000332E0000}"/>
    <cellStyle name="Input 9 5 6 3" xfId="22351" xr:uid="{00000000-0005-0000-0000-0000342E0000}"/>
    <cellStyle name="Input 9 5 7" xfId="11914" xr:uid="{00000000-0005-0000-0000-0000352E0000}"/>
    <cellStyle name="Input 9 5 7 2" xfId="26746" xr:uid="{00000000-0005-0000-0000-0000362E0000}"/>
    <cellStyle name="Input 9 5 8" xfId="9572" xr:uid="{00000000-0005-0000-0000-0000372E0000}"/>
    <cellStyle name="Input 9 5 8 2" xfId="19874" xr:uid="{00000000-0005-0000-0000-0000382E0000}"/>
    <cellStyle name="Input 9 6" xfId="1759" xr:uid="{00000000-0005-0000-0000-0000392E0000}"/>
    <cellStyle name="Input 9 6 2" xfId="3973" xr:uid="{00000000-0005-0000-0000-00003A2E0000}"/>
    <cellStyle name="Input 9 6 2 2" xfId="8022" xr:uid="{00000000-0005-0000-0000-00003B2E0000}"/>
    <cellStyle name="Input 9 6 2 2 2" xfId="23814" xr:uid="{00000000-0005-0000-0000-00003C2E0000}"/>
    <cellStyle name="Input 9 6 2 3" xfId="14306" xr:uid="{00000000-0005-0000-0000-00003D2E0000}"/>
    <cellStyle name="Input 9 6 2 3 2" xfId="29138" xr:uid="{00000000-0005-0000-0000-00003E2E0000}"/>
    <cellStyle name="Input 9 6 2 4" xfId="21452" xr:uid="{00000000-0005-0000-0000-00003F2E0000}"/>
    <cellStyle name="Input 9 6 3" xfId="4737" xr:uid="{00000000-0005-0000-0000-0000402E0000}"/>
    <cellStyle name="Input 9 6 3 2" xfId="8776" xr:uid="{00000000-0005-0000-0000-0000412E0000}"/>
    <cellStyle name="Input 9 6 3 2 2" xfId="24306" xr:uid="{00000000-0005-0000-0000-0000422E0000}"/>
    <cellStyle name="Input 9 6 3 3" xfId="15061" xr:uid="{00000000-0005-0000-0000-0000432E0000}"/>
    <cellStyle name="Input 9 6 3 3 2" xfId="29893" xr:uid="{00000000-0005-0000-0000-0000442E0000}"/>
    <cellStyle name="Input 9 6 3 4" xfId="21844" xr:uid="{00000000-0005-0000-0000-0000452E0000}"/>
    <cellStyle name="Input 9 6 4" xfId="2727" xr:uid="{00000000-0005-0000-0000-0000462E0000}"/>
    <cellStyle name="Input 9 6 4 2" xfId="6818" xr:uid="{00000000-0005-0000-0000-0000472E0000}"/>
    <cellStyle name="Input 9 6 4 2 2" xfId="23057" xr:uid="{00000000-0005-0000-0000-0000482E0000}"/>
    <cellStyle name="Input 9 6 4 3" xfId="13065" xr:uid="{00000000-0005-0000-0000-0000492E0000}"/>
    <cellStyle name="Input 9 6 4 3 2" xfId="27897" xr:uid="{00000000-0005-0000-0000-00004A2E0000}"/>
    <cellStyle name="Input 9 6 4 4" xfId="20717" xr:uid="{00000000-0005-0000-0000-00004B2E0000}"/>
    <cellStyle name="Input 9 6 5" xfId="5891" xr:uid="{00000000-0005-0000-0000-00004C2E0000}"/>
    <cellStyle name="Input 9 6 5 2" xfId="16083" xr:uid="{00000000-0005-0000-0000-00004D2E0000}"/>
    <cellStyle name="Input 9 6 5 2 2" xfId="30915" xr:uid="{00000000-0005-0000-0000-00004E2E0000}"/>
    <cellStyle name="Input 9 6 5 3" xfId="22488" xr:uid="{00000000-0005-0000-0000-00004F2E0000}"/>
    <cellStyle name="Input 9 6 6" xfId="12153" xr:uid="{00000000-0005-0000-0000-0000502E0000}"/>
    <cellStyle name="Input 9 6 6 2" xfId="26985" xr:uid="{00000000-0005-0000-0000-0000512E0000}"/>
    <cellStyle name="Input 9 6 7" xfId="9749" xr:uid="{00000000-0005-0000-0000-0000522E0000}"/>
    <cellStyle name="Input 9 6 7 2" xfId="20047" xr:uid="{00000000-0005-0000-0000-0000532E0000}"/>
    <cellStyle name="Input 9 7" xfId="2207" xr:uid="{00000000-0005-0000-0000-0000542E0000}"/>
    <cellStyle name="Input 9 7 2" xfId="3937" xr:uid="{00000000-0005-0000-0000-0000552E0000}"/>
    <cellStyle name="Input 9 7 2 2" xfId="7987" xr:uid="{00000000-0005-0000-0000-0000562E0000}"/>
    <cellStyle name="Input 9 7 2 2 2" xfId="23788" xr:uid="{00000000-0005-0000-0000-0000572E0000}"/>
    <cellStyle name="Input 9 7 2 3" xfId="14270" xr:uid="{00000000-0005-0000-0000-0000582E0000}"/>
    <cellStyle name="Input 9 7 2 3 2" xfId="29102" xr:uid="{00000000-0005-0000-0000-0000592E0000}"/>
    <cellStyle name="Input 9 7 2 4" xfId="21430" xr:uid="{00000000-0005-0000-0000-00005A2E0000}"/>
    <cellStyle name="Input 9 7 3" xfId="5175" xr:uid="{00000000-0005-0000-0000-00005B2E0000}"/>
    <cellStyle name="Input 9 7 3 2" xfId="9214" xr:uid="{00000000-0005-0000-0000-00005C2E0000}"/>
    <cellStyle name="Input 9 7 3 2 2" xfId="24552" xr:uid="{00000000-0005-0000-0000-00005D2E0000}"/>
    <cellStyle name="Input 9 7 3 3" xfId="15493" xr:uid="{00000000-0005-0000-0000-00005E2E0000}"/>
    <cellStyle name="Input 9 7 3 3 2" xfId="30325" xr:uid="{00000000-0005-0000-0000-00005F2E0000}"/>
    <cellStyle name="Input 9 7 3 4" xfId="22059" xr:uid="{00000000-0005-0000-0000-0000602E0000}"/>
    <cellStyle name="Input 9 7 4" xfId="4205" xr:uid="{00000000-0005-0000-0000-0000612E0000}"/>
    <cellStyle name="Input 9 7 4 2" xfId="8246" xr:uid="{00000000-0005-0000-0000-0000622E0000}"/>
    <cellStyle name="Input 9 7 4 2 2" xfId="23941" xr:uid="{00000000-0005-0000-0000-0000632E0000}"/>
    <cellStyle name="Input 9 7 4 3" xfId="14537" xr:uid="{00000000-0005-0000-0000-0000642E0000}"/>
    <cellStyle name="Input 9 7 4 3 2" xfId="29369" xr:uid="{00000000-0005-0000-0000-0000652E0000}"/>
    <cellStyle name="Input 9 7 4 4" xfId="21566" xr:uid="{00000000-0005-0000-0000-0000662E0000}"/>
    <cellStyle name="Input 9 7 5" xfId="6321" xr:uid="{00000000-0005-0000-0000-0000672E0000}"/>
    <cellStyle name="Input 9 7 5 2" xfId="22723" xr:uid="{00000000-0005-0000-0000-0000682E0000}"/>
    <cellStyle name="Input 9 7 6" xfId="12575" xr:uid="{00000000-0005-0000-0000-0000692E0000}"/>
    <cellStyle name="Input 9 7 6 2" xfId="27407" xr:uid="{00000000-0005-0000-0000-00006A2E0000}"/>
    <cellStyle name="Input 9 7 7" xfId="20402" xr:uid="{00000000-0005-0000-0000-00006B2E0000}"/>
    <cellStyle name="Input 9 8" xfId="3144" xr:uid="{00000000-0005-0000-0000-00006C2E0000}"/>
    <cellStyle name="Input 9 8 2" xfId="7208" xr:uid="{00000000-0005-0000-0000-00006D2E0000}"/>
    <cellStyle name="Input 9 8 2 2" xfId="23277" xr:uid="{00000000-0005-0000-0000-00006E2E0000}"/>
    <cellStyle name="Input 9 8 3" xfId="13482" xr:uid="{00000000-0005-0000-0000-00006F2E0000}"/>
    <cellStyle name="Input 9 8 3 2" xfId="28314" xr:uid="{00000000-0005-0000-0000-0000702E0000}"/>
    <cellStyle name="Input 9 8 4" xfId="20968" xr:uid="{00000000-0005-0000-0000-0000712E0000}"/>
    <cellStyle name="Input 9 9" xfId="3299" xr:uid="{00000000-0005-0000-0000-0000722E0000}"/>
    <cellStyle name="Input 9 9 2" xfId="7363" xr:uid="{00000000-0005-0000-0000-0000732E0000}"/>
    <cellStyle name="Input 9 9 2 2" xfId="23386" xr:uid="{00000000-0005-0000-0000-0000742E0000}"/>
    <cellStyle name="Input 9 9 3" xfId="13636" xr:uid="{00000000-0005-0000-0000-0000752E0000}"/>
    <cellStyle name="Input 9 9 3 2" xfId="28468" xr:uid="{00000000-0005-0000-0000-0000762E0000}"/>
    <cellStyle name="Input 9 9 4" xfId="21073" xr:uid="{00000000-0005-0000-0000-0000772E0000}"/>
    <cellStyle name="Linked Cell 10" xfId="1127" xr:uid="{00000000-0005-0000-0000-0000782E0000}"/>
    <cellStyle name="Linked Cell 2" xfId="1128" xr:uid="{00000000-0005-0000-0000-0000792E0000}"/>
    <cellStyle name="Linked Cell 2 2" xfId="1129" xr:uid="{00000000-0005-0000-0000-00007A2E0000}"/>
    <cellStyle name="Linked Cell 2 3" xfId="1130" xr:uid="{00000000-0005-0000-0000-00007B2E0000}"/>
    <cellStyle name="Linked Cell 2 4" xfId="1131" xr:uid="{00000000-0005-0000-0000-00007C2E0000}"/>
    <cellStyle name="Linked Cell 2 5" xfId="1132" xr:uid="{00000000-0005-0000-0000-00007D2E0000}"/>
    <cellStyle name="Linked Cell 2 6" xfId="1133" xr:uid="{00000000-0005-0000-0000-00007E2E0000}"/>
    <cellStyle name="Linked Cell 2 7" xfId="1134" xr:uid="{00000000-0005-0000-0000-00007F2E0000}"/>
    <cellStyle name="Linked Cell 2 8" xfId="1135" xr:uid="{00000000-0005-0000-0000-0000802E0000}"/>
    <cellStyle name="Linked Cell 3" xfId="1136" xr:uid="{00000000-0005-0000-0000-0000812E0000}"/>
    <cellStyle name="Linked Cell 4" xfId="1137" xr:uid="{00000000-0005-0000-0000-0000822E0000}"/>
    <cellStyle name="Linked Cell 5" xfId="1138" xr:uid="{00000000-0005-0000-0000-0000832E0000}"/>
    <cellStyle name="Linked Cell 6" xfId="1139" xr:uid="{00000000-0005-0000-0000-0000842E0000}"/>
    <cellStyle name="Linked Cell 7" xfId="1140" xr:uid="{00000000-0005-0000-0000-0000852E0000}"/>
    <cellStyle name="Linked Cell 8" xfId="1141" xr:uid="{00000000-0005-0000-0000-0000862E0000}"/>
    <cellStyle name="Linked Cell 9" xfId="1142" xr:uid="{00000000-0005-0000-0000-0000872E0000}"/>
    <cellStyle name="Neutral 2" xfId="1144" xr:uid="{00000000-0005-0000-0000-0000882E0000}"/>
    <cellStyle name="Neutral 2 2" xfId="1145" xr:uid="{00000000-0005-0000-0000-0000892E0000}"/>
    <cellStyle name="Neutral 2 3" xfId="1146" xr:uid="{00000000-0005-0000-0000-00008A2E0000}"/>
    <cellStyle name="Neutral 2 4" xfId="1147" xr:uid="{00000000-0005-0000-0000-00008B2E0000}"/>
    <cellStyle name="Neutral 2 5" xfId="1148" xr:uid="{00000000-0005-0000-0000-00008C2E0000}"/>
    <cellStyle name="Neutral 2 6" xfId="1149" xr:uid="{00000000-0005-0000-0000-00008D2E0000}"/>
    <cellStyle name="Neutral 2 7" xfId="1150" xr:uid="{00000000-0005-0000-0000-00008E2E0000}"/>
    <cellStyle name="Neutral 2 8" xfId="1151" xr:uid="{00000000-0005-0000-0000-00008F2E0000}"/>
    <cellStyle name="Neutral 3" xfId="1152" xr:uid="{00000000-0005-0000-0000-0000902E0000}"/>
    <cellStyle name="Neutral 4" xfId="1153" xr:uid="{00000000-0005-0000-0000-0000912E0000}"/>
    <cellStyle name="Neutral 5" xfId="1154" xr:uid="{00000000-0005-0000-0000-0000922E0000}"/>
    <cellStyle name="Neutral 6" xfId="1155" xr:uid="{00000000-0005-0000-0000-0000932E0000}"/>
    <cellStyle name="Neutral 7" xfId="1156" xr:uid="{00000000-0005-0000-0000-0000942E0000}"/>
    <cellStyle name="Neutral 8" xfId="1157" xr:uid="{00000000-0005-0000-0000-0000952E0000}"/>
    <cellStyle name="Neutral 9" xfId="1143" xr:uid="{00000000-0005-0000-0000-0000962E0000}"/>
    <cellStyle name="Normal" xfId="0" builtinId="0"/>
    <cellStyle name="Normal 10" xfId="1158" xr:uid="{00000000-0005-0000-0000-0000982E0000}"/>
    <cellStyle name="Normal 11" xfId="1159" xr:uid="{00000000-0005-0000-0000-0000992E0000}"/>
    <cellStyle name="Normal 12" xfId="1160" xr:uid="{00000000-0005-0000-0000-00009A2E0000}"/>
    <cellStyle name="Normal 13" xfId="1161" xr:uid="{00000000-0005-0000-0000-00009B2E0000}"/>
    <cellStyle name="Normal 14" xfId="1162" xr:uid="{00000000-0005-0000-0000-00009C2E0000}"/>
    <cellStyle name="Normal 15" xfId="1163" xr:uid="{00000000-0005-0000-0000-00009D2E0000}"/>
    <cellStyle name="Normal 16" xfId="1164" xr:uid="{00000000-0005-0000-0000-00009E2E0000}"/>
    <cellStyle name="Normal 17" xfId="1165" xr:uid="{00000000-0005-0000-0000-00009F2E0000}"/>
    <cellStyle name="Normal 18" xfId="1166" xr:uid="{00000000-0005-0000-0000-0000A02E0000}"/>
    <cellStyle name="Normal 19" xfId="1167" xr:uid="{00000000-0005-0000-0000-0000A12E0000}"/>
    <cellStyle name="Normal 2" xfId="2" xr:uid="{00000000-0005-0000-0000-0000A22E0000}"/>
    <cellStyle name="Normal 2 2" xfId="1168" xr:uid="{00000000-0005-0000-0000-0000A32E0000}"/>
    <cellStyle name="Normal 20" xfId="1169" xr:uid="{00000000-0005-0000-0000-0000A42E0000}"/>
    <cellStyle name="Normal 21" xfId="1170" xr:uid="{00000000-0005-0000-0000-0000A52E0000}"/>
    <cellStyle name="Normal 22" xfId="1171" xr:uid="{00000000-0005-0000-0000-0000A62E0000}"/>
    <cellStyle name="Normal 23" xfId="1172" xr:uid="{00000000-0005-0000-0000-0000A72E0000}"/>
    <cellStyle name="Normal 24" xfId="8" xr:uid="{00000000-0005-0000-0000-0000A82E0000}"/>
    <cellStyle name="Normal 25" xfId="33018" xr:uid="{00000000-0005-0000-0000-0000A92E0000}"/>
    <cellStyle name="Normal 26" xfId="33020" xr:uid="{00000000-0005-0000-0000-0000AA2E0000}"/>
    <cellStyle name="Normal 26 2" xfId="33023" xr:uid="{00000000-0005-0000-0000-0000AB2E0000}"/>
    <cellStyle name="Normal 3" xfId="1173" xr:uid="{00000000-0005-0000-0000-0000AC2E0000}"/>
    <cellStyle name="Normal 3 2" xfId="1682" xr:uid="{00000000-0005-0000-0000-0000AD2E0000}"/>
    <cellStyle name="Normal 4" xfId="1174" xr:uid="{00000000-0005-0000-0000-0000AE2E0000}"/>
    <cellStyle name="Normal 4 2" xfId="1175" xr:uid="{00000000-0005-0000-0000-0000AF2E0000}"/>
    <cellStyle name="Normal 4 2 2" xfId="1176" xr:uid="{00000000-0005-0000-0000-0000B02E0000}"/>
    <cellStyle name="Normal 4 2 2 2" xfId="1177" xr:uid="{00000000-0005-0000-0000-0000B12E0000}"/>
    <cellStyle name="Normal 4 2 3" xfId="1178" xr:uid="{00000000-0005-0000-0000-0000B22E0000}"/>
    <cellStyle name="Normal 4 2 3 2" xfId="1179" xr:uid="{00000000-0005-0000-0000-0000B32E0000}"/>
    <cellStyle name="Normal 4 2 4" xfId="1180" xr:uid="{00000000-0005-0000-0000-0000B42E0000}"/>
    <cellStyle name="Normal 4 2 4 2" xfId="1181" xr:uid="{00000000-0005-0000-0000-0000B52E0000}"/>
    <cellStyle name="Normal 4 2 5" xfId="1182" xr:uid="{00000000-0005-0000-0000-0000B62E0000}"/>
    <cellStyle name="Normal 4 2 5 2" xfId="1183" xr:uid="{00000000-0005-0000-0000-0000B72E0000}"/>
    <cellStyle name="Normal 4 2 6" xfId="1184" xr:uid="{00000000-0005-0000-0000-0000B82E0000}"/>
    <cellStyle name="Normal 4 2 6 2" xfId="1185" xr:uid="{00000000-0005-0000-0000-0000B92E0000}"/>
    <cellStyle name="Normal 4 2 7" xfId="1186" xr:uid="{00000000-0005-0000-0000-0000BA2E0000}"/>
    <cellStyle name="Normal 4 2 7 2" xfId="1187" xr:uid="{00000000-0005-0000-0000-0000BB2E0000}"/>
    <cellStyle name="Normal 4 2 8" xfId="1188" xr:uid="{00000000-0005-0000-0000-0000BC2E0000}"/>
    <cellStyle name="Normal 4 2 8 2" xfId="1189" xr:uid="{00000000-0005-0000-0000-0000BD2E0000}"/>
    <cellStyle name="Normal 4 2_GREET1_Import" xfId="1190" xr:uid="{00000000-0005-0000-0000-0000BE2E0000}"/>
    <cellStyle name="Normal 4 3" xfId="1191" xr:uid="{00000000-0005-0000-0000-0000BF2E0000}"/>
    <cellStyle name="Normal 4 4" xfId="1192" xr:uid="{00000000-0005-0000-0000-0000C02E0000}"/>
    <cellStyle name="Normal 4 5" xfId="1193" xr:uid="{00000000-0005-0000-0000-0000C12E0000}"/>
    <cellStyle name="Normal 4 6" xfId="1194" xr:uid="{00000000-0005-0000-0000-0000C22E0000}"/>
    <cellStyle name="Normal 4 7" xfId="1195" xr:uid="{00000000-0005-0000-0000-0000C32E0000}"/>
    <cellStyle name="Normal 4 8" xfId="1196" xr:uid="{00000000-0005-0000-0000-0000C42E0000}"/>
    <cellStyle name="Normal 4 9" xfId="1197" xr:uid="{00000000-0005-0000-0000-0000C52E0000}"/>
    <cellStyle name="Normal 4_GREET2_8d_0" xfId="1198" xr:uid="{00000000-0005-0000-0000-0000C62E0000}"/>
    <cellStyle name="Normal 5" xfId="1199" xr:uid="{00000000-0005-0000-0000-0000C72E0000}"/>
    <cellStyle name="Normal 5 2" xfId="1200" xr:uid="{00000000-0005-0000-0000-0000C82E0000}"/>
    <cellStyle name="Normal 5 3" xfId="1201" xr:uid="{00000000-0005-0000-0000-0000C92E0000}"/>
    <cellStyle name="Normal 5 4" xfId="1202" xr:uid="{00000000-0005-0000-0000-0000CA2E0000}"/>
    <cellStyle name="Normal 5 5" xfId="1203" xr:uid="{00000000-0005-0000-0000-0000CB2E0000}"/>
    <cellStyle name="Normal 5 6" xfId="1204" xr:uid="{00000000-0005-0000-0000-0000CC2E0000}"/>
    <cellStyle name="Normal 5 7" xfId="1205" xr:uid="{00000000-0005-0000-0000-0000CD2E0000}"/>
    <cellStyle name="Normal 5 8" xfId="1206" xr:uid="{00000000-0005-0000-0000-0000CE2E0000}"/>
    <cellStyle name="Normal 6" xfId="1207" xr:uid="{00000000-0005-0000-0000-0000CF2E0000}"/>
    <cellStyle name="Normal 7" xfId="1208" xr:uid="{00000000-0005-0000-0000-0000D02E0000}"/>
    <cellStyle name="Normal 8" xfId="1209" xr:uid="{00000000-0005-0000-0000-0000D12E0000}"/>
    <cellStyle name="Normal 9" xfId="1210" xr:uid="{00000000-0005-0000-0000-0000D22E0000}"/>
    <cellStyle name="Normal GHG Numbers (0.00)" xfId="1211" xr:uid="{00000000-0005-0000-0000-0000D32E0000}"/>
    <cellStyle name="Normal GHG Numbers (0.00) 2" xfId="1299" xr:uid="{00000000-0005-0000-0000-0000D42E0000}"/>
    <cellStyle name="Normal GHG Numbers (0.00) 2 10" xfId="1689" xr:uid="{00000000-0005-0000-0000-0000D52E0000}"/>
    <cellStyle name="Normal GHG Numbers (0.00) 2 10 2" xfId="5821" xr:uid="{00000000-0005-0000-0000-0000D62E0000}"/>
    <cellStyle name="Normal GHG Numbers (0.00) 2 10 2 2" xfId="22418" xr:uid="{00000000-0005-0000-0000-0000D72E0000}"/>
    <cellStyle name="Normal GHG Numbers (0.00) 2 10 3" xfId="12083" xr:uid="{00000000-0005-0000-0000-0000D82E0000}"/>
    <cellStyle name="Normal GHG Numbers (0.00) 2 10 3 2" xfId="26915" xr:uid="{00000000-0005-0000-0000-0000D92E0000}"/>
    <cellStyle name="Normal GHG Numbers (0.00) 2 11" xfId="5476" xr:uid="{00000000-0005-0000-0000-0000DA2E0000}"/>
    <cellStyle name="Normal GHG Numbers (0.00) 2 11 2" xfId="15711" xr:uid="{00000000-0005-0000-0000-0000DB2E0000}"/>
    <cellStyle name="Normal GHG Numbers (0.00) 2 11 2 2" xfId="30543" xr:uid="{00000000-0005-0000-0000-0000DC2E0000}"/>
    <cellStyle name="Normal GHG Numbers (0.00) 2 11 3" xfId="22204" xr:uid="{00000000-0005-0000-0000-0000DD2E0000}"/>
    <cellStyle name="Normal GHG Numbers (0.00) 2 2" xfId="1383" xr:uid="{00000000-0005-0000-0000-0000DE2E0000}"/>
    <cellStyle name="Normal GHG Numbers (0.00) 2 2 2" xfId="1678" xr:uid="{00000000-0005-0000-0000-0000DF2E0000}"/>
    <cellStyle name="Normal GHG Numbers (0.00) 2 2 2 2" xfId="2261" xr:uid="{00000000-0005-0000-0000-0000E02E0000}"/>
    <cellStyle name="Normal GHG Numbers (0.00) 2 2 2 2 2" xfId="4365" xr:uid="{00000000-0005-0000-0000-0000E12E0000}"/>
    <cellStyle name="Normal GHG Numbers (0.00) 2 2 2 2 2 2" xfId="8404" xr:uid="{00000000-0005-0000-0000-0000E22E0000}"/>
    <cellStyle name="Normal GHG Numbers (0.00) 2 2 2 2 2 2 2" xfId="24062" xr:uid="{00000000-0005-0000-0000-0000E32E0000}"/>
    <cellStyle name="Normal GHG Numbers (0.00) 2 2 2 2 2 3" xfId="14694" xr:uid="{00000000-0005-0000-0000-0000E42E0000}"/>
    <cellStyle name="Normal GHG Numbers (0.00) 2 2 2 2 2 3 2" xfId="29526" xr:uid="{00000000-0005-0000-0000-0000E52E0000}"/>
    <cellStyle name="Normal GHG Numbers (0.00) 2 2 2 2 3" xfId="5229" xr:uid="{00000000-0005-0000-0000-0000E62E0000}"/>
    <cellStyle name="Normal GHG Numbers (0.00) 2 2 2 2 3 2" xfId="9268" xr:uid="{00000000-0005-0000-0000-0000E72E0000}"/>
    <cellStyle name="Normal GHG Numbers (0.00) 2 2 2 2 3 2 2" xfId="24606" xr:uid="{00000000-0005-0000-0000-0000E82E0000}"/>
    <cellStyle name="Normal GHG Numbers (0.00) 2 2 2 2 3 3" xfId="15545" xr:uid="{00000000-0005-0000-0000-0000E92E0000}"/>
    <cellStyle name="Normal GHG Numbers (0.00) 2 2 2 2 3 3 2" xfId="30377" xr:uid="{00000000-0005-0000-0000-0000EA2E0000}"/>
    <cellStyle name="Normal GHG Numbers (0.00) 2 2 2 2 4" xfId="4259" xr:uid="{00000000-0005-0000-0000-0000EB2E0000}"/>
    <cellStyle name="Normal GHG Numbers (0.00) 2 2 2 2 4 2" xfId="8298" xr:uid="{00000000-0005-0000-0000-0000EC2E0000}"/>
    <cellStyle name="Normal GHG Numbers (0.00) 2 2 2 2 4 2 2" xfId="23993" xr:uid="{00000000-0005-0000-0000-0000ED2E0000}"/>
    <cellStyle name="Normal GHG Numbers (0.00) 2 2 2 2 4 3" xfId="14591" xr:uid="{00000000-0005-0000-0000-0000EE2E0000}"/>
    <cellStyle name="Normal GHG Numbers (0.00) 2 2 2 2 4 3 2" xfId="29423" xr:uid="{00000000-0005-0000-0000-0000EF2E0000}"/>
    <cellStyle name="Normal GHG Numbers (0.00) 2 2 2 2 5" xfId="6373" xr:uid="{00000000-0005-0000-0000-0000F02E0000}"/>
    <cellStyle name="Normal GHG Numbers (0.00) 2 2 2 2 5 2" xfId="22775" xr:uid="{00000000-0005-0000-0000-0000F12E0000}"/>
    <cellStyle name="Normal GHG Numbers (0.00) 2 2 2 3" xfId="3967" xr:uid="{00000000-0005-0000-0000-0000F22E0000}"/>
    <cellStyle name="Normal GHG Numbers (0.00) 2 2 2 3 2" xfId="8016" xr:uid="{00000000-0005-0000-0000-0000F32E0000}"/>
    <cellStyle name="Normal GHG Numbers (0.00) 2 2 2 3 2 2" xfId="23809" xr:uid="{00000000-0005-0000-0000-0000F42E0000}"/>
    <cellStyle name="Normal GHG Numbers (0.00) 2 2 2 3 3" xfId="14300" xr:uid="{00000000-0005-0000-0000-0000F52E0000}"/>
    <cellStyle name="Normal GHG Numbers (0.00) 2 2 2 3 3 2" xfId="29132" xr:uid="{00000000-0005-0000-0000-0000F62E0000}"/>
    <cellStyle name="Normal GHG Numbers (0.00) 2 2 2 4" xfId="4339" xr:uid="{00000000-0005-0000-0000-0000F72E0000}"/>
    <cellStyle name="Normal GHG Numbers (0.00) 2 2 2 4 2" xfId="8378" xr:uid="{00000000-0005-0000-0000-0000F82E0000}"/>
    <cellStyle name="Normal GHG Numbers (0.00) 2 2 2 4 2 2" xfId="24037" xr:uid="{00000000-0005-0000-0000-0000F92E0000}"/>
    <cellStyle name="Normal GHG Numbers (0.00) 2 2 2 4 3" xfId="14670" xr:uid="{00000000-0005-0000-0000-0000FA2E0000}"/>
    <cellStyle name="Normal GHG Numbers (0.00) 2 2 2 4 3 2" xfId="29502" xr:uid="{00000000-0005-0000-0000-0000FB2E0000}"/>
    <cellStyle name="Normal GHG Numbers (0.00) 2 2 2 5" xfId="4865" xr:uid="{00000000-0005-0000-0000-0000FC2E0000}"/>
    <cellStyle name="Normal GHG Numbers (0.00) 2 2 2 5 2" xfId="8904" xr:uid="{00000000-0005-0000-0000-0000FD2E0000}"/>
    <cellStyle name="Normal GHG Numbers (0.00) 2 2 2 5 2 2" xfId="24370" xr:uid="{00000000-0005-0000-0000-0000FE2E0000}"/>
    <cellStyle name="Normal GHG Numbers (0.00) 2 2 2 5 3" xfId="15188" xr:uid="{00000000-0005-0000-0000-0000FF2E0000}"/>
    <cellStyle name="Normal GHG Numbers (0.00) 2 2 2 5 3 2" xfId="30020" xr:uid="{00000000-0005-0000-0000-0000002F0000}"/>
    <cellStyle name="Normal GHG Numbers (0.00) 2 2 2 6" xfId="2855" xr:uid="{00000000-0005-0000-0000-0000012F0000}"/>
    <cellStyle name="Normal GHG Numbers (0.00) 2 2 2 6 2" xfId="13193" xr:uid="{00000000-0005-0000-0000-0000022F0000}"/>
    <cellStyle name="Normal GHG Numbers (0.00) 2 2 2 6 2 2" xfId="28025" xr:uid="{00000000-0005-0000-0000-0000032F0000}"/>
    <cellStyle name="Normal GHG Numbers (0.00) 2 2 2 6 3" xfId="20781" xr:uid="{00000000-0005-0000-0000-0000042F0000}"/>
    <cellStyle name="Normal GHG Numbers (0.00) 2 2 2 7" xfId="1887" xr:uid="{00000000-0005-0000-0000-0000052F0000}"/>
    <cellStyle name="Normal GHG Numbers (0.00) 2 2 2 7 2" xfId="6018" xr:uid="{00000000-0005-0000-0000-0000062F0000}"/>
    <cellStyle name="Normal GHG Numbers (0.00) 2 2 2 7 2 2" xfId="22551" xr:uid="{00000000-0005-0000-0000-0000072F0000}"/>
    <cellStyle name="Normal GHG Numbers (0.00) 2 2 2 8" xfId="12073" xr:uid="{00000000-0005-0000-0000-0000082F0000}"/>
    <cellStyle name="Normal GHG Numbers (0.00) 2 2 2 8 2" xfId="26905" xr:uid="{00000000-0005-0000-0000-0000092F0000}"/>
    <cellStyle name="Normal GHG Numbers (0.00) 2 2 3" xfId="3666" xr:uid="{00000000-0005-0000-0000-00000A2F0000}"/>
    <cellStyle name="Normal GHG Numbers (0.00) 2 2 3 2" xfId="7724" xr:uid="{00000000-0005-0000-0000-00000B2F0000}"/>
    <cellStyle name="Normal GHG Numbers (0.00) 2 2 3 2 2" xfId="23620" xr:uid="{00000000-0005-0000-0000-00000C2F0000}"/>
    <cellStyle name="Normal GHG Numbers (0.00) 2 2 3 3" xfId="14001" xr:uid="{00000000-0005-0000-0000-00000D2F0000}"/>
    <cellStyle name="Normal GHG Numbers (0.00) 2 2 3 3 2" xfId="28833" xr:uid="{00000000-0005-0000-0000-00000E2F0000}"/>
    <cellStyle name="Normal GHG Numbers (0.00) 2 2 4" xfId="4445" xr:uid="{00000000-0005-0000-0000-00000F2F0000}"/>
    <cellStyle name="Normal GHG Numbers (0.00) 2 2 4 2" xfId="8484" xr:uid="{00000000-0005-0000-0000-0000102F0000}"/>
    <cellStyle name="Normal GHG Numbers (0.00) 2 2 4 2 2" xfId="24110" xr:uid="{00000000-0005-0000-0000-0000112F0000}"/>
    <cellStyle name="Normal GHG Numbers (0.00) 2 2 4 3" xfId="14773" xr:uid="{00000000-0005-0000-0000-0000122F0000}"/>
    <cellStyle name="Normal GHG Numbers (0.00) 2 2 4 3 2" xfId="29605" xr:uid="{00000000-0005-0000-0000-0000132F0000}"/>
    <cellStyle name="Normal GHG Numbers (0.00) 2 2 5" xfId="2435" xr:uid="{00000000-0005-0000-0000-0000142F0000}"/>
    <cellStyle name="Normal GHG Numbers (0.00) 2 2 5 2" xfId="12774" xr:uid="{00000000-0005-0000-0000-0000152F0000}"/>
    <cellStyle name="Normal GHG Numbers (0.00) 2 2 5 2 2" xfId="27606" xr:uid="{00000000-0005-0000-0000-0000162F0000}"/>
    <cellStyle name="Normal GHG Numbers (0.00) 2 2 5 3" xfId="20527" xr:uid="{00000000-0005-0000-0000-0000172F0000}"/>
    <cellStyle name="Normal GHG Numbers (0.00) 2 2 6" xfId="5559" xr:uid="{00000000-0005-0000-0000-0000182F0000}"/>
    <cellStyle name="Normal GHG Numbers (0.00) 2 2 6 2" xfId="15794" xr:uid="{00000000-0005-0000-0000-0000192F0000}"/>
    <cellStyle name="Normal GHG Numbers (0.00) 2 2 6 2 2" xfId="30626" xr:uid="{00000000-0005-0000-0000-00001A2F0000}"/>
    <cellStyle name="Normal GHG Numbers (0.00) 2 2 6 3" xfId="22255" xr:uid="{00000000-0005-0000-0000-00001B2F0000}"/>
    <cellStyle name="Normal GHG Numbers (0.00) 2 3" xfId="1555" xr:uid="{00000000-0005-0000-0000-00001C2F0000}"/>
    <cellStyle name="Normal GHG Numbers (0.00) 2 3 2" xfId="2052" xr:uid="{00000000-0005-0000-0000-00001D2F0000}"/>
    <cellStyle name="Normal GHG Numbers (0.00) 2 3 2 2" xfId="4075" xr:uid="{00000000-0005-0000-0000-00001E2F0000}"/>
    <cellStyle name="Normal GHG Numbers (0.00) 2 3 2 2 2" xfId="8121" xr:uid="{00000000-0005-0000-0000-00001F2F0000}"/>
    <cellStyle name="Normal GHG Numbers (0.00) 2 3 2 2 2 2" xfId="23872" xr:uid="{00000000-0005-0000-0000-0000202F0000}"/>
    <cellStyle name="Normal GHG Numbers (0.00) 2 3 2 2 3" xfId="14407" xr:uid="{00000000-0005-0000-0000-0000212F0000}"/>
    <cellStyle name="Normal GHG Numbers (0.00) 2 3 2 2 3 2" xfId="29239" xr:uid="{00000000-0005-0000-0000-0000222F0000}"/>
    <cellStyle name="Normal GHG Numbers (0.00) 2 3 2 3" xfId="3392" xr:uid="{00000000-0005-0000-0000-0000232F0000}"/>
    <cellStyle name="Normal GHG Numbers (0.00) 2 3 2 3 2" xfId="7455" xr:uid="{00000000-0005-0000-0000-0000242F0000}"/>
    <cellStyle name="Normal GHG Numbers (0.00) 2 3 2 3 2 2" xfId="23445" xr:uid="{00000000-0005-0000-0000-0000252F0000}"/>
    <cellStyle name="Normal GHG Numbers (0.00) 2 3 2 3 3" xfId="13729" xr:uid="{00000000-0005-0000-0000-0000262F0000}"/>
    <cellStyle name="Normal GHG Numbers (0.00) 2 3 2 3 3 2" xfId="28561" xr:uid="{00000000-0005-0000-0000-0000272F0000}"/>
    <cellStyle name="Normal GHG Numbers (0.00) 2 3 2 4" xfId="5020" xr:uid="{00000000-0005-0000-0000-0000282F0000}"/>
    <cellStyle name="Normal GHG Numbers (0.00) 2 3 2 4 2" xfId="9059" xr:uid="{00000000-0005-0000-0000-0000292F0000}"/>
    <cellStyle name="Normal GHG Numbers (0.00) 2 3 2 4 2 2" xfId="24493" xr:uid="{00000000-0005-0000-0000-00002A2F0000}"/>
    <cellStyle name="Normal GHG Numbers (0.00) 2 3 2 4 3" xfId="15341" xr:uid="{00000000-0005-0000-0000-00002B2F0000}"/>
    <cellStyle name="Normal GHG Numbers (0.00) 2 3 2 4 3 2" xfId="30173" xr:uid="{00000000-0005-0000-0000-00002C2F0000}"/>
    <cellStyle name="Normal GHG Numbers (0.00) 2 3 2 5" xfId="3010" xr:uid="{00000000-0005-0000-0000-00002D2F0000}"/>
    <cellStyle name="Normal GHG Numbers (0.00) 2 3 2 5 2" xfId="13348" xr:uid="{00000000-0005-0000-0000-00002E2F0000}"/>
    <cellStyle name="Normal GHG Numbers (0.00) 2 3 2 5 2 2" xfId="28180" xr:uid="{00000000-0005-0000-0000-00002F2F0000}"/>
    <cellStyle name="Normal GHG Numbers (0.00) 2 3 2 5 3" xfId="20904" xr:uid="{00000000-0005-0000-0000-0000302F0000}"/>
    <cellStyle name="Normal GHG Numbers (0.00) 2 3 3" xfId="3777" xr:uid="{00000000-0005-0000-0000-0000312F0000}"/>
    <cellStyle name="Normal GHG Numbers (0.00) 2 3 3 2" xfId="7832" xr:uid="{00000000-0005-0000-0000-0000322F0000}"/>
    <cellStyle name="Normal GHG Numbers (0.00) 2 3 3 2 2" xfId="23688" xr:uid="{00000000-0005-0000-0000-0000332F0000}"/>
    <cellStyle name="Normal GHG Numbers (0.00) 2 3 3 3" xfId="14112" xr:uid="{00000000-0005-0000-0000-0000342F0000}"/>
    <cellStyle name="Normal GHG Numbers (0.00) 2 3 3 3 2" xfId="28944" xr:uid="{00000000-0005-0000-0000-0000352F0000}"/>
    <cellStyle name="Normal GHG Numbers (0.00) 2 3 4" xfId="4600" xr:uid="{00000000-0005-0000-0000-0000362F0000}"/>
    <cellStyle name="Normal GHG Numbers (0.00) 2 3 4 2" xfId="8639" xr:uid="{00000000-0005-0000-0000-0000372F0000}"/>
    <cellStyle name="Normal GHG Numbers (0.00) 2 3 4 2 2" xfId="24233" xr:uid="{00000000-0005-0000-0000-0000382F0000}"/>
    <cellStyle name="Normal GHG Numbers (0.00) 2 3 4 3" xfId="14926" xr:uid="{00000000-0005-0000-0000-0000392F0000}"/>
    <cellStyle name="Normal GHG Numbers (0.00) 2 3 4 3 2" xfId="29758" xr:uid="{00000000-0005-0000-0000-00003A2F0000}"/>
    <cellStyle name="Normal GHG Numbers (0.00) 2 3 5" xfId="2590" xr:uid="{00000000-0005-0000-0000-00003B2F0000}"/>
    <cellStyle name="Normal GHG Numbers (0.00) 2 3 5 2" xfId="12928" xr:uid="{00000000-0005-0000-0000-00003C2F0000}"/>
    <cellStyle name="Normal GHG Numbers (0.00) 2 3 5 2 2" xfId="27760" xr:uid="{00000000-0005-0000-0000-00003D2F0000}"/>
    <cellStyle name="Normal GHG Numbers (0.00) 2 3 5 3" xfId="20644" xr:uid="{00000000-0005-0000-0000-00003E2F0000}"/>
    <cellStyle name="Normal GHG Numbers (0.00) 2 3 6" xfId="1700" xr:uid="{00000000-0005-0000-0000-00003F2F0000}"/>
    <cellStyle name="Normal GHG Numbers (0.00) 2 3 6 2" xfId="5832" xr:uid="{00000000-0005-0000-0000-0000402F0000}"/>
    <cellStyle name="Normal GHG Numbers (0.00) 2 3 6 2 2" xfId="22429" xr:uid="{00000000-0005-0000-0000-0000412F0000}"/>
    <cellStyle name="Normal GHG Numbers (0.00) 2 3 6 3" xfId="12094" xr:uid="{00000000-0005-0000-0000-0000422F0000}"/>
    <cellStyle name="Normal GHG Numbers (0.00) 2 3 6 3 2" xfId="26926" xr:uid="{00000000-0005-0000-0000-0000432F0000}"/>
    <cellStyle name="Normal GHG Numbers (0.00) 2 4" xfId="1608" xr:uid="{00000000-0005-0000-0000-0000442F0000}"/>
    <cellStyle name="Normal GHG Numbers (0.00) 2 4 2" xfId="2105" xr:uid="{00000000-0005-0000-0000-0000452F0000}"/>
    <cellStyle name="Normal GHG Numbers (0.00) 2 4 2 2" xfId="4115" xr:uid="{00000000-0005-0000-0000-0000462F0000}"/>
    <cellStyle name="Normal GHG Numbers (0.00) 2 4 2 2 2" xfId="8160" xr:uid="{00000000-0005-0000-0000-0000472F0000}"/>
    <cellStyle name="Normal GHG Numbers (0.00) 2 4 2 2 2 2" xfId="23898" xr:uid="{00000000-0005-0000-0000-0000482F0000}"/>
    <cellStyle name="Normal GHG Numbers (0.00) 2 4 2 2 3" xfId="14447" xr:uid="{00000000-0005-0000-0000-0000492F0000}"/>
    <cellStyle name="Normal GHG Numbers (0.00) 2 4 2 2 3 2" xfId="29279" xr:uid="{00000000-0005-0000-0000-00004A2F0000}"/>
    <cellStyle name="Normal GHG Numbers (0.00) 2 4 2 3" xfId="3797" xr:uid="{00000000-0005-0000-0000-00004B2F0000}"/>
    <cellStyle name="Normal GHG Numbers (0.00) 2 4 2 3 2" xfId="7852" xr:uid="{00000000-0005-0000-0000-00004C2F0000}"/>
    <cellStyle name="Normal GHG Numbers (0.00) 2 4 2 3 2 2" xfId="23706" xr:uid="{00000000-0005-0000-0000-00004D2F0000}"/>
    <cellStyle name="Normal GHG Numbers (0.00) 2 4 2 3 3" xfId="14132" xr:uid="{00000000-0005-0000-0000-00004E2F0000}"/>
    <cellStyle name="Normal GHG Numbers (0.00) 2 4 2 3 3 2" xfId="28964" xr:uid="{00000000-0005-0000-0000-00004F2F0000}"/>
    <cellStyle name="Normal GHG Numbers (0.00) 2 4 2 4" xfId="5073" xr:uid="{00000000-0005-0000-0000-0000502F0000}"/>
    <cellStyle name="Normal GHG Numbers (0.00) 2 4 2 4 2" xfId="9112" xr:uid="{00000000-0005-0000-0000-0000512F0000}"/>
    <cellStyle name="Normal GHG Numbers (0.00) 2 4 2 4 2 2" xfId="24514" xr:uid="{00000000-0005-0000-0000-0000522F0000}"/>
    <cellStyle name="Normal GHG Numbers (0.00) 2 4 2 4 3" xfId="15393" xr:uid="{00000000-0005-0000-0000-0000532F0000}"/>
    <cellStyle name="Normal GHG Numbers (0.00) 2 4 2 4 3 2" xfId="30225" xr:uid="{00000000-0005-0000-0000-0000542F0000}"/>
    <cellStyle name="Normal GHG Numbers (0.00) 2 4 2 5" xfId="3063" xr:uid="{00000000-0005-0000-0000-0000552F0000}"/>
    <cellStyle name="Normal GHG Numbers (0.00) 2 4 2 5 2" xfId="13401" xr:uid="{00000000-0005-0000-0000-0000562F0000}"/>
    <cellStyle name="Normal GHG Numbers (0.00) 2 4 2 5 2 2" xfId="28233" xr:uid="{00000000-0005-0000-0000-0000572F0000}"/>
    <cellStyle name="Normal GHG Numbers (0.00) 2 4 2 5 3" xfId="20925" xr:uid="{00000000-0005-0000-0000-0000582F0000}"/>
    <cellStyle name="Normal GHG Numbers (0.00) 2 4 3" xfId="3815" xr:uid="{00000000-0005-0000-0000-0000592F0000}"/>
    <cellStyle name="Normal GHG Numbers (0.00) 2 4 3 2" xfId="7868" xr:uid="{00000000-0005-0000-0000-00005A2F0000}"/>
    <cellStyle name="Normal GHG Numbers (0.00) 2 4 3 2 2" xfId="23715" xr:uid="{00000000-0005-0000-0000-00005B2F0000}"/>
    <cellStyle name="Normal GHG Numbers (0.00) 2 4 3 3" xfId="14150" xr:uid="{00000000-0005-0000-0000-00005C2F0000}"/>
    <cellStyle name="Normal GHG Numbers (0.00) 2 4 3 3 2" xfId="28982" xr:uid="{00000000-0005-0000-0000-00005D2F0000}"/>
    <cellStyle name="Normal GHG Numbers (0.00) 2 4 4" xfId="4653" xr:uid="{00000000-0005-0000-0000-00005E2F0000}"/>
    <cellStyle name="Normal GHG Numbers (0.00) 2 4 4 2" xfId="8692" xr:uid="{00000000-0005-0000-0000-00005F2F0000}"/>
    <cellStyle name="Normal GHG Numbers (0.00) 2 4 4 2 2" xfId="24254" xr:uid="{00000000-0005-0000-0000-0000602F0000}"/>
    <cellStyle name="Normal GHG Numbers (0.00) 2 4 4 3" xfId="14978" xr:uid="{00000000-0005-0000-0000-0000612F0000}"/>
    <cellStyle name="Normal GHG Numbers (0.00) 2 4 4 3 2" xfId="29810" xr:uid="{00000000-0005-0000-0000-0000622F0000}"/>
    <cellStyle name="Normal GHG Numbers (0.00) 2 4 5" xfId="2643" xr:uid="{00000000-0005-0000-0000-0000632F0000}"/>
    <cellStyle name="Normal GHG Numbers (0.00) 2 4 5 2" xfId="12981" xr:uid="{00000000-0005-0000-0000-0000642F0000}"/>
    <cellStyle name="Normal GHG Numbers (0.00) 2 4 5 2 2" xfId="27813" xr:uid="{00000000-0005-0000-0000-0000652F0000}"/>
    <cellStyle name="Normal GHG Numbers (0.00) 2 4 5 3" xfId="20665" xr:uid="{00000000-0005-0000-0000-0000662F0000}"/>
    <cellStyle name="Normal GHG Numbers (0.00) 2 4 6" xfId="1705" xr:uid="{00000000-0005-0000-0000-0000672F0000}"/>
    <cellStyle name="Normal GHG Numbers (0.00) 2 4 6 2" xfId="5837" xr:uid="{00000000-0005-0000-0000-0000682F0000}"/>
    <cellStyle name="Normal GHG Numbers (0.00) 2 4 6 2 2" xfId="22434" xr:uid="{00000000-0005-0000-0000-0000692F0000}"/>
    <cellStyle name="Normal GHG Numbers (0.00) 2 4 6 3" xfId="12099" xr:uid="{00000000-0005-0000-0000-00006A2F0000}"/>
    <cellStyle name="Normal GHG Numbers (0.00) 2 4 6 3 2" xfId="26931" xr:uid="{00000000-0005-0000-0000-00006B2F0000}"/>
    <cellStyle name="Normal GHG Numbers (0.00) 2 5" xfId="1658" xr:uid="{00000000-0005-0000-0000-00006C2F0000}"/>
    <cellStyle name="Normal GHG Numbers (0.00) 2 5 2" xfId="2155" xr:uid="{00000000-0005-0000-0000-00006D2F0000}"/>
    <cellStyle name="Normal GHG Numbers (0.00) 2 5 2 2" xfId="4153" xr:uid="{00000000-0005-0000-0000-00006E2F0000}"/>
    <cellStyle name="Normal GHG Numbers (0.00) 2 5 2 2 2" xfId="8195" xr:uid="{00000000-0005-0000-0000-00006F2F0000}"/>
    <cellStyle name="Normal GHG Numbers (0.00) 2 5 2 2 2 2" xfId="23922" xr:uid="{00000000-0005-0000-0000-0000702F0000}"/>
    <cellStyle name="Normal GHG Numbers (0.00) 2 5 2 2 3" xfId="14485" xr:uid="{00000000-0005-0000-0000-0000712F0000}"/>
    <cellStyle name="Normal GHG Numbers (0.00) 2 5 2 2 3 2" xfId="29317" xr:uid="{00000000-0005-0000-0000-0000722F0000}"/>
    <cellStyle name="Normal GHG Numbers (0.00) 2 5 2 3" xfId="3846" xr:uid="{00000000-0005-0000-0000-0000732F0000}"/>
    <cellStyle name="Normal GHG Numbers (0.00) 2 5 2 3 2" xfId="7899" xr:uid="{00000000-0005-0000-0000-0000742F0000}"/>
    <cellStyle name="Normal GHG Numbers (0.00) 2 5 2 3 2 2" xfId="23736" xr:uid="{00000000-0005-0000-0000-0000752F0000}"/>
    <cellStyle name="Normal GHG Numbers (0.00) 2 5 2 3 3" xfId="14181" xr:uid="{00000000-0005-0000-0000-0000762F0000}"/>
    <cellStyle name="Normal GHG Numbers (0.00) 2 5 2 3 3 2" xfId="29013" xr:uid="{00000000-0005-0000-0000-0000772F0000}"/>
    <cellStyle name="Normal GHG Numbers (0.00) 2 5 2 4" xfId="5123" xr:uid="{00000000-0005-0000-0000-0000782F0000}"/>
    <cellStyle name="Normal GHG Numbers (0.00) 2 5 2 4 2" xfId="9162" xr:uid="{00000000-0005-0000-0000-0000792F0000}"/>
    <cellStyle name="Normal GHG Numbers (0.00) 2 5 2 4 2 2" xfId="24532" xr:uid="{00000000-0005-0000-0000-00007A2F0000}"/>
    <cellStyle name="Normal GHG Numbers (0.00) 2 5 2 4 3" xfId="15442" xr:uid="{00000000-0005-0000-0000-00007B2F0000}"/>
    <cellStyle name="Normal GHG Numbers (0.00) 2 5 2 4 3 2" xfId="30274" xr:uid="{00000000-0005-0000-0000-00007C2F0000}"/>
    <cellStyle name="Normal GHG Numbers (0.00) 2 5 2 5" xfId="3113" xr:uid="{00000000-0005-0000-0000-00007D2F0000}"/>
    <cellStyle name="Normal GHG Numbers (0.00) 2 5 2 5 2" xfId="13451" xr:uid="{00000000-0005-0000-0000-00007E2F0000}"/>
    <cellStyle name="Normal GHG Numbers (0.00) 2 5 2 5 2 2" xfId="28283" xr:uid="{00000000-0005-0000-0000-00007F2F0000}"/>
    <cellStyle name="Normal GHG Numbers (0.00) 2 5 2 5 3" xfId="20943" xr:uid="{00000000-0005-0000-0000-0000802F0000}"/>
    <cellStyle name="Normal GHG Numbers (0.00) 2 5 3" xfId="3853" xr:uid="{00000000-0005-0000-0000-0000812F0000}"/>
    <cellStyle name="Normal GHG Numbers (0.00) 2 5 3 2" xfId="7905" xr:uid="{00000000-0005-0000-0000-0000822F0000}"/>
    <cellStyle name="Normal GHG Numbers (0.00) 2 5 3 2 2" xfId="23741" xr:uid="{00000000-0005-0000-0000-0000832F0000}"/>
    <cellStyle name="Normal GHG Numbers (0.00) 2 5 3 3" xfId="14188" xr:uid="{00000000-0005-0000-0000-0000842F0000}"/>
    <cellStyle name="Normal GHG Numbers (0.00) 2 5 3 3 2" xfId="29020" xr:uid="{00000000-0005-0000-0000-0000852F0000}"/>
    <cellStyle name="Normal GHG Numbers (0.00) 2 5 4" xfId="4703" xr:uid="{00000000-0005-0000-0000-0000862F0000}"/>
    <cellStyle name="Normal GHG Numbers (0.00) 2 5 4 2" xfId="8742" xr:uid="{00000000-0005-0000-0000-0000872F0000}"/>
    <cellStyle name="Normal GHG Numbers (0.00) 2 5 4 2 2" xfId="24272" xr:uid="{00000000-0005-0000-0000-0000882F0000}"/>
    <cellStyle name="Normal GHG Numbers (0.00) 2 5 4 3" xfId="15027" xr:uid="{00000000-0005-0000-0000-0000892F0000}"/>
    <cellStyle name="Normal GHG Numbers (0.00) 2 5 4 3 2" xfId="29859" xr:uid="{00000000-0005-0000-0000-00008A2F0000}"/>
    <cellStyle name="Normal GHG Numbers (0.00) 2 5 5" xfId="2693" xr:uid="{00000000-0005-0000-0000-00008B2F0000}"/>
    <cellStyle name="Normal GHG Numbers (0.00) 2 5 5 2" xfId="13031" xr:uid="{00000000-0005-0000-0000-00008C2F0000}"/>
    <cellStyle name="Normal GHG Numbers (0.00) 2 5 5 2 2" xfId="27863" xr:uid="{00000000-0005-0000-0000-00008D2F0000}"/>
    <cellStyle name="Normal GHG Numbers (0.00) 2 5 5 3" xfId="20683" xr:uid="{00000000-0005-0000-0000-00008E2F0000}"/>
    <cellStyle name="Normal GHG Numbers (0.00) 2 5 6" xfId="1710" xr:uid="{00000000-0005-0000-0000-00008F2F0000}"/>
    <cellStyle name="Normal GHG Numbers (0.00) 2 5 6 2" xfId="5842" xr:uid="{00000000-0005-0000-0000-0000902F0000}"/>
    <cellStyle name="Normal GHG Numbers (0.00) 2 5 6 2 2" xfId="22439" xr:uid="{00000000-0005-0000-0000-0000912F0000}"/>
    <cellStyle name="Normal GHG Numbers (0.00) 2 5 6 3" xfId="12104" xr:uid="{00000000-0005-0000-0000-0000922F0000}"/>
    <cellStyle name="Normal GHG Numbers (0.00) 2 5 6 3 2" xfId="26936" xr:uid="{00000000-0005-0000-0000-0000932F0000}"/>
    <cellStyle name="Normal GHG Numbers (0.00) 2 6" xfId="1668" xr:uid="{00000000-0005-0000-0000-0000942F0000}"/>
    <cellStyle name="Normal GHG Numbers (0.00) 2 6 2" xfId="4355" xr:uid="{00000000-0005-0000-0000-0000952F0000}"/>
    <cellStyle name="Normal GHG Numbers (0.00) 2 6 2 2" xfId="8394" xr:uid="{00000000-0005-0000-0000-0000962F0000}"/>
    <cellStyle name="Normal GHG Numbers (0.00) 2 6 2 2 2" xfId="24052" xr:uid="{00000000-0005-0000-0000-0000972F0000}"/>
    <cellStyle name="Normal GHG Numbers (0.00) 2 6 2 3" xfId="14684" xr:uid="{00000000-0005-0000-0000-0000982F0000}"/>
    <cellStyle name="Normal GHG Numbers (0.00) 2 6 2 3 2" xfId="29516" xr:uid="{00000000-0005-0000-0000-0000992F0000}"/>
    <cellStyle name="Normal GHG Numbers (0.00) 2 6 3" xfId="5219" xr:uid="{00000000-0005-0000-0000-00009A2F0000}"/>
    <cellStyle name="Normal GHG Numbers (0.00) 2 6 3 2" xfId="9258" xr:uid="{00000000-0005-0000-0000-00009B2F0000}"/>
    <cellStyle name="Normal GHG Numbers (0.00) 2 6 3 2 2" xfId="24596" xr:uid="{00000000-0005-0000-0000-00009C2F0000}"/>
    <cellStyle name="Normal GHG Numbers (0.00) 2 6 3 3" xfId="15535" xr:uid="{00000000-0005-0000-0000-00009D2F0000}"/>
    <cellStyle name="Normal GHG Numbers (0.00) 2 6 3 3 2" xfId="30367" xr:uid="{00000000-0005-0000-0000-00009E2F0000}"/>
    <cellStyle name="Normal GHG Numbers (0.00) 2 6 4" xfId="4249" xr:uid="{00000000-0005-0000-0000-00009F2F0000}"/>
    <cellStyle name="Normal GHG Numbers (0.00) 2 6 4 2" xfId="8288" xr:uid="{00000000-0005-0000-0000-0000A02F0000}"/>
    <cellStyle name="Normal GHG Numbers (0.00) 2 6 4 2 2" xfId="23983" xr:uid="{00000000-0005-0000-0000-0000A12F0000}"/>
    <cellStyle name="Normal GHG Numbers (0.00) 2 6 4 3" xfId="14581" xr:uid="{00000000-0005-0000-0000-0000A22F0000}"/>
    <cellStyle name="Normal GHG Numbers (0.00) 2 6 4 3 2" xfId="29413" xr:uid="{00000000-0005-0000-0000-0000A32F0000}"/>
    <cellStyle name="Normal GHG Numbers (0.00) 2 6 5" xfId="2251" xr:uid="{00000000-0005-0000-0000-0000A42F0000}"/>
    <cellStyle name="Normal GHG Numbers (0.00) 2 6 5 2" xfId="6363" xr:uid="{00000000-0005-0000-0000-0000A52F0000}"/>
    <cellStyle name="Normal GHG Numbers (0.00) 2 6 5 2 2" xfId="22765" xr:uid="{00000000-0005-0000-0000-0000A62F0000}"/>
    <cellStyle name="Normal GHG Numbers (0.00) 2 6 6" xfId="5810" xr:uid="{00000000-0005-0000-0000-0000A72F0000}"/>
    <cellStyle name="Normal GHG Numbers (0.00) 2 6 6 2" xfId="22408" xr:uid="{00000000-0005-0000-0000-0000A82F0000}"/>
    <cellStyle name="Normal GHG Numbers (0.00) 2 6 7" xfId="12063" xr:uid="{00000000-0005-0000-0000-0000A92F0000}"/>
    <cellStyle name="Normal GHG Numbers (0.00) 2 6 7 2" xfId="26895" xr:uid="{00000000-0005-0000-0000-0000AA2F0000}"/>
    <cellStyle name="Normal GHG Numbers (0.00) 2 7" xfId="3615" xr:uid="{00000000-0005-0000-0000-0000AB2F0000}"/>
    <cellStyle name="Normal GHG Numbers (0.00) 2 7 2" xfId="7675" xr:uid="{00000000-0005-0000-0000-0000AC2F0000}"/>
    <cellStyle name="Normal GHG Numbers (0.00) 2 7 2 2" xfId="23585" xr:uid="{00000000-0005-0000-0000-0000AD2F0000}"/>
    <cellStyle name="Normal GHG Numbers (0.00) 2 7 3" xfId="13950" xr:uid="{00000000-0005-0000-0000-0000AE2F0000}"/>
    <cellStyle name="Normal GHG Numbers (0.00) 2 7 3 2" xfId="28782" xr:uid="{00000000-0005-0000-0000-0000AF2F0000}"/>
    <cellStyle name="Normal GHG Numbers (0.00) 2 8" xfId="3366" xr:uid="{00000000-0005-0000-0000-0000B02F0000}"/>
    <cellStyle name="Normal GHG Numbers (0.00) 2 8 2" xfId="7429" xr:uid="{00000000-0005-0000-0000-0000B12F0000}"/>
    <cellStyle name="Normal GHG Numbers (0.00) 2 8 2 2" xfId="23430" xr:uid="{00000000-0005-0000-0000-0000B22F0000}"/>
    <cellStyle name="Normal GHG Numbers (0.00) 2 8 3" xfId="13703" xr:uid="{00000000-0005-0000-0000-0000B32F0000}"/>
    <cellStyle name="Normal GHG Numbers (0.00) 2 8 3 2" xfId="28535" xr:uid="{00000000-0005-0000-0000-0000B42F0000}"/>
    <cellStyle name="Normal GHG Numbers (0.00) 2 9" xfId="2351" xr:uid="{00000000-0005-0000-0000-0000B52F0000}"/>
    <cellStyle name="Normal GHG Numbers (0.00) 2 9 2" xfId="6463" xr:uid="{00000000-0005-0000-0000-0000B62F0000}"/>
    <cellStyle name="Normal GHG Numbers (0.00) 2 9 2 2" xfId="22833" xr:uid="{00000000-0005-0000-0000-0000B72F0000}"/>
    <cellStyle name="Normal GHG Numbers (0.00) 2 9 3" xfId="12690" xr:uid="{00000000-0005-0000-0000-0000B82F0000}"/>
    <cellStyle name="Normal GHG Numbers (0.00) 2 9 3 2" xfId="27522" xr:uid="{00000000-0005-0000-0000-0000B92F0000}"/>
    <cellStyle name="Normal GHG Numbers (0.00) 3" xfId="1498" xr:uid="{00000000-0005-0000-0000-0000BA2F0000}"/>
    <cellStyle name="Normal GHG Numbers (0.00) 3 2" xfId="1673" xr:uid="{00000000-0005-0000-0000-0000BB2F0000}"/>
    <cellStyle name="Normal GHG Numbers (0.00) 3 2 2" xfId="2256" xr:uid="{00000000-0005-0000-0000-0000BC2F0000}"/>
    <cellStyle name="Normal GHG Numbers (0.00) 3 2 2 2" xfId="4360" xr:uid="{00000000-0005-0000-0000-0000BD2F0000}"/>
    <cellStyle name="Normal GHG Numbers (0.00) 3 2 2 2 2" xfId="8399" xr:uid="{00000000-0005-0000-0000-0000BE2F0000}"/>
    <cellStyle name="Normal GHG Numbers (0.00) 3 2 2 2 2 2" xfId="24057" xr:uid="{00000000-0005-0000-0000-0000BF2F0000}"/>
    <cellStyle name="Normal GHG Numbers (0.00) 3 2 2 2 3" xfId="14689" xr:uid="{00000000-0005-0000-0000-0000C02F0000}"/>
    <cellStyle name="Normal GHG Numbers (0.00) 3 2 2 2 3 2" xfId="29521" xr:uid="{00000000-0005-0000-0000-0000C12F0000}"/>
    <cellStyle name="Normal GHG Numbers (0.00) 3 2 2 3" xfId="5224" xr:uid="{00000000-0005-0000-0000-0000C22F0000}"/>
    <cellStyle name="Normal GHG Numbers (0.00) 3 2 2 3 2" xfId="9263" xr:uid="{00000000-0005-0000-0000-0000C32F0000}"/>
    <cellStyle name="Normal GHG Numbers (0.00) 3 2 2 3 2 2" xfId="24601" xr:uid="{00000000-0005-0000-0000-0000C42F0000}"/>
    <cellStyle name="Normal GHG Numbers (0.00) 3 2 2 3 3" xfId="15540" xr:uid="{00000000-0005-0000-0000-0000C52F0000}"/>
    <cellStyle name="Normal GHG Numbers (0.00) 3 2 2 3 3 2" xfId="30372" xr:uid="{00000000-0005-0000-0000-0000C62F0000}"/>
    <cellStyle name="Normal GHG Numbers (0.00) 3 2 2 4" xfId="4254" xr:uid="{00000000-0005-0000-0000-0000C72F0000}"/>
    <cellStyle name="Normal GHG Numbers (0.00) 3 2 2 4 2" xfId="8293" xr:uid="{00000000-0005-0000-0000-0000C82F0000}"/>
    <cellStyle name="Normal GHG Numbers (0.00) 3 2 2 4 2 2" xfId="23988" xr:uid="{00000000-0005-0000-0000-0000C92F0000}"/>
    <cellStyle name="Normal GHG Numbers (0.00) 3 2 2 4 3" xfId="14586" xr:uid="{00000000-0005-0000-0000-0000CA2F0000}"/>
    <cellStyle name="Normal GHG Numbers (0.00) 3 2 2 4 3 2" xfId="29418" xr:uid="{00000000-0005-0000-0000-0000CB2F0000}"/>
    <cellStyle name="Normal GHG Numbers (0.00) 3 2 2 5" xfId="6368" xr:uid="{00000000-0005-0000-0000-0000CC2F0000}"/>
    <cellStyle name="Normal GHG Numbers (0.00) 3 2 2 5 2" xfId="22770" xr:uid="{00000000-0005-0000-0000-0000CD2F0000}"/>
    <cellStyle name="Normal GHG Numbers (0.00) 3 2 3" xfId="4030" xr:uid="{00000000-0005-0000-0000-0000CE2F0000}"/>
    <cellStyle name="Normal GHG Numbers (0.00) 3 2 3 2" xfId="8077" xr:uid="{00000000-0005-0000-0000-0000CF2F0000}"/>
    <cellStyle name="Normal GHG Numbers (0.00) 3 2 3 2 2" xfId="23846" xr:uid="{00000000-0005-0000-0000-0000D02F0000}"/>
    <cellStyle name="Normal GHG Numbers (0.00) 3 2 3 3" xfId="14362" xr:uid="{00000000-0005-0000-0000-0000D12F0000}"/>
    <cellStyle name="Normal GHG Numbers (0.00) 3 2 3 3 2" xfId="29194" xr:uid="{00000000-0005-0000-0000-0000D22F0000}"/>
    <cellStyle name="Normal GHG Numbers (0.00) 3 2 4" xfId="3599" xr:uid="{00000000-0005-0000-0000-0000D32F0000}"/>
    <cellStyle name="Normal GHG Numbers (0.00) 3 2 4 2" xfId="13935" xr:uid="{00000000-0005-0000-0000-0000D42F0000}"/>
    <cellStyle name="Normal GHG Numbers (0.00) 3 2 4 2 2" xfId="28767" xr:uid="{00000000-0005-0000-0000-0000D52F0000}"/>
    <cellStyle name="Normal GHG Numbers (0.00) 3 2 4 3" xfId="21244" xr:uid="{00000000-0005-0000-0000-0000D62F0000}"/>
    <cellStyle name="Normal GHG Numbers (0.00) 3 2 5" xfId="4963" xr:uid="{00000000-0005-0000-0000-0000D72F0000}"/>
    <cellStyle name="Normal GHG Numbers (0.00) 3 2 5 2" xfId="9002" xr:uid="{00000000-0005-0000-0000-0000D82F0000}"/>
    <cellStyle name="Normal GHG Numbers (0.00) 3 2 5 2 2" xfId="24468" xr:uid="{00000000-0005-0000-0000-0000D92F0000}"/>
    <cellStyle name="Normal GHG Numbers (0.00) 3 2 5 3" xfId="15285" xr:uid="{00000000-0005-0000-0000-0000DA2F0000}"/>
    <cellStyle name="Normal GHG Numbers (0.00) 3 2 5 3 2" xfId="30117" xr:uid="{00000000-0005-0000-0000-0000DB2F0000}"/>
    <cellStyle name="Normal GHG Numbers (0.00) 3 2 6" xfId="2953" xr:uid="{00000000-0005-0000-0000-0000DC2F0000}"/>
    <cellStyle name="Normal GHG Numbers (0.00) 3 2 6 2" xfId="13291" xr:uid="{00000000-0005-0000-0000-0000DD2F0000}"/>
    <cellStyle name="Normal GHG Numbers (0.00) 3 2 6 2 2" xfId="28123" xr:uid="{00000000-0005-0000-0000-0000DE2F0000}"/>
    <cellStyle name="Normal GHG Numbers (0.00) 3 2 6 3" xfId="20879" xr:uid="{00000000-0005-0000-0000-0000DF2F0000}"/>
    <cellStyle name="Normal GHG Numbers (0.00) 3 2 7" xfId="12068" xr:uid="{00000000-0005-0000-0000-0000E02F0000}"/>
    <cellStyle name="Normal GHG Numbers (0.00) 3 2 7 2" xfId="26900" xr:uid="{00000000-0005-0000-0000-0000E12F0000}"/>
    <cellStyle name="Normal GHG Numbers (0.00) 3 3" xfId="2241" xr:uid="{00000000-0005-0000-0000-0000E22F0000}"/>
    <cellStyle name="Normal GHG Numbers (0.00) 3 3 2" xfId="4345" xr:uid="{00000000-0005-0000-0000-0000E32F0000}"/>
    <cellStyle name="Normal GHG Numbers (0.00) 3 3 2 2" xfId="8384" xr:uid="{00000000-0005-0000-0000-0000E42F0000}"/>
    <cellStyle name="Normal GHG Numbers (0.00) 3 3 2 2 2" xfId="24042" xr:uid="{00000000-0005-0000-0000-0000E52F0000}"/>
    <cellStyle name="Normal GHG Numbers (0.00) 3 3 2 3" xfId="14674" xr:uid="{00000000-0005-0000-0000-0000E62F0000}"/>
    <cellStyle name="Normal GHG Numbers (0.00) 3 3 2 3 2" xfId="29506" xr:uid="{00000000-0005-0000-0000-0000E72F0000}"/>
    <cellStyle name="Normal GHG Numbers (0.00) 3 3 3" xfId="5209" xr:uid="{00000000-0005-0000-0000-0000E82F0000}"/>
    <cellStyle name="Normal GHG Numbers (0.00) 3 3 3 2" xfId="9248" xr:uid="{00000000-0005-0000-0000-0000E92F0000}"/>
    <cellStyle name="Normal GHG Numbers (0.00) 3 3 3 2 2" xfId="24586" xr:uid="{00000000-0005-0000-0000-0000EA2F0000}"/>
    <cellStyle name="Normal GHG Numbers (0.00) 3 3 3 3" xfId="15525" xr:uid="{00000000-0005-0000-0000-0000EB2F0000}"/>
    <cellStyle name="Normal GHG Numbers (0.00) 3 3 3 3 2" xfId="30357" xr:uid="{00000000-0005-0000-0000-0000EC2F0000}"/>
    <cellStyle name="Normal GHG Numbers (0.00) 3 3 4" xfId="4239" xr:uid="{00000000-0005-0000-0000-0000ED2F0000}"/>
    <cellStyle name="Normal GHG Numbers (0.00) 3 3 4 2" xfId="8278" xr:uid="{00000000-0005-0000-0000-0000EE2F0000}"/>
    <cellStyle name="Normal GHG Numbers (0.00) 3 3 4 2 2" xfId="23973" xr:uid="{00000000-0005-0000-0000-0000EF2F0000}"/>
    <cellStyle name="Normal GHG Numbers (0.00) 3 3 4 3" xfId="14571" xr:uid="{00000000-0005-0000-0000-0000F02F0000}"/>
    <cellStyle name="Normal GHG Numbers (0.00) 3 3 4 3 2" xfId="29403" xr:uid="{00000000-0005-0000-0000-0000F12F0000}"/>
    <cellStyle name="Normal GHG Numbers (0.00) 3 3 5" xfId="6353" xr:uid="{00000000-0005-0000-0000-0000F22F0000}"/>
    <cellStyle name="Normal GHG Numbers (0.00) 3 3 5 2" xfId="22755" xr:uid="{00000000-0005-0000-0000-0000F32F0000}"/>
    <cellStyle name="Normal GHG Numbers (0.00) 3 4" xfId="3734" xr:uid="{00000000-0005-0000-0000-0000F42F0000}"/>
    <cellStyle name="Normal GHG Numbers (0.00) 3 4 2" xfId="7790" xr:uid="{00000000-0005-0000-0000-0000F52F0000}"/>
    <cellStyle name="Normal GHG Numbers (0.00) 3 4 2 2" xfId="23664" xr:uid="{00000000-0005-0000-0000-0000F62F0000}"/>
    <cellStyle name="Normal GHG Numbers (0.00) 3 4 3" xfId="14069" xr:uid="{00000000-0005-0000-0000-0000F72F0000}"/>
    <cellStyle name="Normal GHG Numbers (0.00) 3 4 3 2" xfId="28901" xr:uid="{00000000-0005-0000-0000-0000F82F0000}"/>
    <cellStyle name="Normal GHG Numbers (0.00) 3 5" xfId="3878" xr:uid="{00000000-0005-0000-0000-0000F92F0000}"/>
    <cellStyle name="Normal GHG Numbers (0.00) 3 5 2" xfId="14213" xr:uid="{00000000-0005-0000-0000-0000FA2F0000}"/>
    <cellStyle name="Normal GHG Numbers (0.00) 3 5 2 2" xfId="29045" xr:uid="{00000000-0005-0000-0000-0000FB2F0000}"/>
    <cellStyle name="Normal GHG Numbers (0.00) 3 5 3" xfId="21399" xr:uid="{00000000-0005-0000-0000-0000FC2F0000}"/>
    <cellStyle name="Normal GHG Numbers (0.00) 3 6" xfId="4543" xr:uid="{00000000-0005-0000-0000-0000FD2F0000}"/>
    <cellStyle name="Normal GHG Numbers (0.00) 3 6 2" xfId="8582" xr:uid="{00000000-0005-0000-0000-0000FE2F0000}"/>
    <cellStyle name="Normal GHG Numbers (0.00) 3 6 2 2" xfId="24208" xr:uid="{00000000-0005-0000-0000-0000FF2F0000}"/>
    <cellStyle name="Normal GHG Numbers (0.00) 3 6 3" xfId="14870" xr:uid="{00000000-0005-0000-0000-000000300000}"/>
    <cellStyle name="Normal GHG Numbers (0.00) 3 6 3 2" xfId="29702" xr:uid="{00000000-0005-0000-0000-000001300000}"/>
    <cellStyle name="Normal GHG Numbers (0.00) 3 7" xfId="2533" xr:uid="{00000000-0005-0000-0000-000002300000}"/>
    <cellStyle name="Normal GHG Numbers (0.00) 3 7 2" xfId="6639" xr:uid="{00000000-0005-0000-0000-000003300000}"/>
    <cellStyle name="Normal GHG Numbers (0.00) 3 7 2 2" xfId="22977" xr:uid="{00000000-0005-0000-0000-000004300000}"/>
    <cellStyle name="Normal GHG Numbers (0.00) 3 7 3" xfId="12871" xr:uid="{00000000-0005-0000-0000-000005300000}"/>
    <cellStyle name="Normal GHG Numbers (0.00) 3 7 3 2" xfId="27703" xr:uid="{00000000-0005-0000-0000-000006300000}"/>
    <cellStyle name="Normal GHG Numbers (0.00) 3 8" xfId="1695" xr:uid="{00000000-0005-0000-0000-000007300000}"/>
    <cellStyle name="Normal GHG Numbers (0.00) 3 8 2" xfId="5827" xr:uid="{00000000-0005-0000-0000-000008300000}"/>
    <cellStyle name="Normal GHG Numbers (0.00) 3 8 2 2" xfId="22424" xr:uid="{00000000-0005-0000-0000-000009300000}"/>
    <cellStyle name="Normal GHG Numbers (0.00) 3 8 3" xfId="12089" xr:uid="{00000000-0005-0000-0000-00000A300000}"/>
    <cellStyle name="Normal GHG Numbers (0.00) 3 8 3 2" xfId="26921" xr:uid="{00000000-0005-0000-0000-00000B300000}"/>
    <cellStyle name="Normal GHG Numbers (0.00) 3 9" xfId="5656" xr:uid="{00000000-0005-0000-0000-00000C300000}"/>
    <cellStyle name="Normal GHG Numbers (0.00) 3 9 2" xfId="15891" xr:uid="{00000000-0005-0000-0000-00000D300000}"/>
    <cellStyle name="Normal GHG Numbers (0.00) 3 9 2 2" xfId="30723" xr:uid="{00000000-0005-0000-0000-00000E300000}"/>
    <cellStyle name="Normal GHG Numbers (0.00) 3 9 3" xfId="22352" xr:uid="{00000000-0005-0000-0000-00000F300000}"/>
    <cellStyle name="Normal GHG Numbers (0.00) 4" xfId="1663" xr:uid="{00000000-0005-0000-0000-000010300000}"/>
    <cellStyle name="Normal GHG Numbers (0.00) 4 2" xfId="4350" xr:uid="{00000000-0005-0000-0000-000011300000}"/>
    <cellStyle name="Normal GHG Numbers (0.00) 4 2 2" xfId="8389" xr:uid="{00000000-0005-0000-0000-000012300000}"/>
    <cellStyle name="Normal GHG Numbers (0.00) 4 2 2 2" xfId="24047" xr:uid="{00000000-0005-0000-0000-000013300000}"/>
    <cellStyle name="Normal GHG Numbers (0.00) 4 2 3" xfId="14679" xr:uid="{00000000-0005-0000-0000-000014300000}"/>
    <cellStyle name="Normal GHG Numbers (0.00) 4 2 3 2" xfId="29511" xr:uid="{00000000-0005-0000-0000-000015300000}"/>
    <cellStyle name="Normal GHG Numbers (0.00) 4 3" xfId="5214" xr:uid="{00000000-0005-0000-0000-000016300000}"/>
    <cellStyle name="Normal GHG Numbers (0.00) 4 3 2" xfId="9253" xr:uid="{00000000-0005-0000-0000-000017300000}"/>
    <cellStyle name="Normal GHG Numbers (0.00) 4 3 2 2" xfId="24591" xr:uid="{00000000-0005-0000-0000-000018300000}"/>
    <cellStyle name="Normal GHG Numbers (0.00) 4 3 3" xfId="15530" xr:uid="{00000000-0005-0000-0000-000019300000}"/>
    <cellStyle name="Normal GHG Numbers (0.00) 4 3 3 2" xfId="30362" xr:uid="{00000000-0005-0000-0000-00001A300000}"/>
    <cellStyle name="Normal GHG Numbers (0.00) 4 4" xfId="4244" xr:uid="{00000000-0005-0000-0000-00001B300000}"/>
    <cellStyle name="Normal GHG Numbers (0.00) 4 4 2" xfId="8283" xr:uid="{00000000-0005-0000-0000-00001C300000}"/>
    <cellStyle name="Normal GHG Numbers (0.00) 4 4 2 2" xfId="23978" xr:uid="{00000000-0005-0000-0000-00001D300000}"/>
    <cellStyle name="Normal GHG Numbers (0.00) 4 4 3" xfId="14576" xr:uid="{00000000-0005-0000-0000-00001E300000}"/>
    <cellStyle name="Normal GHG Numbers (0.00) 4 4 3 2" xfId="29408" xr:uid="{00000000-0005-0000-0000-00001F300000}"/>
    <cellStyle name="Normal GHG Numbers (0.00) 4 5" xfId="2246" xr:uid="{00000000-0005-0000-0000-000020300000}"/>
    <cellStyle name="Normal GHG Numbers (0.00) 4 5 2" xfId="6358" xr:uid="{00000000-0005-0000-0000-000021300000}"/>
    <cellStyle name="Normal GHG Numbers (0.00) 4 5 2 2" xfId="22760" xr:uid="{00000000-0005-0000-0000-000022300000}"/>
    <cellStyle name="Normal GHG Numbers (0.00) 4 6" xfId="5805" xr:uid="{00000000-0005-0000-0000-000023300000}"/>
    <cellStyle name="Normal GHG Numbers (0.00) 4 6 2" xfId="22403" xr:uid="{00000000-0005-0000-0000-000024300000}"/>
    <cellStyle name="Normal GHG Numbers (0.00) 4 7" xfId="12058" xr:uid="{00000000-0005-0000-0000-000025300000}"/>
    <cellStyle name="Normal GHG Numbers (0.00) 4 7 2" xfId="26890" xr:uid="{00000000-0005-0000-0000-000026300000}"/>
    <cellStyle name="Normal GHG Numbers (0.00) 5" xfId="3549" xr:uid="{00000000-0005-0000-0000-000027300000}"/>
    <cellStyle name="Normal GHG Numbers (0.00) 5 2" xfId="7611" xr:uid="{00000000-0005-0000-0000-000028300000}"/>
    <cellStyle name="Normal GHG Numbers (0.00) 5 2 2" xfId="23546" xr:uid="{00000000-0005-0000-0000-000029300000}"/>
    <cellStyle name="Normal GHG Numbers (0.00) 5 3" xfId="13885" xr:uid="{00000000-0005-0000-0000-00002A300000}"/>
    <cellStyle name="Normal GHG Numbers (0.00) 5 3 2" xfId="28717" xr:uid="{00000000-0005-0000-0000-00002B300000}"/>
    <cellStyle name="Normal GHG Numbers (0.00) 6" xfId="3353" xr:uid="{00000000-0005-0000-0000-00002C300000}"/>
    <cellStyle name="Normal GHG Numbers (0.00) 6 2" xfId="7416" xr:uid="{00000000-0005-0000-0000-00002D300000}"/>
    <cellStyle name="Normal GHG Numbers (0.00) 6 2 2" xfId="23418" xr:uid="{00000000-0005-0000-0000-00002E300000}"/>
    <cellStyle name="Normal GHG Numbers (0.00) 6 3" xfId="13690" xr:uid="{00000000-0005-0000-0000-00002F300000}"/>
    <cellStyle name="Normal GHG Numbers (0.00) 6 3 2" xfId="28522" xr:uid="{00000000-0005-0000-0000-000030300000}"/>
    <cellStyle name="Normal GHG Numbers (0.00) 7" xfId="2298" xr:uid="{00000000-0005-0000-0000-000031300000}"/>
    <cellStyle name="Normal GHG Numbers (0.00) 7 2" xfId="6410" xr:uid="{00000000-0005-0000-0000-000032300000}"/>
    <cellStyle name="Normal GHG Numbers (0.00) 7 2 2" xfId="22812" xr:uid="{00000000-0005-0000-0000-000033300000}"/>
    <cellStyle name="Normal GHG Numbers (0.00) 7 3" xfId="12638" xr:uid="{00000000-0005-0000-0000-000034300000}"/>
    <cellStyle name="Normal GHG Numbers (0.00) 7 3 2" xfId="27470" xr:uid="{00000000-0005-0000-0000-000035300000}"/>
    <cellStyle name="Normal GHG Numbers (0.00) 8" xfId="1684" xr:uid="{00000000-0005-0000-0000-000036300000}"/>
    <cellStyle name="Normal GHG Numbers (0.00) 8 2" xfId="5816" xr:uid="{00000000-0005-0000-0000-000037300000}"/>
    <cellStyle name="Normal GHG Numbers (0.00) 8 2 2" xfId="22413" xr:uid="{00000000-0005-0000-0000-000038300000}"/>
    <cellStyle name="Normal GHG Numbers (0.00) 8 3" xfId="12078" xr:uid="{00000000-0005-0000-0000-000039300000}"/>
    <cellStyle name="Normal GHG Numbers (0.00) 8 3 2" xfId="26910" xr:uid="{00000000-0005-0000-0000-00003A300000}"/>
    <cellStyle name="Normal GHG Numbers (0.00) 9" xfId="5471" xr:uid="{00000000-0005-0000-0000-00003B300000}"/>
    <cellStyle name="Normal GHG Numbers (0.00) 9 2" xfId="15706" xr:uid="{00000000-0005-0000-0000-00003C300000}"/>
    <cellStyle name="Normal GHG Numbers (0.00) 9 2 2" xfId="30538" xr:uid="{00000000-0005-0000-0000-00003D300000}"/>
    <cellStyle name="Normal GHG Numbers (0.00) 9 3" xfId="22199" xr:uid="{00000000-0005-0000-0000-00003E300000}"/>
    <cellStyle name="Normal GHG Textfiels Bold" xfId="1212" xr:uid="{00000000-0005-0000-0000-00003F300000}"/>
    <cellStyle name="Normal GHG Textfiels Bold 2" xfId="1300" xr:uid="{00000000-0005-0000-0000-000040300000}"/>
    <cellStyle name="Normal GHG Textfiels Bold 2 10" xfId="1690" xr:uid="{00000000-0005-0000-0000-000041300000}"/>
    <cellStyle name="Normal GHG Textfiels Bold 2 10 2" xfId="5822" xr:uid="{00000000-0005-0000-0000-000042300000}"/>
    <cellStyle name="Normal GHG Textfiels Bold 2 10 2 2" xfId="22419" xr:uid="{00000000-0005-0000-0000-000043300000}"/>
    <cellStyle name="Normal GHG Textfiels Bold 2 10 3" xfId="12084" xr:uid="{00000000-0005-0000-0000-000044300000}"/>
    <cellStyle name="Normal GHG Textfiels Bold 2 10 3 2" xfId="26916" xr:uid="{00000000-0005-0000-0000-000045300000}"/>
    <cellStyle name="Normal GHG Textfiels Bold 2 11" xfId="5477" xr:uid="{00000000-0005-0000-0000-000046300000}"/>
    <cellStyle name="Normal GHG Textfiels Bold 2 11 2" xfId="15712" xr:uid="{00000000-0005-0000-0000-000047300000}"/>
    <cellStyle name="Normal GHG Textfiels Bold 2 11 2 2" xfId="30544" xr:uid="{00000000-0005-0000-0000-000048300000}"/>
    <cellStyle name="Normal GHG Textfiels Bold 2 11 3" xfId="22205" xr:uid="{00000000-0005-0000-0000-000049300000}"/>
    <cellStyle name="Normal GHG Textfiels Bold 2 2" xfId="1384" xr:uid="{00000000-0005-0000-0000-00004A300000}"/>
    <cellStyle name="Normal GHG Textfiels Bold 2 2 2" xfId="1679" xr:uid="{00000000-0005-0000-0000-00004B300000}"/>
    <cellStyle name="Normal GHG Textfiels Bold 2 2 2 2" xfId="2262" xr:uid="{00000000-0005-0000-0000-00004C300000}"/>
    <cellStyle name="Normal GHG Textfiels Bold 2 2 2 2 2" xfId="4366" xr:uid="{00000000-0005-0000-0000-00004D300000}"/>
    <cellStyle name="Normal GHG Textfiels Bold 2 2 2 2 2 2" xfId="8405" xr:uid="{00000000-0005-0000-0000-00004E300000}"/>
    <cellStyle name="Normal GHG Textfiels Bold 2 2 2 2 2 2 2" xfId="24063" xr:uid="{00000000-0005-0000-0000-00004F300000}"/>
    <cellStyle name="Normal GHG Textfiels Bold 2 2 2 2 2 3" xfId="14695" xr:uid="{00000000-0005-0000-0000-000050300000}"/>
    <cellStyle name="Normal GHG Textfiels Bold 2 2 2 2 2 3 2" xfId="29527" xr:uid="{00000000-0005-0000-0000-000051300000}"/>
    <cellStyle name="Normal GHG Textfiels Bold 2 2 2 2 3" xfId="5230" xr:uid="{00000000-0005-0000-0000-000052300000}"/>
    <cellStyle name="Normal GHG Textfiels Bold 2 2 2 2 3 2" xfId="9269" xr:uid="{00000000-0005-0000-0000-000053300000}"/>
    <cellStyle name="Normal GHG Textfiels Bold 2 2 2 2 3 2 2" xfId="24607" xr:uid="{00000000-0005-0000-0000-000054300000}"/>
    <cellStyle name="Normal GHG Textfiels Bold 2 2 2 2 3 3" xfId="15546" xr:uid="{00000000-0005-0000-0000-000055300000}"/>
    <cellStyle name="Normal GHG Textfiels Bold 2 2 2 2 3 3 2" xfId="30378" xr:uid="{00000000-0005-0000-0000-000056300000}"/>
    <cellStyle name="Normal GHG Textfiels Bold 2 2 2 2 4" xfId="4260" xr:uid="{00000000-0005-0000-0000-000057300000}"/>
    <cellStyle name="Normal GHG Textfiels Bold 2 2 2 2 4 2" xfId="8299" xr:uid="{00000000-0005-0000-0000-000058300000}"/>
    <cellStyle name="Normal GHG Textfiels Bold 2 2 2 2 4 2 2" xfId="23994" xr:uid="{00000000-0005-0000-0000-000059300000}"/>
    <cellStyle name="Normal GHG Textfiels Bold 2 2 2 2 4 3" xfId="14592" xr:uid="{00000000-0005-0000-0000-00005A300000}"/>
    <cellStyle name="Normal GHG Textfiels Bold 2 2 2 2 4 3 2" xfId="29424" xr:uid="{00000000-0005-0000-0000-00005B300000}"/>
    <cellStyle name="Normal GHG Textfiels Bold 2 2 2 2 5" xfId="6374" xr:uid="{00000000-0005-0000-0000-00005C300000}"/>
    <cellStyle name="Normal GHG Textfiels Bold 2 2 2 2 5 2" xfId="22776" xr:uid="{00000000-0005-0000-0000-00005D300000}"/>
    <cellStyle name="Normal GHG Textfiels Bold 2 2 2 3" xfId="3968" xr:uid="{00000000-0005-0000-0000-00005E300000}"/>
    <cellStyle name="Normal GHG Textfiels Bold 2 2 2 3 2" xfId="8017" xr:uid="{00000000-0005-0000-0000-00005F300000}"/>
    <cellStyle name="Normal GHG Textfiels Bold 2 2 2 3 2 2" xfId="23810" xr:uid="{00000000-0005-0000-0000-000060300000}"/>
    <cellStyle name="Normal GHG Textfiels Bold 2 2 2 3 3" xfId="14301" xr:uid="{00000000-0005-0000-0000-000061300000}"/>
    <cellStyle name="Normal GHG Textfiels Bold 2 2 2 3 3 2" xfId="29133" xr:uid="{00000000-0005-0000-0000-000062300000}"/>
    <cellStyle name="Normal GHG Textfiels Bold 2 2 2 4" xfId="4263" xr:uid="{00000000-0005-0000-0000-000063300000}"/>
    <cellStyle name="Normal GHG Textfiels Bold 2 2 2 4 2" xfId="8302" xr:uid="{00000000-0005-0000-0000-000064300000}"/>
    <cellStyle name="Normal GHG Textfiels Bold 2 2 2 4 2 2" xfId="23997" xr:uid="{00000000-0005-0000-0000-000065300000}"/>
    <cellStyle name="Normal GHG Textfiels Bold 2 2 2 4 3" xfId="14595" xr:uid="{00000000-0005-0000-0000-000066300000}"/>
    <cellStyle name="Normal GHG Textfiels Bold 2 2 2 4 3 2" xfId="29427" xr:uid="{00000000-0005-0000-0000-000067300000}"/>
    <cellStyle name="Normal GHG Textfiels Bold 2 2 2 5" xfId="4866" xr:uid="{00000000-0005-0000-0000-000068300000}"/>
    <cellStyle name="Normal GHG Textfiels Bold 2 2 2 5 2" xfId="8905" xr:uid="{00000000-0005-0000-0000-000069300000}"/>
    <cellStyle name="Normal GHG Textfiels Bold 2 2 2 5 2 2" xfId="24371" xr:uid="{00000000-0005-0000-0000-00006A300000}"/>
    <cellStyle name="Normal GHG Textfiels Bold 2 2 2 5 3" xfId="15189" xr:uid="{00000000-0005-0000-0000-00006B300000}"/>
    <cellStyle name="Normal GHG Textfiels Bold 2 2 2 5 3 2" xfId="30021" xr:uid="{00000000-0005-0000-0000-00006C300000}"/>
    <cellStyle name="Normal GHG Textfiels Bold 2 2 2 6" xfId="2856" xr:uid="{00000000-0005-0000-0000-00006D300000}"/>
    <cellStyle name="Normal GHG Textfiels Bold 2 2 2 6 2" xfId="13194" xr:uid="{00000000-0005-0000-0000-00006E300000}"/>
    <cellStyle name="Normal GHG Textfiels Bold 2 2 2 6 2 2" xfId="28026" xr:uid="{00000000-0005-0000-0000-00006F300000}"/>
    <cellStyle name="Normal GHG Textfiels Bold 2 2 2 6 3" xfId="20782" xr:uid="{00000000-0005-0000-0000-000070300000}"/>
    <cellStyle name="Normal GHG Textfiels Bold 2 2 2 7" xfId="1888" xr:uid="{00000000-0005-0000-0000-000071300000}"/>
    <cellStyle name="Normal GHG Textfiels Bold 2 2 2 7 2" xfId="6019" xr:uid="{00000000-0005-0000-0000-000072300000}"/>
    <cellStyle name="Normal GHG Textfiels Bold 2 2 2 7 2 2" xfId="22552" xr:uid="{00000000-0005-0000-0000-000073300000}"/>
    <cellStyle name="Normal GHG Textfiels Bold 2 2 2 8" xfId="12074" xr:uid="{00000000-0005-0000-0000-000074300000}"/>
    <cellStyle name="Normal GHG Textfiels Bold 2 2 2 8 2" xfId="26906" xr:uid="{00000000-0005-0000-0000-000075300000}"/>
    <cellStyle name="Normal GHG Textfiels Bold 2 2 3" xfId="3667" xr:uid="{00000000-0005-0000-0000-000076300000}"/>
    <cellStyle name="Normal GHG Textfiels Bold 2 2 3 2" xfId="7725" xr:uid="{00000000-0005-0000-0000-000077300000}"/>
    <cellStyle name="Normal GHG Textfiels Bold 2 2 3 2 2" xfId="23621" xr:uid="{00000000-0005-0000-0000-000078300000}"/>
    <cellStyle name="Normal GHG Textfiels Bold 2 2 3 3" xfId="14002" xr:uid="{00000000-0005-0000-0000-000079300000}"/>
    <cellStyle name="Normal GHG Textfiels Bold 2 2 3 3 2" xfId="28834" xr:uid="{00000000-0005-0000-0000-00007A300000}"/>
    <cellStyle name="Normal GHG Textfiels Bold 2 2 4" xfId="4446" xr:uid="{00000000-0005-0000-0000-00007B300000}"/>
    <cellStyle name="Normal GHG Textfiels Bold 2 2 4 2" xfId="8485" xr:uid="{00000000-0005-0000-0000-00007C300000}"/>
    <cellStyle name="Normal GHG Textfiels Bold 2 2 4 2 2" xfId="24111" xr:uid="{00000000-0005-0000-0000-00007D300000}"/>
    <cellStyle name="Normal GHG Textfiels Bold 2 2 4 3" xfId="14774" xr:uid="{00000000-0005-0000-0000-00007E300000}"/>
    <cellStyle name="Normal GHG Textfiels Bold 2 2 4 3 2" xfId="29606" xr:uid="{00000000-0005-0000-0000-00007F300000}"/>
    <cellStyle name="Normal GHG Textfiels Bold 2 2 5" xfId="2436" xr:uid="{00000000-0005-0000-0000-000080300000}"/>
    <cellStyle name="Normal GHG Textfiels Bold 2 2 5 2" xfId="12775" xr:uid="{00000000-0005-0000-0000-000081300000}"/>
    <cellStyle name="Normal GHG Textfiels Bold 2 2 5 2 2" xfId="27607" xr:uid="{00000000-0005-0000-0000-000082300000}"/>
    <cellStyle name="Normal GHG Textfiels Bold 2 2 5 3" xfId="20528" xr:uid="{00000000-0005-0000-0000-000083300000}"/>
    <cellStyle name="Normal GHG Textfiels Bold 2 2 6" xfId="5560" xr:uid="{00000000-0005-0000-0000-000084300000}"/>
    <cellStyle name="Normal GHG Textfiels Bold 2 2 6 2" xfId="15795" xr:uid="{00000000-0005-0000-0000-000085300000}"/>
    <cellStyle name="Normal GHG Textfiels Bold 2 2 6 2 2" xfId="30627" xr:uid="{00000000-0005-0000-0000-000086300000}"/>
    <cellStyle name="Normal GHG Textfiels Bold 2 2 6 3" xfId="22256" xr:uid="{00000000-0005-0000-0000-000087300000}"/>
    <cellStyle name="Normal GHG Textfiels Bold 2 3" xfId="1556" xr:uid="{00000000-0005-0000-0000-000088300000}"/>
    <cellStyle name="Normal GHG Textfiels Bold 2 3 2" xfId="2053" xr:uid="{00000000-0005-0000-0000-000089300000}"/>
    <cellStyle name="Normal GHG Textfiels Bold 2 3 2 2" xfId="4076" xr:uid="{00000000-0005-0000-0000-00008A300000}"/>
    <cellStyle name="Normal GHG Textfiels Bold 2 3 2 2 2" xfId="8122" xr:uid="{00000000-0005-0000-0000-00008B300000}"/>
    <cellStyle name="Normal GHG Textfiels Bold 2 3 2 2 2 2" xfId="23873" xr:uid="{00000000-0005-0000-0000-00008C300000}"/>
    <cellStyle name="Normal GHG Textfiels Bold 2 3 2 2 3" xfId="14408" xr:uid="{00000000-0005-0000-0000-00008D300000}"/>
    <cellStyle name="Normal GHG Textfiels Bold 2 3 2 2 3 2" xfId="29240" xr:uid="{00000000-0005-0000-0000-00008E300000}"/>
    <cellStyle name="Normal GHG Textfiels Bold 2 3 2 3" xfId="3394" xr:uid="{00000000-0005-0000-0000-00008F300000}"/>
    <cellStyle name="Normal GHG Textfiels Bold 2 3 2 3 2" xfId="7457" xr:uid="{00000000-0005-0000-0000-000090300000}"/>
    <cellStyle name="Normal GHG Textfiels Bold 2 3 2 3 2 2" xfId="23446" xr:uid="{00000000-0005-0000-0000-000091300000}"/>
    <cellStyle name="Normal GHG Textfiels Bold 2 3 2 3 3" xfId="13731" xr:uid="{00000000-0005-0000-0000-000092300000}"/>
    <cellStyle name="Normal GHG Textfiels Bold 2 3 2 3 3 2" xfId="28563" xr:uid="{00000000-0005-0000-0000-000093300000}"/>
    <cellStyle name="Normal GHG Textfiels Bold 2 3 2 4" xfId="5021" xr:uid="{00000000-0005-0000-0000-000094300000}"/>
    <cellStyle name="Normal GHG Textfiels Bold 2 3 2 4 2" xfId="9060" xr:uid="{00000000-0005-0000-0000-000095300000}"/>
    <cellStyle name="Normal GHG Textfiels Bold 2 3 2 4 2 2" xfId="24494" xr:uid="{00000000-0005-0000-0000-000096300000}"/>
    <cellStyle name="Normal GHG Textfiels Bold 2 3 2 4 3" xfId="15342" xr:uid="{00000000-0005-0000-0000-000097300000}"/>
    <cellStyle name="Normal GHG Textfiels Bold 2 3 2 4 3 2" xfId="30174" xr:uid="{00000000-0005-0000-0000-000098300000}"/>
    <cellStyle name="Normal GHG Textfiels Bold 2 3 2 5" xfId="3011" xr:uid="{00000000-0005-0000-0000-000099300000}"/>
    <cellStyle name="Normal GHG Textfiels Bold 2 3 2 5 2" xfId="13349" xr:uid="{00000000-0005-0000-0000-00009A300000}"/>
    <cellStyle name="Normal GHG Textfiels Bold 2 3 2 5 2 2" xfId="28181" xr:uid="{00000000-0005-0000-0000-00009B300000}"/>
    <cellStyle name="Normal GHG Textfiels Bold 2 3 2 5 3" xfId="20905" xr:uid="{00000000-0005-0000-0000-00009C300000}"/>
    <cellStyle name="Normal GHG Textfiels Bold 2 3 3" xfId="3778" xr:uid="{00000000-0005-0000-0000-00009D300000}"/>
    <cellStyle name="Normal GHG Textfiels Bold 2 3 3 2" xfId="7833" xr:uid="{00000000-0005-0000-0000-00009E300000}"/>
    <cellStyle name="Normal GHG Textfiels Bold 2 3 3 2 2" xfId="23689" xr:uid="{00000000-0005-0000-0000-00009F300000}"/>
    <cellStyle name="Normal GHG Textfiels Bold 2 3 3 3" xfId="14113" xr:uid="{00000000-0005-0000-0000-0000A0300000}"/>
    <cellStyle name="Normal GHG Textfiels Bold 2 3 3 3 2" xfId="28945" xr:uid="{00000000-0005-0000-0000-0000A1300000}"/>
    <cellStyle name="Normal GHG Textfiels Bold 2 3 4" xfId="4601" xr:uid="{00000000-0005-0000-0000-0000A2300000}"/>
    <cellStyle name="Normal GHG Textfiels Bold 2 3 4 2" xfId="8640" xr:uid="{00000000-0005-0000-0000-0000A3300000}"/>
    <cellStyle name="Normal GHG Textfiels Bold 2 3 4 2 2" xfId="24234" xr:uid="{00000000-0005-0000-0000-0000A4300000}"/>
    <cellStyle name="Normal GHG Textfiels Bold 2 3 4 3" xfId="14927" xr:uid="{00000000-0005-0000-0000-0000A5300000}"/>
    <cellStyle name="Normal GHG Textfiels Bold 2 3 4 3 2" xfId="29759" xr:uid="{00000000-0005-0000-0000-0000A6300000}"/>
    <cellStyle name="Normal GHG Textfiels Bold 2 3 5" xfId="2591" xr:uid="{00000000-0005-0000-0000-0000A7300000}"/>
    <cellStyle name="Normal GHG Textfiels Bold 2 3 5 2" xfId="12929" xr:uid="{00000000-0005-0000-0000-0000A8300000}"/>
    <cellStyle name="Normal GHG Textfiels Bold 2 3 5 2 2" xfId="27761" xr:uid="{00000000-0005-0000-0000-0000A9300000}"/>
    <cellStyle name="Normal GHG Textfiels Bold 2 3 5 3" xfId="20645" xr:uid="{00000000-0005-0000-0000-0000AA300000}"/>
    <cellStyle name="Normal GHG Textfiels Bold 2 3 6" xfId="1701" xr:uid="{00000000-0005-0000-0000-0000AB300000}"/>
    <cellStyle name="Normal GHG Textfiels Bold 2 3 6 2" xfId="5833" xr:uid="{00000000-0005-0000-0000-0000AC300000}"/>
    <cellStyle name="Normal GHG Textfiels Bold 2 3 6 2 2" xfId="22430" xr:uid="{00000000-0005-0000-0000-0000AD300000}"/>
    <cellStyle name="Normal GHG Textfiels Bold 2 3 6 3" xfId="12095" xr:uid="{00000000-0005-0000-0000-0000AE300000}"/>
    <cellStyle name="Normal GHG Textfiels Bold 2 3 6 3 2" xfId="26927" xr:uid="{00000000-0005-0000-0000-0000AF300000}"/>
    <cellStyle name="Normal GHG Textfiels Bold 2 4" xfId="1609" xr:uid="{00000000-0005-0000-0000-0000B0300000}"/>
    <cellStyle name="Normal GHG Textfiels Bold 2 4 2" xfId="2106" xr:uid="{00000000-0005-0000-0000-0000B1300000}"/>
    <cellStyle name="Normal GHG Textfiels Bold 2 4 2 2" xfId="4116" xr:uid="{00000000-0005-0000-0000-0000B2300000}"/>
    <cellStyle name="Normal GHG Textfiels Bold 2 4 2 2 2" xfId="8161" xr:uid="{00000000-0005-0000-0000-0000B3300000}"/>
    <cellStyle name="Normal GHG Textfiels Bold 2 4 2 2 2 2" xfId="23899" xr:uid="{00000000-0005-0000-0000-0000B4300000}"/>
    <cellStyle name="Normal GHG Textfiels Bold 2 4 2 2 3" xfId="14448" xr:uid="{00000000-0005-0000-0000-0000B5300000}"/>
    <cellStyle name="Normal GHG Textfiels Bold 2 4 2 2 3 2" xfId="29280" xr:uid="{00000000-0005-0000-0000-0000B6300000}"/>
    <cellStyle name="Normal GHG Textfiels Bold 2 4 2 3" xfId="3490" xr:uid="{00000000-0005-0000-0000-0000B7300000}"/>
    <cellStyle name="Normal GHG Textfiels Bold 2 4 2 3 2" xfId="7552" xr:uid="{00000000-0005-0000-0000-0000B8300000}"/>
    <cellStyle name="Normal GHG Textfiels Bold 2 4 2 3 2 2" xfId="23512" xr:uid="{00000000-0005-0000-0000-0000B9300000}"/>
    <cellStyle name="Normal GHG Textfiels Bold 2 4 2 3 3" xfId="13827" xr:uid="{00000000-0005-0000-0000-0000BA300000}"/>
    <cellStyle name="Normal GHG Textfiels Bold 2 4 2 3 3 2" xfId="28659" xr:uid="{00000000-0005-0000-0000-0000BB300000}"/>
    <cellStyle name="Normal GHG Textfiels Bold 2 4 2 4" xfId="5074" xr:uid="{00000000-0005-0000-0000-0000BC300000}"/>
    <cellStyle name="Normal GHG Textfiels Bold 2 4 2 4 2" xfId="9113" xr:uid="{00000000-0005-0000-0000-0000BD300000}"/>
    <cellStyle name="Normal GHG Textfiels Bold 2 4 2 4 2 2" xfId="24515" xr:uid="{00000000-0005-0000-0000-0000BE300000}"/>
    <cellStyle name="Normal GHG Textfiels Bold 2 4 2 4 3" xfId="15394" xr:uid="{00000000-0005-0000-0000-0000BF300000}"/>
    <cellStyle name="Normal GHG Textfiels Bold 2 4 2 4 3 2" xfId="30226" xr:uid="{00000000-0005-0000-0000-0000C0300000}"/>
    <cellStyle name="Normal GHG Textfiels Bold 2 4 2 5" xfId="3064" xr:uid="{00000000-0005-0000-0000-0000C1300000}"/>
    <cellStyle name="Normal GHG Textfiels Bold 2 4 2 5 2" xfId="13402" xr:uid="{00000000-0005-0000-0000-0000C2300000}"/>
    <cellStyle name="Normal GHG Textfiels Bold 2 4 2 5 2 2" xfId="28234" xr:uid="{00000000-0005-0000-0000-0000C3300000}"/>
    <cellStyle name="Normal GHG Textfiels Bold 2 4 2 5 3" xfId="20926" xr:uid="{00000000-0005-0000-0000-0000C4300000}"/>
    <cellStyle name="Normal GHG Textfiels Bold 2 4 3" xfId="3816" xr:uid="{00000000-0005-0000-0000-0000C5300000}"/>
    <cellStyle name="Normal GHG Textfiels Bold 2 4 3 2" xfId="7869" xr:uid="{00000000-0005-0000-0000-0000C6300000}"/>
    <cellStyle name="Normal GHG Textfiels Bold 2 4 3 2 2" xfId="23716" xr:uid="{00000000-0005-0000-0000-0000C7300000}"/>
    <cellStyle name="Normal GHG Textfiels Bold 2 4 3 3" xfId="14151" xr:uid="{00000000-0005-0000-0000-0000C8300000}"/>
    <cellStyle name="Normal GHG Textfiels Bold 2 4 3 3 2" xfId="28983" xr:uid="{00000000-0005-0000-0000-0000C9300000}"/>
    <cellStyle name="Normal GHG Textfiels Bold 2 4 4" xfId="4654" xr:uid="{00000000-0005-0000-0000-0000CA300000}"/>
    <cellStyle name="Normal GHG Textfiels Bold 2 4 4 2" xfId="8693" xr:uid="{00000000-0005-0000-0000-0000CB300000}"/>
    <cellStyle name="Normal GHG Textfiels Bold 2 4 4 2 2" xfId="24255" xr:uid="{00000000-0005-0000-0000-0000CC300000}"/>
    <cellStyle name="Normal GHG Textfiels Bold 2 4 4 3" xfId="14979" xr:uid="{00000000-0005-0000-0000-0000CD300000}"/>
    <cellStyle name="Normal GHG Textfiels Bold 2 4 4 3 2" xfId="29811" xr:uid="{00000000-0005-0000-0000-0000CE300000}"/>
    <cellStyle name="Normal GHG Textfiels Bold 2 4 5" xfId="2644" xr:uid="{00000000-0005-0000-0000-0000CF300000}"/>
    <cellStyle name="Normal GHG Textfiels Bold 2 4 5 2" xfId="12982" xr:uid="{00000000-0005-0000-0000-0000D0300000}"/>
    <cellStyle name="Normal GHG Textfiels Bold 2 4 5 2 2" xfId="27814" xr:uid="{00000000-0005-0000-0000-0000D1300000}"/>
    <cellStyle name="Normal GHG Textfiels Bold 2 4 5 3" xfId="20666" xr:uid="{00000000-0005-0000-0000-0000D2300000}"/>
    <cellStyle name="Normal GHG Textfiels Bold 2 4 6" xfId="1706" xr:uid="{00000000-0005-0000-0000-0000D3300000}"/>
    <cellStyle name="Normal GHG Textfiels Bold 2 4 6 2" xfId="5838" xr:uid="{00000000-0005-0000-0000-0000D4300000}"/>
    <cellStyle name="Normal GHG Textfiels Bold 2 4 6 2 2" xfId="22435" xr:uid="{00000000-0005-0000-0000-0000D5300000}"/>
    <cellStyle name="Normal GHG Textfiels Bold 2 4 6 3" xfId="12100" xr:uid="{00000000-0005-0000-0000-0000D6300000}"/>
    <cellStyle name="Normal GHG Textfiels Bold 2 4 6 3 2" xfId="26932" xr:uid="{00000000-0005-0000-0000-0000D7300000}"/>
    <cellStyle name="Normal GHG Textfiels Bold 2 5" xfId="1659" xr:uid="{00000000-0005-0000-0000-0000D8300000}"/>
    <cellStyle name="Normal GHG Textfiels Bold 2 5 2" xfId="2156" xr:uid="{00000000-0005-0000-0000-0000D9300000}"/>
    <cellStyle name="Normal GHG Textfiels Bold 2 5 2 2" xfId="4154" xr:uid="{00000000-0005-0000-0000-0000DA300000}"/>
    <cellStyle name="Normal GHG Textfiels Bold 2 5 2 2 2" xfId="8196" xr:uid="{00000000-0005-0000-0000-0000DB300000}"/>
    <cellStyle name="Normal GHG Textfiels Bold 2 5 2 2 2 2" xfId="23923" xr:uid="{00000000-0005-0000-0000-0000DC300000}"/>
    <cellStyle name="Normal GHG Textfiels Bold 2 5 2 2 3" xfId="14486" xr:uid="{00000000-0005-0000-0000-0000DD300000}"/>
    <cellStyle name="Normal GHG Textfiels Bold 2 5 2 2 3 2" xfId="29318" xr:uid="{00000000-0005-0000-0000-0000DE300000}"/>
    <cellStyle name="Normal GHG Textfiels Bold 2 5 2 3" xfId="3417" xr:uid="{00000000-0005-0000-0000-0000DF300000}"/>
    <cellStyle name="Normal GHG Textfiels Bold 2 5 2 3 2" xfId="7480" xr:uid="{00000000-0005-0000-0000-0000E0300000}"/>
    <cellStyle name="Normal GHG Textfiels Bold 2 5 2 3 2 2" xfId="23463" xr:uid="{00000000-0005-0000-0000-0000E1300000}"/>
    <cellStyle name="Normal GHG Textfiels Bold 2 5 2 3 3" xfId="13754" xr:uid="{00000000-0005-0000-0000-0000E2300000}"/>
    <cellStyle name="Normal GHG Textfiels Bold 2 5 2 3 3 2" xfId="28586" xr:uid="{00000000-0005-0000-0000-0000E3300000}"/>
    <cellStyle name="Normal GHG Textfiels Bold 2 5 2 4" xfId="5124" xr:uid="{00000000-0005-0000-0000-0000E4300000}"/>
    <cellStyle name="Normal GHG Textfiels Bold 2 5 2 4 2" xfId="9163" xr:uid="{00000000-0005-0000-0000-0000E5300000}"/>
    <cellStyle name="Normal GHG Textfiels Bold 2 5 2 4 2 2" xfId="24533" xr:uid="{00000000-0005-0000-0000-0000E6300000}"/>
    <cellStyle name="Normal GHG Textfiels Bold 2 5 2 4 3" xfId="15443" xr:uid="{00000000-0005-0000-0000-0000E7300000}"/>
    <cellStyle name="Normal GHG Textfiels Bold 2 5 2 4 3 2" xfId="30275" xr:uid="{00000000-0005-0000-0000-0000E8300000}"/>
    <cellStyle name="Normal GHG Textfiels Bold 2 5 2 5" xfId="3114" xr:uid="{00000000-0005-0000-0000-0000E9300000}"/>
    <cellStyle name="Normal GHG Textfiels Bold 2 5 2 5 2" xfId="13452" xr:uid="{00000000-0005-0000-0000-0000EA300000}"/>
    <cellStyle name="Normal GHG Textfiels Bold 2 5 2 5 2 2" xfId="28284" xr:uid="{00000000-0005-0000-0000-0000EB300000}"/>
    <cellStyle name="Normal GHG Textfiels Bold 2 5 2 5 3" xfId="20944" xr:uid="{00000000-0005-0000-0000-0000EC300000}"/>
    <cellStyle name="Normal GHG Textfiels Bold 2 5 3" xfId="3854" xr:uid="{00000000-0005-0000-0000-0000ED300000}"/>
    <cellStyle name="Normal GHG Textfiels Bold 2 5 3 2" xfId="7906" xr:uid="{00000000-0005-0000-0000-0000EE300000}"/>
    <cellStyle name="Normal GHG Textfiels Bold 2 5 3 2 2" xfId="23742" xr:uid="{00000000-0005-0000-0000-0000EF300000}"/>
    <cellStyle name="Normal GHG Textfiels Bold 2 5 3 3" xfId="14189" xr:uid="{00000000-0005-0000-0000-0000F0300000}"/>
    <cellStyle name="Normal GHG Textfiels Bold 2 5 3 3 2" xfId="29021" xr:uid="{00000000-0005-0000-0000-0000F1300000}"/>
    <cellStyle name="Normal GHG Textfiels Bold 2 5 4" xfId="4704" xr:uid="{00000000-0005-0000-0000-0000F2300000}"/>
    <cellStyle name="Normal GHG Textfiels Bold 2 5 4 2" xfId="8743" xr:uid="{00000000-0005-0000-0000-0000F3300000}"/>
    <cellStyle name="Normal GHG Textfiels Bold 2 5 4 2 2" xfId="24273" xr:uid="{00000000-0005-0000-0000-0000F4300000}"/>
    <cellStyle name="Normal GHG Textfiels Bold 2 5 4 3" xfId="15028" xr:uid="{00000000-0005-0000-0000-0000F5300000}"/>
    <cellStyle name="Normal GHG Textfiels Bold 2 5 4 3 2" xfId="29860" xr:uid="{00000000-0005-0000-0000-0000F6300000}"/>
    <cellStyle name="Normal GHG Textfiels Bold 2 5 5" xfId="2694" xr:uid="{00000000-0005-0000-0000-0000F7300000}"/>
    <cellStyle name="Normal GHG Textfiels Bold 2 5 5 2" xfId="13032" xr:uid="{00000000-0005-0000-0000-0000F8300000}"/>
    <cellStyle name="Normal GHG Textfiels Bold 2 5 5 2 2" xfId="27864" xr:uid="{00000000-0005-0000-0000-0000F9300000}"/>
    <cellStyle name="Normal GHG Textfiels Bold 2 5 5 3" xfId="20684" xr:uid="{00000000-0005-0000-0000-0000FA300000}"/>
    <cellStyle name="Normal GHG Textfiels Bold 2 5 6" xfId="1711" xr:uid="{00000000-0005-0000-0000-0000FB300000}"/>
    <cellStyle name="Normal GHG Textfiels Bold 2 5 6 2" xfId="5843" xr:uid="{00000000-0005-0000-0000-0000FC300000}"/>
    <cellStyle name="Normal GHG Textfiels Bold 2 5 6 2 2" xfId="22440" xr:uid="{00000000-0005-0000-0000-0000FD300000}"/>
    <cellStyle name="Normal GHG Textfiels Bold 2 5 6 3" xfId="12105" xr:uid="{00000000-0005-0000-0000-0000FE300000}"/>
    <cellStyle name="Normal GHG Textfiels Bold 2 5 6 3 2" xfId="26937" xr:uid="{00000000-0005-0000-0000-0000FF300000}"/>
    <cellStyle name="Normal GHG Textfiels Bold 2 6" xfId="1669" xr:uid="{00000000-0005-0000-0000-000000310000}"/>
    <cellStyle name="Normal GHG Textfiels Bold 2 6 2" xfId="4356" xr:uid="{00000000-0005-0000-0000-000001310000}"/>
    <cellStyle name="Normal GHG Textfiels Bold 2 6 2 2" xfId="8395" xr:uid="{00000000-0005-0000-0000-000002310000}"/>
    <cellStyle name="Normal GHG Textfiels Bold 2 6 2 2 2" xfId="24053" xr:uid="{00000000-0005-0000-0000-000003310000}"/>
    <cellStyle name="Normal GHG Textfiels Bold 2 6 2 3" xfId="14685" xr:uid="{00000000-0005-0000-0000-000004310000}"/>
    <cellStyle name="Normal GHG Textfiels Bold 2 6 2 3 2" xfId="29517" xr:uid="{00000000-0005-0000-0000-000005310000}"/>
    <cellStyle name="Normal GHG Textfiels Bold 2 6 3" xfId="5220" xr:uid="{00000000-0005-0000-0000-000006310000}"/>
    <cellStyle name="Normal GHG Textfiels Bold 2 6 3 2" xfId="9259" xr:uid="{00000000-0005-0000-0000-000007310000}"/>
    <cellStyle name="Normal GHG Textfiels Bold 2 6 3 2 2" xfId="24597" xr:uid="{00000000-0005-0000-0000-000008310000}"/>
    <cellStyle name="Normal GHG Textfiels Bold 2 6 3 3" xfId="15536" xr:uid="{00000000-0005-0000-0000-000009310000}"/>
    <cellStyle name="Normal GHG Textfiels Bold 2 6 3 3 2" xfId="30368" xr:uid="{00000000-0005-0000-0000-00000A310000}"/>
    <cellStyle name="Normal GHG Textfiels Bold 2 6 4" xfId="4250" xr:uid="{00000000-0005-0000-0000-00000B310000}"/>
    <cellStyle name="Normal GHG Textfiels Bold 2 6 4 2" xfId="8289" xr:uid="{00000000-0005-0000-0000-00000C310000}"/>
    <cellStyle name="Normal GHG Textfiels Bold 2 6 4 2 2" xfId="23984" xr:uid="{00000000-0005-0000-0000-00000D310000}"/>
    <cellStyle name="Normal GHG Textfiels Bold 2 6 4 3" xfId="14582" xr:uid="{00000000-0005-0000-0000-00000E310000}"/>
    <cellStyle name="Normal GHG Textfiels Bold 2 6 4 3 2" xfId="29414" xr:uid="{00000000-0005-0000-0000-00000F310000}"/>
    <cellStyle name="Normal GHG Textfiels Bold 2 6 5" xfId="2252" xr:uid="{00000000-0005-0000-0000-000010310000}"/>
    <cellStyle name="Normal GHG Textfiels Bold 2 6 5 2" xfId="6364" xr:uid="{00000000-0005-0000-0000-000011310000}"/>
    <cellStyle name="Normal GHG Textfiels Bold 2 6 5 2 2" xfId="22766" xr:uid="{00000000-0005-0000-0000-000012310000}"/>
    <cellStyle name="Normal GHG Textfiels Bold 2 6 6" xfId="5811" xr:uid="{00000000-0005-0000-0000-000013310000}"/>
    <cellStyle name="Normal GHG Textfiels Bold 2 6 6 2" xfId="22409" xr:uid="{00000000-0005-0000-0000-000014310000}"/>
    <cellStyle name="Normal GHG Textfiels Bold 2 6 7" xfId="12064" xr:uid="{00000000-0005-0000-0000-000015310000}"/>
    <cellStyle name="Normal GHG Textfiels Bold 2 6 7 2" xfId="26896" xr:uid="{00000000-0005-0000-0000-000016310000}"/>
    <cellStyle name="Normal GHG Textfiels Bold 2 7" xfId="3616" xr:uid="{00000000-0005-0000-0000-000017310000}"/>
    <cellStyle name="Normal GHG Textfiels Bold 2 7 2" xfId="7676" xr:uid="{00000000-0005-0000-0000-000018310000}"/>
    <cellStyle name="Normal GHG Textfiels Bold 2 7 2 2" xfId="23586" xr:uid="{00000000-0005-0000-0000-000019310000}"/>
    <cellStyle name="Normal GHG Textfiels Bold 2 7 3" xfId="13951" xr:uid="{00000000-0005-0000-0000-00001A310000}"/>
    <cellStyle name="Normal GHG Textfiels Bold 2 7 3 2" xfId="28783" xr:uid="{00000000-0005-0000-0000-00001B310000}"/>
    <cellStyle name="Normal GHG Textfiels Bold 2 8" xfId="3607" xr:uid="{00000000-0005-0000-0000-00001C310000}"/>
    <cellStyle name="Normal GHG Textfiels Bold 2 8 2" xfId="7668" xr:uid="{00000000-0005-0000-0000-00001D310000}"/>
    <cellStyle name="Normal GHG Textfiels Bold 2 8 2 2" xfId="23578" xr:uid="{00000000-0005-0000-0000-00001E310000}"/>
    <cellStyle name="Normal GHG Textfiels Bold 2 8 3" xfId="13943" xr:uid="{00000000-0005-0000-0000-00001F310000}"/>
    <cellStyle name="Normal GHG Textfiels Bold 2 8 3 2" xfId="28775" xr:uid="{00000000-0005-0000-0000-000020310000}"/>
    <cellStyle name="Normal GHG Textfiels Bold 2 9" xfId="2352" xr:uid="{00000000-0005-0000-0000-000021310000}"/>
    <cellStyle name="Normal GHG Textfiels Bold 2 9 2" xfId="6464" xr:uid="{00000000-0005-0000-0000-000022310000}"/>
    <cellStyle name="Normal GHG Textfiels Bold 2 9 2 2" xfId="22834" xr:uid="{00000000-0005-0000-0000-000023310000}"/>
    <cellStyle name="Normal GHG Textfiels Bold 2 9 3" xfId="12691" xr:uid="{00000000-0005-0000-0000-000024310000}"/>
    <cellStyle name="Normal GHG Textfiels Bold 2 9 3 2" xfId="27523" xr:uid="{00000000-0005-0000-0000-000025310000}"/>
    <cellStyle name="Normal GHG Textfiels Bold 3" xfId="1499" xr:uid="{00000000-0005-0000-0000-000026310000}"/>
    <cellStyle name="Normal GHG Textfiels Bold 3 2" xfId="1674" xr:uid="{00000000-0005-0000-0000-000027310000}"/>
    <cellStyle name="Normal GHG Textfiels Bold 3 2 2" xfId="2257" xr:uid="{00000000-0005-0000-0000-000028310000}"/>
    <cellStyle name="Normal GHG Textfiels Bold 3 2 2 2" xfId="4361" xr:uid="{00000000-0005-0000-0000-000029310000}"/>
    <cellStyle name="Normal GHG Textfiels Bold 3 2 2 2 2" xfId="8400" xr:uid="{00000000-0005-0000-0000-00002A310000}"/>
    <cellStyle name="Normal GHG Textfiels Bold 3 2 2 2 2 2" xfId="24058" xr:uid="{00000000-0005-0000-0000-00002B310000}"/>
    <cellStyle name="Normal GHG Textfiels Bold 3 2 2 2 3" xfId="14690" xr:uid="{00000000-0005-0000-0000-00002C310000}"/>
    <cellStyle name="Normal GHG Textfiels Bold 3 2 2 2 3 2" xfId="29522" xr:uid="{00000000-0005-0000-0000-00002D310000}"/>
    <cellStyle name="Normal GHG Textfiels Bold 3 2 2 3" xfId="5225" xr:uid="{00000000-0005-0000-0000-00002E310000}"/>
    <cellStyle name="Normal GHG Textfiels Bold 3 2 2 3 2" xfId="9264" xr:uid="{00000000-0005-0000-0000-00002F310000}"/>
    <cellStyle name="Normal GHG Textfiels Bold 3 2 2 3 2 2" xfId="24602" xr:uid="{00000000-0005-0000-0000-000030310000}"/>
    <cellStyle name="Normal GHG Textfiels Bold 3 2 2 3 3" xfId="15541" xr:uid="{00000000-0005-0000-0000-000031310000}"/>
    <cellStyle name="Normal GHG Textfiels Bold 3 2 2 3 3 2" xfId="30373" xr:uid="{00000000-0005-0000-0000-000032310000}"/>
    <cellStyle name="Normal GHG Textfiels Bold 3 2 2 4" xfId="4255" xr:uid="{00000000-0005-0000-0000-000033310000}"/>
    <cellStyle name="Normal GHG Textfiels Bold 3 2 2 4 2" xfId="8294" xr:uid="{00000000-0005-0000-0000-000034310000}"/>
    <cellStyle name="Normal GHG Textfiels Bold 3 2 2 4 2 2" xfId="23989" xr:uid="{00000000-0005-0000-0000-000035310000}"/>
    <cellStyle name="Normal GHG Textfiels Bold 3 2 2 4 3" xfId="14587" xr:uid="{00000000-0005-0000-0000-000036310000}"/>
    <cellStyle name="Normal GHG Textfiels Bold 3 2 2 4 3 2" xfId="29419" xr:uid="{00000000-0005-0000-0000-000037310000}"/>
    <cellStyle name="Normal GHG Textfiels Bold 3 2 2 5" xfId="6369" xr:uid="{00000000-0005-0000-0000-000038310000}"/>
    <cellStyle name="Normal GHG Textfiels Bold 3 2 2 5 2" xfId="22771" xr:uid="{00000000-0005-0000-0000-000039310000}"/>
    <cellStyle name="Normal GHG Textfiels Bold 3 2 3" xfId="4031" xr:uid="{00000000-0005-0000-0000-00003A310000}"/>
    <cellStyle name="Normal GHG Textfiels Bold 3 2 3 2" xfId="8078" xr:uid="{00000000-0005-0000-0000-00003B310000}"/>
    <cellStyle name="Normal GHG Textfiels Bold 3 2 3 2 2" xfId="23847" xr:uid="{00000000-0005-0000-0000-00003C310000}"/>
    <cellStyle name="Normal GHG Textfiels Bold 3 2 3 3" xfId="14363" xr:uid="{00000000-0005-0000-0000-00003D310000}"/>
    <cellStyle name="Normal GHG Textfiels Bold 3 2 3 3 2" xfId="29195" xr:uid="{00000000-0005-0000-0000-00003E310000}"/>
    <cellStyle name="Normal GHG Textfiels Bold 3 2 4" xfId="4122" xr:uid="{00000000-0005-0000-0000-00003F310000}"/>
    <cellStyle name="Normal GHG Textfiels Bold 3 2 4 2" xfId="14454" xr:uid="{00000000-0005-0000-0000-000040310000}"/>
    <cellStyle name="Normal GHG Textfiels Bold 3 2 4 2 2" xfId="29286" xr:uid="{00000000-0005-0000-0000-000041310000}"/>
    <cellStyle name="Normal GHG Textfiels Bold 3 2 4 3" xfId="21530" xr:uid="{00000000-0005-0000-0000-000042310000}"/>
    <cellStyle name="Normal GHG Textfiels Bold 3 2 5" xfId="4964" xr:uid="{00000000-0005-0000-0000-000043310000}"/>
    <cellStyle name="Normal GHG Textfiels Bold 3 2 5 2" xfId="9003" xr:uid="{00000000-0005-0000-0000-000044310000}"/>
    <cellStyle name="Normal GHG Textfiels Bold 3 2 5 2 2" xfId="24469" xr:uid="{00000000-0005-0000-0000-000045310000}"/>
    <cellStyle name="Normal GHG Textfiels Bold 3 2 5 3" xfId="15286" xr:uid="{00000000-0005-0000-0000-000046310000}"/>
    <cellStyle name="Normal GHG Textfiels Bold 3 2 5 3 2" xfId="30118" xr:uid="{00000000-0005-0000-0000-000047310000}"/>
    <cellStyle name="Normal GHG Textfiels Bold 3 2 6" xfId="2954" xr:uid="{00000000-0005-0000-0000-000048310000}"/>
    <cellStyle name="Normal GHG Textfiels Bold 3 2 6 2" xfId="13292" xr:uid="{00000000-0005-0000-0000-000049310000}"/>
    <cellStyle name="Normal GHG Textfiels Bold 3 2 6 2 2" xfId="28124" xr:uid="{00000000-0005-0000-0000-00004A310000}"/>
    <cellStyle name="Normal GHG Textfiels Bold 3 2 6 3" xfId="20880" xr:uid="{00000000-0005-0000-0000-00004B310000}"/>
    <cellStyle name="Normal GHG Textfiels Bold 3 2 7" xfId="12069" xr:uid="{00000000-0005-0000-0000-00004C310000}"/>
    <cellStyle name="Normal GHG Textfiels Bold 3 2 7 2" xfId="26901" xr:uid="{00000000-0005-0000-0000-00004D310000}"/>
    <cellStyle name="Normal GHG Textfiels Bold 3 3" xfId="2242" xr:uid="{00000000-0005-0000-0000-00004E310000}"/>
    <cellStyle name="Normal GHG Textfiels Bold 3 3 2" xfId="4346" xr:uid="{00000000-0005-0000-0000-00004F310000}"/>
    <cellStyle name="Normal GHG Textfiels Bold 3 3 2 2" xfId="8385" xr:uid="{00000000-0005-0000-0000-000050310000}"/>
    <cellStyle name="Normal GHG Textfiels Bold 3 3 2 2 2" xfId="24043" xr:uid="{00000000-0005-0000-0000-000051310000}"/>
    <cellStyle name="Normal GHG Textfiels Bold 3 3 2 3" xfId="14675" xr:uid="{00000000-0005-0000-0000-000052310000}"/>
    <cellStyle name="Normal GHG Textfiels Bold 3 3 2 3 2" xfId="29507" xr:uid="{00000000-0005-0000-0000-000053310000}"/>
    <cellStyle name="Normal GHG Textfiels Bold 3 3 3" xfId="5210" xr:uid="{00000000-0005-0000-0000-000054310000}"/>
    <cellStyle name="Normal GHG Textfiels Bold 3 3 3 2" xfId="9249" xr:uid="{00000000-0005-0000-0000-000055310000}"/>
    <cellStyle name="Normal GHG Textfiels Bold 3 3 3 2 2" xfId="24587" xr:uid="{00000000-0005-0000-0000-000056310000}"/>
    <cellStyle name="Normal GHG Textfiels Bold 3 3 3 3" xfId="15526" xr:uid="{00000000-0005-0000-0000-000057310000}"/>
    <cellStyle name="Normal GHG Textfiels Bold 3 3 3 3 2" xfId="30358" xr:uid="{00000000-0005-0000-0000-000058310000}"/>
    <cellStyle name="Normal GHG Textfiels Bold 3 3 4" xfId="4240" xr:uid="{00000000-0005-0000-0000-000059310000}"/>
    <cellStyle name="Normal GHG Textfiels Bold 3 3 4 2" xfId="8279" xr:uid="{00000000-0005-0000-0000-00005A310000}"/>
    <cellStyle name="Normal GHG Textfiels Bold 3 3 4 2 2" xfId="23974" xr:uid="{00000000-0005-0000-0000-00005B310000}"/>
    <cellStyle name="Normal GHG Textfiels Bold 3 3 4 3" xfId="14572" xr:uid="{00000000-0005-0000-0000-00005C310000}"/>
    <cellStyle name="Normal GHG Textfiels Bold 3 3 4 3 2" xfId="29404" xr:uid="{00000000-0005-0000-0000-00005D310000}"/>
    <cellStyle name="Normal GHG Textfiels Bold 3 3 5" xfId="6354" xr:uid="{00000000-0005-0000-0000-00005E310000}"/>
    <cellStyle name="Normal GHG Textfiels Bold 3 3 5 2" xfId="22756" xr:uid="{00000000-0005-0000-0000-00005F310000}"/>
    <cellStyle name="Normal GHG Textfiels Bold 3 4" xfId="3735" xr:uid="{00000000-0005-0000-0000-000060310000}"/>
    <cellStyle name="Normal GHG Textfiels Bold 3 4 2" xfId="7791" xr:uid="{00000000-0005-0000-0000-000061310000}"/>
    <cellStyle name="Normal GHG Textfiels Bold 3 4 2 2" xfId="23665" xr:uid="{00000000-0005-0000-0000-000062310000}"/>
    <cellStyle name="Normal GHG Textfiels Bold 3 4 3" xfId="14070" xr:uid="{00000000-0005-0000-0000-000063310000}"/>
    <cellStyle name="Normal GHG Textfiels Bold 3 4 3 2" xfId="28902" xr:uid="{00000000-0005-0000-0000-000064310000}"/>
    <cellStyle name="Normal GHG Textfiels Bold 3 5" xfId="3471" xr:uid="{00000000-0005-0000-0000-000065310000}"/>
    <cellStyle name="Normal GHG Textfiels Bold 3 5 2" xfId="13808" xr:uid="{00000000-0005-0000-0000-000066310000}"/>
    <cellStyle name="Normal GHG Textfiels Bold 3 5 2 2" xfId="28640" xr:uid="{00000000-0005-0000-0000-000067310000}"/>
    <cellStyle name="Normal GHG Textfiels Bold 3 5 3" xfId="21176" xr:uid="{00000000-0005-0000-0000-000068310000}"/>
    <cellStyle name="Normal GHG Textfiels Bold 3 6" xfId="4544" xr:uid="{00000000-0005-0000-0000-000069310000}"/>
    <cellStyle name="Normal GHG Textfiels Bold 3 6 2" xfId="8583" xr:uid="{00000000-0005-0000-0000-00006A310000}"/>
    <cellStyle name="Normal GHG Textfiels Bold 3 6 2 2" xfId="24209" xr:uid="{00000000-0005-0000-0000-00006B310000}"/>
    <cellStyle name="Normal GHG Textfiels Bold 3 6 3" xfId="14871" xr:uid="{00000000-0005-0000-0000-00006C310000}"/>
    <cellStyle name="Normal GHG Textfiels Bold 3 6 3 2" xfId="29703" xr:uid="{00000000-0005-0000-0000-00006D310000}"/>
    <cellStyle name="Normal GHG Textfiels Bold 3 7" xfId="2534" xr:uid="{00000000-0005-0000-0000-00006E310000}"/>
    <cellStyle name="Normal GHG Textfiels Bold 3 7 2" xfId="6640" xr:uid="{00000000-0005-0000-0000-00006F310000}"/>
    <cellStyle name="Normal GHG Textfiels Bold 3 7 2 2" xfId="22978" xr:uid="{00000000-0005-0000-0000-000070310000}"/>
    <cellStyle name="Normal GHG Textfiels Bold 3 7 3" xfId="12872" xr:uid="{00000000-0005-0000-0000-000071310000}"/>
    <cellStyle name="Normal GHG Textfiels Bold 3 7 3 2" xfId="27704" xr:uid="{00000000-0005-0000-0000-000072310000}"/>
    <cellStyle name="Normal GHG Textfiels Bold 3 8" xfId="1696" xr:uid="{00000000-0005-0000-0000-000073310000}"/>
    <cellStyle name="Normal GHG Textfiels Bold 3 8 2" xfId="5828" xr:uid="{00000000-0005-0000-0000-000074310000}"/>
    <cellStyle name="Normal GHG Textfiels Bold 3 8 2 2" xfId="22425" xr:uid="{00000000-0005-0000-0000-000075310000}"/>
    <cellStyle name="Normal GHG Textfiels Bold 3 8 3" xfId="12090" xr:uid="{00000000-0005-0000-0000-000076310000}"/>
    <cellStyle name="Normal GHG Textfiels Bold 3 8 3 2" xfId="26922" xr:uid="{00000000-0005-0000-0000-000077310000}"/>
    <cellStyle name="Normal GHG Textfiels Bold 3 9" xfId="5657" xr:uid="{00000000-0005-0000-0000-000078310000}"/>
    <cellStyle name="Normal GHG Textfiels Bold 3 9 2" xfId="15892" xr:uid="{00000000-0005-0000-0000-000079310000}"/>
    <cellStyle name="Normal GHG Textfiels Bold 3 9 2 2" xfId="30724" xr:uid="{00000000-0005-0000-0000-00007A310000}"/>
    <cellStyle name="Normal GHG Textfiels Bold 3 9 3" xfId="22353" xr:uid="{00000000-0005-0000-0000-00007B310000}"/>
    <cellStyle name="Normal GHG Textfiels Bold 4" xfId="1664" xr:uid="{00000000-0005-0000-0000-00007C310000}"/>
    <cellStyle name="Normal GHG Textfiels Bold 4 2" xfId="4351" xr:uid="{00000000-0005-0000-0000-00007D310000}"/>
    <cellStyle name="Normal GHG Textfiels Bold 4 2 2" xfId="8390" xr:uid="{00000000-0005-0000-0000-00007E310000}"/>
    <cellStyle name="Normal GHG Textfiels Bold 4 2 2 2" xfId="24048" xr:uid="{00000000-0005-0000-0000-00007F310000}"/>
    <cellStyle name="Normal GHG Textfiels Bold 4 2 3" xfId="14680" xr:uid="{00000000-0005-0000-0000-000080310000}"/>
    <cellStyle name="Normal GHG Textfiels Bold 4 2 3 2" xfId="29512" xr:uid="{00000000-0005-0000-0000-000081310000}"/>
    <cellStyle name="Normal GHG Textfiels Bold 4 3" xfId="5215" xr:uid="{00000000-0005-0000-0000-000082310000}"/>
    <cellStyle name="Normal GHG Textfiels Bold 4 3 2" xfId="9254" xr:uid="{00000000-0005-0000-0000-000083310000}"/>
    <cellStyle name="Normal GHG Textfiels Bold 4 3 2 2" xfId="24592" xr:uid="{00000000-0005-0000-0000-000084310000}"/>
    <cellStyle name="Normal GHG Textfiels Bold 4 3 3" xfId="15531" xr:uid="{00000000-0005-0000-0000-000085310000}"/>
    <cellStyle name="Normal GHG Textfiels Bold 4 3 3 2" xfId="30363" xr:uid="{00000000-0005-0000-0000-000086310000}"/>
    <cellStyle name="Normal GHG Textfiels Bold 4 4" xfId="4245" xr:uid="{00000000-0005-0000-0000-000087310000}"/>
    <cellStyle name="Normal GHG Textfiels Bold 4 4 2" xfId="8284" xr:uid="{00000000-0005-0000-0000-000088310000}"/>
    <cellStyle name="Normal GHG Textfiels Bold 4 4 2 2" xfId="23979" xr:uid="{00000000-0005-0000-0000-000089310000}"/>
    <cellStyle name="Normal GHG Textfiels Bold 4 4 3" xfId="14577" xr:uid="{00000000-0005-0000-0000-00008A310000}"/>
    <cellStyle name="Normal GHG Textfiels Bold 4 4 3 2" xfId="29409" xr:uid="{00000000-0005-0000-0000-00008B310000}"/>
    <cellStyle name="Normal GHG Textfiels Bold 4 5" xfId="2247" xr:uid="{00000000-0005-0000-0000-00008C310000}"/>
    <cellStyle name="Normal GHG Textfiels Bold 4 5 2" xfId="6359" xr:uid="{00000000-0005-0000-0000-00008D310000}"/>
    <cellStyle name="Normal GHG Textfiels Bold 4 5 2 2" xfId="22761" xr:uid="{00000000-0005-0000-0000-00008E310000}"/>
    <cellStyle name="Normal GHG Textfiels Bold 4 6" xfId="5806" xr:uid="{00000000-0005-0000-0000-00008F310000}"/>
    <cellStyle name="Normal GHG Textfiels Bold 4 6 2" xfId="22404" xr:uid="{00000000-0005-0000-0000-000090310000}"/>
    <cellStyle name="Normal GHG Textfiels Bold 4 7" xfId="12059" xr:uid="{00000000-0005-0000-0000-000091310000}"/>
    <cellStyle name="Normal GHG Textfiels Bold 4 7 2" xfId="26891" xr:uid="{00000000-0005-0000-0000-000092310000}"/>
    <cellStyle name="Normal GHG Textfiels Bold 5" xfId="3550" xr:uid="{00000000-0005-0000-0000-000093310000}"/>
    <cellStyle name="Normal GHG Textfiels Bold 5 2" xfId="7612" xr:uid="{00000000-0005-0000-0000-000094310000}"/>
    <cellStyle name="Normal GHG Textfiels Bold 5 2 2" xfId="23547" xr:uid="{00000000-0005-0000-0000-000095310000}"/>
    <cellStyle name="Normal GHG Textfiels Bold 5 3" xfId="13886" xr:uid="{00000000-0005-0000-0000-000096310000}"/>
    <cellStyle name="Normal GHG Textfiels Bold 5 3 2" xfId="28718" xr:uid="{00000000-0005-0000-0000-000097310000}"/>
    <cellStyle name="Normal GHG Textfiels Bold 6" xfId="4283" xr:uid="{00000000-0005-0000-0000-000098310000}"/>
    <cellStyle name="Normal GHG Textfiels Bold 6 2" xfId="8322" xr:uid="{00000000-0005-0000-0000-000099310000}"/>
    <cellStyle name="Normal GHG Textfiels Bold 6 2 2" xfId="24012" xr:uid="{00000000-0005-0000-0000-00009A310000}"/>
    <cellStyle name="Normal GHG Textfiels Bold 6 3" xfId="14615" xr:uid="{00000000-0005-0000-0000-00009B310000}"/>
    <cellStyle name="Normal GHG Textfiels Bold 6 3 2" xfId="29447" xr:uid="{00000000-0005-0000-0000-00009C310000}"/>
    <cellStyle name="Normal GHG Textfiels Bold 7" xfId="2299" xr:uid="{00000000-0005-0000-0000-00009D310000}"/>
    <cellStyle name="Normal GHG Textfiels Bold 7 2" xfId="6411" xr:uid="{00000000-0005-0000-0000-00009E310000}"/>
    <cellStyle name="Normal GHG Textfiels Bold 7 2 2" xfId="22813" xr:uid="{00000000-0005-0000-0000-00009F310000}"/>
    <cellStyle name="Normal GHG Textfiels Bold 7 3" xfId="12639" xr:uid="{00000000-0005-0000-0000-0000A0310000}"/>
    <cellStyle name="Normal GHG Textfiels Bold 7 3 2" xfId="27471" xr:uid="{00000000-0005-0000-0000-0000A1310000}"/>
    <cellStyle name="Normal GHG Textfiels Bold 8" xfId="1685" xr:uid="{00000000-0005-0000-0000-0000A2310000}"/>
    <cellStyle name="Normal GHG Textfiels Bold 8 2" xfId="5817" xr:uid="{00000000-0005-0000-0000-0000A3310000}"/>
    <cellStyle name="Normal GHG Textfiels Bold 8 2 2" xfId="22414" xr:uid="{00000000-0005-0000-0000-0000A4310000}"/>
    <cellStyle name="Normal GHG Textfiels Bold 8 3" xfId="12079" xr:uid="{00000000-0005-0000-0000-0000A5310000}"/>
    <cellStyle name="Normal GHG Textfiels Bold 8 3 2" xfId="26911" xr:uid="{00000000-0005-0000-0000-0000A6310000}"/>
    <cellStyle name="Normal GHG Textfiels Bold 9" xfId="5472" xr:uid="{00000000-0005-0000-0000-0000A7310000}"/>
    <cellStyle name="Normal GHG Textfiels Bold 9 2" xfId="15707" xr:uid="{00000000-0005-0000-0000-0000A8310000}"/>
    <cellStyle name="Normal GHG Textfiels Bold 9 2 2" xfId="30539" xr:uid="{00000000-0005-0000-0000-0000A9310000}"/>
    <cellStyle name="Normal GHG Textfiels Bold 9 3" xfId="22200" xr:uid="{00000000-0005-0000-0000-0000AA310000}"/>
    <cellStyle name="Normal GHG whole table" xfId="1213" xr:uid="{00000000-0005-0000-0000-0000AB310000}"/>
    <cellStyle name="Normal GHG whole table 2" xfId="1301" xr:uid="{00000000-0005-0000-0000-0000AC310000}"/>
    <cellStyle name="Normal GHG whole table 2 10" xfId="1691" xr:uid="{00000000-0005-0000-0000-0000AD310000}"/>
    <cellStyle name="Normal GHG whole table 2 10 2" xfId="5823" xr:uid="{00000000-0005-0000-0000-0000AE310000}"/>
    <cellStyle name="Normal GHG whole table 2 10 2 2" xfId="22420" xr:uid="{00000000-0005-0000-0000-0000AF310000}"/>
    <cellStyle name="Normal GHG whole table 2 10 3" xfId="12085" xr:uid="{00000000-0005-0000-0000-0000B0310000}"/>
    <cellStyle name="Normal GHG whole table 2 10 3 2" xfId="26917" xr:uid="{00000000-0005-0000-0000-0000B1310000}"/>
    <cellStyle name="Normal GHG whole table 2 11" xfId="5478" xr:uid="{00000000-0005-0000-0000-0000B2310000}"/>
    <cellStyle name="Normal GHG whole table 2 11 2" xfId="15713" xr:uid="{00000000-0005-0000-0000-0000B3310000}"/>
    <cellStyle name="Normal GHG whole table 2 11 2 2" xfId="30545" xr:uid="{00000000-0005-0000-0000-0000B4310000}"/>
    <cellStyle name="Normal GHG whole table 2 11 3" xfId="22206" xr:uid="{00000000-0005-0000-0000-0000B5310000}"/>
    <cellStyle name="Normal GHG whole table 2 2" xfId="1385" xr:uid="{00000000-0005-0000-0000-0000B6310000}"/>
    <cellStyle name="Normal GHG whole table 2 2 2" xfId="1680" xr:uid="{00000000-0005-0000-0000-0000B7310000}"/>
    <cellStyle name="Normal GHG whole table 2 2 2 2" xfId="2263" xr:uid="{00000000-0005-0000-0000-0000B8310000}"/>
    <cellStyle name="Normal GHG whole table 2 2 2 2 2" xfId="4367" xr:uid="{00000000-0005-0000-0000-0000B9310000}"/>
    <cellStyle name="Normal GHG whole table 2 2 2 2 2 2" xfId="8406" xr:uid="{00000000-0005-0000-0000-0000BA310000}"/>
    <cellStyle name="Normal GHG whole table 2 2 2 2 2 2 2" xfId="24064" xr:uid="{00000000-0005-0000-0000-0000BB310000}"/>
    <cellStyle name="Normal GHG whole table 2 2 2 2 2 3" xfId="14696" xr:uid="{00000000-0005-0000-0000-0000BC310000}"/>
    <cellStyle name="Normal GHG whole table 2 2 2 2 2 3 2" xfId="29528" xr:uid="{00000000-0005-0000-0000-0000BD310000}"/>
    <cellStyle name="Normal GHG whole table 2 2 2 2 3" xfId="5231" xr:uid="{00000000-0005-0000-0000-0000BE310000}"/>
    <cellStyle name="Normal GHG whole table 2 2 2 2 3 2" xfId="9270" xr:uid="{00000000-0005-0000-0000-0000BF310000}"/>
    <cellStyle name="Normal GHG whole table 2 2 2 2 3 2 2" xfId="24608" xr:uid="{00000000-0005-0000-0000-0000C0310000}"/>
    <cellStyle name="Normal GHG whole table 2 2 2 2 3 3" xfId="15547" xr:uid="{00000000-0005-0000-0000-0000C1310000}"/>
    <cellStyle name="Normal GHG whole table 2 2 2 2 3 3 2" xfId="30379" xr:uid="{00000000-0005-0000-0000-0000C2310000}"/>
    <cellStyle name="Normal GHG whole table 2 2 2 2 4" xfId="4261" xr:uid="{00000000-0005-0000-0000-0000C3310000}"/>
    <cellStyle name="Normal GHG whole table 2 2 2 2 4 2" xfId="8300" xr:uid="{00000000-0005-0000-0000-0000C4310000}"/>
    <cellStyle name="Normal GHG whole table 2 2 2 2 4 2 2" xfId="23995" xr:uid="{00000000-0005-0000-0000-0000C5310000}"/>
    <cellStyle name="Normal GHG whole table 2 2 2 2 4 3" xfId="14593" xr:uid="{00000000-0005-0000-0000-0000C6310000}"/>
    <cellStyle name="Normal GHG whole table 2 2 2 2 4 3 2" xfId="29425" xr:uid="{00000000-0005-0000-0000-0000C7310000}"/>
    <cellStyle name="Normal GHG whole table 2 2 2 2 5" xfId="6375" xr:uid="{00000000-0005-0000-0000-0000C8310000}"/>
    <cellStyle name="Normal GHG whole table 2 2 2 2 5 2" xfId="22777" xr:uid="{00000000-0005-0000-0000-0000C9310000}"/>
    <cellStyle name="Normal GHG whole table 2 2 2 3" xfId="3969" xr:uid="{00000000-0005-0000-0000-0000CA310000}"/>
    <cellStyle name="Normal GHG whole table 2 2 2 3 2" xfId="8018" xr:uid="{00000000-0005-0000-0000-0000CB310000}"/>
    <cellStyle name="Normal GHG whole table 2 2 2 3 2 2" xfId="23811" xr:uid="{00000000-0005-0000-0000-0000CC310000}"/>
    <cellStyle name="Normal GHG whole table 2 2 2 3 3" xfId="14302" xr:uid="{00000000-0005-0000-0000-0000CD310000}"/>
    <cellStyle name="Normal GHG whole table 2 2 2 3 3 2" xfId="29134" xr:uid="{00000000-0005-0000-0000-0000CE310000}"/>
    <cellStyle name="Normal GHG whole table 2 2 2 4" xfId="3239" xr:uid="{00000000-0005-0000-0000-0000CF310000}"/>
    <cellStyle name="Normal GHG whole table 2 2 2 4 2" xfId="7303" xr:uid="{00000000-0005-0000-0000-0000D0310000}"/>
    <cellStyle name="Normal GHG whole table 2 2 2 4 2 2" xfId="23343" xr:uid="{00000000-0005-0000-0000-0000D1310000}"/>
    <cellStyle name="Normal GHG whole table 2 2 2 4 3" xfId="13576" xr:uid="{00000000-0005-0000-0000-0000D2310000}"/>
    <cellStyle name="Normal GHG whole table 2 2 2 4 3 2" xfId="28408" xr:uid="{00000000-0005-0000-0000-0000D3310000}"/>
    <cellStyle name="Normal GHG whole table 2 2 2 5" xfId="4867" xr:uid="{00000000-0005-0000-0000-0000D4310000}"/>
    <cellStyle name="Normal GHG whole table 2 2 2 5 2" xfId="8906" xr:uid="{00000000-0005-0000-0000-0000D5310000}"/>
    <cellStyle name="Normal GHG whole table 2 2 2 5 2 2" xfId="24372" xr:uid="{00000000-0005-0000-0000-0000D6310000}"/>
    <cellStyle name="Normal GHG whole table 2 2 2 5 3" xfId="15190" xr:uid="{00000000-0005-0000-0000-0000D7310000}"/>
    <cellStyle name="Normal GHG whole table 2 2 2 5 3 2" xfId="30022" xr:uid="{00000000-0005-0000-0000-0000D8310000}"/>
    <cellStyle name="Normal GHG whole table 2 2 2 6" xfId="2857" xr:uid="{00000000-0005-0000-0000-0000D9310000}"/>
    <cellStyle name="Normal GHG whole table 2 2 2 6 2" xfId="13195" xr:uid="{00000000-0005-0000-0000-0000DA310000}"/>
    <cellStyle name="Normal GHG whole table 2 2 2 6 2 2" xfId="28027" xr:uid="{00000000-0005-0000-0000-0000DB310000}"/>
    <cellStyle name="Normal GHG whole table 2 2 2 6 3" xfId="20783" xr:uid="{00000000-0005-0000-0000-0000DC310000}"/>
    <cellStyle name="Normal GHG whole table 2 2 2 7" xfId="1889" xr:uid="{00000000-0005-0000-0000-0000DD310000}"/>
    <cellStyle name="Normal GHG whole table 2 2 2 7 2" xfId="6020" xr:uid="{00000000-0005-0000-0000-0000DE310000}"/>
    <cellStyle name="Normal GHG whole table 2 2 2 7 2 2" xfId="22553" xr:uid="{00000000-0005-0000-0000-0000DF310000}"/>
    <cellStyle name="Normal GHG whole table 2 2 2 8" xfId="12075" xr:uid="{00000000-0005-0000-0000-0000E0310000}"/>
    <cellStyle name="Normal GHG whole table 2 2 2 8 2" xfId="26907" xr:uid="{00000000-0005-0000-0000-0000E1310000}"/>
    <cellStyle name="Normal GHG whole table 2 2 3" xfId="3668" xr:uid="{00000000-0005-0000-0000-0000E2310000}"/>
    <cellStyle name="Normal GHG whole table 2 2 3 2" xfId="7726" xr:uid="{00000000-0005-0000-0000-0000E3310000}"/>
    <cellStyle name="Normal GHG whole table 2 2 3 2 2" xfId="23622" xr:uid="{00000000-0005-0000-0000-0000E4310000}"/>
    <cellStyle name="Normal GHG whole table 2 2 3 3" xfId="14003" xr:uid="{00000000-0005-0000-0000-0000E5310000}"/>
    <cellStyle name="Normal GHG whole table 2 2 3 3 2" xfId="28835" xr:uid="{00000000-0005-0000-0000-0000E6310000}"/>
    <cellStyle name="Normal GHG whole table 2 2 4" xfId="4447" xr:uid="{00000000-0005-0000-0000-0000E7310000}"/>
    <cellStyle name="Normal GHG whole table 2 2 4 2" xfId="8486" xr:uid="{00000000-0005-0000-0000-0000E8310000}"/>
    <cellStyle name="Normal GHG whole table 2 2 4 2 2" xfId="24112" xr:uid="{00000000-0005-0000-0000-0000E9310000}"/>
    <cellStyle name="Normal GHG whole table 2 2 4 3" xfId="14775" xr:uid="{00000000-0005-0000-0000-0000EA310000}"/>
    <cellStyle name="Normal GHG whole table 2 2 4 3 2" xfId="29607" xr:uid="{00000000-0005-0000-0000-0000EB310000}"/>
    <cellStyle name="Normal GHG whole table 2 2 5" xfId="2437" xr:uid="{00000000-0005-0000-0000-0000EC310000}"/>
    <cellStyle name="Normal GHG whole table 2 2 5 2" xfId="12776" xr:uid="{00000000-0005-0000-0000-0000ED310000}"/>
    <cellStyle name="Normal GHG whole table 2 2 5 2 2" xfId="27608" xr:uid="{00000000-0005-0000-0000-0000EE310000}"/>
    <cellStyle name="Normal GHG whole table 2 2 5 3" xfId="20529" xr:uid="{00000000-0005-0000-0000-0000EF310000}"/>
    <cellStyle name="Normal GHG whole table 2 2 6" xfId="5561" xr:uid="{00000000-0005-0000-0000-0000F0310000}"/>
    <cellStyle name="Normal GHG whole table 2 2 6 2" xfId="15796" xr:uid="{00000000-0005-0000-0000-0000F1310000}"/>
    <cellStyle name="Normal GHG whole table 2 2 6 2 2" xfId="30628" xr:uid="{00000000-0005-0000-0000-0000F2310000}"/>
    <cellStyle name="Normal GHG whole table 2 2 6 3" xfId="22257" xr:uid="{00000000-0005-0000-0000-0000F3310000}"/>
    <cellStyle name="Normal GHG whole table 2 3" xfId="1557" xr:uid="{00000000-0005-0000-0000-0000F4310000}"/>
    <cellStyle name="Normal GHG whole table 2 3 2" xfId="2054" xr:uid="{00000000-0005-0000-0000-0000F5310000}"/>
    <cellStyle name="Normal GHG whole table 2 3 2 2" xfId="4077" xr:uid="{00000000-0005-0000-0000-0000F6310000}"/>
    <cellStyle name="Normal GHG whole table 2 3 2 2 2" xfId="8123" xr:uid="{00000000-0005-0000-0000-0000F7310000}"/>
    <cellStyle name="Normal GHG whole table 2 3 2 2 2 2" xfId="23874" xr:uid="{00000000-0005-0000-0000-0000F8310000}"/>
    <cellStyle name="Normal GHG whole table 2 3 2 2 3" xfId="14409" xr:uid="{00000000-0005-0000-0000-0000F9310000}"/>
    <cellStyle name="Normal GHG whole table 2 3 2 2 3 2" xfId="29241" xr:uid="{00000000-0005-0000-0000-0000FA310000}"/>
    <cellStyle name="Normal GHG whole table 2 3 2 3" xfId="3395" xr:uid="{00000000-0005-0000-0000-0000FB310000}"/>
    <cellStyle name="Normal GHG whole table 2 3 2 3 2" xfId="7458" xr:uid="{00000000-0005-0000-0000-0000FC310000}"/>
    <cellStyle name="Normal GHG whole table 2 3 2 3 2 2" xfId="23447" xr:uid="{00000000-0005-0000-0000-0000FD310000}"/>
    <cellStyle name="Normal GHG whole table 2 3 2 3 3" xfId="13732" xr:uid="{00000000-0005-0000-0000-0000FE310000}"/>
    <cellStyle name="Normal GHG whole table 2 3 2 3 3 2" xfId="28564" xr:uid="{00000000-0005-0000-0000-0000FF310000}"/>
    <cellStyle name="Normal GHG whole table 2 3 2 4" xfId="5022" xr:uid="{00000000-0005-0000-0000-000000320000}"/>
    <cellStyle name="Normal GHG whole table 2 3 2 4 2" xfId="9061" xr:uid="{00000000-0005-0000-0000-000001320000}"/>
    <cellStyle name="Normal GHG whole table 2 3 2 4 2 2" xfId="24495" xr:uid="{00000000-0005-0000-0000-000002320000}"/>
    <cellStyle name="Normal GHG whole table 2 3 2 4 3" xfId="15343" xr:uid="{00000000-0005-0000-0000-000003320000}"/>
    <cellStyle name="Normal GHG whole table 2 3 2 4 3 2" xfId="30175" xr:uid="{00000000-0005-0000-0000-000004320000}"/>
    <cellStyle name="Normal GHG whole table 2 3 2 5" xfId="3012" xr:uid="{00000000-0005-0000-0000-000005320000}"/>
    <cellStyle name="Normal GHG whole table 2 3 2 5 2" xfId="13350" xr:uid="{00000000-0005-0000-0000-000006320000}"/>
    <cellStyle name="Normal GHG whole table 2 3 2 5 2 2" xfId="28182" xr:uid="{00000000-0005-0000-0000-000007320000}"/>
    <cellStyle name="Normal GHG whole table 2 3 2 5 3" xfId="20906" xr:uid="{00000000-0005-0000-0000-000008320000}"/>
    <cellStyle name="Normal GHG whole table 2 3 3" xfId="3779" xr:uid="{00000000-0005-0000-0000-000009320000}"/>
    <cellStyle name="Normal GHG whole table 2 3 3 2" xfId="7834" xr:uid="{00000000-0005-0000-0000-00000A320000}"/>
    <cellStyle name="Normal GHG whole table 2 3 3 2 2" xfId="23690" xr:uid="{00000000-0005-0000-0000-00000B320000}"/>
    <cellStyle name="Normal GHG whole table 2 3 3 3" xfId="14114" xr:uid="{00000000-0005-0000-0000-00000C320000}"/>
    <cellStyle name="Normal GHG whole table 2 3 3 3 2" xfId="28946" xr:uid="{00000000-0005-0000-0000-00000D320000}"/>
    <cellStyle name="Normal GHG whole table 2 3 4" xfId="4602" xr:uid="{00000000-0005-0000-0000-00000E320000}"/>
    <cellStyle name="Normal GHG whole table 2 3 4 2" xfId="8641" xr:uid="{00000000-0005-0000-0000-00000F320000}"/>
    <cellStyle name="Normal GHG whole table 2 3 4 2 2" xfId="24235" xr:uid="{00000000-0005-0000-0000-000010320000}"/>
    <cellStyle name="Normal GHG whole table 2 3 4 3" xfId="14928" xr:uid="{00000000-0005-0000-0000-000011320000}"/>
    <cellStyle name="Normal GHG whole table 2 3 4 3 2" xfId="29760" xr:uid="{00000000-0005-0000-0000-000012320000}"/>
    <cellStyle name="Normal GHG whole table 2 3 5" xfId="2592" xr:uid="{00000000-0005-0000-0000-000013320000}"/>
    <cellStyle name="Normal GHG whole table 2 3 5 2" xfId="12930" xr:uid="{00000000-0005-0000-0000-000014320000}"/>
    <cellStyle name="Normal GHG whole table 2 3 5 2 2" xfId="27762" xr:uid="{00000000-0005-0000-0000-000015320000}"/>
    <cellStyle name="Normal GHG whole table 2 3 5 3" xfId="20646" xr:uid="{00000000-0005-0000-0000-000016320000}"/>
    <cellStyle name="Normal GHG whole table 2 3 6" xfId="1702" xr:uid="{00000000-0005-0000-0000-000017320000}"/>
    <cellStyle name="Normal GHG whole table 2 3 6 2" xfId="5834" xr:uid="{00000000-0005-0000-0000-000018320000}"/>
    <cellStyle name="Normal GHG whole table 2 3 6 2 2" xfId="22431" xr:uid="{00000000-0005-0000-0000-000019320000}"/>
    <cellStyle name="Normal GHG whole table 2 3 6 3" xfId="12096" xr:uid="{00000000-0005-0000-0000-00001A320000}"/>
    <cellStyle name="Normal GHG whole table 2 3 6 3 2" xfId="26928" xr:uid="{00000000-0005-0000-0000-00001B320000}"/>
    <cellStyle name="Normal GHG whole table 2 4" xfId="1610" xr:uid="{00000000-0005-0000-0000-00001C320000}"/>
    <cellStyle name="Normal GHG whole table 2 4 2" xfId="2107" xr:uid="{00000000-0005-0000-0000-00001D320000}"/>
    <cellStyle name="Normal GHG whole table 2 4 2 2" xfId="4117" xr:uid="{00000000-0005-0000-0000-00001E320000}"/>
    <cellStyle name="Normal GHG whole table 2 4 2 2 2" xfId="8162" xr:uid="{00000000-0005-0000-0000-00001F320000}"/>
    <cellStyle name="Normal GHG whole table 2 4 2 2 2 2" xfId="23900" xr:uid="{00000000-0005-0000-0000-000020320000}"/>
    <cellStyle name="Normal GHG whole table 2 4 2 2 3" xfId="14449" xr:uid="{00000000-0005-0000-0000-000021320000}"/>
    <cellStyle name="Normal GHG whole table 2 4 2 2 3 2" xfId="29281" xr:uid="{00000000-0005-0000-0000-000022320000}"/>
    <cellStyle name="Normal GHG whole table 2 4 2 3" xfId="3840" xr:uid="{00000000-0005-0000-0000-000023320000}"/>
    <cellStyle name="Normal GHG whole table 2 4 2 3 2" xfId="7893" xr:uid="{00000000-0005-0000-0000-000024320000}"/>
    <cellStyle name="Normal GHG whole table 2 4 2 3 2 2" xfId="23730" xr:uid="{00000000-0005-0000-0000-000025320000}"/>
    <cellStyle name="Normal GHG whole table 2 4 2 3 3" xfId="14175" xr:uid="{00000000-0005-0000-0000-000026320000}"/>
    <cellStyle name="Normal GHG whole table 2 4 2 3 3 2" xfId="29007" xr:uid="{00000000-0005-0000-0000-000027320000}"/>
    <cellStyle name="Normal GHG whole table 2 4 2 4" xfId="5075" xr:uid="{00000000-0005-0000-0000-000028320000}"/>
    <cellStyle name="Normal GHG whole table 2 4 2 4 2" xfId="9114" xr:uid="{00000000-0005-0000-0000-000029320000}"/>
    <cellStyle name="Normal GHG whole table 2 4 2 4 2 2" xfId="24516" xr:uid="{00000000-0005-0000-0000-00002A320000}"/>
    <cellStyle name="Normal GHG whole table 2 4 2 4 3" xfId="15395" xr:uid="{00000000-0005-0000-0000-00002B320000}"/>
    <cellStyle name="Normal GHG whole table 2 4 2 4 3 2" xfId="30227" xr:uid="{00000000-0005-0000-0000-00002C320000}"/>
    <cellStyle name="Normal GHG whole table 2 4 2 5" xfId="3065" xr:uid="{00000000-0005-0000-0000-00002D320000}"/>
    <cellStyle name="Normal GHG whole table 2 4 2 5 2" xfId="13403" xr:uid="{00000000-0005-0000-0000-00002E320000}"/>
    <cellStyle name="Normal GHG whole table 2 4 2 5 2 2" xfId="28235" xr:uid="{00000000-0005-0000-0000-00002F320000}"/>
    <cellStyle name="Normal GHG whole table 2 4 2 5 3" xfId="20927" xr:uid="{00000000-0005-0000-0000-000030320000}"/>
    <cellStyle name="Normal GHG whole table 2 4 3" xfId="3817" xr:uid="{00000000-0005-0000-0000-000031320000}"/>
    <cellStyle name="Normal GHG whole table 2 4 3 2" xfId="7870" xr:uid="{00000000-0005-0000-0000-000032320000}"/>
    <cellStyle name="Normal GHG whole table 2 4 3 2 2" xfId="23717" xr:uid="{00000000-0005-0000-0000-000033320000}"/>
    <cellStyle name="Normal GHG whole table 2 4 3 3" xfId="14152" xr:uid="{00000000-0005-0000-0000-000034320000}"/>
    <cellStyle name="Normal GHG whole table 2 4 3 3 2" xfId="28984" xr:uid="{00000000-0005-0000-0000-000035320000}"/>
    <cellStyle name="Normal GHG whole table 2 4 4" xfId="4655" xr:uid="{00000000-0005-0000-0000-000036320000}"/>
    <cellStyle name="Normal GHG whole table 2 4 4 2" xfId="8694" xr:uid="{00000000-0005-0000-0000-000037320000}"/>
    <cellStyle name="Normal GHG whole table 2 4 4 2 2" xfId="24256" xr:uid="{00000000-0005-0000-0000-000038320000}"/>
    <cellStyle name="Normal GHG whole table 2 4 4 3" xfId="14980" xr:uid="{00000000-0005-0000-0000-000039320000}"/>
    <cellStyle name="Normal GHG whole table 2 4 4 3 2" xfId="29812" xr:uid="{00000000-0005-0000-0000-00003A320000}"/>
    <cellStyle name="Normal GHG whole table 2 4 5" xfId="2645" xr:uid="{00000000-0005-0000-0000-00003B320000}"/>
    <cellStyle name="Normal GHG whole table 2 4 5 2" xfId="12983" xr:uid="{00000000-0005-0000-0000-00003C320000}"/>
    <cellStyle name="Normal GHG whole table 2 4 5 2 2" xfId="27815" xr:uid="{00000000-0005-0000-0000-00003D320000}"/>
    <cellStyle name="Normal GHG whole table 2 4 5 3" xfId="20667" xr:uid="{00000000-0005-0000-0000-00003E320000}"/>
    <cellStyle name="Normal GHG whole table 2 4 6" xfId="1707" xr:uid="{00000000-0005-0000-0000-00003F320000}"/>
    <cellStyle name="Normal GHG whole table 2 4 6 2" xfId="5839" xr:uid="{00000000-0005-0000-0000-000040320000}"/>
    <cellStyle name="Normal GHG whole table 2 4 6 2 2" xfId="22436" xr:uid="{00000000-0005-0000-0000-000041320000}"/>
    <cellStyle name="Normal GHG whole table 2 4 6 3" xfId="12101" xr:uid="{00000000-0005-0000-0000-000042320000}"/>
    <cellStyle name="Normal GHG whole table 2 4 6 3 2" xfId="26933" xr:uid="{00000000-0005-0000-0000-000043320000}"/>
    <cellStyle name="Normal GHG whole table 2 5" xfId="1660" xr:uid="{00000000-0005-0000-0000-000044320000}"/>
    <cellStyle name="Normal GHG whole table 2 5 2" xfId="2157" xr:uid="{00000000-0005-0000-0000-000045320000}"/>
    <cellStyle name="Normal GHG whole table 2 5 2 2" xfId="4155" xr:uid="{00000000-0005-0000-0000-000046320000}"/>
    <cellStyle name="Normal GHG whole table 2 5 2 2 2" xfId="8197" xr:uid="{00000000-0005-0000-0000-000047320000}"/>
    <cellStyle name="Normal GHG whole table 2 5 2 2 2 2" xfId="23924" xr:uid="{00000000-0005-0000-0000-000048320000}"/>
    <cellStyle name="Normal GHG whole table 2 5 2 2 3" xfId="14487" xr:uid="{00000000-0005-0000-0000-000049320000}"/>
    <cellStyle name="Normal GHG whole table 2 5 2 2 3 2" xfId="29319" xr:uid="{00000000-0005-0000-0000-00004A320000}"/>
    <cellStyle name="Normal GHG whole table 2 5 2 3" xfId="3700" xr:uid="{00000000-0005-0000-0000-00004B320000}"/>
    <cellStyle name="Normal GHG whole table 2 5 2 3 2" xfId="7756" xr:uid="{00000000-0005-0000-0000-00004C320000}"/>
    <cellStyle name="Normal GHG whole table 2 5 2 3 2 2" xfId="23640" xr:uid="{00000000-0005-0000-0000-00004D320000}"/>
    <cellStyle name="Normal GHG whole table 2 5 2 3 3" xfId="14035" xr:uid="{00000000-0005-0000-0000-00004E320000}"/>
    <cellStyle name="Normal GHG whole table 2 5 2 3 3 2" xfId="28867" xr:uid="{00000000-0005-0000-0000-00004F320000}"/>
    <cellStyle name="Normal GHG whole table 2 5 2 4" xfId="5125" xr:uid="{00000000-0005-0000-0000-000050320000}"/>
    <cellStyle name="Normal GHG whole table 2 5 2 4 2" xfId="9164" xr:uid="{00000000-0005-0000-0000-000051320000}"/>
    <cellStyle name="Normal GHG whole table 2 5 2 4 2 2" xfId="24534" xr:uid="{00000000-0005-0000-0000-000052320000}"/>
    <cellStyle name="Normal GHG whole table 2 5 2 4 3" xfId="15444" xr:uid="{00000000-0005-0000-0000-000053320000}"/>
    <cellStyle name="Normal GHG whole table 2 5 2 4 3 2" xfId="30276" xr:uid="{00000000-0005-0000-0000-000054320000}"/>
    <cellStyle name="Normal GHG whole table 2 5 2 5" xfId="3115" xr:uid="{00000000-0005-0000-0000-000055320000}"/>
    <cellStyle name="Normal GHG whole table 2 5 2 5 2" xfId="13453" xr:uid="{00000000-0005-0000-0000-000056320000}"/>
    <cellStyle name="Normal GHG whole table 2 5 2 5 2 2" xfId="28285" xr:uid="{00000000-0005-0000-0000-000057320000}"/>
    <cellStyle name="Normal GHG whole table 2 5 2 5 3" xfId="20945" xr:uid="{00000000-0005-0000-0000-000058320000}"/>
    <cellStyle name="Normal GHG whole table 2 5 3" xfId="3855" xr:uid="{00000000-0005-0000-0000-000059320000}"/>
    <cellStyle name="Normal GHG whole table 2 5 3 2" xfId="7907" xr:uid="{00000000-0005-0000-0000-00005A320000}"/>
    <cellStyle name="Normal GHG whole table 2 5 3 2 2" xfId="23743" xr:uid="{00000000-0005-0000-0000-00005B320000}"/>
    <cellStyle name="Normal GHG whole table 2 5 3 3" xfId="14190" xr:uid="{00000000-0005-0000-0000-00005C320000}"/>
    <cellStyle name="Normal GHG whole table 2 5 3 3 2" xfId="29022" xr:uid="{00000000-0005-0000-0000-00005D320000}"/>
    <cellStyle name="Normal GHG whole table 2 5 4" xfId="4705" xr:uid="{00000000-0005-0000-0000-00005E320000}"/>
    <cellStyle name="Normal GHG whole table 2 5 4 2" xfId="8744" xr:uid="{00000000-0005-0000-0000-00005F320000}"/>
    <cellStyle name="Normal GHG whole table 2 5 4 2 2" xfId="24274" xr:uid="{00000000-0005-0000-0000-000060320000}"/>
    <cellStyle name="Normal GHG whole table 2 5 4 3" xfId="15029" xr:uid="{00000000-0005-0000-0000-000061320000}"/>
    <cellStyle name="Normal GHG whole table 2 5 4 3 2" xfId="29861" xr:uid="{00000000-0005-0000-0000-000062320000}"/>
    <cellStyle name="Normal GHG whole table 2 5 5" xfId="2695" xr:uid="{00000000-0005-0000-0000-000063320000}"/>
    <cellStyle name="Normal GHG whole table 2 5 5 2" xfId="13033" xr:uid="{00000000-0005-0000-0000-000064320000}"/>
    <cellStyle name="Normal GHG whole table 2 5 5 2 2" xfId="27865" xr:uid="{00000000-0005-0000-0000-000065320000}"/>
    <cellStyle name="Normal GHG whole table 2 5 5 3" xfId="20685" xr:uid="{00000000-0005-0000-0000-000066320000}"/>
    <cellStyle name="Normal GHG whole table 2 5 6" xfId="1712" xr:uid="{00000000-0005-0000-0000-000067320000}"/>
    <cellStyle name="Normal GHG whole table 2 5 6 2" xfId="5844" xr:uid="{00000000-0005-0000-0000-000068320000}"/>
    <cellStyle name="Normal GHG whole table 2 5 6 2 2" xfId="22441" xr:uid="{00000000-0005-0000-0000-000069320000}"/>
    <cellStyle name="Normal GHG whole table 2 5 6 3" xfId="12106" xr:uid="{00000000-0005-0000-0000-00006A320000}"/>
    <cellStyle name="Normal GHG whole table 2 5 6 3 2" xfId="26938" xr:uid="{00000000-0005-0000-0000-00006B320000}"/>
    <cellStyle name="Normal GHG whole table 2 6" xfId="1670" xr:uid="{00000000-0005-0000-0000-00006C320000}"/>
    <cellStyle name="Normal GHG whole table 2 6 2" xfId="4357" xr:uid="{00000000-0005-0000-0000-00006D320000}"/>
    <cellStyle name="Normal GHG whole table 2 6 2 2" xfId="8396" xr:uid="{00000000-0005-0000-0000-00006E320000}"/>
    <cellStyle name="Normal GHG whole table 2 6 2 2 2" xfId="24054" xr:uid="{00000000-0005-0000-0000-00006F320000}"/>
    <cellStyle name="Normal GHG whole table 2 6 2 3" xfId="14686" xr:uid="{00000000-0005-0000-0000-000070320000}"/>
    <cellStyle name="Normal GHG whole table 2 6 2 3 2" xfId="29518" xr:uid="{00000000-0005-0000-0000-000071320000}"/>
    <cellStyle name="Normal GHG whole table 2 6 3" xfId="5221" xr:uid="{00000000-0005-0000-0000-000072320000}"/>
    <cellStyle name="Normal GHG whole table 2 6 3 2" xfId="9260" xr:uid="{00000000-0005-0000-0000-000073320000}"/>
    <cellStyle name="Normal GHG whole table 2 6 3 2 2" xfId="24598" xr:uid="{00000000-0005-0000-0000-000074320000}"/>
    <cellStyle name="Normal GHG whole table 2 6 3 3" xfId="15537" xr:uid="{00000000-0005-0000-0000-000075320000}"/>
    <cellStyle name="Normal GHG whole table 2 6 3 3 2" xfId="30369" xr:uid="{00000000-0005-0000-0000-000076320000}"/>
    <cellStyle name="Normal GHG whole table 2 6 4" xfId="4251" xr:uid="{00000000-0005-0000-0000-000077320000}"/>
    <cellStyle name="Normal GHG whole table 2 6 4 2" xfId="8290" xr:uid="{00000000-0005-0000-0000-000078320000}"/>
    <cellStyle name="Normal GHG whole table 2 6 4 2 2" xfId="23985" xr:uid="{00000000-0005-0000-0000-000079320000}"/>
    <cellStyle name="Normal GHG whole table 2 6 4 3" xfId="14583" xr:uid="{00000000-0005-0000-0000-00007A320000}"/>
    <cellStyle name="Normal GHG whole table 2 6 4 3 2" xfId="29415" xr:uid="{00000000-0005-0000-0000-00007B320000}"/>
    <cellStyle name="Normal GHG whole table 2 6 5" xfId="2253" xr:uid="{00000000-0005-0000-0000-00007C320000}"/>
    <cellStyle name="Normal GHG whole table 2 6 5 2" xfId="6365" xr:uid="{00000000-0005-0000-0000-00007D320000}"/>
    <cellStyle name="Normal GHG whole table 2 6 5 2 2" xfId="22767" xr:uid="{00000000-0005-0000-0000-00007E320000}"/>
    <cellStyle name="Normal GHG whole table 2 6 6" xfId="5812" xr:uid="{00000000-0005-0000-0000-00007F320000}"/>
    <cellStyle name="Normal GHG whole table 2 6 6 2" xfId="22410" xr:uid="{00000000-0005-0000-0000-000080320000}"/>
    <cellStyle name="Normal GHG whole table 2 6 7" xfId="12065" xr:uid="{00000000-0005-0000-0000-000081320000}"/>
    <cellStyle name="Normal GHG whole table 2 6 7 2" xfId="26897" xr:uid="{00000000-0005-0000-0000-000082320000}"/>
    <cellStyle name="Normal GHG whole table 2 7" xfId="3617" xr:uid="{00000000-0005-0000-0000-000083320000}"/>
    <cellStyle name="Normal GHG whole table 2 7 2" xfId="7677" xr:uid="{00000000-0005-0000-0000-000084320000}"/>
    <cellStyle name="Normal GHG whole table 2 7 2 2" xfId="23587" xr:uid="{00000000-0005-0000-0000-000085320000}"/>
    <cellStyle name="Normal GHG whole table 2 7 3" xfId="13952" xr:uid="{00000000-0005-0000-0000-000086320000}"/>
    <cellStyle name="Normal GHG whole table 2 7 3 2" xfId="28784" xr:uid="{00000000-0005-0000-0000-000087320000}"/>
    <cellStyle name="Normal GHG whole table 2 8" xfId="3365" xr:uid="{00000000-0005-0000-0000-000088320000}"/>
    <cellStyle name="Normal GHG whole table 2 8 2" xfId="7428" xr:uid="{00000000-0005-0000-0000-000089320000}"/>
    <cellStyle name="Normal GHG whole table 2 8 2 2" xfId="23429" xr:uid="{00000000-0005-0000-0000-00008A320000}"/>
    <cellStyle name="Normal GHG whole table 2 8 3" xfId="13702" xr:uid="{00000000-0005-0000-0000-00008B320000}"/>
    <cellStyle name="Normal GHG whole table 2 8 3 2" xfId="28534" xr:uid="{00000000-0005-0000-0000-00008C320000}"/>
    <cellStyle name="Normal GHG whole table 2 9" xfId="2353" xr:uid="{00000000-0005-0000-0000-00008D320000}"/>
    <cellStyle name="Normal GHG whole table 2 9 2" xfId="6465" xr:uid="{00000000-0005-0000-0000-00008E320000}"/>
    <cellStyle name="Normal GHG whole table 2 9 2 2" xfId="22835" xr:uid="{00000000-0005-0000-0000-00008F320000}"/>
    <cellStyle name="Normal GHG whole table 2 9 3" xfId="12692" xr:uid="{00000000-0005-0000-0000-000090320000}"/>
    <cellStyle name="Normal GHG whole table 2 9 3 2" xfId="27524" xr:uid="{00000000-0005-0000-0000-000091320000}"/>
    <cellStyle name="Normal GHG whole table 3" xfId="1500" xr:uid="{00000000-0005-0000-0000-000092320000}"/>
    <cellStyle name="Normal GHG whole table 3 2" xfId="1675" xr:uid="{00000000-0005-0000-0000-000093320000}"/>
    <cellStyle name="Normal GHG whole table 3 2 2" xfId="2258" xr:uid="{00000000-0005-0000-0000-000094320000}"/>
    <cellStyle name="Normal GHG whole table 3 2 2 2" xfId="4362" xr:uid="{00000000-0005-0000-0000-000095320000}"/>
    <cellStyle name="Normal GHG whole table 3 2 2 2 2" xfId="8401" xr:uid="{00000000-0005-0000-0000-000096320000}"/>
    <cellStyle name="Normal GHG whole table 3 2 2 2 2 2" xfId="24059" xr:uid="{00000000-0005-0000-0000-000097320000}"/>
    <cellStyle name="Normal GHG whole table 3 2 2 2 3" xfId="14691" xr:uid="{00000000-0005-0000-0000-000098320000}"/>
    <cellStyle name="Normal GHG whole table 3 2 2 2 3 2" xfId="29523" xr:uid="{00000000-0005-0000-0000-000099320000}"/>
    <cellStyle name="Normal GHG whole table 3 2 2 3" xfId="5226" xr:uid="{00000000-0005-0000-0000-00009A320000}"/>
    <cellStyle name="Normal GHG whole table 3 2 2 3 2" xfId="9265" xr:uid="{00000000-0005-0000-0000-00009B320000}"/>
    <cellStyle name="Normal GHG whole table 3 2 2 3 2 2" xfId="24603" xr:uid="{00000000-0005-0000-0000-00009C320000}"/>
    <cellStyle name="Normal GHG whole table 3 2 2 3 3" xfId="15542" xr:uid="{00000000-0005-0000-0000-00009D320000}"/>
    <cellStyle name="Normal GHG whole table 3 2 2 3 3 2" xfId="30374" xr:uid="{00000000-0005-0000-0000-00009E320000}"/>
    <cellStyle name="Normal GHG whole table 3 2 2 4" xfId="4256" xr:uid="{00000000-0005-0000-0000-00009F320000}"/>
    <cellStyle name="Normal GHG whole table 3 2 2 4 2" xfId="8295" xr:uid="{00000000-0005-0000-0000-0000A0320000}"/>
    <cellStyle name="Normal GHG whole table 3 2 2 4 2 2" xfId="23990" xr:uid="{00000000-0005-0000-0000-0000A1320000}"/>
    <cellStyle name="Normal GHG whole table 3 2 2 4 3" xfId="14588" xr:uid="{00000000-0005-0000-0000-0000A2320000}"/>
    <cellStyle name="Normal GHG whole table 3 2 2 4 3 2" xfId="29420" xr:uid="{00000000-0005-0000-0000-0000A3320000}"/>
    <cellStyle name="Normal GHG whole table 3 2 2 5" xfId="6370" xr:uid="{00000000-0005-0000-0000-0000A4320000}"/>
    <cellStyle name="Normal GHG whole table 3 2 2 5 2" xfId="22772" xr:uid="{00000000-0005-0000-0000-0000A5320000}"/>
    <cellStyle name="Normal GHG whole table 3 2 3" xfId="4032" xr:uid="{00000000-0005-0000-0000-0000A6320000}"/>
    <cellStyle name="Normal GHG whole table 3 2 3 2" xfId="8079" xr:uid="{00000000-0005-0000-0000-0000A7320000}"/>
    <cellStyle name="Normal GHG whole table 3 2 3 2 2" xfId="23848" xr:uid="{00000000-0005-0000-0000-0000A8320000}"/>
    <cellStyle name="Normal GHG whole table 3 2 3 3" xfId="14364" xr:uid="{00000000-0005-0000-0000-0000A9320000}"/>
    <cellStyle name="Normal GHG whole table 3 2 3 3 2" xfId="29196" xr:uid="{00000000-0005-0000-0000-0000AA320000}"/>
    <cellStyle name="Normal GHG whole table 3 2 4" xfId="4147" xr:uid="{00000000-0005-0000-0000-0000AB320000}"/>
    <cellStyle name="Normal GHG whole table 3 2 4 2" xfId="14479" xr:uid="{00000000-0005-0000-0000-0000AC320000}"/>
    <cellStyle name="Normal GHG whole table 3 2 4 2 2" xfId="29311" xr:uid="{00000000-0005-0000-0000-0000AD320000}"/>
    <cellStyle name="Normal GHG whole table 3 2 4 3" xfId="21546" xr:uid="{00000000-0005-0000-0000-0000AE320000}"/>
    <cellStyle name="Normal GHG whole table 3 2 5" xfId="4965" xr:uid="{00000000-0005-0000-0000-0000AF320000}"/>
    <cellStyle name="Normal GHG whole table 3 2 5 2" xfId="9004" xr:uid="{00000000-0005-0000-0000-0000B0320000}"/>
    <cellStyle name="Normal GHG whole table 3 2 5 2 2" xfId="24470" xr:uid="{00000000-0005-0000-0000-0000B1320000}"/>
    <cellStyle name="Normal GHG whole table 3 2 5 3" xfId="15287" xr:uid="{00000000-0005-0000-0000-0000B2320000}"/>
    <cellStyle name="Normal GHG whole table 3 2 5 3 2" xfId="30119" xr:uid="{00000000-0005-0000-0000-0000B3320000}"/>
    <cellStyle name="Normal GHG whole table 3 2 6" xfId="2955" xr:uid="{00000000-0005-0000-0000-0000B4320000}"/>
    <cellStyle name="Normal GHG whole table 3 2 6 2" xfId="13293" xr:uid="{00000000-0005-0000-0000-0000B5320000}"/>
    <cellStyle name="Normal GHG whole table 3 2 6 2 2" xfId="28125" xr:uid="{00000000-0005-0000-0000-0000B6320000}"/>
    <cellStyle name="Normal GHG whole table 3 2 6 3" xfId="20881" xr:uid="{00000000-0005-0000-0000-0000B7320000}"/>
    <cellStyle name="Normal GHG whole table 3 2 7" xfId="12070" xr:uid="{00000000-0005-0000-0000-0000B8320000}"/>
    <cellStyle name="Normal GHG whole table 3 2 7 2" xfId="26902" xr:uid="{00000000-0005-0000-0000-0000B9320000}"/>
    <cellStyle name="Normal GHG whole table 3 3" xfId="2243" xr:uid="{00000000-0005-0000-0000-0000BA320000}"/>
    <cellStyle name="Normal GHG whole table 3 3 2" xfId="4347" xr:uid="{00000000-0005-0000-0000-0000BB320000}"/>
    <cellStyle name="Normal GHG whole table 3 3 2 2" xfId="8386" xr:uid="{00000000-0005-0000-0000-0000BC320000}"/>
    <cellStyle name="Normal GHG whole table 3 3 2 2 2" xfId="24044" xr:uid="{00000000-0005-0000-0000-0000BD320000}"/>
    <cellStyle name="Normal GHG whole table 3 3 2 3" xfId="14676" xr:uid="{00000000-0005-0000-0000-0000BE320000}"/>
    <cellStyle name="Normal GHG whole table 3 3 2 3 2" xfId="29508" xr:uid="{00000000-0005-0000-0000-0000BF320000}"/>
    <cellStyle name="Normal GHG whole table 3 3 3" xfId="5211" xr:uid="{00000000-0005-0000-0000-0000C0320000}"/>
    <cellStyle name="Normal GHG whole table 3 3 3 2" xfId="9250" xr:uid="{00000000-0005-0000-0000-0000C1320000}"/>
    <cellStyle name="Normal GHG whole table 3 3 3 2 2" xfId="24588" xr:uid="{00000000-0005-0000-0000-0000C2320000}"/>
    <cellStyle name="Normal GHG whole table 3 3 3 3" xfId="15527" xr:uid="{00000000-0005-0000-0000-0000C3320000}"/>
    <cellStyle name="Normal GHG whole table 3 3 3 3 2" xfId="30359" xr:uid="{00000000-0005-0000-0000-0000C4320000}"/>
    <cellStyle name="Normal GHG whole table 3 3 4" xfId="4241" xr:uid="{00000000-0005-0000-0000-0000C5320000}"/>
    <cellStyle name="Normal GHG whole table 3 3 4 2" xfId="8280" xr:uid="{00000000-0005-0000-0000-0000C6320000}"/>
    <cellStyle name="Normal GHG whole table 3 3 4 2 2" xfId="23975" xr:uid="{00000000-0005-0000-0000-0000C7320000}"/>
    <cellStyle name="Normal GHG whole table 3 3 4 3" xfId="14573" xr:uid="{00000000-0005-0000-0000-0000C8320000}"/>
    <cellStyle name="Normal GHG whole table 3 3 4 3 2" xfId="29405" xr:uid="{00000000-0005-0000-0000-0000C9320000}"/>
    <cellStyle name="Normal GHG whole table 3 3 5" xfId="6355" xr:uid="{00000000-0005-0000-0000-0000CA320000}"/>
    <cellStyle name="Normal GHG whole table 3 3 5 2" xfId="22757" xr:uid="{00000000-0005-0000-0000-0000CB320000}"/>
    <cellStyle name="Normal GHG whole table 3 4" xfId="3736" xr:uid="{00000000-0005-0000-0000-0000CC320000}"/>
    <cellStyle name="Normal GHG whole table 3 4 2" xfId="7792" xr:uid="{00000000-0005-0000-0000-0000CD320000}"/>
    <cellStyle name="Normal GHG whole table 3 4 2 2" xfId="23666" xr:uid="{00000000-0005-0000-0000-0000CE320000}"/>
    <cellStyle name="Normal GHG whole table 3 4 3" xfId="14071" xr:uid="{00000000-0005-0000-0000-0000CF320000}"/>
    <cellStyle name="Normal GHG whole table 3 4 3 2" xfId="28903" xr:uid="{00000000-0005-0000-0000-0000D0320000}"/>
    <cellStyle name="Normal GHG whole table 3 5" xfId="3625" xr:uid="{00000000-0005-0000-0000-0000D1320000}"/>
    <cellStyle name="Normal GHG whole table 3 5 2" xfId="13960" xr:uid="{00000000-0005-0000-0000-0000D2320000}"/>
    <cellStyle name="Normal GHG whole table 3 5 2 2" xfId="28792" xr:uid="{00000000-0005-0000-0000-0000D3320000}"/>
    <cellStyle name="Normal GHG whole table 3 5 3" xfId="21258" xr:uid="{00000000-0005-0000-0000-0000D4320000}"/>
    <cellStyle name="Normal GHG whole table 3 6" xfId="4545" xr:uid="{00000000-0005-0000-0000-0000D5320000}"/>
    <cellStyle name="Normal GHG whole table 3 6 2" xfId="8584" xr:uid="{00000000-0005-0000-0000-0000D6320000}"/>
    <cellStyle name="Normal GHG whole table 3 6 2 2" xfId="24210" xr:uid="{00000000-0005-0000-0000-0000D7320000}"/>
    <cellStyle name="Normal GHG whole table 3 6 3" xfId="14872" xr:uid="{00000000-0005-0000-0000-0000D8320000}"/>
    <cellStyle name="Normal GHG whole table 3 6 3 2" xfId="29704" xr:uid="{00000000-0005-0000-0000-0000D9320000}"/>
    <cellStyle name="Normal GHG whole table 3 7" xfId="2535" xr:uid="{00000000-0005-0000-0000-0000DA320000}"/>
    <cellStyle name="Normal GHG whole table 3 7 2" xfId="6641" xr:uid="{00000000-0005-0000-0000-0000DB320000}"/>
    <cellStyle name="Normal GHG whole table 3 7 2 2" xfId="22979" xr:uid="{00000000-0005-0000-0000-0000DC320000}"/>
    <cellStyle name="Normal GHG whole table 3 7 3" xfId="12873" xr:uid="{00000000-0005-0000-0000-0000DD320000}"/>
    <cellStyle name="Normal GHG whole table 3 7 3 2" xfId="27705" xr:uid="{00000000-0005-0000-0000-0000DE320000}"/>
    <cellStyle name="Normal GHG whole table 3 8" xfId="1697" xr:uid="{00000000-0005-0000-0000-0000DF320000}"/>
    <cellStyle name="Normal GHG whole table 3 8 2" xfId="5829" xr:uid="{00000000-0005-0000-0000-0000E0320000}"/>
    <cellStyle name="Normal GHG whole table 3 8 2 2" xfId="22426" xr:uid="{00000000-0005-0000-0000-0000E1320000}"/>
    <cellStyle name="Normal GHG whole table 3 8 3" xfId="12091" xr:uid="{00000000-0005-0000-0000-0000E2320000}"/>
    <cellStyle name="Normal GHG whole table 3 8 3 2" xfId="26923" xr:uid="{00000000-0005-0000-0000-0000E3320000}"/>
    <cellStyle name="Normal GHG whole table 3 9" xfId="5658" xr:uid="{00000000-0005-0000-0000-0000E4320000}"/>
    <cellStyle name="Normal GHG whole table 3 9 2" xfId="15893" xr:uid="{00000000-0005-0000-0000-0000E5320000}"/>
    <cellStyle name="Normal GHG whole table 3 9 2 2" xfId="30725" xr:uid="{00000000-0005-0000-0000-0000E6320000}"/>
    <cellStyle name="Normal GHG whole table 3 9 3" xfId="22354" xr:uid="{00000000-0005-0000-0000-0000E7320000}"/>
    <cellStyle name="Normal GHG whole table 4" xfId="1665" xr:uid="{00000000-0005-0000-0000-0000E8320000}"/>
    <cellStyle name="Normal GHG whole table 4 2" xfId="4352" xr:uid="{00000000-0005-0000-0000-0000E9320000}"/>
    <cellStyle name="Normal GHG whole table 4 2 2" xfId="8391" xr:uid="{00000000-0005-0000-0000-0000EA320000}"/>
    <cellStyle name="Normal GHG whole table 4 2 2 2" xfId="24049" xr:uid="{00000000-0005-0000-0000-0000EB320000}"/>
    <cellStyle name="Normal GHG whole table 4 2 3" xfId="14681" xr:uid="{00000000-0005-0000-0000-0000EC320000}"/>
    <cellStyle name="Normal GHG whole table 4 2 3 2" xfId="29513" xr:uid="{00000000-0005-0000-0000-0000ED320000}"/>
    <cellStyle name="Normal GHG whole table 4 3" xfId="5216" xr:uid="{00000000-0005-0000-0000-0000EE320000}"/>
    <cellStyle name="Normal GHG whole table 4 3 2" xfId="9255" xr:uid="{00000000-0005-0000-0000-0000EF320000}"/>
    <cellStyle name="Normal GHG whole table 4 3 2 2" xfId="24593" xr:uid="{00000000-0005-0000-0000-0000F0320000}"/>
    <cellStyle name="Normal GHG whole table 4 3 3" xfId="15532" xr:uid="{00000000-0005-0000-0000-0000F1320000}"/>
    <cellStyle name="Normal GHG whole table 4 3 3 2" xfId="30364" xr:uid="{00000000-0005-0000-0000-0000F2320000}"/>
    <cellStyle name="Normal GHG whole table 4 4" xfId="4246" xr:uid="{00000000-0005-0000-0000-0000F3320000}"/>
    <cellStyle name="Normal GHG whole table 4 4 2" xfId="8285" xr:uid="{00000000-0005-0000-0000-0000F4320000}"/>
    <cellStyle name="Normal GHG whole table 4 4 2 2" xfId="23980" xr:uid="{00000000-0005-0000-0000-0000F5320000}"/>
    <cellStyle name="Normal GHG whole table 4 4 3" xfId="14578" xr:uid="{00000000-0005-0000-0000-0000F6320000}"/>
    <cellStyle name="Normal GHG whole table 4 4 3 2" xfId="29410" xr:uid="{00000000-0005-0000-0000-0000F7320000}"/>
    <cellStyle name="Normal GHG whole table 4 5" xfId="2248" xr:uid="{00000000-0005-0000-0000-0000F8320000}"/>
    <cellStyle name="Normal GHG whole table 4 5 2" xfId="6360" xr:uid="{00000000-0005-0000-0000-0000F9320000}"/>
    <cellStyle name="Normal GHG whole table 4 5 2 2" xfId="22762" xr:uid="{00000000-0005-0000-0000-0000FA320000}"/>
    <cellStyle name="Normal GHG whole table 4 6" xfId="5807" xr:uid="{00000000-0005-0000-0000-0000FB320000}"/>
    <cellStyle name="Normal GHG whole table 4 6 2" xfId="22405" xr:uid="{00000000-0005-0000-0000-0000FC320000}"/>
    <cellStyle name="Normal GHG whole table 4 7" xfId="12060" xr:uid="{00000000-0005-0000-0000-0000FD320000}"/>
    <cellStyle name="Normal GHG whole table 4 7 2" xfId="26892" xr:uid="{00000000-0005-0000-0000-0000FE320000}"/>
    <cellStyle name="Normal GHG whole table 5" xfId="3551" xr:uid="{00000000-0005-0000-0000-0000FF320000}"/>
    <cellStyle name="Normal GHG whole table 5 2" xfId="7613" xr:uid="{00000000-0005-0000-0000-000000330000}"/>
    <cellStyle name="Normal GHG whole table 5 2 2" xfId="23548" xr:uid="{00000000-0005-0000-0000-000001330000}"/>
    <cellStyle name="Normal GHG whole table 5 3" xfId="13887" xr:uid="{00000000-0005-0000-0000-000002330000}"/>
    <cellStyle name="Normal GHG whole table 5 3 2" xfId="28719" xr:uid="{00000000-0005-0000-0000-000003330000}"/>
    <cellStyle name="Normal GHG whole table 6" xfId="4315" xr:uid="{00000000-0005-0000-0000-000004330000}"/>
    <cellStyle name="Normal GHG whole table 6 2" xfId="8354" xr:uid="{00000000-0005-0000-0000-000005330000}"/>
    <cellStyle name="Normal GHG whole table 6 2 2" xfId="24030" xr:uid="{00000000-0005-0000-0000-000006330000}"/>
    <cellStyle name="Normal GHG whole table 6 3" xfId="14646" xr:uid="{00000000-0005-0000-0000-000007330000}"/>
    <cellStyle name="Normal GHG whole table 6 3 2" xfId="29478" xr:uid="{00000000-0005-0000-0000-000008330000}"/>
    <cellStyle name="Normal GHG whole table 7" xfId="2300" xr:uid="{00000000-0005-0000-0000-000009330000}"/>
    <cellStyle name="Normal GHG whole table 7 2" xfId="6412" xr:uid="{00000000-0005-0000-0000-00000A330000}"/>
    <cellStyle name="Normal GHG whole table 7 2 2" xfId="22814" xr:uid="{00000000-0005-0000-0000-00000B330000}"/>
    <cellStyle name="Normal GHG whole table 7 3" xfId="12640" xr:uid="{00000000-0005-0000-0000-00000C330000}"/>
    <cellStyle name="Normal GHG whole table 7 3 2" xfId="27472" xr:uid="{00000000-0005-0000-0000-00000D330000}"/>
    <cellStyle name="Normal GHG whole table 8" xfId="1686" xr:uid="{00000000-0005-0000-0000-00000E330000}"/>
    <cellStyle name="Normal GHG whole table 8 2" xfId="5818" xr:uid="{00000000-0005-0000-0000-00000F330000}"/>
    <cellStyle name="Normal GHG whole table 8 2 2" xfId="22415" xr:uid="{00000000-0005-0000-0000-000010330000}"/>
    <cellStyle name="Normal GHG whole table 8 3" xfId="12080" xr:uid="{00000000-0005-0000-0000-000011330000}"/>
    <cellStyle name="Normal GHG whole table 8 3 2" xfId="26912" xr:uid="{00000000-0005-0000-0000-000012330000}"/>
    <cellStyle name="Normal GHG whole table 9" xfId="5473" xr:uid="{00000000-0005-0000-0000-000013330000}"/>
    <cellStyle name="Normal GHG whole table 9 2" xfId="15708" xr:uid="{00000000-0005-0000-0000-000014330000}"/>
    <cellStyle name="Normal GHG whole table 9 2 2" xfId="30540" xr:uid="{00000000-0005-0000-0000-000015330000}"/>
    <cellStyle name="Normal GHG whole table 9 3" xfId="22201" xr:uid="{00000000-0005-0000-0000-000016330000}"/>
    <cellStyle name="Normal GHG-Shade" xfId="1214" xr:uid="{00000000-0005-0000-0000-000017330000}"/>
    <cellStyle name="Normal_CRIT Budgets" xfId="33022" xr:uid="{00000000-0005-0000-0000-000018330000}"/>
    <cellStyle name="Note 2" xfId="1216" xr:uid="{00000000-0005-0000-0000-000019330000}"/>
    <cellStyle name="Note 2 10" xfId="1503" xr:uid="{00000000-0005-0000-0000-00001A330000}"/>
    <cellStyle name="Note 2 10 2" xfId="2000" xr:uid="{00000000-0005-0000-0000-00001B330000}"/>
    <cellStyle name="Note 2 10 2 2" xfId="3781" xr:uid="{00000000-0005-0000-0000-00001C330000}"/>
    <cellStyle name="Note 2 10 2 2 2" xfId="7836" xr:uid="{00000000-0005-0000-0000-00001D330000}"/>
    <cellStyle name="Note 2 10 2 2 2 2" xfId="17362" xr:uid="{00000000-0005-0000-0000-00001E330000}"/>
    <cellStyle name="Note 2 10 2 2 2 2 2" xfId="32194" xr:uid="{00000000-0005-0000-0000-00001F330000}"/>
    <cellStyle name="Note 2 10 2 2 2 3" xfId="23692" xr:uid="{00000000-0005-0000-0000-000020330000}"/>
    <cellStyle name="Note 2 10 2 2 3" xfId="14116" xr:uid="{00000000-0005-0000-0000-000021330000}"/>
    <cellStyle name="Note 2 10 2 2 3 2" xfId="28948" xr:uid="{00000000-0005-0000-0000-000022330000}"/>
    <cellStyle name="Note 2 10 2 2 4" xfId="10979" xr:uid="{00000000-0005-0000-0000-000023330000}"/>
    <cellStyle name="Note 2 10 2 2 4 2" xfId="25811" xr:uid="{00000000-0005-0000-0000-000024330000}"/>
    <cellStyle name="Note 2 10 2 2 5" xfId="21344" xr:uid="{00000000-0005-0000-0000-000025330000}"/>
    <cellStyle name="Note 2 10 2 3" xfId="4968" xr:uid="{00000000-0005-0000-0000-000026330000}"/>
    <cellStyle name="Note 2 10 2 3 2" xfId="9007" xr:uid="{00000000-0005-0000-0000-000027330000}"/>
    <cellStyle name="Note 2 10 2 3 2 2" xfId="17947" xr:uid="{00000000-0005-0000-0000-000028330000}"/>
    <cellStyle name="Note 2 10 2 3 2 2 2" xfId="32779" xr:uid="{00000000-0005-0000-0000-000029330000}"/>
    <cellStyle name="Note 2 10 2 3 2 3" xfId="24473" xr:uid="{00000000-0005-0000-0000-00002A330000}"/>
    <cellStyle name="Note 2 10 2 3 3" xfId="15290" xr:uid="{00000000-0005-0000-0000-00002B330000}"/>
    <cellStyle name="Note 2 10 2 3 3 2" xfId="30122" xr:uid="{00000000-0005-0000-0000-00002C330000}"/>
    <cellStyle name="Note 2 10 2 3 4" xfId="11548" xr:uid="{00000000-0005-0000-0000-00002D330000}"/>
    <cellStyle name="Note 2 10 2 3 4 2" xfId="26380" xr:uid="{00000000-0005-0000-0000-00002E330000}"/>
    <cellStyle name="Note 2 10 2 3 5" xfId="21999" xr:uid="{00000000-0005-0000-0000-00002F330000}"/>
    <cellStyle name="Note 2 10 2 4" xfId="2958" xr:uid="{00000000-0005-0000-0000-000030330000}"/>
    <cellStyle name="Note 2 10 2 4 2" xfId="7038" xr:uid="{00000000-0005-0000-0000-000031330000}"/>
    <cellStyle name="Note 2 10 2 4 2 2" xfId="16839" xr:uid="{00000000-0005-0000-0000-000032330000}"/>
    <cellStyle name="Note 2 10 2 4 2 2 2" xfId="31671" xr:uid="{00000000-0005-0000-0000-000033330000}"/>
    <cellStyle name="Note 2 10 2 4 2 3" xfId="23212" xr:uid="{00000000-0005-0000-0000-000034330000}"/>
    <cellStyle name="Note 2 10 2 4 3" xfId="13296" xr:uid="{00000000-0005-0000-0000-000035330000}"/>
    <cellStyle name="Note 2 10 2 4 3 2" xfId="28128" xr:uid="{00000000-0005-0000-0000-000036330000}"/>
    <cellStyle name="Note 2 10 2 4 4" xfId="10494" xr:uid="{00000000-0005-0000-0000-000037330000}"/>
    <cellStyle name="Note 2 10 2 4 4 2" xfId="25326" xr:uid="{00000000-0005-0000-0000-000038330000}"/>
    <cellStyle name="Note 2 10 2 4 5" xfId="20884" xr:uid="{00000000-0005-0000-0000-000039330000}"/>
    <cellStyle name="Note 2 10 2 5" xfId="6130" xr:uid="{00000000-0005-0000-0000-00003A330000}"/>
    <cellStyle name="Note 2 10 2 5 2" xfId="16317" xr:uid="{00000000-0005-0000-0000-00003B330000}"/>
    <cellStyle name="Note 2 10 2 5 2 2" xfId="31149" xr:uid="{00000000-0005-0000-0000-00003C330000}"/>
    <cellStyle name="Note 2 10 2 5 3" xfId="22663" xr:uid="{00000000-0005-0000-0000-00003D330000}"/>
    <cellStyle name="Note 2 10 2 6" xfId="12387" xr:uid="{00000000-0005-0000-0000-00003E330000}"/>
    <cellStyle name="Note 2 10 2 6 2" xfId="27219" xr:uid="{00000000-0005-0000-0000-00003F330000}"/>
    <cellStyle name="Note 2 10 2 7" xfId="9969" xr:uid="{00000000-0005-0000-0000-000040330000}"/>
    <cellStyle name="Note 2 10 2 7 2" xfId="24803" xr:uid="{00000000-0005-0000-0000-000041330000}"/>
    <cellStyle name="Note 2 10 2 8" xfId="20344" xr:uid="{00000000-0005-0000-0000-000042330000}"/>
    <cellStyle name="Note 2 10 3" xfId="3685" xr:uid="{00000000-0005-0000-0000-000043330000}"/>
    <cellStyle name="Note 2 10 3 2" xfId="7742" xr:uid="{00000000-0005-0000-0000-000044330000}"/>
    <cellStyle name="Note 2 10 3 2 2" xfId="17314" xr:uid="{00000000-0005-0000-0000-000045330000}"/>
    <cellStyle name="Note 2 10 3 2 2 2" xfId="32146" xr:uid="{00000000-0005-0000-0000-000046330000}"/>
    <cellStyle name="Note 2 10 3 2 3" xfId="23631" xr:uid="{00000000-0005-0000-0000-000047330000}"/>
    <cellStyle name="Note 2 10 3 3" xfId="14020" xr:uid="{00000000-0005-0000-0000-000048330000}"/>
    <cellStyle name="Note 2 10 3 3 2" xfId="28852" xr:uid="{00000000-0005-0000-0000-000049330000}"/>
    <cellStyle name="Note 2 10 3 4" xfId="10931" xr:uid="{00000000-0005-0000-0000-00004A330000}"/>
    <cellStyle name="Note 2 10 3 4 2" xfId="25763" xr:uid="{00000000-0005-0000-0000-00004B330000}"/>
    <cellStyle name="Note 2 10 3 5" xfId="21292" xr:uid="{00000000-0005-0000-0000-00004C330000}"/>
    <cellStyle name="Note 2 10 4" xfId="4548" xr:uid="{00000000-0005-0000-0000-00004D330000}"/>
    <cellStyle name="Note 2 10 4 2" xfId="8587" xr:uid="{00000000-0005-0000-0000-00004E330000}"/>
    <cellStyle name="Note 2 10 4 2 2" xfId="17707" xr:uid="{00000000-0005-0000-0000-00004F330000}"/>
    <cellStyle name="Note 2 10 4 2 2 2" xfId="32539" xr:uid="{00000000-0005-0000-0000-000050330000}"/>
    <cellStyle name="Note 2 10 4 2 3" xfId="24213" xr:uid="{00000000-0005-0000-0000-000051330000}"/>
    <cellStyle name="Note 2 10 4 3" xfId="14875" xr:uid="{00000000-0005-0000-0000-000052330000}"/>
    <cellStyle name="Note 2 10 4 3 2" xfId="29707" xr:uid="{00000000-0005-0000-0000-000053330000}"/>
    <cellStyle name="Note 2 10 4 4" xfId="11313" xr:uid="{00000000-0005-0000-0000-000054330000}"/>
    <cellStyle name="Note 2 10 4 4 2" xfId="26145" xr:uid="{00000000-0005-0000-0000-000055330000}"/>
    <cellStyle name="Note 2 10 4 5" xfId="21769" xr:uid="{00000000-0005-0000-0000-000056330000}"/>
    <cellStyle name="Note 2 10 5" xfId="2538" xr:uid="{00000000-0005-0000-0000-000057330000}"/>
    <cellStyle name="Note 2 10 5 2" xfId="6644" xr:uid="{00000000-0005-0000-0000-000058330000}"/>
    <cellStyle name="Note 2 10 5 2 2" xfId="16604" xr:uid="{00000000-0005-0000-0000-000059330000}"/>
    <cellStyle name="Note 2 10 5 2 2 2" xfId="31436" xr:uid="{00000000-0005-0000-0000-00005A330000}"/>
    <cellStyle name="Note 2 10 5 2 3" xfId="22982" xr:uid="{00000000-0005-0000-0000-00005B330000}"/>
    <cellStyle name="Note 2 10 5 3" xfId="12876" xr:uid="{00000000-0005-0000-0000-00005C330000}"/>
    <cellStyle name="Note 2 10 5 3 2" xfId="27708" xr:uid="{00000000-0005-0000-0000-00005D330000}"/>
    <cellStyle name="Note 2 10 5 4" xfId="10254" xr:uid="{00000000-0005-0000-0000-00005E330000}"/>
    <cellStyle name="Note 2 10 5 4 2" xfId="25086" xr:uid="{00000000-0005-0000-0000-00005F330000}"/>
    <cellStyle name="Note 2 10 5 5" xfId="20624" xr:uid="{00000000-0005-0000-0000-000060330000}"/>
    <cellStyle name="Note 2 10 6" xfId="5661" xr:uid="{00000000-0005-0000-0000-000061330000}"/>
    <cellStyle name="Note 2 10 6 2" xfId="15896" xr:uid="{00000000-0005-0000-0000-000062330000}"/>
    <cellStyle name="Note 2 10 6 2 2" xfId="30728" xr:uid="{00000000-0005-0000-0000-000063330000}"/>
    <cellStyle name="Note 2 10 6 3" xfId="22357" xr:uid="{00000000-0005-0000-0000-000064330000}"/>
    <cellStyle name="Note 2 10 7" xfId="11916" xr:uid="{00000000-0005-0000-0000-000065330000}"/>
    <cellStyle name="Note 2 10 7 2" xfId="26748" xr:uid="{00000000-0005-0000-0000-000066330000}"/>
    <cellStyle name="Note 2 10 8" xfId="9574" xr:uid="{00000000-0005-0000-0000-000067330000}"/>
    <cellStyle name="Note 2 10 8 2" xfId="19876" xr:uid="{00000000-0005-0000-0000-000068330000}"/>
    <cellStyle name="Note 2 11" xfId="1560" xr:uid="{00000000-0005-0000-0000-000069330000}"/>
    <cellStyle name="Note 2 11 2" xfId="2057" xr:uid="{00000000-0005-0000-0000-00006A330000}"/>
    <cellStyle name="Note 2 11 2 2" xfId="3118" xr:uid="{00000000-0005-0000-0000-00006B330000}"/>
    <cellStyle name="Note 2 11 2 2 2" xfId="7183" xr:uid="{00000000-0005-0000-0000-00006C330000}"/>
    <cellStyle name="Note 2 11 2 2 2 2" xfId="16979" xr:uid="{00000000-0005-0000-0000-00006D330000}"/>
    <cellStyle name="Note 2 11 2 2 2 2 2" xfId="31811" xr:uid="{00000000-0005-0000-0000-00006E330000}"/>
    <cellStyle name="Note 2 11 2 2 2 3" xfId="23257" xr:uid="{00000000-0005-0000-0000-00006F330000}"/>
    <cellStyle name="Note 2 11 2 2 3" xfId="13456" xr:uid="{00000000-0005-0000-0000-000070330000}"/>
    <cellStyle name="Note 2 11 2 2 3 2" xfId="28288" xr:uid="{00000000-0005-0000-0000-000071330000}"/>
    <cellStyle name="Note 2 11 2 2 4" xfId="10637" xr:uid="{00000000-0005-0000-0000-000072330000}"/>
    <cellStyle name="Note 2 11 2 2 4 2" xfId="25469" xr:uid="{00000000-0005-0000-0000-000073330000}"/>
    <cellStyle name="Note 2 11 2 2 5" xfId="20947" xr:uid="{00000000-0005-0000-0000-000074330000}"/>
    <cellStyle name="Note 2 11 2 3" xfId="5025" xr:uid="{00000000-0005-0000-0000-000075330000}"/>
    <cellStyle name="Note 2 11 2 3 2" xfId="9064" xr:uid="{00000000-0005-0000-0000-000076330000}"/>
    <cellStyle name="Note 2 11 2 3 2 2" xfId="17997" xr:uid="{00000000-0005-0000-0000-000077330000}"/>
    <cellStyle name="Note 2 11 2 3 2 2 2" xfId="32829" xr:uid="{00000000-0005-0000-0000-000078330000}"/>
    <cellStyle name="Note 2 11 2 3 2 3" xfId="24498" xr:uid="{00000000-0005-0000-0000-000079330000}"/>
    <cellStyle name="Note 2 11 2 3 3" xfId="15346" xr:uid="{00000000-0005-0000-0000-00007A330000}"/>
    <cellStyle name="Note 2 11 2 3 3 2" xfId="30178" xr:uid="{00000000-0005-0000-0000-00007B330000}"/>
    <cellStyle name="Note 2 11 2 3 4" xfId="11597" xr:uid="{00000000-0005-0000-0000-00007C330000}"/>
    <cellStyle name="Note 2 11 2 3 4 2" xfId="26429" xr:uid="{00000000-0005-0000-0000-00007D330000}"/>
    <cellStyle name="Note 2 11 2 3 5" xfId="22018" xr:uid="{00000000-0005-0000-0000-00007E330000}"/>
    <cellStyle name="Note 2 11 2 4" xfId="3015" xr:uid="{00000000-0005-0000-0000-00007F330000}"/>
    <cellStyle name="Note 2 11 2 4 2" xfId="7090" xr:uid="{00000000-0005-0000-0000-000080330000}"/>
    <cellStyle name="Note 2 11 2 4 2 2" xfId="16888" xr:uid="{00000000-0005-0000-0000-000081330000}"/>
    <cellStyle name="Note 2 11 2 4 2 2 2" xfId="31720" xr:uid="{00000000-0005-0000-0000-000082330000}"/>
    <cellStyle name="Note 2 11 2 4 2 3" xfId="23231" xr:uid="{00000000-0005-0000-0000-000083330000}"/>
    <cellStyle name="Note 2 11 2 4 3" xfId="13353" xr:uid="{00000000-0005-0000-0000-000084330000}"/>
    <cellStyle name="Note 2 11 2 4 3 2" xfId="28185" xr:uid="{00000000-0005-0000-0000-000085330000}"/>
    <cellStyle name="Note 2 11 2 4 4" xfId="10544" xr:uid="{00000000-0005-0000-0000-000086330000}"/>
    <cellStyle name="Note 2 11 2 4 4 2" xfId="25376" xr:uid="{00000000-0005-0000-0000-000087330000}"/>
    <cellStyle name="Note 2 11 2 4 5" xfId="20909" xr:uid="{00000000-0005-0000-0000-000088330000}"/>
    <cellStyle name="Note 2 11 2 5" xfId="6182" xr:uid="{00000000-0005-0000-0000-000089330000}"/>
    <cellStyle name="Note 2 11 2 5 2" xfId="16368" xr:uid="{00000000-0005-0000-0000-00008A330000}"/>
    <cellStyle name="Note 2 11 2 5 2 2" xfId="31200" xr:uid="{00000000-0005-0000-0000-00008B330000}"/>
    <cellStyle name="Note 2 11 2 5 3" xfId="22682" xr:uid="{00000000-0005-0000-0000-00008C330000}"/>
    <cellStyle name="Note 2 11 2 6" xfId="12438" xr:uid="{00000000-0005-0000-0000-00008D330000}"/>
    <cellStyle name="Note 2 11 2 6 2" xfId="27270" xr:uid="{00000000-0005-0000-0000-00008E330000}"/>
    <cellStyle name="Note 2 11 2 7" xfId="10020" xr:uid="{00000000-0005-0000-0000-00008F330000}"/>
    <cellStyle name="Note 2 11 2 7 2" xfId="24852" xr:uid="{00000000-0005-0000-0000-000090330000}"/>
    <cellStyle name="Note 2 11 2 8" xfId="20361" xr:uid="{00000000-0005-0000-0000-000091330000}"/>
    <cellStyle name="Note 2 11 3" xfId="3204" xr:uid="{00000000-0005-0000-0000-000092330000}"/>
    <cellStyle name="Note 2 11 3 2" xfId="7268" xr:uid="{00000000-0005-0000-0000-000093330000}"/>
    <cellStyle name="Note 2 11 3 2 2" xfId="17035" xr:uid="{00000000-0005-0000-0000-000094330000}"/>
    <cellStyle name="Note 2 11 3 2 2 2" xfId="31867" xr:uid="{00000000-0005-0000-0000-000095330000}"/>
    <cellStyle name="Note 2 11 3 2 3" xfId="23317" xr:uid="{00000000-0005-0000-0000-000096330000}"/>
    <cellStyle name="Note 2 11 3 3" xfId="13542" xr:uid="{00000000-0005-0000-0000-000097330000}"/>
    <cellStyle name="Note 2 11 3 3 2" xfId="28374" xr:uid="{00000000-0005-0000-0000-000098330000}"/>
    <cellStyle name="Note 2 11 3 4" xfId="10679" xr:uid="{00000000-0005-0000-0000-000099330000}"/>
    <cellStyle name="Note 2 11 3 4 2" xfId="25511" xr:uid="{00000000-0005-0000-0000-00009A330000}"/>
    <cellStyle name="Note 2 11 3 5" xfId="21007" xr:uid="{00000000-0005-0000-0000-00009B330000}"/>
    <cellStyle name="Note 2 11 4" xfId="4605" xr:uid="{00000000-0005-0000-0000-00009C330000}"/>
    <cellStyle name="Note 2 11 4 2" xfId="8644" xr:uid="{00000000-0005-0000-0000-00009D330000}"/>
    <cellStyle name="Note 2 11 4 2 2" xfId="17757" xr:uid="{00000000-0005-0000-0000-00009E330000}"/>
    <cellStyle name="Note 2 11 4 2 2 2" xfId="32589" xr:uid="{00000000-0005-0000-0000-00009F330000}"/>
    <cellStyle name="Note 2 11 4 2 3" xfId="24238" xr:uid="{00000000-0005-0000-0000-0000A0330000}"/>
    <cellStyle name="Note 2 11 4 3" xfId="14931" xr:uid="{00000000-0005-0000-0000-0000A1330000}"/>
    <cellStyle name="Note 2 11 4 3 2" xfId="29763" xr:uid="{00000000-0005-0000-0000-0000A2330000}"/>
    <cellStyle name="Note 2 11 4 4" xfId="11362" xr:uid="{00000000-0005-0000-0000-0000A3330000}"/>
    <cellStyle name="Note 2 11 4 4 2" xfId="26194" xr:uid="{00000000-0005-0000-0000-0000A4330000}"/>
    <cellStyle name="Note 2 11 4 5" xfId="21788" xr:uid="{00000000-0005-0000-0000-0000A5330000}"/>
    <cellStyle name="Note 2 11 5" xfId="2595" xr:uid="{00000000-0005-0000-0000-0000A6330000}"/>
    <cellStyle name="Note 2 11 5 2" xfId="6696" xr:uid="{00000000-0005-0000-0000-0000A7330000}"/>
    <cellStyle name="Note 2 11 5 2 2" xfId="16653" xr:uid="{00000000-0005-0000-0000-0000A8330000}"/>
    <cellStyle name="Note 2 11 5 2 2 2" xfId="31485" xr:uid="{00000000-0005-0000-0000-0000A9330000}"/>
    <cellStyle name="Note 2 11 5 2 3" xfId="23001" xr:uid="{00000000-0005-0000-0000-0000AA330000}"/>
    <cellStyle name="Note 2 11 5 3" xfId="12933" xr:uid="{00000000-0005-0000-0000-0000AB330000}"/>
    <cellStyle name="Note 2 11 5 3 2" xfId="27765" xr:uid="{00000000-0005-0000-0000-0000AC330000}"/>
    <cellStyle name="Note 2 11 5 4" xfId="10304" xr:uid="{00000000-0005-0000-0000-0000AD330000}"/>
    <cellStyle name="Note 2 11 5 4 2" xfId="25136" xr:uid="{00000000-0005-0000-0000-0000AE330000}"/>
    <cellStyle name="Note 2 11 5 5" xfId="20649" xr:uid="{00000000-0005-0000-0000-0000AF330000}"/>
    <cellStyle name="Note 2 11 6" xfId="5712" xr:uid="{00000000-0005-0000-0000-0000B0330000}"/>
    <cellStyle name="Note 2 11 6 2" xfId="15947" xr:uid="{00000000-0005-0000-0000-0000B1330000}"/>
    <cellStyle name="Note 2 11 6 2 2" xfId="30779" xr:uid="{00000000-0005-0000-0000-0000B2330000}"/>
    <cellStyle name="Note 2 11 6 3" xfId="22376" xr:uid="{00000000-0005-0000-0000-0000B3330000}"/>
    <cellStyle name="Note 2 11 7" xfId="11967" xr:uid="{00000000-0005-0000-0000-0000B4330000}"/>
    <cellStyle name="Note 2 11 7 2" xfId="26799" xr:uid="{00000000-0005-0000-0000-0000B5330000}"/>
    <cellStyle name="Note 2 11 8" xfId="9626" xr:uid="{00000000-0005-0000-0000-0000B6330000}"/>
    <cellStyle name="Note 2 11 8 2" xfId="19927" xr:uid="{00000000-0005-0000-0000-0000B7330000}"/>
    <cellStyle name="Note 2 12" xfId="1400" xr:uid="{00000000-0005-0000-0000-0000B8330000}"/>
    <cellStyle name="Note 2 12 2" xfId="1902" xr:uid="{00000000-0005-0000-0000-0000B9330000}"/>
    <cellStyle name="Note 2 12 2 2" xfId="3383" xr:uid="{00000000-0005-0000-0000-0000BA330000}"/>
    <cellStyle name="Note 2 12 2 2 2" xfId="7446" xr:uid="{00000000-0005-0000-0000-0000BB330000}"/>
    <cellStyle name="Note 2 12 2 2 2 2" xfId="17153" xr:uid="{00000000-0005-0000-0000-0000BC330000}"/>
    <cellStyle name="Note 2 12 2 2 2 2 2" xfId="31985" xr:uid="{00000000-0005-0000-0000-0000BD330000}"/>
    <cellStyle name="Note 2 12 2 2 2 3" xfId="23438" xr:uid="{00000000-0005-0000-0000-0000BE330000}"/>
    <cellStyle name="Note 2 12 2 2 3" xfId="13720" xr:uid="{00000000-0005-0000-0000-0000BF330000}"/>
    <cellStyle name="Note 2 12 2 2 3 2" xfId="28552" xr:uid="{00000000-0005-0000-0000-0000C0330000}"/>
    <cellStyle name="Note 2 12 2 2 4" xfId="10772" xr:uid="{00000000-0005-0000-0000-0000C1330000}"/>
    <cellStyle name="Note 2 12 2 2 4 2" xfId="25604" xr:uid="{00000000-0005-0000-0000-0000C2330000}"/>
    <cellStyle name="Note 2 12 2 2 5" xfId="21120" xr:uid="{00000000-0005-0000-0000-0000C3330000}"/>
    <cellStyle name="Note 2 12 2 3" xfId="4880" xr:uid="{00000000-0005-0000-0000-0000C4330000}"/>
    <cellStyle name="Note 2 12 2 3 2" xfId="8919" xr:uid="{00000000-0005-0000-0000-0000C5330000}"/>
    <cellStyle name="Note 2 12 2 3 2 2" xfId="17944" xr:uid="{00000000-0005-0000-0000-0000C6330000}"/>
    <cellStyle name="Note 2 12 2 3 2 2 2" xfId="32776" xr:uid="{00000000-0005-0000-0000-0000C7330000}"/>
    <cellStyle name="Note 2 12 2 3 2 3" xfId="24385" xr:uid="{00000000-0005-0000-0000-0000C8330000}"/>
    <cellStyle name="Note 2 12 2 3 3" xfId="15203" xr:uid="{00000000-0005-0000-0000-0000C9330000}"/>
    <cellStyle name="Note 2 12 2 3 3 2" xfId="30035" xr:uid="{00000000-0005-0000-0000-0000CA330000}"/>
    <cellStyle name="Note 2 12 2 3 4" xfId="11546" xr:uid="{00000000-0005-0000-0000-0000CB330000}"/>
    <cellStyle name="Note 2 12 2 3 4 2" xfId="26378" xr:uid="{00000000-0005-0000-0000-0000CC330000}"/>
    <cellStyle name="Note 2 12 2 3 5" xfId="21917" xr:uid="{00000000-0005-0000-0000-0000CD330000}"/>
    <cellStyle name="Note 2 12 2 4" xfId="2870" xr:uid="{00000000-0005-0000-0000-0000CE330000}"/>
    <cellStyle name="Note 2 12 2 4 2" xfId="6955" xr:uid="{00000000-0005-0000-0000-0000CF330000}"/>
    <cellStyle name="Note 2 12 2 4 2 2" xfId="16837" xr:uid="{00000000-0005-0000-0000-0000D0330000}"/>
    <cellStyle name="Note 2 12 2 4 2 2 2" xfId="31669" xr:uid="{00000000-0005-0000-0000-0000D1330000}"/>
    <cellStyle name="Note 2 12 2 4 2 3" xfId="23130" xr:uid="{00000000-0005-0000-0000-0000D2330000}"/>
    <cellStyle name="Note 2 12 2 4 3" xfId="13208" xr:uid="{00000000-0005-0000-0000-0000D3330000}"/>
    <cellStyle name="Note 2 12 2 4 3 2" xfId="28040" xr:uid="{00000000-0005-0000-0000-0000D4330000}"/>
    <cellStyle name="Note 2 12 2 4 4" xfId="10491" xr:uid="{00000000-0005-0000-0000-0000D5330000}"/>
    <cellStyle name="Note 2 12 2 4 4 2" xfId="25323" xr:uid="{00000000-0005-0000-0000-0000D6330000}"/>
    <cellStyle name="Note 2 12 2 4 5" xfId="20796" xr:uid="{00000000-0005-0000-0000-0000D7330000}"/>
    <cellStyle name="Note 2 12 2 5" xfId="6033" xr:uid="{00000000-0005-0000-0000-0000D8330000}"/>
    <cellStyle name="Note 2 12 2 5 2" xfId="16220" xr:uid="{00000000-0005-0000-0000-0000D9330000}"/>
    <cellStyle name="Note 2 12 2 5 2 2" xfId="31052" xr:uid="{00000000-0005-0000-0000-0000DA330000}"/>
    <cellStyle name="Note 2 12 2 5 3" xfId="22566" xr:uid="{00000000-0005-0000-0000-0000DB330000}"/>
    <cellStyle name="Note 2 12 2 6" xfId="12290" xr:uid="{00000000-0005-0000-0000-0000DC330000}"/>
    <cellStyle name="Note 2 12 2 6 2" xfId="27122" xr:uid="{00000000-0005-0000-0000-0000DD330000}"/>
    <cellStyle name="Note 2 12 2 7" xfId="9886" xr:uid="{00000000-0005-0000-0000-0000DE330000}"/>
    <cellStyle name="Note 2 12 2 7 2" xfId="24801" xr:uid="{00000000-0005-0000-0000-0000DF330000}"/>
    <cellStyle name="Note 2 12 2 8" xfId="20327" xr:uid="{00000000-0005-0000-0000-0000E0330000}"/>
    <cellStyle name="Note 2 12 3" xfId="3704" xr:uid="{00000000-0005-0000-0000-0000E1330000}"/>
    <cellStyle name="Note 2 12 3 2" xfId="7760" xr:uid="{00000000-0005-0000-0000-0000E2330000}"/>
    <cellStyle name="Note 2 12 3 2 2" xfId="17326" xr:uid="{00000000-0005-0000-0000-0000E3330000}"/>
    <cellStyle name="Note 2 12 3 2 2 2" xfId="32158" xr:uid="{00000000-0005-0000-0000-0000E4330000}"/>
    <cellStyle name="Note 2 12 3 2 3" xfId="23642" xr:uid="{00000000-0005-0000-0000-0000E5330000}"/>
    <cellStyle name="Note 2 12 3 3" xfId="14039" xr:uid="{00000000-0005-0000-0000-0000E6330000}"/>
    <cellStyle name="Note 2 12 3 3 2" xfId="28871" xr:uid="{00000000-0005-0000-0000-0000E7330000}"/>
    <cellStyle name="Note 2 12 3 4" xfId="10944" xr:uid="{00000000-0005-0000-0000-0000E8330000}"/>
    <cellStyle name="Note 2 12 3 4 2" xfId="25776" xr:uid="{00000000-0005-0000-0000-0000E9330000}"/>
    <cellStyle name="Note 2 12 3 5" xfId="21302" xr:uid="{00000000-0005-0000-0000-0000EA330000}"/>
    <cellStyle name="Note 2 12 4" xfId="4460" xr:uid="{00000000-0005-0000-0000-0000EB330000}"/>
    <cellStyle name="Note 2 12 4 2" xfId="8499" xr:uid="{00000000-0005-0000-0000-0000EC330000}"/>
    <cellStyle name="Note 2 12 4 2 2" xfId="17704" xr:uid="{00000000-0005-0000-0000-0000ED330000}"/>
    <cellStyle name="Note 2 12 4 2 2 2" xfId="32536" xr:uid="{00000000-0005-0000-0000-0000EE330000}"/>
    <cellStyle name="Note 2 12 4 2 3" xfId="24125" xr:uid="{00000000-0005-0000-0000-0000EF330000}"/>
    <cellStyle name="Note 2 12 4 3" xfId="14788" xr:uid="{00000000-0005-0000-0000-0000F0330000}"/>
    <cellStyle name="Note 2 12 4 3 2" xfId="29620" xr:uid="{00000000-0005-0000-0000-0000F1330000}"/>
    <cellStyle name="Note 2 12 4 4" xfId="11311" xr:uid="{00000000-0005-0000-0000-0000F2330000}"/>
    <cellStyle name="Note 2 12 4 4 2" xfId="26143" xr:uid="{00000000-0005-0000-0000-0000F3330000}"/>
    <cellStyle name="Note 2 12 4 5" xfId="21687" xr:uid="{00000000-0005-0000-0000-0000F4330000}"/>
    <cellStyle name="Note 2 12 5" xfId="2450" xr:uid="{00000000-0005-0000-0000-0000F5330000}"/>
    <cellStyle name="Note 2 12 5 2" xfId="6556" xr:uid="{00000000-0005-0000-0000-0000F6330000}"/>
    <cellStyle name="Note 2 12 5 2 2" xfId="16601" xr:uid="{00000000-0005-0000-0000-0000F7330000}"/>
    <cellStyle name="Note 2 12 5 2 2 2" xfId="31433" xr:uid="{00000000-0005-0000-0000-0000F8330000}"/>
    <cellStyle name="Note 2 12 5 2 3" xfId="22894" xr:uid="{00000000-0005-0000-0000-0000F9330000}"/>
    <cellStyle name="Note 2 12 5 3" xfId="12789" xr:uid="{00000000-0005-0000-0000-0000FA330000}"/>
    <cellStyle name="Note 2 12 5 3 2" xfId="27621" xr:uid="{00000000-0005-0000-0000-0000FB330000}"/>
    <cellStyle name="Note 2 12 5 4" xfId="10252" xr:uid="{00000000-0005-0000-0000-0000FC330000}"/>
    <cellStyle name="Note 2 12 5 4 2" xfId="25084" xr:uid="{00000000-0005-0000-0000-0000FD330000}"/>
    <cellStyle name="Note 2 12 5 5" xfId="20542" xr:uid="{00000000-0005-0000-0000-0000FE330000}"/>
    <cellStyle name="Note 2 12 6" xfId="5574" xr:uid="{00000000-0005-0000-0000-0000FF330000}"/>
    <cellStyle name="Note 2 12 6 2" xfId="15809" xr:uid="{00000000-0005-0000-0000-000000340000}"/>
    <cellStyle name="Note 2 12 6 2 2" xfId="30641" xr:uid="{00000000-0005-0000-0000-000001340000}"/>
    <cellStyle name="Note 2 12 6 3" xfId="22270" xr:uid="{00000000-0005-0000-0000-000002340000}"/>
    <cellStyle name="Note 2 12 7" xfId="11819" xr:uid="{00000000-0005-0000-0000-000003340000}"/>
    <cellStyle name="Note 2 12 7 2" xfId="26651" xr:uid="{00000000-0005-0000-0000-000004340000}"/>
    <cellStyle name="Note 2 12 8" xfId="9491" xr:uid="{00000000-0005-0000-0000-000005340000}"/>
    <cellStyle name="Note 2 12 8 2" xfId="19794" xr:uid="{00000000-0005-0000-0000-000006340000}"/>
    <cellStyle name="Note 2 13" xfId="1761" xr:uid="{00000000-0005-0000-0000-000007340000}"/>
    <cellStyle name="Note 2 13 2" xfId="3510" xr:uid="{00000000-0005-0000-0000-000008340000}"/>
    <cellStyle name="Note 2 13 2 2" xfId="7572" xr:uid="{00000000-0005-0000-0000-000009340000}"/>
    <cellStyle name="Note 2 13 2 2 2" xfId="17227" xr:uid="{00000000-0005-0000-0000-00000A340000}"/>
    <cellStyle name="Note 2 13 2 2 2 2" xfId="32059" xr:uid="{00000000-0005-0000-0000-00000B340000}"/>
    <cellStyle name="Note 2 13 2 2 3" xfId="23524" xr:uid="{00000000-0005-0000-0000-00000C340000}"/>
    <cellStyle name="Note 2 13 2 3" xfId="13847" xr:uid="{00000000-0005-0000-0000-00000D340000}"/>
    <cellStyle name="Note 2 13 2 3 2" xfId="28679" xr:uid="{00000000-0005-0000-0000-00000E340000}"/>
    <cellStyle name="Note 2 13 2 4" xfId="10845" xr:uid="{00000000-0005-0000-0000-00000F340000}"/>
    <cellStyle name="Note 2 13 2 4 2" xfId="25677" xr:uid="{00000000-0005-0000-0000-000010340000}"/>
    <cellStyle name="Note 2 13 2 5" xfId="21199" xr:uid="{00000000-0005-0000-0000-000011340000}"/>
    <cellStyle name="Note 2 13 3" xfId="4739" xr:uid="{00000000-0005-0000-0000-000012340000}"/>
    <cellStyle name="Note 2 13 3 2" xfId="8778" xr:uid="{00000000-0005-0000-0000-000013340000}"/>
    <cellStyle name="Note 2 13 3 2 2" xfId="17850" xr:uid="{00000000-0005-0000-0000-000014340000}"/>
    <cellStyle name="Note 2 13 3 2 2 2" xfId="32682" xr:uid="{00000000-0005-0000-0000-000015340000}"/>
    <cellStyle name="Note 2 13 3 2 3" xfId="24308" xr:uid="{00000000-0005-0000-0000-000016340000}"/>
    <cellStyle name="Note 2 13 3 3" xfId="15063" xr:uid="{00000000-0005-0000-0000-000017340000}"/>
    <cellStyle name="Note 2 13 3 3 2" xfId="29895" xr:uid="{00000000-0005-0000-0000-000018340000}"/>
    <cellStyle name="Note 2 13 3 4" xfId="11453" xr:uid="{00000000-0005-0000-0000-000019340000}"/>
    <cellStyle name="Note 2 13 3 4 2" xfId="26285" xr:uid="{00000000-0005-0000-0000-00001A340000}"/>
    <cellStyle name="Note 2 13 3 5" xfId="21846" xr:uid="{00000000-0005-0000-0000-00001B340000}"/>
    <cellStyle name="Note 2 13 4" xfId="2729" xr:uid="{00000000-0005-0000-0000-00001C340000}"/>
    <cellStyle name="Note 2 13 4 2" xfId="6820" xr:uid="{00000000-0005-0000-0000-00001D340000}"/>
    <cellStyle name="Note 2 13 4 2 2" xfId="16744" xr:uid="{00000000-0005-0000-0000-00001E340000}"/>
    <cellStyle name="Note 2 13 4 2 2 2" xfId="31576" xr:uid="{00000000-0005-0000-0000-00001F340000}"/>
    <cellStyle name="Note 2 13 4 2 3" xfId="23059" xr:uid="{00000000-0005-0000-0000-000020340000}"/>
    <cellStyle name="Note 2 13 4 3" xfId="13067" xr:uid="{00000000-0005-0000-0000-000021340000}"/>
    <cellStyle name="Note 2 13 4 3 2" xfId="27899" xr:uid="{00000000-0005-0000-0000-000022340000}"/>
    <cellStyle name="Note 2 13 4 4" xfId="10397" xr:uid="{00000000-0005-0000-0000-000023340000}"/>
    <cellStyle name="Note 2 13 4 4 2" xfId="25229" xr:uid="{00000000-0005-0000-0000-000024340000}"/>
    <cellStyle name="Note 2 13 4 5" xfId="20719" xr:uid="{00000000-0005-0000-0000-000025340000}"/>
    <cellStyle name="Note 2 13 5" xfId="5893" xr:uid="{00000000-0005-0000-0000-000026340000}"/>
    <cellStyle name="Note 2 13 5 2" xfId="16085" xr:uid="{00000000-0005-0000-0000-000027340000}"/>
    <cellStyle name="Note 2 13 5 2 2" xfId="30917" xr:uid="{00000000-0005-0000-0000-000028340000}"/>
    <cellStyle name="Note 2 13 5 3" xfId="22490" xr:uid="{00000000-0005-0000-0000-000029340000}"/>
    <cellStyle name="Note 2 13 6" xfId="12155" xr:uid="{00000000-0005-0000-0000-00002A340000}"/>
    <cellStyle name="Note 2 13 6 2" xfId="26987" xr:uid="{00000000-0005-0000-0000-00002B340000}"/>
    <cellStyle name="Note 2 13 7" xfId="9751" xr:uid="{00000000-0005-0000-0000-00002C340000}"/>
    <cellStyle name="Note 2 13 7 2" xfId="24708" xr:uid="{00000000-0005-0000-0000-00002D340000}"/>
    <cellStyle name="Note 2 13 8" xfId="20298" xr:uid="{00000000-0005-0000-0000-00002E340000}"/>
    <cellStyle name="Note 2 14" xfId="2205" xr:uid="{00000000-0005-0000-0000-00002F340000}"/>
    <cellStyle name="Note 2 14 2" xfId="3542" xr:uid="{00000000-0005-0000-0000-000030340000}"/>
    <cellStyle name="Note 2 14 2 2" xfId="7604" xr:uid="{00000000-0005-0000-0000-000031340000}"/>
    <cellStyle name="Note 2 14 2 2 2" xfId="17248" xr:uid="{00000000-0005-0000-0000-000032340000}"/>
    <cellStyle name="Note 2 14 2 2 2 2" xfId="32080" xr:uid="{00000000-0005-0000-0000-000033340000}"/>
    <cellStyle name="Note 2 14 2 2 3" xfId="23542" xr:uid="{00000000-0005-0000-0000-000034340000}"/>
    <cellStyle name="Note 2 14 2 3" xfId="13878" xr:uid="{00000000-0005-0000-0000-000035340000}"/>
    <cellStyle name="Note 2 14 2 3 2" xfId="28710" xr:uid="{00000000-0005-0000-0000-000036340000}"/>
    <cellStyle name="Note 2 14 2 4" xfId="10865" xr:uid="{00000000-0005-0000-0000-000037340000}"/>
    <cellStyle name="Note 2 14 2 4 2" xfId="25697" xr:uid="{00000000-0005-0000-0000-000038340000}"/>
    <cellStyle name="Note 2 14 2 5" xfId="21215" xr:uid="{00000000-0005-0000-0000-000039340000}"/>
    <cellStyle name="Note 2 14 3" xfId="5173" xr:uid="{00000000-0005-0000-0000-00003A340000}"/>
    <cellStyle name="Note 2 14 3 2" xfId="9212" xr:uid="{00000000-0005-0000-0000-00003B340000}"/>
    <cellStyle name="Note 2 14 3 2 2" xfId="18135" xr:uid="{00000000-0005-0000-0000-00003C340000}"/>
    <cellStyle name="Note 2 14 3 2 2 2" xfId="32967" xr:uid="{00000000-0005-0000-0000-00003D340000}"/>
    <cellStyle name="Note 2 14 3 2 3" xfId="24550" xr:uid="{00000000-0005-0000-0000-00003E340000}"/>
    <cellStyle name="Note 2 14 3 3" xfId="15491" xr:uid="{00000000-0005-0000-0000-00003F340000}"/>
    <cellStyle name="Note 2 14 3 3 2" xfId="30323" xr:uid="{00000000-0005-0000-0000-000040340000}"/>
    <cellStyle name="Note 2 14 3 4" xfId="11732" xr:uid="{00000000-0005-0000-0000-000041340000}"/>
    <cellStyle name="Note 2 14 3 4 2" xfId="26564" xr:uid="{00000000-0005-0000-0000-000042340000}"/>
    <cellStyle name="Note 2 14 3 5" xfId="22057" xr:uid="{00000000-0005-0000-0000-000043340000}"/>
    <cellStyle name="Note 2 14 4" xfId="4203" xr:uid="{00000000-0005-0000-0000-000044340000}"/>
    <cellStyle name="Note 2 14 4 2" xfId="8244" xr:uid="{00000000-0005-0000-0000-000045340000}"/>
    <cellStyle name="Note 2 14 4 2 2" xfId="17591" xr:uid="{00000000-0005-0000-0000-000046340000}"/>
    <cellStyle name="Note 2 14 4 2 2 2" xfId="32423" xr:uid="{00000000-0005-0000-0000-000047340000}"/>
    <cellStyle name="Note 2 14 4 2 3" xfId="23939" xr:uid="{00000000-0005-0000-0000-000048340000}"/>
    <cellStyle name="Note 2 14 4 3" xfId="14535" xr:uid="{00000000-0005-0000-0000-000049340000}"/>
    <cellStyle name="Note 2 14 4 3 2" xfId="29367" xr:uid="{00000000-0005-0000-0000-00004A340000}"/>
    <cellStyle name="Note 2 14 4 4" xfId="11211" xr:uid="{00000000-0005-0000-0000-00004B340000}"/>
    <cellStyle name="Note 2 14 4 4 2" xfId="26043" xr:uid="{00000000-0005-0000-0000-00004C340000}"/>
    <cellStyle name="Note 2 14 4 5" xfId="21564" xr:uid="{00000000-0005-0000-0000-00004D340000}"/>
    <cellStyle name="Note 2 14 5" xfId="6319" xr:uid="{00000000-0005-0000-0000-00004E340000}"/>
    <cellStyle name="Note 2 14 5 2" xfId="16503" xr:uid="{00000000-0005-0000-0000-00004F340000}"/>
    <cellStyle name="Note 2 14 5 2 2" xfId="31335" xr:uid="{00000000-0005-0000-0000-000050340000}"/>
    <cellStyle name="Note 2 14 5 3" xfId="22721" xr:uid="{00000000-0005-0000-0000-000051340000}"/>
    <cellStyle name="Note 2 14 6" xfId="12573" xr:uid="{00000000-0005-0000-0000-000052340000}"/>
    <cellStyle name="Note 2 14 6 2" xfId="27405" xr:uid="{00000000-0005-0000-0000-000053340000}"/>
    <cellStyle name="Note 2 14 7" xfId="10155" xr:uid="{00000000-0005-0000-0000-000054340000}"/>
    <cellStyle name="Note 2 14 7 2" xfId="24987" xr:uid="{00000000-0005-0000-0000-000055340000}"/>
    <cellStyle name="Note 2 14 8" xfId="20400" xr:uid="{00000000-0005-0000-0000-000056340000}"/>
    <cellStyle name="Note 2 15" xfId="3173" xr:uid="{00000000-0005-0000-0000-000057340000}"/>
    <cellStyle name="Note 2 15 2" xfId="7237" xr:uid="{00000000-0005-0000-0000-000058340000}"/>
    <cellStyle name="Note 2 15 2 2" xfId="17011" xr:uid="{00000000-0005-0000-0000-000059340000}"/>
    <cellStyle name="Note 2 15 2 2 2" xfId="31843" xr:uid="{00000000-0005-0000-0000-00005A340000}"/>
    <cellStyle name="Note 2 15 2 3" xfId="23297" xr:uid="{00000000-0005-0000-0000-00005B340000}"/>
    <cellStyle name="Note 2 15 3" xfId="13511" xr:uid="{00000000-0005-0000-0000-00005C340000}"/>
    <cellStyle name="Note 2 15 3 2" xfId="28343" xr:uid="{00000000-0005-0000-0000-00005D340000}"/>
    <cellStyle name="Note 2 15 4" xfId="10661" xr:uid="{00000000-0005-0000-0000-00005E340000}"/>
    <cellStyle name="Note 2 15 4 2" xfId="25493" xr:uid="{00000000-0005-0000-0000-00005F340000}"/>
    <cellStyle name="Note 2 15 5" xfId="20987" xr:uid="{00000000-0005-0000-0000-000060340000}"/>
    <cellStyle name="Note 2 16" xfId="3208" xr:uid="{00000000-0005-0000-0000-000061340000}"/>
    <cellStyle name="Note 2 16 2" xfId="7272" xr:uid="{00000000-0005-0000-0000-000062340000}"/>
    <cellStyle name="Note 2 16 2 2" xfId="17039" xr:uid="{00000000-0005-0000-0000-000063340000}"/>
    <cellStyle name="Note 2 16 2 2 2" xfId="31871" xr:uid="{00000000-0005-0000-0000-000064340000}"/>
    <cellStyle name="Note 2 16 2 3" xfId="23319" xr:uid="{00000000-0005-0000-0000-000065340000}"/>
    <cellStyle name="Note 2 16 3" xfId="13546" xr:uid="{00000000-0005-0000-0000-000066340000}"/>
    <cellStyle name="Note 2 16 3 2" xfId="28378" xr:uid="{00000000-0005-0000-0000-000067340000}"/>
    <cellStyle name="Note 2 16 4" xfId="10683" xr:uid="{00000000-0005-0000-0000-000068340000}"/>
    <cellStyle name="Note 2 16 4 2" xfId="25515" xr:uid="{00000000-0005-0000-0000-000069340000}"/>
    <cellStyle name="Note 2 16 5" xfId="21009" xr:uid="{00000000-0005-0000-0000-00006A340000}"/>
    <cellStyle name="Note 2 17" xfId="2302" xr:uid="{00000000-0005-0000-0000-00006B340000}"/>
    <cellStyle name="Note 2 17 2" xfId="6414" xr:uid="{00000000-0005-0000-0000-00006C340000}"/>
    <cellStyle name="Note 2 17 2 2" xfId="16507" xr:uid="{00000000-0005-0000-0000-00006D340000}"/>
    <cellStyle name="Note 2 17 2 2 2" xfId="31339" xr:uid="{00000000-0005-0000-0000-00006E340000}"/>
    <cellStyle name="Note 2 17 2 3" xfId="22816" xr:uid="{00000000-0005-0000-0000-00006F340000}"/>
    <cellStyle name="Note 2 17 3" xfId="12642" xr:uid="{00000000-0005-0000-0000-000070340000}"/>
    <cellStyle name="Note 2 17 3 2" xfId="27474" xr:uid="{00000000-0005-0000-0000-000071340000}"/>
    <cellStyle name="Note 2 17 4" xfId="10158" xr:uid="{00000000-0005-0000-0000-000072340000}"/>
    <cellStyle name="Note 2 17 4 2" xfId="24990" xr:uid="{00000000-0005-0000-0000-000073340000}"/>
    <cellStyle name="Note 2 17 5" xfId="20465" xr:uid="{00000000-0005-0000-0000-000074340000}"/>
    <cellStyle name="Note 2 18" xfId="5265" xr:uid="{00000000-0005-0000-0000-000075340000}"/>
    <cellStyle name="Note 2 18 2" xfId="9273" xr:uid="{00000000-0005-0000-0000-000076340000}"/>
    <cellStyle name="Note 2 18 2 2" xfId="18140" xr:uid="{00000000-0005-0000-0000-000077340000}"/>
    <cellStyle name="Note 2 18 2 2 2" xfId="32972" xr:uid="{00000000-0005-0000-0000-000078340000}"/>
    <cellStyle name="Note 2 18 2 3" xfId="24611" xr:uid="{00000000-0005-0000-0000-000079340000}"/>
    <cellStyle name="Note 2 18 3" xfId="15581" xr:uid="{00000000-0005-0000-0000-00007A340000}"/>
    <cellStyle name="Note 2 18 3 2" xfId="30413" xr:uid="{00000000-0005-0000-0000-00007B340000}"/>
    <cellStyle name="Note 2 18 4" xfId="22122" xr:uid="{00000000-0005-0000-0000-00007C340000}"/>
    <cellStyle name="Note 2 19" xfId="5423" xr:uid="{00000000-0005-0000-0000-00007D340000}"/>
    <cellStyle name="Note 2 19 2" xfId="15659" xr:uid="{00000000-0005-0000-0000-00007E340000}"/>
    <cellStyle name="Note 2 19 2 2" xfId="30491" xr:uid="{00000000-0005-0000-0000-00007F340000}"/>
    <cellStyle name="Note 2 19 3" xfId="22184" xr:uid="{00000000-0005-0000-0000-000080340000}"/>
    <cellStyle name="Note 2 2" xfId="1217" xr:uid="{00000000-0005-0000-0000-000081340000}"/>
    <cellStyle name="Note 2 2 10" xfId="2303" xr:uid="{00000000-0005-0000-0000-000082340000}"/>
    <cellStyle name="Note 2 2 10 2" xfId="6415" xr:uid="{00000000-0005-0000-0000-000083340000}"/>
    <cellStyle name="Note 2 2 10 2 2" xfId="16508" xr:uid="{00000000-0005-0000-0000-000084340000}"/>
    <cellStyle name="Note 2 2 10 2 2 2" xfId="31340" xr:uid="{00000000-0005-0000-0000-000085340000}"/>
    <cellStyle name="Note 2 2 10 2 3" xfId="22817" xr:uid="{00000000-0005-0000-0000-000086340000}"/>
    <cellStyle name="Note 2 2 10 3" xfId="12643" xr:uid="{00000000-0005-0000-0000-000087340000}"/>
    <cellStyle name="Note 2 2 10 3 2" xfId="27475" xr:uid="{00000000-0005-0000-0000-000088340000}"/>
    <cellStyle name="Note 2 2 10 4" xfId="10159" xr:uid="{00000000-0005-0000-0000-000089340000}"/>
    <cellStyle name="Note 2 2 10 4 2" xfId="24991" xr:uid="{00000000-0005-0000-0000-00008A340000}"/>
    <cellStyle name="Note 2 2 10 5" xfId="20466" xr:uid="{00000000-0005-0000-0000-00008B340000}"/>
    <cellStyle name="Note 2 2 11" xfId="5266" xr:uid="{00000000-0005-0000-0000-00008C340000}"/>
    <cellStyle name="Note 2 2 11 2" xfId="9274" xr:uid="{00000000-0005-0000-0000-00008D340000}"/>
    <cellStyle name="Note 2 2 11 2 2" xfId="18141" xr:uid="{00000000-0005-0000-0000-00008E340000}"/>
    <cellStyle name="Note 2 2 11 2 2 2" xfId="32973" xr:uid="{00000000-0005-0000-0000-00008F340000}"/>
    <cellStyle name="Note 2 2 11 2 3" xfId="24612" xr:uid="{00000000-0005-0000-0000-000090340000}"/>
    <cellStyle name="Note 2 2 11 3" xfId="15582" xr:uid="{00000000-0005-0000-0000-000091340000}"/>
    <cellStyle name="Note 2 2 11 3 2" xfId="30414" xr:uid="{00000000-0005-0000-0000-000092340000}"/>
    <cellStyle name="Note 2 2 11 4" xfId="22123" xr:uid="{00000000-0005-0000-0000-000093340000}"/>
    <cellStyle name="Note 2 2 12" xfId="5424" xr:uid="{00000000-0005-0000-0000-000094340000}"/>
    <cellStyle name="Note 2 2 12 2" xfId="15660" xr:uid="{00000000-0005-0000-0000-000095340000}"/>
    <cellStyle name="Note 2 2 12 2 2" xfId="30492" xr:uid="{00000000-0005-0000-0000-000096340000}"/>
    <cellStyle name="Note 2 2 12 3" xfId="22185" xr:uid="{00000000-0005-0000-0000-000097340000}"/>
    <cellStyle name="Note 2 2 13" xfId="9367" xr:uid="{00000000-0005-0000-0000-000098340000}"/>
    <cellStyle name="Note 2 2 13 2" xfId="24673" xr:uid="{00000000-0005-0000-0000-000099340000}"/>
    <cellStyle name="Note 2 2 14" xfId="5356" xr:uid="{00000000-0005-0000-0000-00009A340000}"/>
    <cellStyle name="Note 2 2 14 2" xfId="18230" xr:uid="{00000000-0005-0000-0000-00009B340000}"/>
    <cellStyle name="Note 2 2 2" xfId="1336" xr:uid="{00000000-0005-0000-0000-00009C340000}"/>
    <cellStyle name="Note 2 2 2 2" xfId="1840" xr:uid="{00000000-0005-0000-0000-00009D340000}"/>
    <cellStyle name="Note 2 2 2 2 2" xfId="3740" xr:uid="{00000000-0005-0000-0000-00009E340000}"/>
    <cellStyle name="Note 2 2 2 2 2 2" xfId="7796" xr:uid="{00000000-0005-0000-0000-00009F340000}"/>
    <cellStyle name="Note 2 2 2 2 2 2 2" xfId="17343" xr:uid="{00000000-0005-0000-0000-0000A0340000}"/>
    <cellStyle name="Note 2 2 2 2 2 2 2 2" xfId="32175" xr:uid="{00000000-0005-0000-0000-0000A1340000}"/>
    <cellStyle name="Note 2 2 2 2 2 2 3" xfId="23669" xr:uid="{00000000-0005-0000-0000-0000A2340000}"/>
    <cellStyle name="Note 2 2 2 2 2 3" xfId="14075" xr:uid="{00000000-0005-0000-0000-0000A3340000}"/>
    <cellStyle name="Note 2 2 2 2 2 3 2" xfId="28907" xr:uid="{00000000-0005-0000-0000-0000A4340000}"/>
    <cellStyle name="Note 2 2 2 2 2 4" xfId="10959" xr:uid="{00000000-0005-0000-0000-0000A5340000}"/>
    <cellStyle name="Note 2 2 2 2 2 4 2" xfId="25791" xr:uid="{00000000-0005-0000-0000-0000A6340000}"/>
    <cellStyle name="Note 2 2 2 2 2 5" xfId="21325" xr:uid="{00000000-0005-0000-0000-0000A7340000}"/>
    <cellStyle name="Note 2 2 2 2 3" xfId="4818" xr:uid="{00000000-0005-0000-0000-0000A8340000}"/>
    <cellStyle name="Note 2 2 2 2 3 2" xfId="8857" xr:uid="{00000000-0005-0000-0000-0000A9340000}"/>
    <cellStyle name="Note 2 2 2 2 3 2 2" xfId="17898" xr:uid="{00000000-0005-0000-0000-0000AA340000}"/>
    <cellStyle name="Note 2 2 2 2 3 2 2 2" xfId="32730" xr:uid="{00000000-0005-0000-0000-0000AB340000}"/>
    <cellStyle name="Note 2 2 2 2 3 2 3" xfId="24355" xr:uid="{00000000-0005-0000-0000-0000AC340000}"/>
    <cellStyle name="Note 2 2 2 2 3 3" xfId="15142" xr:uid="{00000000-0005-0000-0000-0000AD340000}"/>
    <cellStyle name="Note 2 2 2 2 3 3 2" xfId="29974" xr:uid="{00000000-0005-0000-0000-0000AE340000}"/>
    <cellStyle name="Note 2 2 2 2 3 4" xfId="11501" xr:uid="{00000000-0005-0000-0000-0000AF340000}"/>
    <cellStyle name="Note 2 2 2 2 3 4 2" xfId="26333" xr:uid="{00000000-0005-0000-0000-0000B0340000}"/>
    <cellStyle name="Note 2 2 2 2 3 5" xfId="21893" xr:uid="{00000000-0005-0000-0000-0000B1340000}"/>
    <cellStyle name="Note 2 2 2 2 4" xfId="2808" xr:uid="{00000000-0005-0000-0000-0000B2340000}"/>
    <cellStyle name="Note 2 2 2 2 4 2" xfId="6899" xr:uid="{00000000-0005-0000-0000-0000B3340000}"/>
    <cellStyle name="Note 2 2 2 2 4 2 2" xfId="16792" xr:uid="{00000000-0005-0000-0000-0000B4340000}"/>
    <cellStyle name="Note 2 2 2 2 4 2 2 2" xfId="31624" xr:uid="{00000000-0005-0000-0000-0000B5340000}"/>
    <cellStyle name="Note 2 2 2 2 4 2 3" xfId="23106" xr:uid="{00000000-0005-0000-0000-0000B6340000}"/>
    <cellStyle name="Note 2 2 2 2 4 3" xfId="13146" xr:uid="{00000000-0005-0000-0000-0000B7340000}"/>
    <cellStyle name="Note 2 2 2 2 4 3 2" xfId="27978" xr:uid="{00000000-0005-0000-0000-0000B8340000}"/>
    <cellStyle name="Note 2 2 2 2 4 4" xfId="10445" xr:uid="{00000000-0005-0000-0000-0000B9340000}"/>
    <cellStyle name="Note 2 2 2 2 4 4 2" xfId="25277" xr:uid="{00000000-0005-0000-0000-0000BA340000}"/>
    <cellStyle name="Note 2 2 2 2 4 5" xfId="20766" xr:uid="{00000000-0005-0000-0000-0000BB340000}"/>
    <cellStyle name="Note 2 2 2 2 5" xfId="5972" xr:uid="{00000000-0005-0000-0000-0000BC340000}"/>
    <cellStyle name="Note 2 2 2 2 5 2" xfId="16164" xr:uid="{00000000-0005-0000-0000-0000BD340000}"/>
    <cellStyle name="Note 2 2 2 2 5 2 2" xfId="30996" xr:uid="{00000000-0005-0000-0000-0000BE340000}"/>
    <cellStyle name="Note 2 2 2 2 5 3" xfId="22537" xr:uid="{00000000-0005-0000-0000-0000BF340000}"/>
    <cellStyle name="Note 2 2 2 2 6" xfId="12234" xr:uid="{00000000-0005-0000-0000-0000C0340000}"/>
    <cellStyle name="Note 2 2 2 2 6 2" xfId="27066" xr:uid="{00000000-0005-0000-0000-0000C1340000}"/>
    <cellStyle name="Note 2 2 2 2 7" xfId="9830" xr:uid="{00000000-0005-0000-0000-0000C2340000}"/>
    <cellStyle name="Note 2 2 2 2 7 2" xfId="24756" xr:uid="{00000000-0005-0000-0000-0000C3340000}"/>
    <cellStyle name="Note 2 2 2 2 8" xfId="20314" xr:uid="{00000000-0005-0000-0000-0000C4340000}"/>
    <cellStyle name="Note 2 2 2 3" xfId="3463" xr:uid="{00000000-0005-0000-0000-0000C5340000}"/>
    <cellStyle name="Note 2 2 2 3 2" xfId="7526" xr:uid="{00000000-0005-0000-0000-0000C6340000}"/>
    <cellStyle name="Note 2 2 2 3 2 2" xfId="17202" xr:uid="{00000000-0005-0000-0000-0000C7340000}"/>
    <cellStyle name="Note 2 2 2 3 2 2 2" xfId="32034" xr:uid="{00000000-0005-0000-0000-0000C8340000}"/>
    <cellStyle name="Note 2 2 2 3 2 3" xfId="23493" xr:uid="{00000000-0005-0000-0000-0000C9340000}"/>
    <cellStyle name="Note 2 2 2 3 3" xfId="13800" xr:uid="{00000000-0005-0000-0000-0000CA340000}"/>
    <cellStyle name="Note 2 2 2 3 3 2" xfId="28632" xr:uid="{00000000-0005-0000-0000-0000CB340000}"/>
    <cellStyle name="Note 2 2 2 3 4" xfId="10821" xr:uid="{00000000-0005-0000-0000-0000CC340000}"/>
    <cellStyle name="Note 2 2 2 3 4 2" xfId="25653" xr:uid="{00000000-0005-0000-0000-0000CD340000}"/>
    <cellStyle name="Note 2 2 2 3 5" xfId="21168" xr:uid="{00000000-0005-0000-0000-0000CE340000}"/>
    <cellStyle name="Note 2 2 2 4" xfId="4398" xr:uid="{00000000-0005-0000-0000-0000CF340000}"/>
    <cellStyle name="Note 2 2 2 4 2" xfId="8437" xr:uid="{00000000-0005-0000-0000-0000D0340000}"/>
    <cellStyle name="Note 2 2 2 4 2 2" xfId="17658" xr:uid="{00000000-0005-0000-0000-0000D1340000}"/>
    <cellStyle name="Note 2 2 2 4 2 2 2" xfId="32490" xr:uid="{00000000-0005-0000-0000-0000D2340000}"/>
    <cellStyle name="Note 2 2 2 4 2 3" xfId="24095" xr:uid="{00000000-0005-0000-0000-0000D3340000}"/>
    <cellStyle name="Note 2 2 2 4 3" xfId="14727" xr:uid="{00000000-0005-0000-0000-0000D4340000}"/>
    <cellStyle name="Note 2 2 2 4 3 2" xfId="29559" xr:uid="{00000000-0005-0000-0000-0000D5340000}"/>
    <cellStyle name="Note 2 2 2 4 4" xfId="11266" xr:uid="{00000000-0005-0000-0000-0000D6340000}"/>
    <cellStyle name="Note 2 2 2 4 4 2" xfId="26098" xr:uid="{00000000-0005-0000-0000-0000D7340000}"/>
    <cellStyle name="Note 2 2 2 4 5" xfId="21663" xr:uid="{00000000-0005-0000-0000-0000D8340000}"/>
    <cellStyle name="Note 2 2 2 5" xfId="2388" xr:uid="{00000000-0005-0000-0000-0000D9340000}"/>
    <cellStyle name="Note 2 2 2 5 2" xfId="6500" xr:uid="{00000000-0005-0000-0000-0000DA340000}"/>
    <cellStyle name="Note 2 2 2 5 2 2" xfId="16556" xr:uid="{00000000-0005-0000-0000-0000DB340000}"/>
    <cellStyle name="Note 2 2 2 5 2 2 2" xfId="31388" xr:uid="{00000000-0005-0000-0000-0000DC340000}"/>
    <cellStyle name="Note 2 2 2 5 2 3" xfId="22870" xr:uid="{00000000-0005-0000-0000-0000DD340000}"/>
    <cellStyle name="Note 2 2 2 5 3" xfId="12727" xr:uid="{00000000-0005-0000-0000-0000DE340000}"/>
    <cellStyle name="Note 2 2 2 5 3 2" xfId="27559" xr:uid="{00000000-0005-0000-0000-0000DF340000}"/>
    <cellStyle name="Note 2 2 2 5 4" xfId="10206" xr:uid="{00000000-0005-0000-0000-0000E0340000}"/>
    <cellStyle name="Note 2 2 2 5 4 2" xfId="25038" xr:uid="{00000000-0005-0000-0000-0000E1340000}"/>
    <cellStyle name="Note 2 2 2 5 5" xfId="20512" xr:uid="{00000000-0005-0000-0000-0000E2340000}"/>
    <cellStyle name="Note 2 2 2 6" xfId="5513" xr:uid="{00000000-0005-0000-0000-0000E3340000}"/>
    <cellStyle name="Note 2 2 2 6 2" xfId="15748" xr:uid="{00000000-0005-0000-0000-0000E4340000}"/>
    <cellStyle name="Note 2 2 2 6 2 2" xfId="30580" xr:uid="{00000000-0005-0000-0000-0000E5340000}"/>
    <cellStyle name="Note 2 2 2 6 3" xfId="22241" xr:uid="{00000000-0005-0000-0000-0000E6340000}"/>
    <cellStyle name="Note 2 2 2 7" xfId="11763" xr:uid="{00000000-0005-0000-0000-0000E7340000}"/>
    <cellStyle name="Note 2 2 2 7 2" xfId="26595" xr:uid="{00000000-0005-0000-0000-0000E8340000}"/>
    <cellStyle name="Note 2 2 2 8" xfId="9434" xr:uid="{00000000-0005-0000-0000-0000E9340000}"/>
    <cellStyle name="Note 2 2 2 8 2" xfId="19738" xr:uid="{00000000-0005-0000-0000-0000EA340000}"/>
    <cellStyle name="Note 2 2 3" xfId="1504" xr:uid="{00000000-0005-0000-0000-0000EB340000}"/>
    <cellStyle name="Note 2 2 3 2" xfId="2001" xr:uid="{00000000-0005-0000-0000-0000EC340000}"/>
    <cellStyle name="Note 2 2 3 2 2" xfId="3628" xr:uid="{00000000-0005-0000-0000-0000ED340000}"/>
    <cellStyle name="Note 2 2 3 2 2 2" xfId="7687" xr:uid="{00000000-0005-0000-0000-0000EE340000}"/>
    <cellStyle name="Note 2 2 3 2 2 2 2" xfId="17288" xr:uid="{00000000-0005-0000-0000-0000EF340000}"/>
    <cellStyle name="Note 2 2 3 2 2 2 2 2" xfId="32120" xr:uid="{00000000-0005-0000-0000-0000F0340000}"/>
    <cellStyle name="Note 2 2 3 2 2 2 3" xfId="23595" xr:uid="{00000000-0005-0000-0000-0000F1340000}"/>
    <cellStyle name="Note 2 2 3 2 2 3" xfId="13963" xr:uid="{00000000-0005-0000-0000-0000F2340000}"/>
    <cellStyle name="Note 2 2 3 2 2 3 2" xfId="28795" xr:uid="{00000000-0005-0000-0000-0000F3340000}"/>
    <cellStyle name="Note 2 2 3 2 2 4" xfId="10904" xr:uid="{00000000-0005-0000-0000-0000F4340000}"/>
    <cellStyle name="Note 2 2 3 2 2 4 2" xfId="25736" xr:uid="{00000000-0005-0000-0000-0000F5340000}"/>
    <cellStyle name="Note 2 2 3 2 2 5" xfId="21260" xr:uid="{00000000-0005-0000-0000-0000F6340000}"/>
    <cellStyle name="Note 2 2 3 2 3" xfId="4969" xr:uid="{00000000-0005-0000-0000-0000F7340000}"/>
    <cellStyle name="Note 2 2 3 2 3 2" xfId="9008" xr:uid="{00000000-0005-0000-0000-0000F8340000}"/>
    <cellStyle name="Note 2 2 3 2 3 2 2" xfId="17948" xr:uid="{00000000-0005-0000-0000-0000F9340000}"/>
    <cellStyle name="Note 2 2 3 2 3 2 2 2" xfId="32780" xr:uid="{00000000-0005-0000-0000-0000FA340000}"/>
    <cellStyle name="Note 2 2 3 2 3 2 3" xfId="24474" xr:uid="{00000000-0005-0000-0000-0000FB340000}"/>
    <cellStyle name="Note 2 2 3 2 3 3" xfId="15291" xr:uid="{00000000-0005-0000-0000-0000FC340000}"/>
    <cellStyle name="Note 2 2 3 2 3 3 2" xfId="30123" xr:uid="{00000000-0005-0000-0000-0000FD340000}"/>
    <cellStyle name="Note 2 2 3 2 3 4" xfId="11549" xr:uid="{00000000-0005-0000-0000-0000FE340000}"/>
    <cellStyle name="Note 2 2 3 2 3 4 2" xfId="26381" xr:uid="{00000000-0005-0000-0000-0000FF340000}"/>
    <cellStyle name="Note 2 2 3 2 3 5" xfId="22000" xr:uid="{00000000-0005-0000-0000-000000350000}"/>
    <cellStyle name="Note 2 2 3 2 4" xfId="2959" xr:uid="{00000000-0005-0000-0000-000001350000}"/>
    <cellStyle name="Note 2 2 3 2 4 2" xfId="7039" xr:uid="{00000000-0005-0000-0000-000002350000}"/>
    <cellStyle name="Note 2 2 3 2 4 2 2" xfId="16840" xr:uid="{00000000-0005-0000-0000-000003350000}"/>
    <cellStyle name="Note 2 2 3 2 4 2 2 2" xfId="31672" xr:uid="{00000000-0005-0000-0000-000004350000}"/>
    <cellStyle name="Note 2 2 3 2 4 2 3" xfId="23213" xr:uid="{00000000-0005-0000-0000-000005350000}"/>
    <cellStyle name="Note 2 2 3 2 4 3" xfId="13297" xr:uid="{00000000-0005-0000-0000-000006350000}"/>
    <cellStyle name="Note 2 2 3 2 4 3 2" xfId="28129" xr:uid="{00000000-0005-0000-0000-000007350000}"/>
    <cellStyle name="Note 2 2 3 2 4 4" xfId="10495" xr:uid="{00000000-0005-0000-0000-000008350000}"/>
    <cellStyle name="Note 2 2 3 2 4 4 2" xfId="25327" xr:uid="{00000000-0005-0000-0000-000009350000}"/>
    <cellStyle name="Note 2 2 3 2 4 5" xfId="20885" xr:uid="{00000000-0005-0000-0000-00000A350000}"/>
    <cellStyle name="Note 2 2 3 2 5" xfId="6131" xr:uid="{00000000-0005-0000-0000-00000B350000}"/>
    <cellStyle name="Note 2 2 3 2 5 2" xfId="16318" xr:uid="{00000000-0005-0000-0000-00000C350000}"/>
    <cellStyle name="Note 2 2 3 2 5 2 2" xfId="31150" xr:uid="{00000000-0005-0000-0000-00000D350000}"/>
    <cellStyle name="Note 2 2 3 2 5 3" xfId="22664" xr:uid="{00000000-0005-0000-0000-00000E350000}"/>
    <cellStyle name="Note 2 2 3 2 6" xfId="12388" xr:uid="{00000000-0005-0000-0000-00000F350000}"/>
    <cellStyle name="Note 2 2 3 2 6 2" xfId="27220" xr:uid="{00000000-0005-0000-0000-000010350000}"/>
    <cellStyle name="Note 2 2 3 2 7" xfId="9970" xr:uid="{00000000-0005-0000-0000-000011350000}"/>
    <cellStyle name="Note 2 2 3 2 7 2" xfId="24804" xr:uid="{00000000-0005-0000-0000-000012350000}"/>
    <cellStyle name="Note 2 2 3 2 8" xfId="20345" xr:uid="{00000000-0005-0000-0000-000013350000}"/>
    <cellStyle name="Note 2 2 3 3" xfId="4300" xr:uid="{00000000-0005-0000-0000-000014350000}"/>
    <cellStyle name="Note 2 2 3 3 2" xfId="8339" xr:uid="{00000000-0005-0000-0000-000015350000}"/>
    <cellStyle name="Note 2 2 3 3 2 2" xfId="17618" xr:uid="{00000000-0005-0000-0000-000016350000}"/>
    <cellStyle name="Note 2 2 3 3 2 2 2" xfId="32450" xr:uid="{00000000-0005-0000-0000-000017350000}"/>
    <cellStyle name="Note 2 2 3 3 2 3" xfId="24024" xr:uid="{00000000-0005-0000-0000-000018350000}"/>
    <cellStyle name="Note 2 2 3 3 3" xfId="14631" xr:uid="{00000000-0005-0000-0000-000019350000}"/>
    <cellStyle name="Note 2 2 3 3 3 2" xfId="29463" xr:uid="{00000000-0005-0000-0000-00001A350000}"/>
    <cellStyle name="Note 2 2 3 3 4" xfId="11230" xr:uid="{00000000-0005-0000-0000-00001B350000}"/>
    <cellStyle name="Note 2 2 3 3 4 2" xfId="26062" xr:uid="{00000000-0005-0000-0000-00001C350000}"/>
    <cellStyle name="Note 2 2 3 3 5" xfId="21621" xr:uid="{00000000-0005-0000-0000-00001D350000}"/>
    <cellStyle name="Note 2 2 3 4" xfId="4549" xr:uid="{00000000-0005-0000-0000-00001E350000}"/>
    <cellStyle name="Note 2 2 3 4 2" xfId="8588" xr:uid="{00000000-0005-0000-0000-00001F350000}"/>
    <cellStyle name="Note 2 2 3 4 2 2" xfId="17708" xr:uid="{00000000-0005-0000-0000-000020350000}"/>
    <cellStyle name="Note 2 2 3 4 2 2 2" xfId="32540" xr:uid="{00000000-0005-0000-0000-000021350000}"/>
    <cellStyle name="Note 2 2 3 4 2 3" xfId="24214" xr:uid="{00000000-0005-0000-0000-000022350000}"/>
    <cellStyle name="Note 2 2 3 4 3" xfId="14876" xr:uid="{00000000-0005-0000-0000-000023350000}"/>
    <cellStyle name="Note 2 2 3 4 3 2" xfId="29708" xr:uid="{00000000-0005-0000-0000-000024350000}"/>
    <cellStyle name="Note 2 2 3 4 4" xfId="11314" xr:uid="{00000000-0005-0000-0000-000025350000}"/>
    <cellStyle name="Note 2 2 3 4 4 2" xfId="26146" xr:uid="{00000000-0005-0000-0000-000026350000}"/>
    <cellStyle name="Note 2 2 3 4 5" xfId="21770" xr:uid="{00000000-0005-0000-0000-000027350000}"/>
    <cellStyle name="Note 2 2 3 5" xfId="2539" xr:uid="{00000000-0005-0000-0000-000028350000}"/>
    <cellStyle name="Note 2 2 3 5 2" xfId="6645" xr:uid="{00000000-0005-0000-0000-000029350000}"/>
    <cellStyle name="Note 2 2 3 5 2 2" xfId="16605" xr:uid="{00000000-0005-0000-0000-00002A350000}"/>
    <cellStyle name="Note 2 2 3 5 2 2 2" xfId="31437" xr:uid="{00000000-0005-0000-0000-00002B350000}"/>
    <cellStyle name="Note 2 2 3 5 2 3" xfId="22983" xr:uid="{00000000-0005-0000-0000-00002C350000}"/>
    <cellStyle name="Note 2 2 3 5 3" xfId="12877" xr:uid="{00000000-0005-0000-0000-00002D350000}"/>
    <cellStyle name="Note 2 2 3 5 3 2" xfId="27709" xr:uid="{00000000-0005-0000-0000-00002E350000}"/>
    <cellStyle name="Note 2 2 3 5 4" xfId="10255" xr:uid="{00000000-0005-0000-0000-00002F350000}"/>
    <cellStyle name="Note 2 2 3 5 4 2" xfId="25087" xr:uid="{00000000-0005-0000-0000-000030350000}"/>
    <cellStyle name="Note 2 2 3 5 5" xfId="20625" xr:uid="{00000000-0005-0000-0000-000031350000}"/>
    <cellStyle name="Note 2 2 3 6" xfId="5662" xr:uid="{00000000-0005-0000-0000-000032350000}"/>
    <cellStyle name="Note 2 2 3 6 2" xfId="15897" xr:uid="{00000000-0005-0000-0000-000033350000}"/>
    <cellStyle name="Note 2 2 3 6 2 2" xfId="30729" xr:uid="{00000000-0005-0000-0000-000034350000}"/>
    <cellStyle name="Note 2 2 3 6 3" xfId="22358" xr:uid="{00000000-0005-0000-0000-000035350000}"/>
    <cellStyle name="Note 2 2 3 7" xfId="11917" xr:uid="{00000000-0005-0000-0000-000036350000}"/>
    <cellStyle name="Note 2 2 3 7 2" xfId="26749" xr:uid="{00000000-0005-0000-0000-000037350000}"/>
    <cellStyle name="Note 2 2 3 8" xfId="9575" xr:uid="{00000000-0005-0000-0000-000038350000}"/>
    <cellStyle name="Note 2 2 3 8 2" xfId="19877" xr:uid="{00000000-0005-0000-0000-000039350000}"/>
    <cellStyle name="Note 2 2 4" xfId="1561" xr:uid="{00000000-0005-0000-0000-00003A350000}"/>
    <cellStyle name="Note 2 2 4 2" xfId="2058" xr:uid="{00000000-0005-0000-0000-00003B350000}"/>
    <cellStyle name="Note 2 2 4 2 2" xfId="3399" xr:uid="{00000000-0005-0000-0000-00003C350000}"/>
    <cellStyle name="Note 2 2 4 2 2 2" xfId="7462" xr:uid="{00000000-0005-0000-0000-00003D350000}"/>
    <cellStyle name="Note 2 2 4 2 2 2 2" xfId="17161" xr:uid="{00000000-0005-0000-0000-00003E350000}"/>
    <cellStyle name="Note 2 2 4 2 2 2 2 2" xfId="31993" xr:uid="{00000000-0005-0000-0000-00003F350000}"/>
    <cellStyle name="Note 2 2 4 2 2 2 3" xfId="23450" xr:uid="{00000000-0005-0000-0000-000040350000}"/>
    <cellStyle name="Note 2 2 4 2 2 3" xfId="13736" xr:uid="{00000000-0005-0000-0000-000041350000}"/>
    <cellStyle name="Note 2 2 4 2 2 3 2" xfId="28568" xr:uid="{00000000-0005-0000-0000-000042350000}"/>
    <cellStyle name="Note 2 2 4 2 2 4" xfId="10780" xr:uid="{00000000-0005-0000-0000-000043350000}"/>
    <cellStyle name="Note 2 2 4 2 2 4 2" xfId="25612" xr:uid="{00000000-0005-0000-0000-000044350000}"/>
    <cellStyle name="Note 2 2 4 2 2 5" xfId="21128" xr:uid="{00000000-0005-0000-0000-000045350000}"/>
    <cellStyle name="Note 2 2 4 2 3" xfId="5026" xr:uid="{00000000-0005-0000-0000-000046350000}"/>
    <cellStyle name="Note 2 2 4 2 3 2" xfId="9065" xr:uid="{00000000-0005-0000-0000-000047350000}"/>
    <cellStyle name="Note 2 2 4 2 3 2 2" xfId="17998" xr:uid="{00000000-0005-0000-0000-000048350000}"/>
    <cellStyle name="Note 2 2 4 2 3 2 2 2" xfId="32830" xr:uid="{00000000-0005-0000-0000-000049350000}"/>
    <cellStyle name="Note 2 2 4 2 3 2 3" xfId="24499" xr:uid="{00000000-0005-0000-0000-00004A350000}"/>
    <cellStyle name="Note 2 2 4 2 3 3" xfId="15347" xr:uid="{00000000-0005-0000-0000-00004B350000}"/>
    <cellStyle name="Note 2 2 4 2 3 3 2" xfId="30179" xr:uid="{00000000-0005-0000-0000-00004C350000}"/>
    <cellStyle name="Note 2 2 4 2 3 4" xfId="11598" xr:uid="{00000000-0005-0000-0000-00004D350000}"/>
    <cellStyle name="Note 2 2 4 2 3 4 2" xfId="26430" xr:uid="{00000000-0005-0000-0000-00004E350000}"/>
    <cellStyle name="Note 2 2 4 2 3 5" xfId="22019" xr:uid="{00000000-0005-0000-0000-00004F350000}"/>
    <cellStyle name="Note 2 2 4 2 4" xfId="3016" xr:uid="{00000000-0005-0000-0000-000050350000}"/>
    <cellStyle name="Note 2 2 4 2 4 2" xfId="7091" xr:uid="{00000000-0005-0000-0000-000051350000}"/>
    <cellStyle name="Note 2 2 4 2 4 2 2" xfId="16889" xr:uid="{00000000-0005-0000-0000-000052350000}"/>
    <cellStyle name="Note 2 2 4 2 4 2 2 2" xfId="31721" xr:uid="{00000000-0005-0000-0000-000053350000}"/>
    <cellStyle name="Note 2 2 4 2 4 2 3" xfId="23232" xr:uid="{00000000-0005-0000-0000-000054350000}"/>
    <cellStyle name="Note 2 2 4 2 4 3" xfId="13354" xr:uid="{00000000-0005-0000-0000-000055350000}"/>
    <cellStyle name="Note 2 2 4 2 4 3 2" xfId="28186" xr:uid="{00000000-0005-0000-0000-000056350000}"/>
    <cellStyle name="Note 2 2 4 2 4 4" xfId="10545" xr:uid="{00000000-0005-0000-0000-000057350000}"/>
    <cellStyle name="Note 2 2 4 2 4 4 2" xfId="25377" xr:uid="{00000000-0005-0000-0000-000058350000}"/>
    <cellStyle name="Note 2 2 4 2 4 5" xfId="20910" xr:uid="{00000000-0005-0000-0000-000059350000}"/>
    <cellStyle name="Note 2 2 4 2 5" xfId="6183" xr:uid="{00000000-0005-0000-0000-00005A350000}"/>
    <cellStyle name="Note 2 2 4 2 5 2" xfId="16369" xr:uid="{00000000-0005-0000-0000-00005B350000}"/>
    <cellStyle name="Note 2 2 4 2 5 2 2" xfId="31201" xr:uid="{00000000-0005-0000-0000-00005C350000}"/>
    <cellStyle name="Note 2 2 4 2 5 3" xfId="22683" xr:uid="{00000000-0005-0000-0000-00005D350000}"/>
    <cellStyle name="Note 2 2 4 2 6" xfId="12439" xr:uid="{00000000-0005-0000-0000-00005E350000}"/>
    <cellStyle name="Note 2 2 4 2 6 2" xfId="27271" xr:uid="{00000000-0005-0000-0000-00005F350000}"/>
    <cellStyle name="Note 2 2 4 2 7" xfId="10021" xr:uid="{00000000-0005-0000-0000-000060350000}"/>
    <cellStyle name="Note 2 2 4 2 7 2" xfId="24853" xr:uid="{00000000-0005-0000-0000-000061350000}"/>
    <cellStyle name="Note 2 2 4 2 8" xfId="20362" xr:uid="{00000000-0005-0000-0000-000062350000}"/>
    <cellStyle name="Note 2 2 4 3" xfId="3328" xr:uid="{00000000-0005-0000-0000-000063350000}"/>
    <cellStyle name="Note 2 2 4 3 2" xfId="7391" xr:uid="{00000000-0005-0000-0000-000064350000}"/>
    <cellStyle name="Note 2 2 4 3 2 2" xfId="17124" xr:uid="{00000000-0005-0000-0000-000065350000}"/>
    <cellStyle name="Note 2 2 4 3 2 2 2" xfId="31956" xr:uid="{00000000-0005-0000-0000-000066350000}"/>
    <cellStyle name="Note 2 2 4 3 2 3" xfId="23401" xr:uid="{00000000-0005-0000-0000-000067350000}"/>
    <cellStyle name="Note 2 2 4 3 3" xfId="13665" xr:uid="{00000000-0005-0000-0000-000068350000}"/>
    <cellStyle name="Note 2 2 4 3 3 2" xfId="28497" xr:uid="{00000000-0005-0000-0000-000069350000}"/>
    <cellStyle name="Note 2 2 4 3 4" xfId="10745" xr:uid="{00000000-0005-0000-0000-00006A350000}"/>
    <cellStyle name="Note 2 2 4 3 4 2" xfId="25577" xr:uid="{00000000-0005-0000-0000-00006B350000}"/>
    <cellStyle name="Note 2 2 4 3 5" xfId="21089" xr:uid="{00000000-0005-0000-0000-00006C350000}"/>
    <cellStyle name="Note 2 2 4 4" xfId="4606" xr:uid="{00000000-0005-0000-0000-00006D350000}"/>
    <cellStyle name="Note 2 2 4 4 2" xfId="8645" xr:uid="{00000000-0005-0000-0000-00006E350000}"/>
    <cellStyle name="Note 2 2 4 4 2 2" xfId="17758" xr:uid="{00000000-0005-0000-0000-00006F350000}"/>
    <cellStyle name="Note 2 2 4 4 2 2 2" xfId="32590" xr:uid="{00000000-0005-0000-0000-000070350000}"/>
    <cellStyle name="Note 2 2 4 4 2 3" xfId="24239" xr:uid="{00000000-0005-0000-0000-000071350000}"/>
    <cellStyle name="Note 2 2 4 4 3" xfId="14932" xr:uid="{00000000-0005-0000-0000-000072350000}"/>
    <cellStyle name="Note 2 2 4 4 3 2" xfId="29764" xr:uid="{00000000-0005-0000-0000-000073350000}"/>
    <cellStyle name="Note 2 2 4 4 4" xfId="11363" xr:uid="{00000000-0005-0000-0000-000074350000}"/>
    <cellStyle name="Note 2 2 4 4 4 2" xfId="26195" xr:uid="{00000000-0005-0000-0000-000075350000}"/>
    <cellStyle name="Note 2 2 4 4 5" xfId="21789" xr:uid="{00000000-0005-0000-0000-000076350000}"/>
    <cellStyle name="Note 2 2 4 5" xfId="2596" xr:uid="{00000000-0005-0000-0000-000077350000}"/>
    <cellStyle name="Note 2 2 4 5 2" xfId="6697" xr:uid="{00000000-0005-0000-0000-000078350000}"/>
    <cellStyle name="Note 2 2 4 5 2 2" xfId="16654" xr:uid="{00000000-0005-0000-0000-000079350000}"/>
    <cellStyle name="Note 2 2 4 5 2 2 2" xfId="31486" xr:uid="{00000000-0005-0000-0000-00007A350000}"/>
    <cellStyle name="Note 2 2 4 5 2 3" xfId="23002" xr:uid="{00000000-0005-0000-0000-00007B350000}"/>
    <cellStyle name="Note 2 2 4 5 3" xfId="12934" xr:uid="{00000000-0005-0000-0000-00007C350000}"/>
    <cellStyle name="Note 2 2 4 5 3 2" xfId="27766" xr:uid="{00000000-0005-0000-0000-00007D350000}"/>
    <cellStyle name="Note 2 2 4 5 4" xfId="10305" xr:uid="{00000000-0005-0000-0000-00007E350000}"/>
    <cellStyle name="Note 2 2 4 5 4 2" xfId="25137" xr:uid="{00000000-0005-0000-0000-00007F350000}"/>
    <cellStyle name="Note 2 2 4 5 5" xfId="20650" xr:uid="{00000000-0005-0000-0000-000080350000}"/>
    <cellStyle name="Note 2 2 4 6" xfId="5713" xr:uid="{00000000-0005-0000-0000-000081350000}"/>
    <cellStyle name="Note 2 2 4 6 2" xfId="15948" xr:uid="{00000000-0005-0000-0000-000082350000}"/>
    <cellStyle name="Note 2 2 4 6 2 2" xfId="30780" xr:uid="{00000000-0005-0000-0000-000083350000}"/>
    <cellStyle name="Note 2 2 4 6 3" xfId="22377" xr:uid="{00000000-0005-0000-0000-000084350000}"/>
    <cellStyle name="Note 2 2 4 7" xfId="11968" xr:uid="{00000000-0005-0000-0000-000085350000}"/>
    <cellStyle name="Note 2 2 4 7 2" xfId="26800" xr:uid="{00000000-0005-0000-0000-000086350000}"/>
    <cellStyle name="Note 2 2 4 8" xfId="9627" xr:uid="{00000000-0005-0000-0000-000087350000}"/>
    <cellStyle name="Note 2 2 4 8 2" xfId="19928" xr:uid="{00000000-0005-0000-0000-000088350000}"/>
    <cellStyle name="Note 2 2 5" xfId="1535" xr:uid="{00000000-0005-0000-0000-000089350000}"/>
    <cellStyle name="Note 2 2 5 2" xfId="2032" xr:uid="{00000000-0005-0000-0000-00008A350000}"/>
    <cellStyle name="Note 2 2 5 2 2" xfId="3428" xr:uid="{00000000-0005-0000-0000-00008B350000}"/>
    <cellStyle name="Note 2 2 5 2 2 2" xfId="7491" xr:uid="{00000000-0005-0000-0000-00008C350000}"/>
    <cellStyle name="Note 2 2 5 2 2 2 2" xfId="17185" xr:uid="{00000000-0005-0000-0000-00008D350000}"/>
    <cellStyle name="Note 2 2 5 2 2 2 2 2" xfId="32017" xr:uid="{00000000-0005-0000-0000-00008E350000}"/>
    <cellStyle name="Note 2 2 5 2 2 2 3" xfId="23469" xr:uid="{00000000-0005-0000-0000-00008F350000}"/>
    <cellStyle name="Note 2 2 5 2 2 3" xfId="13765" xr:uid="{00000000-0005-0000-0000-000090350000}"/>
    <cellStyle name="Note 2 2 5 2 2 3 2" xfId="28597" xr:uid="{00000000-0005-0000-0000-000091350000}"/>
    <cellStyle name="Note 2 2 5 2 2 4" xfId="10804" xr:uid="{00000000-0005-0000-0000-000092350000}"/>
    <cellStyle name="Note 2 2 5 2 2 4 2" xfId="25636" xr:uid="{00000000-0005-0000-0000-000093350000}"/>
    <cellStyle name="Note 2 2 5 2 2 5" xfId="21145" xr:uid="{00000000-0005-0000-0000-000094350000}"/>
    <cellStyle name="Note 2 2 5 2 3" xfId="5000" xr:uid="{00000000-0005-0000-0000-000095350000}"/>
    <cellStyle name="Note 2 2 5 2 3 2" xfId="9039" xr:uid="{00000000-0005-0000-0000-000096350000}"/>
    <cellStyle name="Note 2 2 5 2 3 2 2" xfId="17977" xr:uid="{00000000-0005-0000-0000-000097350000}"/>
    <cellStyle name="Note 2 2 5 2 3 2 2 2" xfId="32809" xr:uid="{00000000-0005-0000-0000-000098350000}"/>
    <cellStyle name="Note 2 2 5 2 3 2 3" xfId="24489" xr:uid="{00000000-0005-0000-0000-000099350000}"/>
    <cellStyle name="Note 2 2 5 2 3 3" xfId="15322" xr:uid="{00000000-0005-0000-0000-00009A350000}"/>
    <cellStyle name="Note 2 2 5 2 3 3 2" xfId="30154" xr:uid="{00000000-0005-0000-0000-00009B350000}"/>
    <cellStyle name="Note 2 2 5 2 3 4" xfId="11578" xr:uid="{00000000-0005-0000-0000-00009C350000}"/>
    <cellStyle name="Note 2 2 5 2 3 4 2" xfId="26410" xr:uid="{00000000-0005-0000-0000-00009D350000}"/>
    <cellStyle name="Note 2 2 5 2 3 5" xfId="22015" xr:uid="{00000000-0005-0000-0000-00009E350000}"/>
    <cellStyle name="Note 2 2 5 2 4" xfId="2990" xr:uid="{00000000-0005-0000-0000-00009F350000}"/>
    <cellStyle name="Note 2 2 5 2 4 2" xfId="7070" xr:uid="{00000000-0005-0000-0000-0000A0350000}"/>
    <cellStyle name="Note 2 2 5 2 4 2 2" xfId="16869" xr:uid="{00000000-0005-0000-0000-0000A1350000}"/>
    <cellStyle name="Note 2 2 5 2 4 2 2 2" xfId="31701" xr:uid="{00000000-0005-0000-0000-0000A2350000}"/>
    <cellStyle name="Note 2 2 5 2 4 2 3" xfId="23228" xr:uid="{00000000-0005-0000-0000-0000A3350000}"/>
    <cellStyle name="Note 2 2 5 2 4 3" xfId="13328" xr:uid="{00000000-0005-0000-0000-0000A4350000}"/>
    <cellStyle name="Note 2 2 5 2 4 3 2" xfId="28160" xr:uid="{00000000-0005-0000-0000-0000A5350000}"/>
    <cellStyle name="Note 2 2 5 2 4 4" xfId="10524" xr:uid="{00000000-0005-0000-0000-0000A6350000}"/>
    <cellStyle name="Note 2 2 5 2 4 4 2" xfId="25356" xr:uid="{00000000-0005-0000-0000-0000A7350000}"/>
    <cellStyle name="Note 2 2 5 2 4 5" xfId="20900" xr:uid="{00000000-0005-0000-0000-0000A8350000}"/>
    <cellStyle name="Note 2 2 5 2 5" xfId="6162" xr:uid="{00000000-0005-0000-0000-0000A9350000}"/>
    <cellStyle name="Note 2 2 5 2 5 2" xfId="16349" xr:uid="{00000000-0005-0000-0000-0000AA350000}"/>
    <cellStyle name="Note 2 2 5 2 5 2 2" xfId="31181" xr:uid="{00000000-0005-0000-0000-0000AB350000}"/>
    <cellStyle name="Note 2 2 5 2 5 3" xfId="22679" xr:uid="{00000000-0005-0000-0000-0000AC350000}"/>
    <cellStyle name="Note 2 2 5 2 6" xfId="12419" xr:uid="{00000000-0005-0000-0000-0000AD350000}"/>
    <cellStyle name="Note 2 2 5 2 6 2" xfId="27251" xr:uid="{00000000-0005-0000-0000-0000AE350000}"/>
    <cellStyle name="Note 2 2 5 2 7" xfId="10001" xr:uid="{00000000-0005-0000-0000-0000AF350000}"/>
    <cellStyle name="Note 2 2 5 2 7 2" xfId="24833" xr:uid="{00000000-0005-0000-0000-0000B0350000}"/>
    <cellStyle name="Note 2 2 5 2 8" xfId="20358" xr:uid="{00000000-0005-0000-0000-0000B1350000}"/>
    <cellStyle name="Note 2 2 5 3" xfId="3271" xr:uid="{00000000-0005-0000-0000-0000B2350000}"/>
    <cellStyle name="Note 2 2 5 3 2" xfId="7335" xr:uid="{00000000-0005-0000-0000-0000B3350000}"/>
    <cellStyle name="Note 2 2 5 3 2 2" xfId="17079" xr:uid="{00000000-0005-0000-0000-0000B4350000}"/>
    <cellStyle name="Note 2 2 5 3 2 2 2" xfId="31911" xr:uid="{00000000-0005-0000-0000-0000B5350000}"/>
    <cellStyle name="Note 2 2 5 3 2 3" xfId="23367" xr:uid="{00000000-0005-0000-0000-0000B6350000}"/>
    <cellStyle name="Note 2 2 5 3 3" xfId="13608" xr:uid="{00000000-0005-0000-0000-0000B7350000}"/>
    <cellStyle name="Note 2 2 5 3 3 2" xfId="28440" xr:uid="{00000000-0005-0000-0000-0000B8350000}"/>
    <cellStyle name="Note 2 2 5 3 4" xfId="10707" xr:uid="{00000000-0005-0000-0000-0000B9350000}"/>
    <cellStyle name="Note 2 2 5 3 4 2" xfId="25539" xr:uid="{00000000-0005-0000-0000-0000BA350000}"/>
    <cellStyle name="Note 2 2 5 3 5" xfId="21054" xr:uid="{00000000-0005-0000-0000-0000BB350000}"/>
    <cellStyle name="Note 2 2 5 4" xfId="4580" xr:uid="{00000000-0005-0000-0000-0000BC350000}"/>
    <cellStyle name="Note 2 2 5 4 2" xfId="8619" xr:uid="{00000000-0005-0000-0000-0000BD350000}"/>
    <cellStyle name="Note 2 2 5 4 2 2" xfId="17737" xr:uid="{00000000-0005-0000-0000-0000BE350000}"/>
    <cellStyle name="Note 2 2 5 4 2 2 2" xfId="32569" xr:uid="{00000000-0005-0000-0000-0000BF350000}"/>
    <cellStyle name="Note 2 2 5 4 2 3" xfId="24229" xr:uid="{00000000-0005-0000-0000-0000C0350000}"/>
    <cellStyle name="Note 2 2 5 4 3" xfId="14907" xr:uid="{00000000-0005-0000-0000-0000C1350000}"/>
    <cellStyle name="Note 2 2 5 4 3 2" xfId="29739" xr:uid="{00000000-0005-0000-0000-0000C2350000}"/>
    <cellStyle name="Note 2 2 5 4 4" xfId="11343" xr:uid="{00000000-0005-0000-0000-0000C3350000}"/>
    <cellStyle name="Note 2 2 5 4 4 2" xfId="26175" xr:uid="{00000000-0005-0000-0000-0000C4350000}"/>
    <cellStyle name="Note 2 2 5 4 5" xfId="21785" xr:uid="{00000000-0005-0000-0000-0000C5350000}"/>
    <cellStyle name="Note 2 2 5 5" xfId="2570" xr:uid="{00000000-0005-0000-0000-0000C6350000}"/>
    <cellStyle name="Note 2 2 5 5 2" xfId="6676" xr:uid="{00000000-0005-0000-0000-0000C7350000}"/>
    <cellStyle name="Note 2 2 5 5 2 2" xfId="16634" xr:uid="{00000000-0005-0000-0000-0000C8350000}"/>
    <cellStyle name="Note 2 2 5 5 2 2 2" xfId="31466" xr:uid="{00000000-0005-0000-0000-0000C9350000}"/>
    <cellStyle name="Note 2 2 5 5 2 3" xfId="22998" xr:uid="{00000000-0005-0000-0000-0000CA350000}"/>
    <cellStyle name="Note 2 2 5 5 3" xfId="12908" xr:uid="{00000000-0005-0000-0000-0000CB350000}"/>
    <cellStyle name="Note 2 2 5 5 3 2" xfId="27740" xr:uid="{00000000-0005-0000-0000-0000CC350000}"/>
    <cellStyle name="Note 2 2 5 5 4" xfId="10284" xr:uid="{00000000-0005-0000-0000-0000CD350000}"/>
    <cellStyle name="Note 2 2 5 5 4 2" xfId="25116" xr:uid="{00000000-0005-0000-0000-0000CE350000}"/>
    <cellStyle name="Note 2 2 5 5 5" xfId="20640" xr:uid="{00000000-0005-0000-0000-0000CF350000}"/>
    <cellStyle name="Note 2 2 5 6" xfId="5693" xr:uid="{00000000-0005-0000-0000-0000D0350000}"/>
    <cellStyle name="Note 2 2 5 6 2" xfId="15928" xr:uid="{00000000-0005-0000-0000-0000D1350000}"/>
    <cellStyle name="Note 2 2 5 6 2 2" xfId="30760" xr:uid="{00000000-0005-0000-0000-0000D2350000}"/>
    <cellStyle name="Note 2 2 5 6 3" xfId="22373" xr:uid="{00000000-0005-0000-0000-0000D3350000}"/>
    <cellStyle name="Note 2 2 5 7" xfId="11948" xr:uid="{00000000-0005-0000-0000-0000D4350000}"/>
    <cellStyle name="Note 2 2 5 7 2" xfId="26780" xr:uid="{00000000-0005-0000-0000-0000D5350000}"/>
    <cellStyle name="Note 2 2 5 8" xfId="9606" xr:uid="{00000000-0005-0000-0000-0000D6350000}"/>
    <cellStyle name="Note 2 2 5 8 2" xfId="19908" xr:uid="{00000000-0005-0000-0000-0000D7350000}"/>
    <cellStyle name="Note 2 2 6" xfId="1762" xr:uid="{00000000-0005-0000-0000-0000D8350000}"/>
    <cellStyle name="Note 2 2 6 2" xfId="3654" xr:uid="{00000000-0005-0000-0000-0000D9350000}"/>
    <cellStyle name="Note 2 2 6 2 2" xfId="7713" xr:uid="{00000000-0005-0000-0000-0000DA350000}"/>
    <cellStyle name="Note 2 2 6 2 2 2" xfId="17303" xr:uid="{00000000-0005-0000-0000-0000DB350000}"/>
    <cellStyle name="Note 2 2 6 2 2 2 2" xfId="32135" xr:uid="{00000000-0005-0000-0000-0000DC350000}"/>
    <cellStyle name="Note 2 2 6 2 2 3" xfId="23610" xr:uid="{00000000-0005-0000-0000-0000DD350000}"/>
    <cellStyle name="Note 2 2 6 2 3" xfId="13989" xr:uid="{00000000-0005-0000-0000-0000DE350000}"/>
    <cellStyle name="Note 2 2 6 2 3 2" xfId="28821" xr:uid="{00000000-0005-0000-0000-0000DF350000}"/>
    <cellStyle name="Note 2 2 6 2 4" xfId="10919" xr:uid="{00000000-0005-0000-0000-0000E0350000}"/>
    <cellStyle name="Note 2 2 6 2 4 2" xfId="25751" xr:uid="{00000000-0005-0000-0000-0000E1350000}"/>
    <cellStyle name="Note 2 2 6 2 5" xfId="21275" xr:uid="{00000000-0005-0000-0000-0000E2350000}"/>
    <cellStyle name="Note 2 2 6 3" xfId="4740" xr:uid="{00000000-0005-0000-0000-0000E3350000}"/>
    <cellStyle name="Note 2 2 6 3 2" xfId="8779" xr:uid="{00000000-0005-0000-0000-0000E4350000}"/>
    <cellStyle name="Note 2 2 6 3 2 2" xfId="17851" xr:uid="{00000000-0005-0000-0000-0000E5350000}"/>
    <cellStyle name="Note 2 2 6 3 2 2 2" xfId="32683" xr:uid="{00000000-0005-0000-0000-0000E6350000}"/>
    <cellStyle name="Note 2 2 6 3 2 3" xfId="24309" xr:uid="{00000000-0005-0000-0000-0000E7350000}"/>
    <cellStyle name="Note 2 2 6 3 3" xfId="15064" xr:uid="{00000000-0005-0000-0000-0000E8350000}"/>
    <cellStyle name="Note 2 2 6 3 3 2" xfId="29896" xr:uid="{00000000-0005-0000-0000-0000E9350000}"/>
    <cellStyle name="Note 2 2 6 3 4" xfId="11454" xr:uid="{00000000-0005-0000-0000-0000EA350000}"/>
    <cellStyle name="Note 2 2 6 3 4 2" xfId="26286" xr:uid="{00000000-0005-0000-0000-0000EB350000}"/>
    <cellStyle name="Note 2 2 6 3 5" xfId="21847" xr:uid="{00000000-0005-0000-0000-0000EC350000}"/>
    <cellStyle name="Note 2 2 6 4" xfId="2730" xr:uid="{00000000-0005-0000-0000-0000ED350000}"/>
    <cellStyle name="Note 2 2 6 4 2" xfId="6821" xr:uid="{00000000-0005-0000-0000-0000EE350000}"/>
    <cellStyle name="Note 2 2 6 4 2 2" xfId="16745" xr:uid="{00000000-0005-0000-0000-0000EF350000}"/>
    <cellStyle name="Note 2 2 6 4 2 2 2" xfId="31577" xr:uid="{00000000-0005-0000-0000-0000F0350000}"/>
    <cellStyle name="Note 2 2 6 4 2 3" xfId="23060" xr:uid="{00000000-0005-0000-0000-0000F1350000}"/>
    <cellStyle name="Note 2 2 6 4 3" xfId="13068" xr:uid="{00000000-0005-0000-0000-0000F2350000}"/>
    <cellStyle name="Note 2 2 6 4 3 2" xfId="27900" xr:uid="{00000000-0005-0000-0000-0000F3350000}"/>
    <cellStyle name="Note 2 2 6 4 4" xfId="10398" xr:uid="{00000000-0005-0000-0000-0000F4350000}"/>
    <cellStyle name="Note 2 2 6 4 4 2" xfId="25230" xr:uid="{00000000-0005-0000-0000-0000F5350000}"/>
    <cellStyle name="Note 2 2 6 4 5" xfId="20720" xr:uid="{00000000-0005-0000-0000-0000F6350000}"/>
    <cellStyle name="Note 2 2 6 5" xfId="5894" xr:uid="{00000000-0005-0000-0000-0000F7350000}"/>
    <cellStyle name="Note 2 2 6 5 2" xfId="16086" xr:uid="{00000000-0005-0000-0000-0000F8350000}"/>
    <cellStyle name="Note 2 2 6 5 2 2" xfId="30918" xr:uid="{00000000-0005-0000-0000-0000F9350000}"/>
    <cellStyle name="Note 2 2 6 5 3" xfId="22491" xr:uid="{00000000-0005-0000-0000-0000FA350000}"/>
    <cellStyle name="Note 2 2 6 6" xfId="12156" xr:uid="{00000000-0005-0000-0000-0000FB350000}"/>
    <cellStyle name="Note 2 2 6 6 2" xfId="26988" xr:uid="{00000000-0005-0000-0000-0000FC350000}"/>
    <cellStyle name="Note 2 2 6 7" xfId="9752" xr:uid="{00000000-0005-0000-0000-0000FD350000}"/>
    <cellStyle name="Note 2 2 6 7 2" xfId="24709" xr:uid="{00000000-0005-0000-0000-0000FE350000}"/>
    <cellStyle name="Note 2 2 6 8" xfId="20299" xr:uid="{00000000-0005-0000-0000-0000FF350000}"/>
    <cellStyle name="Note 2 2 7" xfId="2204" xr:uid="{00000000-0005-0000-0000-000000360000}"/>
    <cellStyle name="Note 2 2 7 2" xfId="4102" xr:uid="{00000000-0005-0000-0000-000001360000}"/>
    <cellStyle name="Note 2 2 7 2 2" xfId="8148" xr:uid="{00000000-0005-0000-0000-000002360000}"/>
    <cellStyle name="Note 2 2 7 2 2 2" xfId="17519" xr:uid="{00000000-0005-0000-0000-000003360000}"/>
    <cellStyle name="Note 2 2 7 2 2 2 2" xfId="32351" xr:uid="{00000000-0005-0000-0000-000004360000}"/>
    <cellStyle name="Note 2 2 7 2 2 3" xfId="23892" xr:uid="{00000000-0005-0000-0000-000005360000}"/>
    <cellStyle name="Note 2 2 7 2 3" xfId="14434" xr:uid="{00000000-0005-0000-0000-000006360000}"/>
    <cellStyle name="Note 2 2 7 2 3 2" xfId="29266" xr:uid="{00000000-0005-0000-0000-000007360000}"/>
    <cellStyle name="Note 2 2 7 2 4" xfId="11136" xr:uid="{00000000-0005-0000-0000-000008360000}"/>
    <cellStyle name="Note 2 2 7 2 4 2" xfId="25968" xr:uid="{00000000-0005-0000-0000-000009360000}"/>
    <cellStyle name="Note 2 2 7 2 5" xfId="21522" xr:uid="{00000000-0005-0000-0000-00000A360000}"/>
    <cellStyle name="Note 2 2 7 3" xfId="5172" xr:uid="{00000000-0005-0000-0000-00000B360000}"/>
    <cellStyle name="Note 2 2 7 3 2" xfId="9211" xr:uid="{00000000-0005-0000-0000-00000C360000}"/>
    <cellStyle name="Note 2 2 7 3 2 2" xfId="18134" xr:uid="{00000000-0005-0000-0000-00000D360000}"/>
    <cellStyle name="Note 2 2 7 3 2 2 2" xfId="32966" xr:uid="{00000000-0005-0000-0000-00000E360000}"/>
    <cellStyle name="Note 2 2 7 3 2 3" xfId="24549" xr:uid="{00000000-0005-0000-0000-00000F360000}"/>
    <cellStyle name="Note 2 2 7 3 3" xfId="15490" xr:uid="{00000000-0005-0000-0000-000010360000}"/>
    <cellStyle name="Note 2 2 7 3 3 2" xfId="30322" xr:uid="{00000000-0005-0000-0000-000011360000}"/>
    <cellStyle name="Note 2 2 7 3 4" xfId="11731" xr:uid="{00000000-0005-0000-0000-000012360000}"/>
    <cellStyle name="Note 2 2 7 3 4 2" xfId="26563" xr:uid="{00000000-0005-0000-0000-000013360000}"/>
    <cellStyle name="Note 2 2 7 3 5" xfId="22056" xr:uid="{00000000-0005-0000-0000-000014360000}"/>
    <cellStyle name="Note 2 2 7 4" xfId="4202" xr:uid="{00000000-0005-0000-0000-000015360000}"/>
    <cellStyle name="Note 2 2 7 4 2" xfId="8243" xr:uid="{00000000-0005-0000-0000-000016360000}"/>
    <cellStyle name="Note 2 2 7 4 2 2" xfId="17590" xr:uid="{00000000-0005-0000-0000-000017360000}"/>
    <cellStyle name="Note 2 2 7 4 2 2 2" xfId="32422" xr:uid="{00000000-0005-0000-0000-000018360000}"/>
    <cellStyle name="Note 2 2 7 4 2 3" xfId="23938" xr:uid="{00000000-0005-0000-0000-000019360000}"/>
    <cellStyle name="Note 2 2 7 4 3" xfId="14534" xr:uid="{00000000-0005-0000-0000-00001A360000}"/>
    <cellStyle name="Note 2 2 7 4 3 2" xfId="29366" xr:uid="{00000000-0005-0000-0000-00001B360000}"/>
    <cellStyle name="Note 2 2 7 4 4" xfId="11210" xr:uid="{00000000-0005-0000-0000-00001C360000}"/>
    <cellStyle name="Note 2 2 7 4 4 2" xfId="26042" xr:uid="{00000000-0005-0000-0000-00001D360000}"/>
    <cellStyle name="Note 2 2 7 4 5" xfId="21563" xr:uid="{00000000-0005-0000-0000-00001E360000}"/>
    <cellStyle name="Note 2 2 7 5" xfId="6318" xr:uid="{00000000-0005-0000-0000-00001F360000}"/>
    <cellStyle name="Note 2 2 7 5 2" xfId="16502" xr:uid="{00000000-0005-0000-0000-000020360000}"/>
    <cellStyle name="Note 2 2 7 5 2 2" xfId="31334" xr:uid="{00000000-0005-0000-0000-000021360000}"/>
    <cellStyle name="Note 2 2 7 5 3" xfId="22720" xr:uid="{00000000-0005-0000-0000-000022360000}"/>
    <cellStyle name="Note 2 2 7 6" xfId="12572" xr:uid="{00000000-0005-0000-0000-000023360000}"/>
    <cellStyle name="Note 2 2 7 6 2" xfId="27404" xr:uid="{00000000-0005-0000-0000-000024360000}"/>
    <cellStyle name="Note 2 2 7 7" xfId="10154" xr:uid="{00000000-0005-0000-0000-000025360000}"/>
    <cellStyle name="Note 2 2 7 7 2" xfId="24986" xr:uid="{00000000-0005-0000-0000-000026360000}"/>
    <cellStyle name="Note 2 2 7 8" xfId="20399" xr:uid="{00000000-0005-0000-0000-000027360000}"/>
    <cellStyle name="Note 2 2 8" xfId="3289" xr:uid="{00000000-0005-0000-0000-000028360000}"/>
    <cellStyle name="Note 2 2 8 2" xfId="7353" xr:uid="{00000000-0005-0000-0000-000029360000}"/>
    <cellStyle name="Note 2 2 8 2 2" xfId="17095" xr:uid="{00000000-0005-0000-0000-00002A360000}"/>
    <cellStyle name="Note 2 2 8 2 2 2" xfId="31927" xr:uid="{00000000-0005-0000-0000-00002B360000}"/>
    <cellStyle name="Note 2 2 8 2 3" xfId="23379" xr:uid="{00000000-0005-0000-0000-00002C360000}"/>
    <cellStyle name="Note 2 2 8 3" xfId="13626" xr:uid="{00000000-0005-0000-0000-00002D360000}"/>
    <cellStyle name="Note 2 2 8 3 2" xfId="28458" xr:uid="{00000000-0005-0000-0000-00002E360000}"/>
    <cellStyle name="Note 2 2 8 4" xfId="10721" xr:uid="{00000000-0005-0000-0000-00002F360000}"/>
    <cellStyle name="Note 2 2 8 4 2" xfId="25553" xr:uid="{00000000-0005-0000-0000-000030360000}"/>
    <cellStyle name="Note 2 2 8 5" xfId="21066" xr:uid="{00000000-0005-0000-0000-000031360000}"/>
    <cellStyle name="Note 2 2 9" xfId="4271" xr:uid="{00000000-0005-0000-0000-000032360000}"/>
    <cellStyle name="Note 2 2 9 2" xfId="8310" xr:uid="{00000000-0005-0000-0000-000033360000}"/>
    <cellStyle name="Note 2 2 9 2 2" xfId="17597" xr:uid="{00000000-0005-0000-0000-000034360000}"/>
    <cellStyle name="Note 2 2 9 2 2 2" xfId="32429" xr:uid="{00000000-0005-0000-0000-000035360000}"/>
    <cellStyle name="Note 2 2 9 2 3" xfId="24004" xr:uid="{00000000-0005-0000-0000-000036360000}"/>
    <cellStyle name="Note 2 2 9 3" xfId="14603" xr:uid="{00000000-0005-0000-0000-000037360000}"/>
    <cellStyle name="Note 2 2 9 3 2" xfId="29435" xr:uid="{00000000-0005-0000-0000-000038360000}"/>
    <cellStyle name="Note 2 2 9 4" xfId="11216" xr:uid="{00000000-0005-0000-0000-000039360000}"/>
    <cellStyle name="Note 2 2 9 4 2" xfId="26048" xr:uid="{00000000-0005-0000-0000-00003A360000}"/>
    <cellStyle name="Note 2 2 9 5" xfId="21604" xr:uid="{00000000-0005-0000-0000-00003B360000}"/>
    <cellStyle name="Note 2 20" xfId="9368" xr:uid="{00000000-0005-0000-0000-00003C360000}"/>
    <cellStyle name="Note 2 20 2" xfId="24674" xr:uid="{00000000-0005-0000-0000-00003D360000}"/>
    <cellStyle name="Note 2 21" xfId="5357" xr:uid="{00000000-0005-0000-0000-00003E360000}"/>
    <cellStyle name="Note 2 21 2" xfId="18231" xr:uid="{00000000-0005-0000-0000-00003F360000}"/>
    <cellStyle name="Note 2 3" xfId="1218" xr:uid="{00000000-0005-0000-0000-000040360000}"/>
    <cellStyle name="Note 2 3 10" xfId="2304" xr:uid="{00000000-0005-0000-0000-000041360000}"/>
    <cellStyle name="Note 2 3 10 2" xfId="6416" xr:uid="{00000000-0005-0000-0000-000042360000}"/>
    <cellStyle name="Note 2 3 10 2 2" xfId="16509" xr:uid="{00000000-0005-0000-0000-000043360000}"/>
    <cellStyle name="Note 2 3 10 2 2 2" xfId="31341" xr:uid="{00000000-0005-0000-0000-000044360000}"/>
    <cellStyle name="Note 2 3 10 2 3" xfId="22818" xr:uid="{00000000-0005-0000-0000-000045360000}"/>
    <cellStyle name="Note 2 3 10 3" xfId="12644" xr:uid="{00000000-0005-0000-0000-000046360000}"/>
    <cellStyle name="Note 2 3 10 3 2" xfId="27476" xr:uid="{00000000-0005-0000-0000-000047360000}"/>
    <cellStyle name="Note 2 3 10 4" xfId="10160" xr:uid="{00000000-0005-0000-0000-000048360000}"/>
    <cellStyle name="Note 2 3 10 4 2" xfId="24992" xr:uid="{00000000-0005-0000-0000-000049360000}"/>
    <cellStyle name="Note 2 3 10 5" xfId="20467" xr:uid="{00000000-0005-0000-0000-00004A360000}"/>
    <cellStyle name="Note 2 3 11" xfId="5267" xr:uid="{00000000-0005-0000-0000-00004B360000}"/>
    <cellStyle name="Note 2 3 11 2" xfId="9275" xr:uid="{00000000-0005-0000-0000-00004C360000}"/>
    <cellStyle name="Note 2 3 11 2 2" xfId="18142" xr:uid="{00000000-0005-0000-0000-00004D360000}"/>
    <cellStyle name="Note 2 3 11 2 2 2" xfId="32974" xr:uid="{00000000-0005-0000-0000-00004E360000}"/>
    <cellStyle name="Note 2 3 11 2 3" xfId="24613" xr:uid="{00000000-0005-0000-0000-00004F360000}"/>
    <cellStyle name="Note 2 3 11 3" xfId="15583" xr:uid="{00000000-0005-0000-0000-000050360000}"/>
    <cellStyle name="Note 2 3 11 3 2" xfId="30415" xr:uid="{00000000-0005-0000-0000-000051360000}"/>
    <cellStyle name="Note 2 3 11 4" xfId="22124" xr:uid="{00000000-0005-0000-0000-000052360000}"/>
    <cellStyle name="Note 2 3 12" xfId="5425" xr:uid="{00000000-0005-0000-0000-000053360000}"/>
    <cellStyle name="Note 2 3 12 2" xfId="15661" xr:uid="{00000000-0005-0000-0000-000054360000}"/>
    <cellStyle name="Note 2 3 12 2 2" xfId="30493" xr:uid="{00000000-0005-0000-0000-000055360000}"/>
    <cellStyle name="Note 2 3 12 3" xfId="22186" xr:uid="{00000000-0005-0000-0000-000056360000}"/>
    <cellStyle name="Note 2 3 13" xfId="9366" xr:uid="{00000000-0005-0000-0000-000057360000}"/>
    <cellStyle name="Note 2 3 13 2" xfId="24672" xr:uid="{00000000-0005-0000-0000-000058360000}"/>
    <cellStyle name="Note 2 3 14" xfId="5355" xr:uid="{00000000-0005-0000-0000-000059360000}"/>
    <cellStyle name="Note 2 3 14 2" xfId="18229" xr:uid="{00000000-0005-0000-0000-00005A360000}"/>
    <cellStyle name="Note 2 3 2" xfId="1337" xr:uid="{00000000-0005-0000-0000-00005B360000}"/>
    <cellStyle name="Note 2 3 2 2" xfId="1841" xr:uid="{00000000-0005-0000-0000-00005C360000}"/>
    <cellStyle name="Note 2 3 2 2 2" xfId="3650" xr:uid="{00000000-0005-0000-0000-00005D360000}"/>
    <cellStyle name="Note 2 3 2 2 2 2" xfId="7709" xr:uid="{00000000-0005-0000-0000-00005E360000}"/>
    <cellStyle name="Note 2 3 2 2 2 2 2" xfId="17300" xr:uid="{00000000-0005-0000-0000-00005F360000}"/>
    <cellStyle name="Note 2 3 2 2 2 2 2 2" xfId="32132" xr:uid="{00000000-0005-0000-0000-000060360000}"/>
    <cellStyle name="Note 2 3 2 2 2 2 3" xfId="23608" xr:uid="{00000000-0005-0000-0000-000061360000}"/>
    <cellStyle name="Note 2 3 2 2 2 3" xfId="13985" xr:uid="{00000000-0005-0000-0000-000062360000}"/>
    <cellStyle name="Note 2 3 2 2 2 3 2" xfId="28817" xr:uid="{00000000-0005-0000-0000-000063360000}"/>
    <cellStyle name="Note 2 3 2 2 2 4" xfId="10916" xr:uid="{00000000-0005-0000-0000-000064360000}"/>
    <cellStyle name="Note 2 3 2 2 2 4 2" xfId="25748" xr:uid="{00000000-0005-0000-0000-000065360000}"/>
    <cellStyle name="Note 2 3 2 2 2 5" xfId="21273" xr:uid="{00000000-0005-0000-0000-000066360000}"/>
    <cellStyle name="Note 2 3 2 2 3" xfId="4819" xr:uid="{00000000-0005-0000-0000-000067360000}"/>
    <cellStyle name="Note 2 3 2 2 3 2" xfId="8858" xr:uid="{00000000-0005-0000-0000-000068360000}"/>
    <cellStyle name="Note 2 3 2 2 3 2 2" xfId="17899" xr:uid="{00000000-0005-0000-0000-000069360000}"/>
    <cellStyle name="Note 2 3 2 2 3 2 2 2" xfId="32731" xr:uid="{00000000-0005-0000-0000-00006A360000}"/>
    <cellStyle name="Note 2 3 2 2 3 2 3" xfId="24356" xr:uid="{00000000-0005-0000-0000-00006B360000}"/>
    <cellStyle name="Note 2 3 2 2 3 3" xfId="15143" xr:uid="{00000000-0005-0000-0000-00006C360000}"/>
    <cellStyle name="Note 2 3 2 2 3 3 2" xfId="29975" xr:uid="{00000000-0005-0000-0000-00006D360000}"/>
    <cellStyle name="Note 2 3 2 2 3 4" xfId="11502" xr:uid="{00000000-0005-0000-0000-00006E360000}"/>
    <cellStyle name="Note 2 3 2 2 3 4 2" xfId="26334" xr:uid="{00000000-0005-0000-0000-00006F360000}"/>
    <cellStyle name="Note 2 3 2 2 3 5" xfId="21894" xr:uid="{00000000-0005-0000-0000-000070360000}"/>
    <cellStyle name="Note 2 3 2 2 4" xfId="2809" xr:uid="{00000000-0005-0000-0000-000071360000}"/>
    <cellStyle name="Note 2 3 2 2 4 2" xfId="6900" xr:uid="{00000000-0005-0000-0000-000072360000}"/>
    <cellStyle name="Note 2 3 2 2 4 2 2" xfId="16793" xr:uid="{00000000-0005-0000-0000-000073360000}"/>
    <cellStyle name="Note 2 3 2 2 4 2 2 2" xfId="31625" xr:uid="{00000000-0005-0000-0000-000074360000}"/>
    <cellStyle name="Note 2 3 2 2 4 2 3" xfId="23107" xr:uid="{00000000-0005-0000-0000-000075360000}"/>
    <cellStyle name="Note 2 3 2 2 4 3" xfId="13147" xr:uid="{00000000-0005-0000-0000-000076360000}"/>
    <cellStyle name="Note 2 3 2 2 4 3 2" xfId="27979" xr:uid="{00000000-0005-0000-0000-000077360000}"/>
    <cellStyle name="Note 2 3 2 2 4 4" xfId="10446" xr:uid="{00000000-0005-0000-0000-000078360000}"/>
    <cellStyle name="Note 2 3 2 2 4 4 2" xfId="25278" xr:uid="{00000000-0005-0000-0000-000079360000}"/>
    <cellStyle name="Note 2 3 2 2 4 5" xfId="20767" xr:uid="{00000000-0005-0000-0000-00007A360000}"/>
    <cellStyle name="Note 2 3 2 2 5" xfId="5973" xr:uid="{00000000-0005-0000-0000-00007B360000}"/>
    <cellStyle name="Note 2 3 2 2 5 2" xfId="16165" xr:uid="{00000000-0005-0000-0000-00007C360000}"/>
    <cellStyle name="Note 2 3 2 2 5 2 2" xfId="30997" xr:uid="{00000000-0005-0000-0000-00007D360000}"/>
    <cellStyle name="Note 2 3 2 2 5 3" xfId="22538" xr:uid="{00000000-0005-0000-0000-00007E360000}"/>
    <cellStyle name="Note 2 3 2 2 6" xfId="12235" xr:uid="{00000000-0005-0000-0000-00007F360000}"/>
    <cellStyle name="Note 2 3 2 2 6 2" xfId="27067" xr:uid="{00000000-0005-0000-0000-000080360000}"/>
    <cellStyle name="Note 2 3 2 2 7" xfId="9831" xr:uid="{00000000-0005-0000-0000-000081360000}"/>
    <cellStyle name="Note 2 3 2 2 7 2" xfId="24757" xr:uid="{00000000-0005-0000-0000-000082360000}"/>
    <cellStyle name="Note 2 3 2 2 8" xfId="20315" xr:uid="{00000000-0005-0000-0000-000083360000}"/>
    <cellStyle name="Note 2 3 2 3" xfId="3644" xr:uid="{00000000-0005-0000-0000-000084360000}"/>
    <cellStyle name="Note 2 3 2 3 2" xfId="7703" xr:uid="{00000000-0005-0000-0000-000085360000}"/>
    <cellStyle name="Note 2 3 2 3 2 2" xfId="17298" xr:uid="{00000000-0005-0000-0000-000086360000}"/>
    <cellStyle name="Note 2 3 2 3 2 2 2" xfId="32130" xr:uid="{00000000-0005-0000-0000-000087360000}"/>
    <cellStyle name="Note 2 3 2 3 2 3" xfId="23603" xr:uid="{00000000-0005-0000-0000-000088360000}"/>
    <cellStyle name="Note 2 3 2 3 3" xfId="13979" xr:uid="{00000000-0005-0000-0000-000089360000}"/>
    <cellStyle name="Note 2 3 2 3 3 2" xfId="28811" xr:uid="{00000000-0005-0000-0000-00008A360000}"/>
    <cellStyle name="Note 2 3 2 3 4" xfId="10914" xr:uid="{00000000-0005-0000-0000-00008B360000}"/>
    <cellStyle name="Note 2 3 2 3 4 2" xfId="25746" xr:uid="{00000000-0005-0000-0000-00008C360000}"/>
    <cellStyle name="Note 2 3 2 3 5" xfId="21268" xr:uid="{00000000-0005-0000-0000-00008D360000}"/>
    <cellStyle name="Note 2 3 2 4" xfId="4399" xr:uid="{00000000-0005-0000-0000-00008E360000}"/>
    <cellStyle name="Note 2 3 2 4 2" xfId="8438" xr:uid="{00000000-0005-0000-0000-00008F360000}"/>
    <cellStyle name="Note 2 3 2 4 2 2" xfId="17659" xr:uid="{00000000-0005-0000-0000-000090360000}"/>
    <cellStyle name="Note 2 3 2 4 2 2 2" xfId="32491" xr:uid="{00000000-0005-0000-0000-000091360000}"/>
    <cellStyle name="Note 2 3 2 4 2 3" xfId="24096" xr:uid="{00000000-0005-0000-0000-000092360000}"/>
    <cellStyle name="Note 2 3 2 4 3" xfId="14728" xr:uid="{00000000-0005-0000-0000-000093360000}"/>
    <cellStyle name="Note 2 3 2 4 3 2" xfId="29560" xr:uid="{00000000-0005-0000-0000-000094360000}"/>
    <cellStyle name="Note 2 3 2 4 4" xfId="11267" xr:uid="{00000000-0005-0000-0000-000095360000}"/>
    <cellStyle name="Note 2 3 2 4 4 2" xfId="26099" xr:uid="{00000000-0005-0000-0000-000096360000}"/>
    <cellStyle name="Note 2 3 2 4 5" xfId="21664" xr:uid="{00000000-0005-0000-0000-000097360000}"/>
    <cellStyle name="Note 2 3 2 5" xfId="2389" xr:uid="{00000000-0005-0000-0000-000098360000}"/>
    <cellStyle name="Note 2 3 2 5 2" xfId="6501" xr:uid="{00000000-0005-0000-0000-000099360000}"/>
    <cellStyle name="Note 2 3 2 5 2 2" xfId="16557" xr:uid="{00000000-0005-0000-0000-00009A360000}"/>
    <cellStyle name="Note 2 3 2 5 2 2 2" xfId="31389" xr:uid="{00000000-0005-0000-0000-00009B360000}"/>
    <cellStyle name="Note 2 3 2 5 2 3" xfId="22871" xr:uid="{00000000-0005-0000-0000-00009C360000}"/>
    <cellStyle name="Note 2 3 2 5 3" xfId="12728" xr:uid="{00000000-0005-0000-0000-00009D360000}"/>
    <cellStyle name="Note 2 3 2 5 3 2" xfId="27560" xr:uid="{00000000-0005-0000-0000-00009E360000}"/>
    <cellStyle name="Note 2 3 2 5 4" xfId="10207" xr:uid="{00000000-0005-0000-0000-00009F360000}"/>
    <cellStyle name="Note 2 3 2 5 4 2" xfId="25039" xr:uid="{00000000-0005-0000-0000-0000A0360000}"/>
    <cellStyle name="Note 2 3 2 5 5" xfId="20513" xr:uid="{00000000-0005-0000-0000-0000A1360000}"/>
    <cellStyle name="Note 2 3 2 6" xfId="5514" xr:uid="{00000000-0005-0000-0000-0000A2360000}"/>
    <cellStyle name="Note 2 3 2 6 2" xfId="15749" xr:uid="{00000000-0005-0000-0000-0000A3360000}"/>
    <cellStyle name="Note 2 3 2 6 2 2" xfId="30581" xr:uid="{00000000-0005-0000-0000-0000A4360000}"/>
    <cellStyle name="Note 2 3 2 6 3" xfId="22242" xr:uid="{00000000-0005-0000-0000-0000A5360000}"/>
    <cellStyle name="Note 2 3 2 7" xfId="11764" xr:uid="{00000000-0005-0000-0000-0000A6360000}"/>
    <cellStyle name="Note 2 3 2 7 2" xfId="26596" xr:uid="{00000000-0005-0000-0000-0000A7360000}"/>
    <cellStyle name="Note 2 3 2 8" xfId="9435" xr:uid="{00000000-0005-0000-0000-0000A8360000}"/>
    <cellStyle name="Note 2 3 2 8 2" xfId="19739" xr:uid="{00000000-0005-0000-0000-0000A9360000}"/>
    <cellStyle name="Note 2 3 3" xfId="1505" xr:uid="{00000000-0005-0000-0000-0000AA360000}"/>
    <cellStyle name="Note 2 3 3 2" xfId="2002" xr:uid="{00000000-0005-0000-0000-0000AB360000}"/>
    <cellStyle name="Note 2 3 3 2 2" xfId="3837" xr:uid="{00000000-0005-0000-0000-0000AC360000}"/>
    <cellStyle name="Note 2 3 3 2 2 2" xfId="7890" xr:uid="{00000000-0005-0000-0000-0000AD360000}"/>
    <cellStyle name="Note 2 3 3 2 2 2 2" xfId="17388" xr:uid="{00000000-0005-0000-0000-0000AE360000}"/>
    <cellStyle name="Note 2 3 3 2 2 2 2 2" xfId="32220" xr:uid="{00000000-0005-0000-0000-0000AF360000}"/>
    <cellStyle name="Note 2 3 3 2 2 2 3" xfId="23729" xr:uid="{00000000-0005-0000-0000-0000B0360000}"/>
    <cellStyle name="Note 2 3 3 2 2 3" xfId="14172" xr:uid="{00000000-0005-0000-0000-0000B1360000}"/>
    <cellStyle name="Note 2 3 3 2 2 3 2" xfId="29004" xr:uid="{00000000-0005-0000-0000-0000B2360000}"/>
    <cellStyle name="Note 2 3 3 2 2 4" xfId="11007" xr:uid="{00000000-0005-0000-0000-0000B3360000}"/>
    <cellStyle name="Note 2 3 3 2 2 4 2" xfId="25839" xr:uid="{00000000-0005-0000-0000-0000B4360000}"/>
    <cellStyle name="Note 2 3 3 2 2 5" xfId="21377" xr:uid="{00000000-0005-0000-0000-0000B5360000}"/>
    <cellStyle name="Note 2 3 3 2 3" xfId="4970" xr:uid="{00000000-0005-0000-0000-0000B6360000}"/>
    <cellStyle name="Note 2 3 3 2 3 2" xfId="9009" xr:uid="{00000000-0005-0000-0000-0000B7360000}"/>
    <cellStyle name="Note 2 3 3 2 3 2 2" xfId="17949" xr:uid="{00000000-0005-0000-0000-0000B8360000}"/>
    <cellStyle name="Note 2 3 3 2 3 2 2 2" xfId="32781" xr:uid="{00000000-0005-0000-0000-0000B9360000}"/>
    <cellStyle name="Note 2 3 3 2 3 2 3" xfId="24475" xr:uid="{00000000-0005-0000-0000-0000BA360000}"/>
    <cellStyle name="Note 2 3 3 2 3 3" xfId="15292" xr:uid="{00000000-0005-0000-0000-0000BB360000}"/>
    <cellStyle name="Note 2 3 3 2 3 3 2" xfId="30124" xr:uid="{00000000-0005-0000-0000-0000BC360000}"/>
    <cellStyle name="Note 2 3 3 2 3 4" xfId="11550" xr:uid="{00000000-0005-0000-0000-0000BD360000}"/>
    <cellStyle name="Note 2 3 3 2 3 4 2" xfId="26382" xr:uid="{00000000-0005-0000-0000-0000BE360000}"/>
    <cellStyle name="Note 2 3 3 2 3 5" xfId="22001" xr:uid="{00000000-0005-0000-0000-0000BF360000}"/>
    <cellStyle name="Note 2 3 3 2 4" xfId="2960" xr:uid="{00000000-0005-0000-0000-0000C0360000}"/>
    <cellStyle name="Note 2 3 3 2 4 2" xfId="7040" xr:uid="{00000000-0005-0000-0000-0000C1360000}"/>
    <cellStyle name="Note 2 3 3 2 4 2 2" xfId="16841" xr:uid="{00000000-0005-0000-0000-0000C2360000}"/>
    <cellStyle name="Note 2 3 3 2 4 2 2 2" xfId="31673" xr:uid="{00000000-0005-0000-0000-0000C3360000}"/>
    <cellStyle name="Note 2 3 3 2 4 2 3" xfId="23214" xr:uid="{00000000-0005-0000-0000-0000C4360000}"/>
    <cellStyle name="Note 2 3 3 2 4 3" xfId="13298" xr:uid="{00000000-0005-0000-0000-0000C5360000}"/>
    <cellStyle name="Note 2 3 3 2 4 3 2" xfId="28130" xr:uid="{00000000-0005-0000-0000-0000C6360000}"/>
    <cellStyle name="Note 2 3 3 2 4 4" xfId="10496" xr:uid="{00000000-0005-0000-0000-0000C7360000}"/>
    <cellStyle name="Note 2 3 3 2 4 4 2" xfId="25328" xr:uid="{00000000-0005-0000-0000-0000C8360000}"/>
    <cellStyle name="Note 2 3 3 2 4 5" xfId="20886" xr:uid="{00000000-0005-0000-0000-0000C9360000}"/>
    <cellStyle name="Note 2 3 3 2 5" xfId="6132" xr:uid="{00000000-0005-0000-0000-0000CA360000}"/>
    <cellStyle name="Note 2 3 3 2 5 2" xfId="16319" xr:uid="{00000000-0005-0000-0000-0000CB360000}"/>
    <cellStyle name="Note 2 3 3 2 5 2 2" xfId="31151" xr:uid="{00000000-0005-0000-0000-0000CC360000}"/>
    <cellStyle name="Note 2 3 3 2 5 3" xfId="22665" xr:uid="{00000000-0005-0000-0000-0000CD360000}"/>
    <cellStyle name="Note 2 3 3 2 6" xfId="12389" xr:uid="{00000000-0005-0000-0000-0000CE360000}"/>
    <cellStyle name="Note 2 3 3 2 6 2" xfId="27221" xr:uid="{00000000-0005-0000-0000-0000CF360000}"/>
    <cellStyle name="Note 2 3 3 2 7" xfId="9971" xr:uid="{00000000-0005-0000-0000-0000D0360000}"/>
    <cellStyle name="Note 2 3 3 2 7 2" xfId="24805" xr:uid="{00000000-0005-0000-0000-0000D1360000}"/>
    <cellStyle name="Note 2 3 3 2 8" xfId="20346" xr:uid="{00000000-0005-0000-0000-0000D2360000}"/>
    <cellStyle name="Note 2 3 3 3" xfId="3225" xr:uid="{00000000-0005-0000-0000-0000D3360000}"/>
    <cellStyle name="Note 2 3 3 3 2" xfId="7289" xr:uid="{00000000-0005-0000-0000-0000D4360000}"/>
    <cellStyle name="Note 2 3 3 3 2 2" xfId="17049" xr:uid="{00000000-0005-0000-0000-0000D5360000}"/>
    <cellStyle name="Note 2 3 3 3 2 2 2" xfId="31881" xr:uid="{00000000-0005-0000-0000-0000D6360000}"/>
    <cellStyle name="Note 2 3 3 3 2 3" xfId="23332" xr:uid="{00000000-0005-0000-0000-0000D7360000}"/>
    <cellStyle name="Note 2 3 3 3 3" xfId="13563" xr:uid="{00000000-0005-0000-0000-0000D8360000}"/>
    <cellStyle name="Note 2 3 3 3 3 2" xfId="28395" xr:uid="{00000000-0005-0000-0000-0000D9360000}"/>
    <cellStyle name="Note 2 3 3 3 4" xfId="10689" xr:uid="{00000000-0005-0000-0000-0000DA360000}"/>
    <cellStyle name="Note 2 3 3 3 4 2" xfId="25521" xr:uid="{00000000-0005-0000-0000-0000DB360000}"/>
    <cellStyle name="Note 2 3 3 3 5" xfId="21021" xr:uid="{00000000-0005-0000-0000-0000DC360000}"/>
    <cellStyle name="Note 2 3 3 4" xfId="4550" xr:uid="{00000000-0005-0000-0000-0000DD360000}"/>
    <cellStyle name="Note 2 3 3 4 2" xfId="8589" xr:uid="{00000000-0005-0000-0000-0000DE360000}"/>
    <cellStyle name="Note 2 3 3 4 2 2" xfId="17709" xr:uid="{00000000-0005-0000-0000-0000DF360000}"/>
    <cellStyle name="Note 2 3 3 4 2 2 2" xfId="32541" xr:uid="{00000000-0005-0000-0000-0000E0360000}"/>
    <cellStyle name="Note 2 3 3 4 2 3" xfId="24215" xr:uid="{00000000-0005-0000-0000-0000E1360000}"/>
    <cellStyle name="Note 2 3 3 4 3" xfId="14877" xr:uid="{00000000-0005-0000-0000-0000E2360000}"/>
    <cellStyle name="Note 2 3 3 4 3 2" xfId="29709" xr:uid="{00000000-0005-0000-0000-0000E3360000}"/>
    <cellStyle name="Note 2 3 3 4 4" xfId="11315" xr:uid="{00000000-0005-0000-0000-0000E4360000}"/>
    <cellStyle name="Note 2 3 3 4 4 2" xfId="26147" xr:uid="{00000000-0005-0000-0000-0000E5360000}"/>
    <cellStyle name="Note 2 3 3 4 5" xfId="21771" xr:uid="{00000000-0005-0000-0000-0000E6360000}"/>
    <cellStyle name="Note 2 3 3 5" xfId="2540" xr:uid="{00000000-0005-0000-0000-0000E7360000}"/>
    <cellStyle name="Note 2 3 3 5 2" xfId="6646" xr:uid="{00000000-0005-0000-0000-0000E8360000}"/>
    <cellStyle name="Note 2 3 3 5 2 2" xfId="16606" xr:uid="{00000000-0005-0000-0000-0000E9360000}"/>
    <cellStyle name="Note 2 3 3 5 2 2 2" xfId="31438" xr:uid="{00000000-0005-0000-0000-0000EA360000}"/>
    <cellStyle name="Note 2 3 3 5 2 3" xfId="22984" xr:uid="{00000000-0005-0000-0000-0000EB360000}"/>
    <cellStyle name="Note 2 3 3 5 3" xfId="12878" xr:uid="{00000000-0005-0000-0000-0000EC360000}"/>
    <cellStyle name="Note 2 3 3 5 3 2" xfId="27710" xr:uid="{00000000-0005-0000-0000-0000ED360000}"/>
    <cellStyle name="Note 2 3 3 5 4" xfId="10256" xr:uid="{00000000-0005-0000-0000-0000EE360000}"/>
    <cellStyle name="Note 2 3 3 5 4 2" xfId="25088" xr:uid="{00000000-0005-0000-0000-0000EF360000}"/>
    <cellStyle name="Note 2 3 3 5 5" xfId="20626" xr:uid="{00000000-0005-0000-0000-0000F0360000}"/>
    <cellStyle name="Note 2 3 3 6" xfId="5663" xr:uid="{00000000-0005-0000-0000-0000F1360000}"/>
    <cellStyle name="Note 2 3 3 6 2" xfId="15898" xr:uid="{00000000-0005-0000-0000-0000F2360000}"/>
    <cellStyle name="Note 2 3 3 6 2 2" xfId="30730" xr:uid="{00000000-0005-0000-0000-0000F3360000}"/>
    <cellStyle name="Note 2 3 3 6 3" xfId="22359" xr:uid="{00000000-0005-0000-0000-0000F4360000}"/>
    <cellStyle name="Note 2 3 3 7" xfId="11918" xr:uid="{00000000-0005-0000-0000-0000F5360000}"/>
    <cellStyle name="Note 2 3 3 7 2" xfId="26750" xr:uid="{00000000-0005-0000-0000-0000F6360000}"/>
    <cellStyle name="Note 2 3 3 8" xfId="9576" xr:uid="{00000000-0005-0000-0000-0000F7360000}"/>
    <cellStyle name="Note 2 3 3 8 2" xfId="19878" xr:uid="{00000000-0005-0000-0000-0000F8360000}"/>
    <cellStyle name="Note 2 3 4" xfId="1562" xr:uid="{00000000-0005-0000-0000-0000F9360000}"/>
    <cellStyle name="Note 2 3 4 2" xfId="2059" xr:uid="{00000000-0005-0000-0000-0000FA360000}"/>
    <cellStyle name="Note 2 3 4 2 2" xfId="3400" xr:uid="{00000000-0005-0000-0000-0000FB360000}"/>
    <cellStyle name="Note 2 3 4 2 2 2" xfId="7463" xr:uid="{00000000-0005-0000-0000-0000FC360000}"/>
    <cellStyle name="Note 2 3 4 2 2 2 2" xfId="17162" xr:uid="{00000000-0005-0000-0000-0000FD360000}"/>
    <cellStyle name="Note 2 3 4 2 2 2 2 2" xfId="31994" xr:uid="{00000000-0005-0000-0000-0000FE360000}"/>
    <cellStyle name="Note 2 3 4 2 2 2 3" xfId="23451" xr:uid="{00000000-0005-0000-0000-0000FF360000}"/>
    <cellStyle name="Note 2 3 4 2 2 3" xfId="13737" xr:uid="{00000000-0005-0000-0000-000000370000}"/>
    <cellStyle name="Note 2 3 4 2 2 3 2" xfId="28569" xr:uid="{00000000-0005-0000-0000-000001370000}"/>
    <cellStyle name="Note 2 3 4 2 2 4" xfId="10781" xr:uid="{00000000-0005-0000-0000-000002370000}"/>
    <cellStyle name="Note 2 3 4 2 2 4 2" xfId="25613" xr:uid="{00000000-0005-0000-0000-000003370000}"/>
    <cellStyle name="Note 2 3 4 2 2 5" xfId="21129" xr:uid="{00000000-0005-0000-0000-000004370000}"/>
    <cellStyle name="Note 2 3 4 2 3" xfId="5027" xr:uid="{00000000-0005-0000-0000-000005370000}"/>
    <cellStyle name="Note 2 3 4 2 3 2" xfId="9066" xr:uid="{00000000-0005-0000-0000-000006370000}"/>
    <cellStyle name="Note 2 3 4 2 3 2 2" xfId="17999" xr:uid="{00000000-0005-0000-0000-000007370000}"/>
    <cellStyle name="Note 2 3 4 2 3 2 2 2" xfId="32831" xr:uid="{00000000-0005-0000-0000-000008370000}"/>
    <cellStyle name="Note 2 3 4 2 3 2 3" xfId="24500" xr:uid="{00000000-0005-0000-0000-000009370000}"/>
    <cellStyle name="Note 2 3 4 2 3 3" xfId="15348" xr:uid="{00000000-0005-0000-0000-00000A370000}"/>
    <cellStyle name="Note 2 3 4 2 3 3 2" xfId="30180" xr:uid="{00000000-0005-0000-0000-00000B370000}"/>
    <cellStyle name="Note 2 3 4 2 3 4" xfId="11599" xr:uid="{00000000-0005-0000-0000-00000C370000}"/>
    <cellStyle name="Note 2 3 4 2 3 4 2" xfId="26431" xr:uid="{00000000-0005-0000-0000-00000D370000}"/>
    <cellStyle name="Note 2 3 4 2 3 5" xfId="22020" xr:uid="{00000000-0005-0000-0000-00000E370000}"/>
    <cellStyle name="Note 2 3 4 2 4" xfId="3017" xr:uid="{00000000-0005-0000-0000-00000F370000}"/>
    <cellStyle name="Note 2 3 4 2 4 2" xfId="7092" xr:uid="{00000000-0005-0000-0000-000010370000}"/>
    <cellStyle name="Note 2 3 4 2 4 2 2" xfId="16890" xr:uid="{00000000-0005-0000-0000-000011370000}"/>
    <cellStyle name="Note 2 3 4 2 4 2 2 2" xfId="31722" xr:uid="{00000000-0005-0000-0000-000012370000}"/>
    <cellStyle name="Note 2 3 4 2 4 2 3" xfId="23233" xr:uid="{00000000-0005-0000-0000-000013370000}"/>
    <cellStyle name="Note 2 3 4 2 4 3" xfId="13355" xr:uid="{00000000-0005-0000-0000-000014370000}"/>
    <cellStyle name="Note 2 3 4 2 4 3 2" xfId="28187" xr:uid="{00000000-0005-0000-0000-000015370000}"/>
    <cellStyle name="Note 2 3 4 2 4 4" xfId="10546" xr:uid="{00000000-0005-0000-0000-000016370000}"/>
    <cellStyle name="Note 2 3 4 2 4 4 2" xfId="25378" xr:uid="{00000000-0005-0000-0000-000017370000}"/>
    <cellStyle name="Note 2 3 4 2 4 5" xfId="20911" xr:uid="{00000000-0005-0000-0000-000018370000}"/>
    <cellStyle name="Note 2 3 4 2 5" xfId="6184" xr:uid="{00000000-0005-0000-0000-000019370000}"/>
    <cellStyle name="Note 2 3 4 2 5 2" xfId="16370" xr:uid="{00000000-0005-0000-0000-00001A370000}"/>
    <cellStyle name="Note 2 3 4 2 5 2 2" xfId="31202" xr:uid="{00000000-0005-0000-0000-00001B370000}"/>
    <cellStyle name="Note 2 3 4 2 5 3" xfId="22684" xr:uid="{00000000-0005-0000-0000-00001C370000}"/>
    <cellStyle name="Note 2 3 4 2 6" xfId="12440" xr:uid="{00000000-0005-0000-0000-00001D370000}"/>
    <cellStyle name="Note 2 3 4 2 6 2" xfId="27272" xr:uid="{00000000-0005-0000-0000-00001E370000}"/>
    <cellStyle name="Note 2 3 4 2 7" xfId="10022" xr:uid="{00000000-0005-0000-0000-00001F370000}"/>
    <cellStyle name="Note 2 3 4 2 7 2" xfId="24854" xr:uid="{00000000-0005-0000-0000-000020370000}"/>
    <cellStyle name="Note 2 3 4 2 8" xfId="20363" xr:uid="{00000000-0005-0000-0000-000021370000}"/>
    <cellStyle name="Note 2 3 4 3" xfId="3370" xr:uid="{00000000-0005-0000-0000-000022370000}"/>
    <cellStyle name="Note 2 3 4 3 2" xfId="7433" xr:uid="{00000000-0005-0000-0000-000023370000}"/>
    <cellStyle name="Note 2 3 4 3 2 2" xfId="17144" xr:uid="{00000000-0005-0000-0000-000024370000}"/>
    <cellStyle name="Note 2 3 4 3 2 2 2" xfId="31976" xr:uid="{00000000-0005-0000-0000-000025370000}"/>
    <cellStyle name="Note 2 3 4 3 2 3" xfId="23431" xr:uid="{00000000-0005-0000-0000-000026370000}"/>
    <cellStyle name="Note 2 3 4 3 3" xfId="13707" xr:uid="{00000000-0005-0000-0000-000027370000}"/>
    <cellStyle name="Note 2 3 4 3 3 2" xfId="28539" xr:uid="{00000000-0005-0000-0000-000028370000}"/>
    <cellStyle name="Note 2 3 4 3 4" xfId="10763" xr:uid="{00000000-0005-0000-0000-000029370000}"/>
    <cellStyle name="Note 2 3 4 3 4 2" xfId="25595" xr:uid="{00000000-0005-0000-0000-00002A370000}"/>
    <cellStyle name="Note 2 3 4 3 5" xfId="21113" xr:uid="{00000000-0005-0000-0000-00002B370000}"/>
    <cellStyle name="Note 2 3 4 4" xfId="4607" xr:uid="{00000000-0005-0000-0000-00002C370000}"/>
    <cellStyle name="Note 2 3 4 4 2" xfId="8646" xr:uid="{00000000-0005-0000-0000-00002D370000}"/>
    <cellStyle name="Note 2 3 4 4 2 2" xfId="17759" xr:uid="{00000000-0005-0000-0000-00002E370000}"/>
    <cellStyle name="Note 2 3 4 4 2 2 2" xfId="32591" xr:uid="{00000000-0005-0000-0000-00002F370000}"/>
    <cellStyle name="Note 2 3 4 4 2 3" xfId="24240" xr:uid="{00000000-0005-0000-0000-000030370000}"/>
    <cellStyle name="Note 2 3 4 4 3" xfId="14933" xr:uid="{00000000-0005-0000-0000-000031370000}"/>
    <cellStyle name="Note 2 3 4 4 3 2" xfId="29765" xr:uid="{00000000-0005-0000-0000-000032370000}"/>
    <cellStyle name="Note 2 3 4 4 4" xfId="11364" xr:uid="{00000000-0005-0000-0000-000033370000}"/>
    <cellStyle name="Note 2 3 4 4 4 2" xfId="26196" xr:uid="{00000000-0005-0000-0000-000034370000}"/>
    <cellStyle name="Note 2 3 4 4 5" xfId="21790" xr:uid="{00000000-0005-0000-0000-000035370000}"/>
    <cellStyle name="Note 2 3 4 5" xfId="2597" xr:uid="{00000000-0005-0000-0000-000036370000}"/>
    <cellStyle name="Note 2 3 4 5 2" xfId="6698" xr:uid="{00000000-0005-0000-0000-000037370000}"/>
    <cellStyle name="Note 2 3 4 5 2 2" xfId="16655" xr:uid="{00000000-0005-0000-0000-000038370000}"/>
    <cellStyle name="Note 2 3 4 5 2 2 2" xfId="31487" xr:uid="{00000000-0005-0000-0000-000039370000}"/>
    <cellStyle name="Note 2 3 4 5 2 3" xfId="23003" xr:uid="{00000000-0005-0000-0000-00003A370000}"/>
    <cellStyle name="Note 2 3 4 5 3" xfId="12935" xr:uid="{00000000-0005-0000-0000-00003B370000}"/>
    <cellStyle name="Note 2 3 4 5 3 2" xfId="27767" xr:uid="{00000000-0005-0000-0000-00003C370000}"/>
    <cellStyle name="Note 2 3 4 5 4" xfId="10306" xr:uid="{00000000-0005-0000-0000-00003D370000}"/>
    <cellStyle name="Note 2 3 4 5 4 2" xfId="25138" xr:uid="{00000000-0005-0000-0000-00003E370000}"/>
    <cellStyle name="Note 2 3 4 5 5" xfId="20651" xr:uid="{00000000-0005-0000-0000-00003F370000}"/>
    <cellStyle name="Note 2 3 4 6" xfId="5714" xr:uid="{00000000-0005-0000-0000-000040370000}"/>
    <cellStyle name="Note 2 3 4 6 2" xfId="15949" xr:uid="{00000000-0005-0000-0000-000041370000}"/>
    <cellStyle name="Note 2 3 4 6 2 2" xfId="30781" xr:uid="{00000000-0005-0000-0000-000042370000}"/>
    <cellStyle name="Note 2 3 4 6 3" xfId="22378" xr:uid="{00000000-0005-0000-0000-000043370000}"/>
    <cellStyle name="Note 2 3 4 7" xfId="11969" xr:uid="{00000000-0005-0000-0000-000044370000}"/>
    <cellStyle name="Note 2 3 4 7 2" xfId="26801" xr:uid="{00000000-0005-0000-0000-000045370000}"/>
    <cellStyle name="Note 2 3 4 8" xfId="9628" xr:uid="{00000000-0005-0000-0000-000046370000}"/>
    <cellStyle name="Note 2 3 4 8 2" xfId="19929" xr:uid="{00000000-0005-0000-0000-000047370000}"/>
    <cellStyle name="Note 2 3 5" xfId="1612" xr:uid="{00000000-0005-0000-0000-000048370000}"/>
    <cellStyle name="Note 2 3 5 2" xfId="2109" xr:uid="{00000000-0005-0000-0000-000049370000}"/>
    <cellStyle name="Note 2 3 5 2 2" xfId="3844" xr:uid="{00000000-0005-0000-0000-00004A370000}"/>
    <cellStyle name="Note 2 3 5 2 2 2" xfId="7897" xr:uid="{00000000-0005-0000-0000-00004B370000}"/>
    <cellStyle name="Note 2 3 5 2 2 2 2" xfId="17391" xr:uid="{00000000-0005-0000-0000-00004C370000}"/>
    <cellStyle name="Note 2 3 5 2 2 2 2 2" xfId="32223" xr:uid="{00000000-0005-0000-0000-00004D370000}"/>
    <cellStyle name="Note 2 3 5 2 2 2 3" xfId="23734" xr:uid="{00000000-0005-0000-0000-00004E370000}"/>
    <cellStyle name="Note 2 3 5 2 2 3" xfId="14179" xr:uid="{00000000-0005-0000-0000-00004F370000}"/>
    <cellStyle name="Note 2 3 5 2 2 3 2" xfId="29011" xr:uid="{00000000-0005-0000-0000-000050370000}"/>
    <cellStyle name="Note 2 3 5 2 2 4" xfId="11010" xr:uid="{00000000-0005-0000-0000-000051370000}"/>
    <cellStyle name="Note 2 3 5 2 2 4 2" xfId="25842" xr:uid="{00000000-0005-0000-0000-000052370000}"/>
    <cellStyle name="Note 2 3 5 2 2 5" xfId="21381" xr:uid="{00000000-0005-0000-0000-000053370000}"/>
    <cellStyle name="Note 2 3 5 2 3" xfId="5077" xr:uid="{00000000-0005-0000-0000-000054370000}"/>
    <cellStyle name="Note 2 3 5 2 3 2" xfId="9116" xr:uid="{00000000-0005-0000-0000-000055370000}"/>
    <cellStyle name="Note 2 3 5 2 3 2 2" xfId="18044" xr:uid="{00000000-0005-0000-0000-000056370000}"/>
    <cellStyle name="Note 2 3 5 2 3 2 2 2" xfId="32876" xr:uid="{00000000-0005-0000-0000-000057370000}"/>
    <cellStyle name="Note 2 3 5 2 3 2 3" xfId="24518" xr:uid="{00000000-0005-0000-0000-000058370000}"/>
    <cellStyle name="Note 2 3 5 2 3 3" xfId="15397" xr:uid="{00000000-0005-0000-0000-000059370000}"/>
    <cellStyle name="Note 2 3 5 2 3 3 2" xfId="30229" xr:uid="{00000000-0005-0000-0000-00005A370000}"/>
    <cellStyle name="Note 2 3 5 2 3 4" xfId="11643" xr:uid="{00000000-0005-0000-0000-00005B370000}"/>
    <cellStyle name="Note 2 3 5 2 3 4 2" xfId="26475" xr:uid="{00000000-0005-0000-0000-00005C370000}"/>
    <cellStyle name="Note 2 3 5 2 3 5" xfId="22032" xr:uid="{00000000-0005-0000-0000-00005D370000}"/>
    <cellStyle name="Note 2 3 5 2 4" xfId="3067" xr:uid="{00000000-0005-0000-0000-00005E370000}"/>
    <cellStyle name="Note 2 3 5 2 4 2" xfId="7137" xr:uid="{00000000-0005-0000-0000-00005F370000}"/>
    <cellStyle name="Note 2 3 5 2 4 2 2" xfId="16934" xr:uid="{00000000-0005-0000-0000-000060370000}"/>
    <cellStyle name="Note 2 3 5 2 4 2 2 2" xfId="31766" xr:uid="{00000000-0005-0000-0000-000061370000}"/>
    <cellStyle name="Note 2 3 5 2 4 2 3" xfId="23245" xr:uid="{00000000-0005-0000-0000-000062370000}"/>
    <cellStyle name="Note 2 3 5 2 4 3" xfId="13405" xr:uid="{00000000-0005-0000-0000-000063370000}"/>
    <cellStyle name="Note 2 3 5 2 4 3 2" xfId="28237" xr:uid="{00000000-0005-0000-0000-000064370000}"/>
    <cellStyle name="Note 2 3 5 2 4 4" xfId="10591" xr:uid="{00000000-0005-0000-0000-000065370000}"/>
    <cellStyle name="Note 2 3 5 2 4 4 2" xfId="25423" xr:uid="{00000000-0005-0000-0000-000066370000}"/>
    <cellStyle name="Note 2 3 5 2 4 5" xfId="20929" xr:uid="{00000000-0005-0000-0000-000067370000}"/>
    <cellStyle name="Note 2 3 5 2 5" xfId="6229" xr:uid="{00000000-0005-0000-0000-000068370000}"/>
    <cellStyle name="Note 2 3 5 2 5 2" xfId="16414" xr:uid="{00000000-0005-0000-0000-000069370000}"/>
    <cellStyle name="Note 2 3 5 2 5 2 2" xfId="31246" xr:uid="{00000000-0005-0000-0000-00006A370000}"/>
    <cellStyle name="Note 2 3 5 2 5 3" xfId="22696" xr:uid="{00000000-0005-0000-0000-00006B370000}"/>
    <cellStyle name="Note 2 3 5 2 6" xfId="12484" xr:uid="{00000000-0005-0000-0000-00006C370000}"/>
    <cellStyle name="Note 2 3 5 2 6 2" xfId="27316" xr:uid="{00000000-0005-0000-0000-00006D370000}"/>
    <cellStyle name="Note 2 3 5 2 7" xfId="10066" xr:uid="{00000000-0005-0000-0000-00006E370000}"/>
    <cellStyle name="Note 2 3 5 2 7 2" xfId="24898" xr:uid="{00000000-0005-0000-0000-00006F370000}"/>
    <cellStyle name="Note 2 3 5 2 8" xfId="20375" xr:uid="{00000000-0005-0000-0000-000070370000}"/>
    <cellStyle name="Note 2 3 5 3" xfId="3448" xr:uid="{00000000-0005-0000-0000-000071370000}"/>
    <cellStyle name="Note 2 3 5 3 2" xfId="7511" xr:uid="{00000000-0005-0000-0000-000072370000}"/>
    <cellStyle name="Note 2 3 5 3 2 2" xfId="17195" xr:uid="{00000000-0005-0000-0000-000073370000}"/>
    <cellStyle name="Note 2 3 5 3 2 2 2" xfId="32027" xr:uid="{00000000-0005-0000-0000-000074370000}"/>
    <cellStyle name="Note 2 3 5 3 2 3" xfId="23482" xr:uid="{00000000-0005-0000-0000-000075370000}"/>
    <cellStyle name="Note 2 3 5 3 3" xfId="13785" xr:uid="{00000000-0005-0000-0000-000076370000}"/>
    <cellStyle name="Note 2 3 5 3 3 2" xfId="28617" xr:uid="{00000000-0005-0000-0000-000077370000}"/>
    <cellStyle name="Note 2 3 5 3 4" xfId="10814" xr:uid="{00000000-0005-0000-0000-000078370000}"/>
    <cellStyle name="Note 2 3 5 3 4 2" xfId="25646" xr:uid="{00000000-0005-0000-0000-000079370000}"/>
    <cellStyle name="Note 2 3 5 3 5" xfId="21158" xr:uid="{00000000-0005-0000-0000-00007A370000}"/>
    <cellStyle name="Note 2 3 5 4" xfId="4657" xr:uid="{00000000-0005-0000-0000-00007B370000}"/>
    <cellStyle name="Note 2 3 5 4 2" xfId="8696" xr:uid="{00000000-0005-0000-0000-00007C370000}"/>
    <cellStyle name="Note 2 3 5 4 2 2" xfId="17804" xr:uid="{00000000-0005-0000-0000-00007D370000}"/>
    <cellStyle name="Note 2 3 5 4 2 2 2" xfId="32636" xr:uid="{00000000-0005-0000-0000-00007E370000}"/>
    <cellStyle name="Note 2 3 5 4 2 3" xfId="24258" xr:uid="{00000000-0005-0000-0000-00007F370000}"/>
    <cellStyle name="Note 2 3 5 4 3" xfId="14982" xr:uid="{00000000-0005-0000-0000-000080370000}"/>
    <cellStyle name="Note 2 3 5 4 3 2" xfId="29814" xr:uid="{00000000-0005-0000-0000-000081370000}"/>
    <cellStyle name="Note 2 3 5 4 4" xfId="11408" xr:uid="{00000000-0005-0000-0000-000082370000}"/>
    <cellStyle name="Note 2 3 5 4 4 2" xfId="26240" xr:uid="{00000000-0005-0000-0000-000083370000}"/>
    <cellStyle name="Note 2 3 5 4 5" xfId="21802" xr:uid="{00000000-0005-0000-0000-000084370000}"/>
    <cellStyle name="Note 2 3 5 5" xfId="2647" xr:uid="{00000000-0005-0000-0000-000085370000}"/>
    <cellStyle name="Note 2 3 5 5 2" xfId="6743" xr:uid="{00000000-0005-0000-0000-000086370000}"/>
    <cellStyle name="Note 2 3 5 5 2 2" xfId="16699" xr:uid="{00000000-0005-0000-0000-000087370000}"/>
    <cellStyle name="Note 2 3 5 5 2 2 2" xfId="31531" xr:uid="{00000000-0005-0000-0000-000088370000}"/>
    <cellStyle name="Note 2 3 5 5 2 3" xfId="23015" xr:uid="{00000000-0005-0000-0000-000089370000}"/>
    <cellStyle name="Note 2 3 5 5 3" xfId="12985" xr:uid="{00000000-0005-0000-0000-00008A370000}"/>
    <cellStyle name="Note 2 3 5 5 3 2" xfId="27817" xr:uid="{00000000-0005-0000-0000-00008B370000}"/>
    <cellStyle name="Note 2 3 5 5 4" xfId="10351" xr:uid="{00000000-0005-0000-0000-00008C370000}"/>
    <cellStyle name="Note 2 3 5 5 4 2" xfId="25183" xr:uid="{00000000-0005-0000-0000-00008D370000}"/>
    <cellStyle name="Note 2 3 5 5 5" xfId="20669" xr:uid="{00000000-0005-0000-0000-00008E370000}"/>
    <cellStyle name="Note 2 3 5 6" xfId="5759" xr:uid="{00000000-0005-0000-0000-00008F370000}"/>
    <cellStyle name="Note 2 3 5 6 2" xfId="15993" xr:uid="{00000000-0005-0000-0000-000090370000}"/>
    <cellStyle name="Note 2 3 5 6 2 2" xfId="30825" xr:uid="{00000000-0005-0000-0000-000091370000}"/>
    <cellStyle name="Note 2 3 5 6 3" xfId="22390" xr:uid="{00000000-0005-0000-0000-000092370000}"/>
    <cellStyle name="Note 2 3 5 7" xfId="12013" xr:uid="{00000000-0005-0000-0000-000093370000}"/>
    <cellStyle name="Note 2 3 5 7 2" xfId="26845" xr:uid="{00000000-0005-0000-0000-000094370000}"/>
    <cellStyle name="Note 2 3 5 8" xfId="9673" xr:uid="{00000000-0005-0000-0000-000095370000}"/>
    <cellStyle name="Note 2 3 5 8 2" xfId="19973" xr:uid="{00000000-0005-0000-0000-000096370000}"/>
    <cellStyle name="Note 2 3 6" xfId="1763" xr:uid="{00000000-0005-0000-0000-000097370000}"/>
    <cellStyle name="Note 2 3 6 2" xfId="3888" xr:uid="{00000000-0005-0000-0000-000098370000}"/>
    <cellStyle name="Note 2 3 6 2 2" xfId="7939" xr:uid="{00000000-0005-0000-0000-000099370000}"/>
    <cellStyle name="Note 2 3 6 2 2 2" xfId="17413" xr:uid="{00000000-0005-0000-0000-00009A370000}"/>
    <cellStyle name="Note 2 3 6 2 2 2 2" xfId="32245" xr:uid="{00000000-0005-0000-0000-00009B370000}"/>
    <cellStyle name="Note 2 3 6 2 2 3" xfId="23761" xr:uid="{00000000-0005-0000-0000-00009C370000}"/>
    <cellStyle name="Note 2 3 6 2 3" xfId="14222" xr:uid="{00000000-0005-0000-0000-00009D370000}"/>
    <cellStyle name="Note 2 3 6 2 3 2" xfId="29054" xr:uid="{00000000-0005-0000-0000-00009E370000}"/>
    <cellStyle name="Note 2 3 6 2 4" xfId="11030" xr:uid="{00000000-0005-0000-0000-00009F370000}"/>
    <cellStyle name="Note 2 3 6 2 4 2" xfId="25862" xr:uid="{00000000-0005-0000-0000-0000A0370000}"/>
    <cellStyle name="Note 2 3 6 2 5" xfId="21403" xr:uid="{00000000-0005-0000-0000-0000A1370000}"/>
    <cellStyle name="Note 2 3 6 3" xfId="4741" xr:uid="{00000000-0005-0000-0000-0000A2370000}"/>
    <cellStyle name="Note 2 3 6 3 2" xfId="8780" xr:uid="{00000000-0005-0000-0000-0000A3370000}"/>
    <cellStyle name="Note 2 3 6 3 2 2" xfId="17852" xr:uid="{00000000-0005-0000-0000-0000A4370000}"/>
    <cellStyle name="Note 2 3 6 3 2 2 2" xfId="32684" xr:uid="{00000000-0005-0000-0000-0000A5370000}"/>
    <cellStyle name="Note 2 3 6 3 2 3" xfId="24310" xr:uid="{00000000-0005-0000-0000-0000A6370000}"/>
    <cellStyle name="Note 2 3 6 3 3" xfId="15065" xr:uid="{00000000-0005-0000-0000-0000A7370000}"/>
    <cellStyle name="Note 2 3 6 3 3 2" xfId="29897" xr:uid="{00000000-0005-0000-0000-0000A8370000}"/>
    <cellStyle name="Note 2 3 6 3 4" xfId="11455" xr:uid="{00000000-0005-0000-0000-0000A9370000}"/>
    <cellStyle name="Note 2 3 6 3 4 2" xfId="26287" xr:uid="{00000000-0005-0000-0000-0000AA370000}"/>
    <cellStyle name="Note 2 3 6 3 5" xfId="21848" xr:uid="{00000000-0005-0000-0000-0000AB370000}"/>
    <cellStyle name="Note 2 3 6 4" xfId="2731" xr:uid="{00000000-0005-0000-0000-0000AC370000}"/>
    <cellStyle name="Note 2 3 6 4 2" xfId="6822" xr:uid="{00000000-0005-0000-0000-0000AD370000}"/>
    <cellStyle name="Note 2 3 6 4 2 2" xfId="16746" xr:uid="{00000000-0005-0000-0000-0000AE370000}"/>
    <cellStyle name="Note 2 3 6 4 2 2 2" xfId="31578" xr:uid="{00000000-0005-0000-0000-0000AF370000}"/>
    <cellStyle name="Note 2 3 6 4 2 3" xfId="23061" xr:uid="{00000000-0005-0000-0000-0000B0370000}"/>
    <cellStyle name="Note 2 3 6 4 3" xfId="13069" xr:uid="{00000000-0005-0000-0000-0000B1370000}"/>
    <cellStyle name="Note 2 3 6 4 3 2" xfId="27901" xr:uid="{00000000-0005-0000-0000-0000B2370000}"/>
    <cellStyle name="Note 2 3 6 4 4" xfId="10399" xr:uid="{00000000-0005-0000-0000-0000B3370000}"/>
    <cellStyle name="Note 2 3 6 4 4 2" xfId="25231" xr:uid="{00000000-0005-0000-0000-0000B4370000}"/>
    <cellStyle name="Note 2 3 6 4 5" xfId="20721" xr:uid="{00000000-0005-0000-0000-0000B5370000}"/>
    <cellStyle name="Note 2 3 6 5" xfId="5895" xr:uid="{00000000-0005-0000-0000-0000B6370000}"/>
    <cellStyle name="Note 2 3 6 5 2" xfId="16087" xr:uid="{00000000-0005-0000-0000-0000B7370000}"/>
    <cellStyle name="Note 2 3 6 5 2 2" xfId="30919" xr:uid="{00000000-0005-0000-0000-0000B8370000}"/>
    <cellStyle name="Note 2 3 6 5 3" xfId="22492" xr:uid="{00000000-0005-0000-0000-0000B9370000}"/>
    <cellStyle name="Note 2 3 6 6" xfId="12157" xr:uid="{00000000-0005-0000-0000-0000BA370000}"/>
    <cellStyle name="Note 2 3 6 6 2" xfId="26989" xr:uid="{00000000-0005-0000-0000-0000BB370000}"/>
    <cellStyle name="Note 2 3 6 7" xfId="9753" xr:uid="{00000000-0005-0000-0000-0000BC370000}"/>
    <cellStyle name="Note 2 3 6 7 2" xfId="24710" xr:uid="{00000000-0005-0000-0000-0000BD370000}"/>
    <cellStyle name="Note 2 3 6 8" xfId="20300" xr:uid="{00000000-0005-0000-0000-0000BE370000}"/>
    <cellStyle name="Note 2 3 7" xfId="2203" xr:uid="{00000000-0005-0000-0000-0000BF370000}"/>
    <cellStyle name="Note 2 3 7 2" xfId="3499" xr:uid="{00000000-0005-0000-0000-0000C0370000}"/>
    <cellStyle name="Note 2 3 7 2 2" xfId="7561" xr:uid="{00000000-0005-0000-0000-0000C1370000}"/>
    <cellStyle name="Note 2 3 7 2 2 2" xfId="17222" xr:uid="{00000000-0005-0000-0000-0000C2370000}"/>
    <cellStyle name="Note 2 3 7 2 2 2 2" xfId="32054" xr:uid="{00000000-0005-0000-0000-0000C3370000}"/>
    <cellStyle name="Note 2 3 7 2 2 3" xfId="23515" xr:uid="{00000000-0005-0000-0000-0000C4370000}"/>
    <cellStyle name="Note 2 3 7 2 3" xfId="13836" xr:uid="{00000000-0005-0000-0000-0000C5370000}"/>
    <cellStyle name="Note 2 3 7 2 3 2" xfId="28668" xr:uid="{00000000-0005-0000-0000-0000C6370000}"/>
    <cellStyle name="Note 2 3 7 2 4" xfId="10840" xr:uid="{00000000-0005-0000-0000-0000C7370000}"/>
    <cellStyle name="Note 2 3 7 2 4 2" xfId="25672" xr:uid="{00000000-0005-0000-0000-0000C8370000}"/>
    <cellStyle name="Note 2 3 7 2 5" xfId="21190" xr:uid="{00000000-0005-0000-0000-0000C9370000}"/>
    <cellStyle name="Note 2 3 7 3" xfId="5171" xr:uid="{00000000-0005-0000-0000-0000CA370000}"/>
    <cellStyle name="Note 2 3 7 3 2" xfId="9210" xr:uid="{00000000-0005-0000-0000-0000CB370000}"/>
    <cellStyle name="Note 2 3 7 3 2 2" xfId="18133" xr:uid="{00000000-0005-0000-0000-0000CC370000}"/>
    <cellStyle name="Note 2 3 7 3 2 2 2" xfId="32965" xr:uid="{00000000-0005-0000-0000-0000CD370000}"/>
    <cellStyle name="Note 2 3 7 3 2 3" xfId="24548" xr:uid="{00000000-0005-0000-0000-0000CE370000}"/>
    <cellStyle name="Note 2 3 7 3 3" xfId="15489" xr:uid="{00000000-0005-0000-0000-0000CF370000}"/>
    <cellStyle name="Note 2 3 7 3 3 2" xfId="30321" xr:uid="{00000000-0005-0000-0000-0000D0370000}"/>
    <cellStyle name="Note 2 3 7 3 4" xfId="11730" xr:uid="{00000000-0005-0000-0000-0000D1370000}"/>
    <cellStyle name="Note 2 3 7 3 4 2" xfId="26562" xr:uid="{00000000-0005-0000-0000-0000D2370000}"/>
    <cellStyle name="Note 2 3 7 3 5" xfId="22055" xr:uid="{00000000-0005-0000-0000-0000D3370000}"/>
    <cellStyle name="Note 2 3 7 4" xfId="4201" xr:uid="{00000000-0005-0000-0000-0000D4370000}"/>
    <cellStyle name="Note 2 3 7 4 2" xfId="8242" xr:uid="{00000000-0005-0000-0000-0000D5370000}"/>
    <cellStyle name="Note 2 3 7 4 2 2" xfId="17589" xr:uid="{00000000-0005-0000-0000-0000D6370000}"/>
    <cellStyle name="Note 2 3 7 4 2 2 2" xfId="32421" xr:uid="{00000000-0005-0000-0000-0000D7370000}"/>
    <cellStyle name="Note 2 3 7 4 2 3" xfId="23937" xr:uid="{00000000-0005-0000-0000-0000D8370000}"/>
    <cellStyle name="Note 2 3 7 4 3" xfId="14533" xr:uid="{00000000-0005-0000-0000-0000D9370000}"/>
    <cellStyle name="Note 2 3 7 4 3 2" xfId="29365" xr:uid="{00000000-0005-0000-0000-0000DA370000}"/>
    <cellStyle name="Note 2 3 7 4 4" xfId="11209" xr:uid="{00000000-0005-0000-0000-0000DB370000}"/>
    <cellStyle name="Note 2 3 7 4 4 2" xfId="26041" xr:uid="{00000000-0005-0000-0000-0000DC370000}"/>
    <cellStyle name="Note 2 3 7 4 5" xfId="21562" xr:uid="{00000000-0005-0000-0000-0000DD370000}"/>
    <cellStyle name="Note 2 3 7 5" xfId="6317" xr:uid="{00000000-0005-0000-0000-0000DE370000}"/>
    <cellStyle name="Note 2 3 7 5 2" xfId="16501" xr:uid="{00000000-0005-0000-0000-0000DF370000}"/>
    <cellStyle name="Note 2 3 7 5 2 2" xfId="31333" xr:uid="{00000000-0005-0000-0000-0000E0370000}"/>
    <cellStyle name="Note 2 3 7 5 3" xfId="22719" xr:uid="{00000000-0005-0000-0000-0000E1370000}"/>
    <cellStyle name="Note 2 3 7 6" xfId="12571" xr:uid="{00000000-0005-0000-0000-0000E2370000}"/>
    <cellStyle name="Note 2 3 7 6 2" xfId="27403" xr:uid="{00000000-0005-0000-0000-0000E3370000}"/>
    <cellStyle name="Note 2 3 7 7" xfId="10153" xr:uid="{00000000-0005-0000-0000-0000E4370000}"/>
    <cellStyle name="Note 2 3 7 7 2" xfId="24985" xr:uid="{00000000-0005-0000-0000-0000E5370000}"/>
    <cellStyle name="Note 2 3 7 8" xfId="20398" xr:uid="{00000000-0005-0000-0000-0000E6370000}"/>
    <cellStyle name="Note 2 3 8" xfId="3158" xr:uid="{00000000-0005-0000-0000-0000E7370000}"/>
    <cellStyle name="Note 2 3 8 2" xfId="7222" xr:uid="{00000000-0005-0000-0000-0000E8370000}"/>
    <cellStyle name="Note 2 3 8 2 2" xfId="17000" xr:uid="{00000000-0005-0000-0000-0000E9370000}"/>
    <cellStyle name="Note 2 3 8 2 2 2" xfId="31832" xr:uid="{00000000-0005-0000-0000-0000EA370000}"/>
    <cellStyle name="Note 2 3 8 2 3" xfId="23287" xr:uid="{00000000-0005-0000-0000-0000EB370000}"/>
    <cellStyle name="Note 2 3 8 3" xfId="13496" xr:uid="{00000000-0005-0000-0000-0000EC370000}"/>
    <cellStyle name="Note 2 3 8 3 2" xfId="28328" xr:uid="{00000000-0005-0000-0000-0000ED370000}"/>
    <cellStyle name="Note 2 3 8 4" xfId="10652" xr:uid="{00000000-0005-0000-0000-0000EE370000}"/>
    <cellStyle name="Note 2 3 8 4 2" xfId="25484" xr:uid="{00000000-0005-0000-0000-0000EF370000}"/>
    <cellStyle name="Note 2 3 8 5" xfId="20978" xr:uid="{00000000-0005-0000-0000-0000F0370000}"/>
    <cellStyle name="Note 2 3 9" xfId="3335" xr:uid="{00000000-0005-0000-0000-0000F1370000}"/>
    <cellStyle name="Note 2 3 9 2" xfId="7398" xr:uid="{00000000-0005-0000-0000-0000F2370000}"/>
    <cellStyle name="Note 2 3 9 2 2" xfId="17131" xr:uid="{00000000-0005-0000-0000-0000F3370000}"/>
    <cellStyle name="Note 2 3 9 2 2 2" xfId="31963" xr:uid="{00000000-0005-0000-0000-0000F4370000}"/>
    <cellStyle name="Note 2 3 9 2 3" xfId="23404" xr:uid="{00000000-0005-0000-0000-0000F5370000}"/>
    <cellStyle name="Note 2 3 9 3" xfId="13672" xr:uid="{00000000-0005-0000-0000-0000F6370000}"/>
    <cellStyle name="Note 2 3 9 3 2" xfId="28504" xr:uid="{00000000-0005-0000-0000-0000F7370000}"/>
    <cellStyle name="Note 2 3 9 4" xfId="10752" xr:uid="{00000000-0005-0000-0000-0000F8370000}"/>
    <cellStyle name="Note 2 3 9 4 2" xfId="25584" xr:uid="{00000000-0005-0000-0000-0000F9370000}"/>
    <cellStyle name="Note 2 3 9 5" xfId="21092" xr:uid="{00000000-0005-0000-0000-0000FA370000}"/>
    <cellStyle name="Note 2 4" xfId="1219" xr:uid="{00000000-0005-0000-0000-0000FB370000}"/>
    <cellStyle name="Note 2 4 10" xfId="2305" xr:uid="{00000000-0005-0000-0000-0000FC370000}"/>
    <cellStyle name="Note 2 4 10 2" xfId="6417" xr:uid="{00000000-0005-0000-0000-0000FD370000}"/>
    <cellStyle name="Note 2 4 10 2 2" xfId="16510" xr:uid="{00000000-0005-0000-0000-0000FE370000}"/>
    <cellStyle name="Note 2 4 10 2 2 2" xfId="31342" xr:uid="{00000000-0005-0000-0000-0000FF370000}"/>
    <cellStyle name="Note 2 4 10 2 3" xfId="22819" xr:uid="{00000000-0005-0000-0000-000000380000}"/>
    <cellStyle name="Note 2 4 10 3" xfId="12645" xr:uid="{00000000-0005-0000-0000-000001380000}"/>
    <cellStyle name="Note 2 4 10 3 2" xfId="27477" xr:uid="{00000000-0005-0000-0000-000002380000}"/>
    <cellStyle name="Note 2 4 10 4" xfId="10161" xr:uid="{00000000-0005-0000-0000-000003380000}"/>
    <cellStyle name="Note 2 4 10 4 2" xfId="24993" xr:uid="{00000000-0005-0000-0000-000004380000}"/>
    <cellStyle name="Note 2 4 10 5" xfId="20468" xr:uid="{00000000-0005-0000-0000-000005380000}"/>
    <cellStyle name="Note 2 4 11" xfId="5268" xr:uid="{00000000-0005-0000-0000-000006380000}"/>
    <cellStyle name="Note 2 4 11 2" xfId="9276" xr:uid="{00000000-0005-0000-0000-000007380000}"/>
    <cellStyle name="Note 2 4 11 2 2" xfId="18143" xr:uid="{00000000-0005-0000-0000-000008380000}"/>
    <cellStyle name="Note 2 4 11 2 2 2" xfId="32975" xr:uid="{00000000-0005-0000-0000-000009380000}"/>
    <cellStyle name="Note 2 4 11 2 3" xfId="24614" xr:uid="{00000000-0005-0000-0000-00000A380000}"/>
    <cellStyle name="Note 2 4 11 3" xfId="15584" xr:uid="{00000000-0005-0000-0000-00000B380000}"/>
    <cellStyle name="Note 2 4 11 3 2" xfId="30416" xr:uid="{00000000-0005-0000-0000-00000C380000}"/>
    <cellStyle name="Note 2 4 11 4" xfId="22125" xr:uid="{00000000-0005-0000-0000-00000D380000}"/>
    <cellStyle name="Note 2 4 12" xfId="5426" xr:uid="{00000000-0005-0000-0000-00000E380000}"/>
    <cellStyle name="Note 2 4 12 2" xfId="15662" xr:uid="{00000000-0005-0000-0000-00000F380000}"/>
    <cellStyle name="Note 2 4 12 2 2" xfId="30494" xr:uid="{00000000-0005-0000-0000-000010380000}"/>
    <cellStyle name="Note 2 4 12 3" xfId="22187" xr:uid="{00000000-0005-0000-0000-000011380000}"/>
    <cellStyle name="Note 2 4 13" xfId="9365" xr:uid="{00000000-0005-0000-0000-000012380000}"/>
    <cellStyle name="Note 2 4 13 2" xfId="24671" xr:uid="{00000000-0005-0000-0000-000013380000}"/>
    <cellStyle name="Note 2 4 14" xfId="5354" xr:uid="{00000000-0005-0000-0000-000014380000}"/>
    <cellStyle name="Note 2 4 14 2" xfId="18228" xr:uid="{00000000-0005-0000-0000-000015380000}"/>
    <cellStyle name="Note 2 4 2" xfId="1338" xr:uid="{00000000-0005-0000-0000-000016380000}"/>
    <cellStyle name="Note 2 4 2 2" xfId="1842" xr:uid="{00000000-0005-0000-0000-000017380000}"/>
    <cellStyle name="Note 2 4 2 2 2" xfId="3636" xr:uid="{00000000-0005-0000-0000-000018380000}"/>
    <cellStyle name="Note 2 4 2 2 2 2" xfId="7695" xr:uid="{00000000-0005-0000-0000-000019380000}"/>
    <cellStyle name="Note 2 4 2 2 2 2 2" xfId="17294" xr:uid="{00000000-0005-0000-0000-00001A380000}"/>
    <cellStyle name="Note 2 4 2 2 2 2 2 2" xfId="32126" xr:uid="{00000000-0005-0000-0000-00001B380000}"/>
    <cellStyle name="Note 2 4 2 2 2 2 3" xfId="23598" xr:uid="{00000000-0005-0000-0000-00001C380000}"/>
    <cellStyle name="Note 2 4 2 2 2 3" xfId="13971" xr:uid="{00000000-0005-0000-0000-00001D380000}"/>
    <cellStyle name="Note 2 4 2 2 2 3 2" xfId="28803" xr:uid="{00000000-0005-0000-0000-00001E380000}"/>
    <cellStyle name="Note 2 4 2 2 2 4" xfId="10910" xr:uid="{00000000-0005-0000-0000-00001F380000}"/>
    <cellStyle name="Note 2 4 2 2 2 4 2" xfId="25742" xr:uid="{00000000-0005-0000-0000-000020380000}"/>
    <cellStyle name="Note 2 4 2 2 2 5" xfId="21263" xr:uid="{00000000-0005-0000-0000-000021380000}"/>
    <cellStyle name="Note 2 4 2 2 3" xfId="4820" xr:uid="{00000000-0005-0000-0000-000022380000}"/>
    <cellStyle name="Note 2 4 2 2 3 2" xfId="8859" xr:uid="{00000000-0005-0000-0000-000023380000}"/>
    <cellStyle name="Note 2 4 2 2 3 2 2" xfId="17900" xr:uid="{00000000-0005-0000-0000-000024380000}"/>
    <cellStyle name="Note 2 4 2 2 3 2 2 2" xfId="32732" xr:uid="{00000000-0005-0000-0000-000025380000}"/>
    <cellStyle name="Note 2 4 2 2 3 2 3" xfId="24357" xr:uid="{00000000-0005-0000-0000-000026380000}"/>
    <cellStyle name="Note 2 4 2 2 3 3" xfId="15144" xr:uid="{00000000-0005-0000-0000-000027380000}"/>
    <cellStyle name="Note 2 4 2 2 3 3 2" xfId="29976" xr:uid="{00000000-0005-0000-0000-000028380000}"/>
    <cellStyle name="Note 2 4 2 2 3 4" xfId="11503" xr:uid="{00000000-0005-0000-0000-000029380000}"/>
    <cellStyle name="Note 2 4 2 2 3 4 2" xfId="26335" xr:uid="{00000000-0005-0000-0000-00002A380000}"/>
    <cellStyle name="Note 2 4 2 2 3 5" xfId="21895" xr:uid="{00000000-0005-0000-0000-00002B380000}"/>
    <cellStyle name="Note 2 4 2 2 4" xfId="2810" xr:uid="{00000000-0005-0000-0000-00002C380000}"/>
    <cellStyle name="Note 2 4 2 2 4 2" xfId="6901" xr:uid="{00000000-0005-0000-0000-00002D380000}"/>
    <cellStyle name="Note 2 4 2 2 4 2 2" xfId="16794" xr:uid="{00000000-0005-0000-0000-00002E380000}"/>
    <cellStyle name="Note 2 4 2 2 4 2 2 2" xfId="31626" xr:uid="{00000000-0005-0000-0000-00002F380000}"/>
    <cellStyle name="Note 2 4 2 2 4 2 3" xfId="23108" xr:uid="{00000000-0005-0000-0000-000030380000}"/>
    <cellStyle name="Note 2 4 2 2 4 3" xfId="13148" xr:uid="{00000000-0005-0000-0000-000031380000}"/>
    <cellStyle name="Note 2 4 2 2 4 3 2" xfId="27980" xr:uid="{00000000-0005-0000-0000-000032380000}"/>
    <cellStyle name="Note 2 4 2 2 4 4" xfId="10447" xr:uid="{00000000-0005-0000-0000-000033380000}"/>
    <cellStyle name="Note 2 4 2 2 4 4 2" xfId="25279" xr:uid="{00000000-0005-0000-0000-000034380000}"/>
    <cellStyle name="Note 2 4 2 2 4 5" xfId="20768" xr:uid="{00000000-0005-0000-0000-000035380000}"/>
    <cellStyle name="Note 2 4 2 2 5" xfId="5974" xr:uid="{00000000-0005-0000-0000-000036380000}"/>
    <cellStyle name="Note 2 4 2 2 5 2" xfId="16166" xr:uid="{00000000-0005-0000-0000-000037380000}"/>
    <cellStyle name="Note 2 4 2 2 5 2 2" xfId="30998" xr:uid="{00000000-0005-0000-0000-000038380000}"/>
    <cellStyle name="Note 2 4 2 2 5 3" xfId="22539" xr:uid="{00000000-0005-0000-0000-000039380000}"/>
    <cellStyle name="Note 2 4 2 2 6" xfId="12236" xr:uid="{00000000-0005-0000-0000-00003A380000}"/>
    <cellStyle name="Note 2 4 2 2 6 2" xfId="27068" xr:uid="{00000000-0005-0000-0000-00003B380000}"/>
    <cellStyle name="Note 2 4 2 2 7" xfId="9832" xr:uid="{00000000-0005-0000-0000-00003C380000}"/>
    <cellStyle name="Note 2 4 2 2 7 2" xfId="24758" xr:uid="{00000000-0005-0000-0000-00003D380000}"/>
    <cellStyle name="Note 2 4 2 2 8" xfId="20316" xr:uid="{00000000-0005-0000-0000-00003E380000}"/>
    <cellStyle name="Note 2 4 2 3" xfId="3240" xr:uid="{00000000-0005-0000-0000-00003F380000}"/>
    <cellStyle name="Note 2 4 2 3 2" xfId="7304" xr:uid="{00000000-0005-0000-0000-000040380000}"/>
    <cellStyle name="Note 2 4 2 3 2 2" xfId="17062" xr:uid="{00000000-0005-0000-0000-000041380000}"/>
    <cellStyle name="Note 2 4 2 3 2 2 2" xfId="31894" xr:uid="{00000000-0005-0000-0000-000042380000}"/>
    <cellStyle name="Note 2 4 2 3 2 3" xfId="23344" xr:uid="{00000000-0005-0000-0000-000043380000}"/>
    <cellStyle name="Note 2 4 2 3 3" xfId="13577" xr:uid="{00000000-0005-0000-0000-000044380000}"/>
    <cellStyle name="Note 2 4 2 3 3 2" xfId="28409" xr:uid="{00000000-0005-0000-0000-000045380000}"/>
    <cellStyle name="Note 2 4 2 3 4" xfId="10696" xr:uid="{00000000-0005-0000-0000-000046380000}"/>
    <cellStyle name="Note 2 4 2 3 4 2" xfId="25528" xr:uid="{00000000-0005-0000-0000-000047380000}"/>
    <cellStyle name="Note 2 4 2 3 5" xfId="21031" xr:uid="{00000000-0005-0000-0000-000048380000}"/>
    <cellStyle name="Note 2 4 2 4" xfId="4400" xr:uid="{00000000-0005-0000-0000-000049380000}"/>
    <cellStyle name="Note 2 4 2 4 2" xfId="8439" xr:uid="{00000000-0005-0000-0000-00004A380000}"/>
    <cellStyle name="Note 2 4 2 4 2 2" xfId="17660" xr:uid="{00000000-0005-0000-0000-00004B380000}"/>
    <cellStyle name="Note 2 4 2 4 2 2 2" xfId="32492" xr:uid="{00000000-0005-0000-0000-00004C380000}"/>
    <cellStyle name="Note 2 4 2 4 2 3" xfId="24097" xr:uid="{00000000-0005-0000-0000-00004D380000}"/>
    <cellStyle name="Note 2 4 2 4 3" xfId="14729" xr:uid="{00000000-0005-0000-0000-00004E380000}"/>
    <cellStyle name="Note 2 4 2 4 3 2" xfId="29561" xr:uid="{00000000-0005-0000-0000-00004F380000}"/>
    <cellStyle name="Note 2 4 2 4 4" xfId="11268" xr:uid="{00000000-0005-0000-0000-000050380000}"/>
    <cellStyle name="Note 2 4 2 4 4 2" xfId="26100" xr:uid="{00000000-0005-0000-0000-000051380000}"/>
    <cellStyle name="Note 2 4 2 4 5" xfId="21665" xr:uid="{00000000-0005-0000-0000-000052380000}"/>
    <cellStyle name="Note 2 4 2 5" xfId="2390" xr:uid="{00000000-0005-0000-0000-000053380000}"/>
    <cellStyle name="Note 2 4 2 5 2" xfId="6502" xr:uid="{00000000-0005-0000-0000-000054380000}"/>
    <cellStyle name="Note 2 4 2 5 2 2" xfId="16558" xr:uid="{00000000-0005-0000-0000-000055380000}"/>
    <cellStyle name="Note 2 4 2 5 2 2 2" xfId="31390" xr:uid="{00000000-0005-0000-0000-000056380000}"/>
    <cellStyle name="Note 2 4 2 5 2 3" xfId="22872" xr:uid="{00000000-0005-0000-0000-000057380000}"/>
    <cellStyle name="Note 2 4 2 5 3" xfId="12729" xr:uid="{00000000-0005-0000-0000-000058380000}"/>
    <cellStyle name="Note 2 4 2 5 3 2" xfId="27561" xr:uid="{00000000-0005-0000-0000-000059380000}"/>
    <cellStyle name="Note 2 4 2 5 4" xfId="10208" xr:uid="{00000000-0005-0000-0000-00005A380000}"/>
    <cellStyle name="Note 2 4 2 5 4 2" xfId="25040" xr:uid="{00000000-0005-0000-0000-00005B380000}"/>
    <cellStyle name="Note 2 4 2 5 5" xfId="20514" xr:uid="{00000000-0005-0000-0000-00005C380000}"/>
    <cellStyle name="Note 2 4 2 6" xfId="5515" xr:uid="{00000000-0005-0000-0000-00005D380000}"/>
    <cellStyle name="Note 2 4 2 6 2" xfId="15750" xr:uid="{00000000-0005-0000-0000-00005E380000}"/>
    <cellStyle name="Note 2 4 2 6 2 2" xfId="30582" xr:uid="{00000000-0005-0000-0000-00005F380000}"/>
    <cellStyle name="Note 2 4 2 6 3" xfId="22243" xr:uid="{00000000-0005-0000-0000-000060380000}"/>
    <cellStyle name="Note 2 4 2 7" xfId="11765" xr:uid="{00000000-0005-0000-0000-000061380000}"/>
    <cellStyle name="Note 2 4 2 7 2" xfId="26597" xr:uid="{00000000-0005-0000-0000-000062380000}"/>
    <cellStyle name="Note 2 4 2 8" xfId="9436" xr:uid="{00000000-0005-0000-0000-000063380000}"/>
    <cellStyle name="Note 2 4 2 8 2" xfId="19740" xr:uid="{00000000-0005-0000-0000-000064380000}"/>
    <cellStyle name="Note 2 4 3" xfId="1508" xr:uid="{00000000-0005-0000-0000-000065380000}"/>
    <cellStyle name="Note 2 4 3 2" xfId="2005" xr:uid="{00000000-0005-0000-0000-000066380000}"/>
    <cellStyle name="Note 2 4 3 2 2" xfId="3527" xr:uid="{00000000-0005-0000-0000-000067380000}"/>
    <cellStyle name="Note 2 4 3 2 2 2" xfId="7589" xr:uid="{00000000-0005-0000-0000-000068380000}"/>
    <cellStyle name="Note 2 4 3 2 2 2 2" xfId="17234" xr:uid="{00000000-0005-0000-0000-000069380000}"/>
    <cellStyle name="Note 2 4 3 2 2 2 2 2" xfId="32066" xr:uid="{00000000-0005-0000-0000-00006A380000}"/>
    <cellStyle name="Note 2 4 3 2 2 2 3" xfId="23537" xr:uid="{00000000-0005-0000-0000-00006B380000}"/>
    <cellStyle name="Note 2 4 3 2 2 3" xfId="13864" xr:uid="{00000000-0005-0000-0000-00006C380000}"/>
    <cellStyle name="Note 2 4 3 2 2 3 2" xfId="28696" xr:uid="{00000000-0005-0000-0000-00006D380000}"/>
    <cellStyle name="Note 2 4 3 2 2 4" xfId="10852" xr:uid="{00000000-0005-0000-0000-00006E380000}"/>
    <cellStyle name="Note 2 4 3 2 2 4 2" xfId="25684" xr:uid="{00000000-0005-0000-0000-00006F380000}"/>
    <cellStyle name="Note 2 4 3 2 2 5" xfId="21212" xr:uid="{00000000-0005-0000-0000-000070380000}"/>
    <cellStyle name="Note 2 4 3 2 3" xfId="4973" xr:uid="{00000000-0005-0000-0000-000071380000}"/>
    <cellStyle name="Note 2 4 3 2 3 2" xfId="9012" xr:uid="{00000000-0005-0000-0000-000072380000}"/>
    <cellStyle name="Note 2 4 3 2 3 2 2" xfId="17950" xr:uid="{00000000-0005-0000-0000-000073380000}"/>
    <cellStyle name="Note 2 4 3 2 3 2 2 2" xfId="32782" xr:uid="{00000000-0005-0000-0000-000074380000}"/>
    <cellStyle name="Note 2 4 3 2 3 2 3" xfId="24478" xr:uid="{00000000-0005-0000-0000-000075380000}"/>
    <cellStyle name="Note 2 4 3 2 3 3" xfId="15295" xr:uid="{00000000-0005-0000-0000-000076380000}"/>
    <cellStyle name="Note 2 4 3 2 3 3 2" xfId="30127" xr:uid="{00000000-0005-0000-0000-000077380000}"/>
    <cellStyle name="Note 2 4 3 2 3 4" xfId="11551" xr:uid="{00000000-0005-0000-0000-000078380000}"/>
    <cellStyle name="Note 2 4 3 2 3 4 2" xfId="26383" xr:uid="{00000000-0005-0000-0000-000079380000}"/>
    <cellStyle name="Note 2 4 3 2 3 5" xfId="22004" xr:uid="{00000000-0005-0000-0000-00007A380000}"/>
    <cellStyle name="Note 2 4 3 2 4" xfId="2963" xr:uid="{00000000-0005-0000-0000-00007B380000}"/>
    <cellStyle name="Note 2 4 3 2 4 2" xfId="7043" xr:uid="{00000000-0005-0000-0000-00007C380000}"/>
    <cellStyle name="Note 2 4 3 2 4 2 2" xfId="16842" xr:uid="{00000000-0005-0000-0000-00007D380000}"/>
    <cellStyle name="Note 2 4 3 2 4 2 2 2" xfId="31674" xr:uid="{00000000-0005-0000-0000-00007E380000}"/>
    <cellStyle name="Note 2 4 3 2 4 2 3" xfId="23217" xr:uid="{00000000-0005-0000-0000-00007F380000}"/>
    <cellStyle name="Note 2 4 3 2 4 3" xfId="13301" xr:uid="{00000000-0005-0000-0000-000080380000}"/>
    <cellStyle name="Note 2 4 3 2 4 3 2" xfId="28133" xr:uid="{00000000-0005-0000-0000-000081380000}"/>
    <cellStyle name="Note 2 4 3 2 4 4" xfId="10497" xr:uid="{00000000-0005-0000-0000-000082380000}"/>
    <cellStyle name="Note 2 4 3 2 4 4 2" xfId="25329" xr:uid="{00000000-0005-0000-0000-000083380000}"/>
    <cellStyle name="Note 2 4 3 2 4 5" xfId="20889" xr:uid="{00000000-0005-0000-0000-000084380000}"/>
    <cellStyle name="Note 2 4 3 2 5" xfId="6135" xr:uid="{00000000-0005-0000-0000-000085380000}"/>
    <cellStyle name="Note 2 4 3 2 5 2" xfId="16322" xr:uid="{00000000-0005-0000-0000-000086380000}"/>
    <cellStyle name="Note 2 4 3 2 5 2 2" xfId="31154" xr:uid="{00000000-0005-0000-0000-000087380000}"/>
    <cellStyle name="Note 2 4 3 2 5 3" xfId="22668" xr:uid="{00000000-0005-0000-0000-000088380000}"/>
    <cellStyle name="Note 2 4 3 2 6" xfId="12392" xr:uid="{00000000-0005-0000-0000-000089380000}"/>
    <cellStyle name="Note 2 4 3 2 6 2" xfId="27224" xr:uid="{00000000-0005-0000-0000-00008A380000}"/>
    <cellStyle name="Note 2 4 3 2 7" xfId="9974" xr:uid="{00000000-0005-0000-0000-00008B380000}"/>
    <cellStyle name="Note 2 4 3 2 7 2" xfId="24806" xr:uid="{00000000-0005-0000-0000-00008C380000}"/>
    <cellStyle name="Note 2 4 3 2 8" xfId="20347" xr:uid="{00000000-0005-0000-0000-00008D380000}"/>
    <cellStyle name="Note 2 4 3 3" xfId="3294" xr:uid="{00000000-0005-0000-0000-00008E380000}"/>
    <cellStyle name="Note 2 4 3 3 2" xfId="7358" xr:uid="{00000000-0005-0000-0000-00008F380000}"/>
    <cellStyle name="Note 2 4 3 3 2 2" xfId="17100" xr:uid="{00000000-0005-0000-0000-000090380000}"/>
    <cellStyle name="Note 2 4 3 3 2 2 2" xfId="31932" xr:uid="{00000000-0005-0000-0000-000091380000}"/>
    <cellStyle name="Note 2 4 3 3 2 3" xfId="23381" xr:uid="{00000000-0005-0000-0000-000092380000}"/>
    <cellStyle name="Note 2 4 3 3 3" xfId="13631" xr:uid="{00000000-0005-0000-0000-000093380000}"/>
    <cellStyle name="Note 2 4 3 3 3 2" xfId="28463" xr:uid="{00000000-0005-0000-0000-000094380000}"/>
    <cellStyle name="Note 2 4 3 3 4" xfId="10726" xr:uid="{00000000-0005-0000-0000-000095380000}"/>
    <cellStyle name="Note 2 4 3 3 4 2" xfId="25558" xr:uid="{00000000-0005-0000-0000-000096380000}"/>
    <cellStyle name="Note 2 4 3 3 5" xfId="21068" xr:uid="{00000000-0005-0000-0000-000097380000}"/>
    <cellStyle name="Note 2 4 3 4" xfId="4553" xr:uid="{00000000-0005-0000-0000-000098380000}"/>
    <cellStyle name="Note 2 4 3 4 2" xfId="8592" xr:uid="{00000000-0005-0000-0000-000099380000}"/>
    <cellStyle name="Note 2 4 3 4 2 2" xfId="17710" xr:uid="{00000000-0005-0000-0000-00009A380000}"/>
    <cellStyle name="Note 2 4 3 4 2 2 2" xfId="32542" xr:uid="{00000000-0005-0000-0000-00009B380000}"/>
    <cellStyle name="Note 2 4 3 4 2 3" xfId="24218" xr:uid="{00000000-0005-0000-0000-00009C380000}"/>
    <cellStyle name="Note 2 4 3 4 3" xfId="14880" xr:uid="{00000000-0005-0000-0000-00009D380000}"/>
    <cellStyle name="Note 2 4 3 4 3 2" xfId="29712" xr:uid="{00000000-0005-0000-0000-00009E380000}"/>
    <cellStyle name="Note 2 4 3 4 4" xfId="11316" xr:uid="{00000000-0005-0000-0000-00009F380000}"/>
    <cellStyle name="Note 2 4 3 4 4 2" xfId="26148" xr:uid="{00000000-0005-0000-0000-0000A0380000}"/>
    <cellStyle name="Note 2 4 3 4 5" xfId="21774" xr:uid="{00000000-0005-0000-0000-0000A1380000}"/>
    <cellStyle name="Note 2 4 3 5" xfId="2543" xr:uid="{00000000-0005-0000-0000-0000A2380000}"/>
    <cellStyle name="Note 2 4 3 5 2" xfId="6649" xr:uid="{00000000-0005-0000-0000-0000A3380000}"/>
    <cellStyle name="Note 2 4 3 5 2 2" xfId="16607" xr:uid="{00000000-0005-0000-0000-0000A4380000}"/>
    <cellStyle name="Note 2 4 3 5 2 2 2" xfId="31439" xr:uid="{00000000-0005-0000-0000-0000A5380000}"/>
    <cellStyle name="Note 2 4 3 5 2 3" xfId="22987" xr:uid="{00000000-0005-0000-0000-0000A6380000}"/>
    <cellStyle name="Note 2 4 3 5 3" xfId="12881" xr:uid="{00000000-0005-0000-0000-0000A7380000}"/>
    <cellStyle name="Note 2 4 3 5 3 2" xfId="27713" xr:uid="{00000000-0005-0000-0000-0000A8380000}"/>
    <cellStyle name="Note 2 4 3 5 4" xfId="10257" xr:uid="{00000000-0005-0000-0000-0000A9380000}"/>
    <cellStyle name="Note 2 4 3 5 4 2" xfId="25089" xr:uid="{00000000-0005-0000-0000-0000AA380000}"/>
    <cellStyle name="Note 2 4 3 5 5" xfId="20629" xr:uid="{00000000-0005-0000-0000-0000AB380000}"/>
    <cellStyle name="Note 2 4 3 6" xfId="5666" xr:uid="{00000000-0005-0000-0000-0000AC380000}"/>
    <cellStyle name="Note 2 4 3 6 2" xfId="15901" xr:uid="{00000000-0005-0000-0000-0000AD380000}"/>
    <cellStyle name="Note 2 4 3 6 2 2" xfId="30733" xr:uid="{00000000-0005-0000-0000-0000AE380000}"/>
    <cellStyle name="Note 2 4 3 6 3" xfId="22362" xr:uid="{00000000-0005-0000-0000-0000AF380000}"/>
    <cellStyle name="Note 2 4 3 7" xfId="11921" xr:uid="{00000000-0005-0000-0000-0000B0380000}"/>
    <cellStyle name="Note 2 4 3 7 2" xfId="26753" xr:uid="{00000000-0005-0000-0000-0000B1380000}"/>
    <cellStyle name="Note 2 4 3 8" xfId="9579" xr:uid="{00000000-0005-0000-0000-0000B2380000}"/>
    <cellStyle name="Note 2 4 3 8 2" xfId="19881" xr:uid="{00000000-0005-0000-0000-0000B3380000}"/>
    <cellStyle name="Note 2 4 4" xfId="1563" xr:uid="{00000000-0005-0000-0000-0000B4380000}"/>
    <cellStyle name="Note 2 4 4 2" xfId="2060" xr:uid="{00000000-0005-0000-0000-0000B5380000}"/>
    <cellStyle name="Note 2 4 4 2 2" xfId="3401" xr:uid="{00000000-0005-0000-0000-0000B6380000}"/>
    <cellStyle name="Note 2 4 4 2 2 2" xfId="7464" xr:uid="{00000000-0005-0000-0000-0000B7380000}"/>
    <cellStyle name="Note 2 4 4 2 2 2 2" xfId="17163" xr:uid="{00000000-0005-0000-0000-0000B8380000}"/>
    <cellStyle name="Note 2 4 4 2 2 2 2 2" xfId="31995" xr:uid="{00000000-0005-0000-0000-0000B9380000}"/>
    <cellStyle name="Note 2 4 4 2 2 2 3" xfId="23452" xr:uid="{00000000-0005-0000-0000-0000BA380000}"/>
    <cellStyle name="Note 2 4 4 2 2 3" xfId="13738" xr:uid="{00000000-0005-0000-0000-0000BB380000}"/>
    <cellStyle name="Note 2 4 4 2 2 3 2" xfId="28570" xr:uid="{00000000-0005-0000-0000-0000BC380000}"/>
    <cellStyle name="Note 2 4 4 2 2 4" xfId="10782" xr:uid="{00000000-0005-0000-0000-0000BD380000}"/>
    <cellStyle name="Note 2 4 4 2 2 4 2" xfId="25614" xr:uid="{00000000-0005-0000-0000-0000BE380000}"/>
    <cellStyle name="Note 2 4 4 2 2 5" xfId="21130" xr:uid="{00000000-0005-0000-0000-0000BF380000}"/>
    <cellStyle name="Note 2 4 4 2 3" xfId="5028" xr:uid="{00000000-0005-0000-0000-0000C0380000}"/>
    <cellStyle name="Note 2 4 4 2 3 2" xfId="9067" xr:uid="{00000000-0005-0000-0000-0000C1380000}"/>
    <cellStyle name="Note 2 4 4 2 3 2 2" xfId="18000" xr:uid="{00000000-0005-0000-0000-0000C2380000}"/>
    <cellStyle name="Note 2 4 4 2 3 2 2 2" xfId="32832" xr:uid="{00000000-0005-0000-0000-0000C3380000}"/>
    <cellStyle name="Note 2 4 4 2 3 2 3" xfId="24501" xr:uid="{00000000-0005-0000-0000-0000C4380000}"/>
    <cellStyle name="Note 2 4 4 2 3 3" xfId="15349" xr:uid="{00000000-0005-0000-0000-0000C5380000}"/>
    <cellStyle name="Note 2 4 4 2 3 3 2" xfId="30181" xr:uid="{00000000-0005-0000-0000-0000C6380000}"/>
    <cellStyle name="Note 2 4 4 2 3 4" xfId="11600" xr:uid="{00000000-0005-0000-0000-0000C7380000}"/>
    <cellStyle name="Note 2 4 4 2 3 4 2" xfId="26432" xr:uid="{00000000-0005-0000-0000-0000C8380000}"/>
    <cellStyle name="Note 2 4 4 2 3 5" xfId="22021" xr:uid="{00000000-0005-0000-0000-0000C9380000}"/>
    <cellStyle name="Note 2 4 4 2 4" xfId="3018" xr:uid="{00000000-0005-0000-0000-0000CA380000}"/>
    <cellStyle name="Note 2 4 4 2 4 2" xfId="7093" xr:uid="{00000000-0005-0000-0000-0000CB380000}"/>
    <cellStyle name="Note 2 4 4 2 4 2 2" xfId="16891" xr:uid="{00000000-0005-0000-0000-0000CC380000}"/>
    <cellStyle name="Note 2 4 4 2 4 2 2 2" xfId="31723" xr:uid="{00000000-0005-0000-0000-0000CD380000}"/>
    <cellStyle name="Note 2 4 4 2 4 2 3" xfId="23234" xr:uid="{00000000-0005-0000-0000-0000CE380000}"/>
    <cellStyle name="Note 2 4 4 2 4 3" xfId="13356" xr:uid="{00000000-0005-0000-0000-0000CF380000}"/>
    <cellStyle name="Note 2 4 4 2 4 3 2" xfId="28188" xr:uid="{00000000-0005-0000-0000-0000D0380000}"/>
    <cellStyle name="Note 2 4 4 2 4 4" xfId="10547" xr:uid="{00000000-0005-0000-0000-0000D1380000}"/>
    <cellStyle name="Note 2 4 4 2 4 4 2" xfId="25379" xr:uid="{00000000-0005-0000-0000-0000D2380000}"/>
    <cellStyle name="Note 2 4 4 2 4 5" xfId="20912" xr:uid="{00000000-0005-0000-0000-0000D3380000}"/>
    <cellStyle name="Note 2 4 4 2 5" xfId="6185" xr:uid="{00000000-0005-0000-0000-0000D4380000}"/>
    <cellStyle name="Note 2 4 4 2 5 2" xfId="16371" xr:uid="{00000000-0005-0000-0000-0000D5380000}"/>
    <cellStyle name="Note 2 4 4 2 5 2 2" xfId="31203" xr:uid="{00000000-0005-0000-0000-0000D6380000}"/>
    <cellStyle name="Note 2 4 4 2 5 3" xfId="22685" xr:uid="{00000000-0005-0000-0000-0000D7380000}"/>
    <cellStyle name="Note 2 4 4 2 6" xfId="12441" xr:uid="{00000000-0005-0000-0000-0000D8380000}"/>
    <cellStyle name="Note 2 4 4 2 6 2" xfId="27273" xr:uid="{00000000-0005-0000-0000-0000D9380000}"/>
    <cellStyle name="Note 2 4 4 2 7" xfId="10023" xr:uid="{00000000-0005-0000-0000-0000DA380000}"/>
    <cellStyle name="Note 2 4 4 2 7 2" xfId="24855" xr:uid="{00000000-0005-0000-0000-0000DB380000}"/>
    <cellStyle name="Note 2 4 4 2 8" xfId="20364" xr:uid="{00000000-0005-0000-0000-0000DC380000}"/>
    <cellStyle name="Note 2 4 4 3" xfId="4305" xr:uid="{00000000-0005-0000-0000-0000DD380000}"/>
    <cellStyle name="Note 2 4 4 3 2" xfId="8344" xr:uid="{00000000-0005-0000-0000-0000DE380000}"/>
    <cellStyle name="Note 2 4 4 3 2 2" xfId="17623" xr:uid="{00000000-0005-0000-0000-0000DF380000}"/>
    <cellStyle name="Note 2 4 4 3 2 2 2" xfId="32455" xr:uid="{00000000-0005-0000-0000-0000E0380000}"/>
    <cellStyle name="Note 2 4 4 3 2 3" xfId="24026" xr:uid="{00000000-0005-0000-0000-0000E1380000}"/>
    <cellStyle name="Note 2 4 4 3 3" xfId="14636" xr:uid="{00000000-0005-0000-0000-0000E2380000}"/>
    <cellStyle name="Note 2 4 4 3 3 2" xfId="29468" xr:uid="{00000000-0005-0000-0000-0000E3380000}"/>
    <cellStyle name="Note 2 4 4 3 4" xfId="11235" xr:uid="{00000000-0005-0000-0000-0000E4380000}"/>
    <cellStyle name="Note 2 4 4 3 4 2" xfId="26067" xr:uid="{00000000-0005-0000-0000-0000E5380000}"/>
    <cellStyle name="Note 2 4 4 3 5" xfId="21623" xr:uid="{00000000-0005-0000-0000-0000E6380000}"/>
    <cellStyle name="Note 2 4 4 4" xfId="4608" xr:uid="{00000000-0005-0000-0000-0000E7380000}"/>
    <cellStyle name="Note 2 4 4 4 2" xfId="8647" xr:uid="{00000000-0005-0000-0000-0000E8380000}"/>
    <cellStyle name="Note 2 4 4 4 2 2" xfId="17760" xr:uid="{00000000-0005-0000-0000-0000E9380000}"/>
    <cellStyle name="Note 2 4 4 4 2 2 2" xfId="32592" xr:uid="{00000000-0005-0000-0000-0000EA380000}"/>
    <cellStyle name="Note 2 4 4 4 2 3" xfId="24241" xr:uid="{00000000-0005-0000-0000-0000EB380000}"/>
    <cellStyle name="Note 2 4 4 4 3" xfId="14934" xr:uid="{00000000-0005-0000-0000-0000EC380000}"/>
    <cellStyle name="Note 2 4 4 4 3 2" xfId="29766" xr:uid="{00000000-0005-0000-0000-0000ED380000}"/>
    <cellStyle name="Note 2 4 4 4 4" xfId="11365" xr:uid="{00000000-0005-0000-0000-0000EE380000}"/>
    <cellStyle name="Note 2 4 4 4 4 2" xfId="26197" xr:uid="{00000000-0005-0000-0000-0000EF380000}"/>
    <cellStyle name="Note 2 4 4 4 5" xfId="21791" xr:uid="{00000000-0005-0000-0000-0000F0380000}"/>
    <cellStyle name="Note 2 4 4 5" xfId="2598" xr:uid="{00000000-0005-0000-0000-0000F1380000}"/>
    <cellStyle name="Note 2 4 4 5 2" xfId="6699" xr:uid="{00000000-0005-0000-0000-0000F2380000}"/>
    <cellStyle name="Note 2 4 4 5 2 2" xfId="16656" xr:uid="{00000000-0005-0000-0000-0000F3380000}"/>
    <cellStyle name="Note 2 4 4 5 2 2 2" xfId="31488" xr:uid="{00000000-0005-0000-0000-0000F4380000}"/>
    <cellStyle name="Note 2 4 4 5 2 3" xfId="23004" xr:uid="{00000000-0005-0000-0000-0000F5380000}"/>
    <cellStyle name="Note 2 4 4 5 3" xfId="12936" xr:uid="{00000000-0005-0000-0000-0000F6380000}"/>
    <cellStyle name="Note 2 4 4 5 3 2" xfId="27768" xr:uid="{00000000-0005-0000-0000-0000F7380000}"/>
    <cellStyle name="Note 2 4 4 5 4" xfId="10307" xr:uid="{00000000-0005-0000-0000-0000F8380000}"/>
    <cellStyle name="Note 2 4 4 5 4 2" xfId="25139" xr:uid="{00000000-0005-0000-0000-0000F9380000}"/>
    <cellStyle name="Note 2 4 4 5 5" xfId="20652" xr:uid="{00000000-0005-0000-0000-0000FA380000}"/>
    <cellStyle name="Note 2 4 4 6" xfId="5715" xr:uid="{00000000-0005-0000-0000-0000FB380000}"/>
    <cellStyle name="Note 2 4 4 6 2" xfId="15950" xr:uid="{00000000-0005-0000-0000-0000FC380000}"/>
    <cellStyle name="Note 2 4 4 6 2 2" xfId="30782" xr:uid="{00000000-0005-0000-0000-0000FD380000}"/>
    <cellStyle name="Note 2 4 4 6 3" xfId="22379" xr:uid="{00000000-0005-0000-0000-0000FE380000}"/>
    <cellStyle name="Note 2 4 4 7" xfId="11970" xr:uid="{00000000-0005-0000-0000-0000FF380000}"/>
    <cellStyle name="Note 2 4 4 7 2" xfId="26802" xr:uid="{00000000-0005-0000-0000-000000390000}"/>
    <cellStyle name="Note 2 4 4 8" xfId="9629" xr:uid="{00000000-0005-0000-0000-000001390000}"/>
    <cellStyle name="Note 2 4 4 8 2" xfId="19930" xr:uid="{00000000-0005-0000-0000-000002390000}"/>
    <cellStyle name="Note 2 4 5" xfId="1613" xr:uid="{00000000-0005-0000-0000-000003390000}"/>
    <cellStyle name="Note 2 4 5 2" xfId="2110" xr:uid="{00000000-0005-0000-0000-000004390000}"/>
    <cellStyle name="Note 2 4 5 2 2" xfId="3786" xr:uid="{00000000-0005-0000-0000-000005390000}"/>
    <cellStyle name="Note 2 4 5 2 2 2" xfId="7841" xr:uid="{00000000-0005-0000-0000-000006390000}"/>
    <cellStyle name="Note 2 4 5 2 2 2 2" xfId="17363" xr:uid="{00000000-0005-0000-0000-000007390000}"/>
    <cellStyle name="Note 2 4 5 2 2 2 2 2" xfId="32195" xr:uid="{00000000-0005-0000-0000-000008390000}"/>
    <cellStyle name="Note 2 4 5 2 2 2 3" xfId="23697" xr:uid="{00000000-0005-0000-0000-000009390000}"/>
    <cellStyle name="Note 2 4 5 2 2 3" xfId="14121" xr:uid="{00000000-0005-0000-0000-00000A390000}"/>
    <cellStyle name="Note 2 4 5 2 2 3 2" xfId="28953" xr:uid="{00000000-0005-0000-0000-00000B390000}"/>
    <cellStyle name="Note 2 4 5 2 2 4" xfId="10980" xr:uid="{00000000-0005-0000-0000-00000C390000}"/>
    <cellStyle name="Note 2 4 5 2 2 4 2" xfId="25812" xr:uid="{00000000-0005-0000-0000-00000D390000}"/>
    <cellStyle name="Note 2 4 5 2 2 5" xfId="21349" xr:uid="{00000000-0005-0000-0000-00000E390000}"/>
    <cellStyle name="Note 2 4 5 2 3" xfId="5078" xr:uid="{00000000-0005-0000-0000-00000F390000}"/>
    <cellStyle name="Note 2 4 5 2 3 2" xfId="9117" xr:uid="{00000000-0005-0000-0000-000010390000}"/>
    <cellStyle name="Note 2 4 5 2 3 2 2" xfId="18045" xr:uid="{00000000-0005-0000-0000-000011390000}"/>
    <cellStyle name="Note 2 4 5 2 3 2 2 2" xfId="32877" xr:uid="{00000000-0005-0000-0000-000012390000}"/>
    <cellStyle name="Note 2 4 5 2 3 2 3" xfId="24519" xr:uid="{00000000-0005-0000-0000-000013390000}"/>
    <cellStyle name="Note 2 4 5 2 3 3" xfId="15398" xr:uid="{00000000-0005-0000-0000-000014390000}"/>
    <cellStyle name="Note 2 4 5 2 3 3 2" xfId="30230" xr:uid="{00000000-0005-0000-0000-000015390000}"/>
    <cellStyle name="Note 2 4 5 2 3 4" xfId="11644" xr:uid="{00000000-0005-0000-0000-000016390000}"/>
    <cellStyle name="Note 2 4 5 2 3 4 2" xfId="26476" xr:uid="{00000000-0005-0000-0000-000017390000}"/>
    <cellStyle name="Note 2 4 5 2 3 5" xfId="22033" xr:uid="{00000000-0005-0000-0000-000018390000}"/>
    <cellStyle name="Note 2 4 5 2 4" xfId="3068" xr:uid="{00000000-0005-0000-0000-000019390000}"/>
    <cellStyle name="Note 2 4 5 2 4 2" xfId="7138" xr:uid="{00000000-0005-0000-0000-00001A390000}"/>
    <cellStyle name="Note 2 4 5 2 4 2 2" xfId="16935" xr:uid="{00000000-0005-0000-0000-00001B390000}"/>
    <cellStyle name="Note 2 4 5 2 4 2 2 2" xfId="31767" xr:uid="{00000000-0005-0000-0000-00001C390000}"/>
    <cellStyle name="Note 2 4 5 2 4 2 3" xfId="23246" xr:uid="{00000000-0005-0000-0000-00001D390000}"/>
    <cellStyle name="Note 2 4 5 2 4 3" xfId="13406" xr:uid="{00000000-0005-0000-0000-00001E390000}"/>
    <cellStyle name="Note 2 4 5 2 4 3 2" xfId="28238" xr:uid="{00000000-0005-0000-0000-00001F390000}"/>
    <cellStyle name="Note 2 4 5 2 4 4" xfId="10592" xr:uid="{00000000-0005-0000-0000-000020390000}"/>
    <cellStyle name="Note 2 4 5 2 4 4 2" xfId="25424" xr:uid="{00000000-0005-0000-0000-000021390000}"/>
    <cellStyle name="Note 2 4 5 2 4 5" xfId="20930" xr:uid="{00000000-0005-0000-0000-000022390000}"/>
    <cellStyle name="Note 2 4 5 2 5" xfId="6230" xr:uid="{00000000-0005-0000-0000-000023390000}"/>
    <cellStyle name="Note 2 4 5 2 5 2" xfId="16415" xr:uid="{00000000-0005-0000-0000-000024390000}"/>
    <cellStyle name="Note 2 4 5 2 5 2 2" xfId="31247" xr:uid="{00000000-0005-0000-0000-000025390000}"/>
    <cellStyle name="Note 2 4 5 2 5 3" xfId="22697" xr:uid="{00000000-0005-0000-0000-000026390000}"/>
    <cellStyle name="Note 2 4 5 2 6" xfId="12485" xr:uid="{00000000-0005-0000-0000-000027390000}"/>
    <cellStyle name="Note 2 4 5 2 6 2" xfId="27317" xr:uid="{00000000-0005-0000-0000-000028390000}"/>
    <cellStyle name="Note 2 4 5 2 7" xfId="10067" xr:uid="{00000000-0005-0000-0000-000029390000}"/>
    <cellStyle name="Note 2 4 5 2 7 2" xfId="24899" xr:uid="{00000000-0005-0000-0000-00002A390000}"/>
    <cellStyle name="Note 2 4 5 2 8" xfId="20376" xr:uid="{00000000-0005-0000-0000-00002B390000}"/>
    <cellStyle name="Note 2 4 5 3" xfId="3332" xr:uid="{00000000-0005-0000-0000-00002C390000}"/>
    <cellStyle name="Note 2 4 5 3 2" xfId="7395" xr:uid="{00000000-0005-0000-0000-00002D390000}"/>
    <cellStyle name="Note 2 4 5 3 2 2" xfId="17128" xr:uid="{00000000-0005-0000-0000-00002E390000}"/>
    <cellStyle name="Note 2 4 5 3 2 2 2" xfId="31960" xr:uid="{00000000-0005-0000-0000-00002F390000}"/>
    <cellStyle name="Note 2 4 5 3 2 3" xfId="23403" xr:uid="{00000000-0005-0000-0000-000030390000}"/>
    <cellStyle name="Note 2 4 5 3 3" xfId="13669" xr:uid="{00000000-0005-0000-0000-000031390000}"/>
    <cellStyle name="Note 2 4 5 3 3 2" xfId="28501" xr:uid="{00000000-0005-0000-0000-000032390000}"/>
    <cellStyle name="Note 2 4 5 3 4" xfId="10749" xr:uid="{00000000-0005-0000-0000-000033390000}"/>
    <cellStyle name="Note 2 4 5 3 4 2" xfId="25581" xr:uid="{00000000-0005-0000-0000-000034390000}"/>
    <cellStyle name="Note 2 4 5 3 5" xfId="21091" xr:uid="{00000000-0005-0000-0000-000035390000}"/>
    <cellStyle name="Note 2 4 5 4" xfId="4658" xr:uid="{00000000-0005-0000-0000-000036390000}"/>
    <cellStyle name="Note 2 4 5 4 2" xfId="8697" xr:uid="{00000000-0005-0000-0000-000037390000}"/>
    <cellStyle name="Note 2 4 5 4 2 2" xfId="17805" xr:uid="{00000000-0005-0000-0000-000038390000}"/>
    <cellStyle name="Note 2 4 5 4 2 2 2" xfId="32637" xr:uid="{00000000-0005-0000-0000-000039390000}"/>
    <cellStyle name="Note 2 4 5 4 2 3" xfId="24259" xr:uid="{00000000-0005-0000-0000-00003A390000}"/>
    <cellStyle name="Note 2 4 5 4 3" xfId="14983" xr:uid="{00000000-0005-0000-0000-00003B390000}"/>
    <cellStyle name="Note 2 4 5 4 3 2" xfId="29815" xr:uid="{00000000-0005-0000-0000-00003C390000}"/>
    <cellStyle name="Note 2 4 5 4 4" xfId="11409" xr:uid="{00000000-0005-0000-0000-00003D390000}"/>
    <cellStyle name="Note 2 4 5 4 4 2" xfId="26241" xr:uid="{00000000-0005-0000-0000-00003E390000}"/>
    <cellStyle name="Note 2 4 5 4 5" xfId="21803" xr:uid="{00000000-0005-0000-0000-00003F390000}"/>
    <cellStyle name="Note 2 4 5 5" xfId="2648" xr:uid="{00000000-0005-0000-0000-000040390000}"/>
    <cellStyle name="Note 2 4 5 5 2" xfId="6744" xr:uid="{00000000-0005-0000-0000-000041390000}"/>
    <cellStyle name="Note 2 4 5 5 2 2" xfId="16700" xr:uid="{00000000-0005-0000-0000-000042390000}"/>
    <cellStyle name="Note 2 4 5 5 2 2 2" xfId="31532" xr:uid="{00000000-0005-0000-0000-000043390000}"/>
    <cellStyle name="Note 2 4 5 5 2 3" xfId="23016" xr:uid="{00000000-0005-0000-0000-000044390000}"/>
    <cellStyle name="Note 2 4 5 5 3" xfId="12986" xr:uid="{00000000-0005-0000-0000-000045390000}"/>
    <cellStyle name="Note 2 4 5 5 3 2" xfId="27818" xr:uid="{00000000-0005-0000-0000-000046390000}"/>
    <cellStyle name="Note 2 4 5 5 4" xfId="10352" xr:uid="{00000000-0005-0000-0000-000047390000}"/>
    <cellStyle name="Note 2 4 5 5 4 2" xfId="25184" xr:uid="{00000000-0005-0000-0000-000048390000}"/>
    <cellStyle name="Note 2 4 5 5 5" xfId="20670" xr:uid="{00000000-0005-0000-0000-000049390000}"/>
    <cellStyle name="Note 2 4 5 6" xfId="5760" xr:uid="{00000000-0005-0000-0000-00004A390000}"/>
    <cellStyle name="Note 2 4 5 6 2" xfId="15994" xr:uid="{00000000-0005-0000-0000-00004B390000}"/>
    <cellStyle name="Note 2 4 5 6 2 2" xfId="30826" xr:uid="{00000000-0005-0000-0000-00004C390000}"/>
    <cellStyle name="Note 2 4 5 6 3" xfId="22391" xr:uid="{00000000-0005-0000-0000-00004D390000}"/>
    <cellStyle name="Note 2 4 5 7" xfId="12014" xr:uid="{00000000-0005-0000-0000-00004E390000}"/>
    <cellStyle name="Note 2 4 5 7 2" xfId="26846" xr:uid="{00000000-0005-0000-0000-00004F390000}"/>
    <cellStyle name="Note 2 4 5 8" xfId="9674" xr:uid="{00000000-0005-0000-0000-000050390000}"/>
    <cellStyle name="Note 2 4 5 8 2" xfId="19974" xr:uid="{00000000-0005-0000-0000-000051390000}"/>
    <cellStyle name="Note 2 4 6" xfId="1764" xr:uid="{00000000-0005-0000-0000-000052390000}"/>
    <cellStyle name="Note 2 4 6 2" xfId="3849" xr:uid="{00000000-0005-0000-0000-000053390000}"/>
    <cellStyle name="Note 2 4 6 2 2" xfId="7902" xr:uid="{00000000-0005-0000-0000-000054390000}"/>
    <cellStyle name="Note 2 4 6 2 2 2" xfId="17393" xr:uid="{00000000-0005-0000-0000-000055390000}"/>
    <cellStyle name="Note 2 4 6 2 2 2 2" xfId="32225" xr:uid="{00000000-0005-0000-0000-000056390000}"/>
    <cellStyle name="Note 2 4 6 2 2 3" xfId="23739" xr:uid="{00000000-0005-0000-0000-000057390000}"/>
    <cellStyle name="Note 2 4 6 2 3" xfId="14184" xr:uid="{00000000-0005-0000-0000-000058390000}"/>
    <cellStyle name="Note 2 4 6 2 3 2" xfId="29016" xr:uid="{00000000-0005-0000-0000-000059390000}"/>
    <cellStyle name="Note 2 4 6 2 4" xfId="11012" xr:uid="{00000000-0005-0000-0000-00005A390000}"/>
    <cellStyle name="Note 2 4 6 2 4 2" xfId="25844" xr:uid="{00000000-0005-0000-0000-00005B390000}"/>
    <cellStyle name="Note 2 4 6 2 5" xfId="21385" xr:uid="{00000000-0005-0000-0000-00005C390000}"/>
    <cellStyle name="Note 2 4 6 3" xfId="4742" xr:uid="{00000000-0005-0000-0000-00005D390000}"/>
    <cellStyle name="Note 2 4 6 3 2" xfId="8781" xr:uid="{00000000-0005-0000-0000-00005E390000}"/>
    <cellStyle name="Note 2 4 6 3 2 2" xfId="17853" xr:uid="{00000000-0005-0000-0000-00005F390000}"/>
    <cellStyle name="Note 2 4 6 3 2 2 2" xfId="32685" xr:uid="{00000000-0005-0000-0000-000060390000}"/>
    <cellStyle name="Note 2 4 6 3 2 3" xfId="24311" xr:uid="{00000000-0005-0000-0000-000061390000}"/>
    <cellStyle name="Note 2 4 6 3 3" xfId="15066" xr:uid="{00000000-0005-0000-0000-000062390000}"/>
    <cellStyle name="Note 2 4 6 3 3 2" xfId="29898" xr:uid="{00000000-0005-0000-0000-000063390000}"/>
    <cellStyle name="Note 2 4 6 3 4" xfId="11456" xr:uid="{00000000-0005-0000-0000-000064390000}"/>
    <cellStyle name="Note 2 4 6 3 4 2" xfId="26288" xr:uid="{00000000-0005-0000-0000-000065390000}"/>
    <cellStyle name="Note 2 4 6 3 5" xfId="21849" xr:uid="{00000000-0005-0000-0000-000066390000}"/>
    <cellStyle name="Note 2 4 6 4" xfId="2732" xr:uid="{00000000-0005-0000-0000-000067390000}"/>
    <cellStyle name="Note 2 4 6 4 2" xfId="6823" xr:uid="{00000000-0005-0000-0000-000068390000}"/>
    <cellStyle name="Note 2 4 6 4 2 2" xfId="16747" xr:uid="{00000000-0005-0000-0000-000069390000}"/>
    <cellStyle name="Note 2 4 6 4 2 2 2" xfId="31579" xr:uid="{00000000-0005-0000-0000-00006A390000}"/>
    <cellStyle name="Note 2 4 6 4 2 3" xfId="23062" xr:uid="{00000000-0005-0000-0000-00006B390000}"/>
    <cellStyle name="Note 2 4 6 4 3" xfId="13070" xr:uid="{00000000-0005-0000-0000-00006C390000}"/>
    <cellStyle name="Note 2 4 6 4 3 2" xfId="27902" xr:uid="{00000000-0005-0000-0000-00006D390000}"/>
    <cellStyle name="Note 2 4 6 4 4" xfId="10400" xr:uid="{00000000-0005-0000-0000-00006E390000}"/>
    <cellStyle name="Note 2 4 6 4 4 2" xfId="25232" xr:uid="{00000000-0005-0000-0000-00006F390000}"/>
    <cellStyle name="Note 2 4 6 4 5" xfId="20722" xr:uid="{00000000-0005-0000-0000-000070390000}"/>
    <cellStyle name="Note 2 4 6 5" xfId="5896" xr:uid="{00000000-0005-0000-0000-000071390000}"/>
    <cellStyle name="Note 2 4 6 5 2" xfId="16088" xr:uid="{00000000-0005-0000-0000-000072390000}"/>
    <cellStyle name="Note 2 4 6 5 2 2" xfId="30920" xr:uid="{00000000-0005-0000-0000-000073390000}"/>
    <cellStyle name="Note 2 4 6 5 3" xfId="22493" xr:uid="{00000000-0005-0000-0000-000074390000}"/>
    <cellStyle name="Note 2 4 6 6" xfId="12158" xr:uid="{00000000-0005-0000-0000-000075390000}"/>
    <cellStyle name="Note 2 4 6 6 2" xfId="26990" xr:uid="{00000000-0005-0000-0000-000076390000}"/>
    <cellStyle name="Note 2 4 6 7" xfId="9754" xr:uid="{00000000-0005-0000-0000-000077390000}"/>
    <cellStyle name="Note 2 4 6 7 2" xfId="24711" xr:uid="{00000000-0005-0000-0000-000078390000}"/>
    <cellStyle name="Note 2 4 6 8" xfId="20301" xr:uid="{00000000-0005-0000-0000-000079390000}"/>
    <cellStyle name="Note 2 4 7" xfId="2202" xr:uid="{00000000-0005-0000-0000-00007A390000}"/>
    <cellStyle name="Note 2 4 7 2" xfId="3124" xr:uid="{00000000-0005-0000-0000-00007B390000}"/>
    <cellStyle name="Note 2 4 7 2 2" xfId="7188" xr:uid="{00000000-0005-0000-0000-00007C390000}"/>
    <cellStyle name="Note 2 4 7 2 2 2" xfId="16981" xr:uid="{00000000-0005-0000-0000-00007D390000}"/>
    <cellStyle name="Note 2 4 7 2 2 2 2" xfId="31813" xr:uid="{00000000-0005-0000-0000-00007E390000}"/>
    <cellStyle name="Note 2 4 7 2 2 3" xfId="23261" xr:uid="{00000000-0005-0000-0000-00007F390000}"/>
    <cellStyle name="Note 2 4 7 2 3" xfId="13462" xr:uid="{00000000-0005-0000-0000-000080390000}"/>
    <cellStyle name="Note 2 4 7 2 3 2" xfId="28294" xr:uid="{00000000-0005-0000-0000-000081390000}"/>
    <cellStyle name="Note 2 4 7 2 4" xfId="10639" xr:uid="{00000000-0005-0000-0000-000082390000}"/>
    <cellStyle name="Note 2 4 7 2 4 2" xfId="25471" xr:uid="{00000000-0005-0000-0000-000083390000}"/>
    <cellStyle name="Note 2 4 7 2 5" xfId="20952" xr:uid="{00000000-0005-0000-0000-000084390000}"/>
    <cellStyle name="Note 2 4 7 3" xfId="5170" xr:uid="{00000000-0005-0000-0000-000085390000}"/>
    <cellStyle name="Note 2 4 7 3 2" xfId="9209" xr:uid="{00000000-0005-0000-0000-000086390000}"/>
    <cellStyle name="Note 2 4 7 3 2 2" xfId="18132" xr:uid="{00000000-0005-0000-0000-000087390000}"/>
    <cellStyle name="Note 2 4 7 3 2 2 2" xfId="32964" xr:uid="{00000000-0005-0000-0000-000088390000}"/>
    <cellStyle name="Note 2 4 7 3 2 3" xfId="24547" xr:uid="{00000000-0005-0000-0000-000089390000}"/>
    <cellStyle name="Note 2 4 7 3 3" xfId="15488" xr:uid="{00000000-0005-0000-0000-00008A390000}"/>
    <cellStyle name="Note 2 4 7 3 3 2" xfId="30320" xr:uid="{00000000-0005-0000-0000-00008B390000}"/>
    <cellStyle name="Note 2 4 7 3 4" xfId="11729" xr:uid="{00000000-0005-0000-0000-00008C390000}"/>
    <cellStyle name="Note 2 4 7 3 4 2" xfId="26561" xr:uid="{00000000-0005-0000-0000-00008D390000}"/>
    <cellStyle name="Note 2 4 7 3 5" xfId="22054" xr:uid="{00000000-0005-0000-0000-00008E390000}"/>
    <cellStyle name="Note 2 4 7 4" xfId="4200" xr:uid="{00000000-0005-0000-0000-00008F390000}"/>
    <cellStyle name="Note 2 4 7 4 2" xfId="8241" xr:uid="{00000000-0005-0000-0000-000090390000}"/>
    <cellStyle name="Note 2 4 7 4 2 2" xfId="17588" xr:uid="{00000000-0005-0000-0000-000091390000}"/>
    <cellStyle name="Note 2 4 7 4 2 2 2" xfId="32420" xr:uid="{00000000-0005-0000-0000-000092390000}"/>
    <cellStyle name="Note 2 4 7 4 2 3" xfId="23936" xr:uid="{00000000-0005-0000-0000-000093390000}"/>
    <cellStyle name="Note 2 4 7 4 3" xfId="14532" xr:uid="{00000000-0005-0000-0000-000094390000}"/>
    <cellStyle name="Note 2 4 7 4 3 2" xfId="29364" xr:uid="{00000000-0005-0000-0000-000095390000}"/>
    <cellStyle name="Note 2 4 7 4 4" xfId="11208" xr:uid="{00000000-0005-0000-0000-000096390000}"/>
    <cellStyle name="Note 2 4 7 4 4 2" xfId="26040" xr:uid="{00000000-0005-0000-0000-000097390000}"/>
    <cellStyle name="Note 2 4 7 4 5" xfId="21561" xr:uid="{00000000-0005-0000-0000-000098390000}"/>
    <cellStyle name="Note 2 4 7 5" xfId="6316" xr:uid="{00000000-0005-0000-0000-000099390000}"/>
    <cellStyle name="Note 2 4 7 5 2" xfId="16500" xr:uid="{00000000-0005-0000-0000-00009A390000}"/>
    <cellStyle name="Note 2 4 7 5 2 2" xfId="31332" xr:uid="{00000000-0005-0000-0000-00009B390000}"/>
    <cellStyle name="Note 2 4 7 5 3" xfId="22718" xr:uid="{00000000-0005-0000-0000-00009C390000}"/>
    <cellStyle name="Note 2 4 7 6" xfId="12570" xr:uid="{00000000-0005-0000-0000-00009D390000}"/>
    <cellStyle name="Note 2 4 7 6 2" xfId="27402" xr:uid="{00000000-0005-0000-0000-00009E390000}"/>
    <cellStyle name="Note 2 4 7 7" xfId="10152" xr:uid="{00000000-0005-0000-0000-00009F390000}"/>
    <cellStyle name="Note 2 4 7 7 2" xfId="24984" xr:uid="{00000000-0005-0000-0000-0000A0390000}"/>
    <cellStyle name="Note 2 4 7 8" xfId="20397" xr:uid="{00000000-0005-0000-0000-0000A1390000}"/>
    <cellStyle name="Note 2 4 8" xfId="3275" xr:uid="{00000000-0005-0000-0000-0000A2390000}"/>
    <cellStyle name="Note 2 4 8 2" xfId="7339" xr:uid="{00000000-0005-0000-0000-0000A3390000}"/>
    <cellStyle name="Note 2 4 8 2 2" xfId="17083" xr:uid="{00000000-0005-0000-0000-0000A4390000}"/>
    <cellStyle name="Note 2 4 8 2 2 2" xfId="31915" xr:uid="{00000000-0005-0000-0000-0000A5390000}"/>
    <cellStyle name="Note 2 4 8 2 3" xfId="23370" xr:uid="{00000000-0005-0000-0000-0000A6390000}"/>
    <cellStyle name="Note 2 4 8 3" xfId="13612" xr:uid="{00000000-0005-0000-0000-0000A7390000}"/>
    <cellStyle name="Note 2 4 8 3 2" xfId="28444" xr:uid="{00000000-0005-0000-0000-0000A8390000}"/>
    <cellStyle name="Note 2 4 8 4" xfId="10711" xr:uid="{00000000-0005-0000-0000-0000A9390000}"/>
    <cellStyle name="Note 2 4 8 4 2" xfId="25543" xr:uid="{00000000-0005-0000-0000-0000AA390000}"/>
    <cellStyle name="Note 2 4 8 5" xfId="21057" xr:uid="{00000000-0005-0000-0000-0000AB390000}"/>
    <cellStyle name="Note 2 4 9" xfId="3193" xr:uid="{00000000-0005-0000-0000-0000AC390000}"/>
    <cellStyle name="Note 2 4 9 2" xfId="7257" xr:uid="{00000000-0005-0000-0000-0000AD390000}"/>
    <cellStyle name="Note 2 4 9 2 2" xfId="17027" xr:uid="{00000000-0005-0000-0000-0000AE390000}"/>
    <cellStyle name="Note 2 4 9 2 2 2" xfId="31859" xr:uid="{00000000-0005-0000-0000-0000AF390000}"/>
    <cellStyle name="Note 2 4 9 2 3" xfId="23310" xr:uid="{00000000-0005-0000-0000-0000B0390000}"/>
    <cellStyle name="Note 2 4 9 3" xfId="13531" xr:uid="{00000000-0005-0000-0000-0000B1390000}"/>
    <cellStyle name="Note 2 4 9 3 2" xfId="28363" xr:uid="{00000000-0005-0000-0000-0000B2390000}"/>
    <cellStyle name="Note 2 4 9 4" xfId="10672" xr:uid="{00000000-0005-0000-0000-0000B3390000}"/>
    <cellStyle name="Note 2 4 9 4 2" xfId="25504" xr:uid="{00000000-0005-0000-0000-0000B4390000}"/>
    <cellStyle name="Note 2 4 9 5" xfId="21000" xr:uid="{00000000-0005-0000-0000-0000B5390000}"/>
    <cellStyle name="Note 2 5" xfId="1220" xr:uid="{00000000-0005-0000-0000-0000B6390000}"/>
    <cellStyle name="Note 2 5 10" xfId="2306" xr:uid="{00000000-0005-0000-0000-0000B7390000}"/>
    <cellStyle name="Note 2 5 10 2" xfId="6418" xr:uid="{00000000-0005-0000-0000-0000B8390000}"/>
    <cellStyle name="Note 2 5 10 2 2" xfId="16511" xr:uid="{00000000-0005-0000-0000-0000B9390000}"/>
    <cellStyle name="Note 2 5 10 2 2 2" xfId="31343" xr:uid="{00000000-0005-0000-0000-0000BA390000}"/>
    <cellStyle name="Note 2 5 10 2 3" xfId="22820" xr:uid="{00000000-0005-0000-0000-0000BB390000}"/>
    <cellStyle name="Note 2 5 10 3" xfId="12646" xr:uid="{00000000-0005-0000-0000-0000BC390000}"/>
    <cellStyle name="Note 2 5 10 3 2" xfId="27478" xr:uid="{00000000-0005-0000-0000-0000BD390000}"/>
    <cellStyle name="Note 2 5 10 4" xfId="10162" xr:uid="{00000000-0005-0000-0000-0000BE390000}"/>
    <cellStyle name="Note 2 5 10 4 2" xfId="24994" xr:uid="{00000000-0005-0000-0000-0000BF390000}"/>
    <cellStyle name="Note 2 5 10 5" xfId="20469" xr:uid="{00000000-0005-0000-0000-0000C0390000}"/>
    <cellStyle name="Note 2 5 11" xfId="5269" xr:uid="{00000000-0005-0000-0000-0000C1390000}"/>
    <cellStyle name="Note 2 5 11 2" xfId="9277" xr:uid="{00000000-0005-0000-0000-0000C2390000}"/>
    <cellStyle name="Note 2 5 11 2 2" xfId="18144" xr:uid="{00000000-0005-0000-0000-0000C3390000}"/>
    <cellStyle name="Note 2 5 11 2 2 2" xfId="32976" xr:uid="{00000000-0005-0000-0000-0000C4390000}"/>
    <cellStyle name="Note 2 5 11 2 3" xfId="24615" xr:uid="{00000000-0005-0000-0000-0000C5390000}"/>
    <cellStyle name="Note 2 5 11 3" xfId="15585" xr:uid="{00000000-0005-0000-0000-0000C6390000}"/>
    <cellStyle name="Note 2 5 11 3 2" xfId="30417" xr:uid="{00000000-0005-0000-0000-0000C7390000}"/>
    <cellStyle name="Note 2 5 11 4" xfId="22126" xr:uid="{00000000-0005-0000-0000-0000C8390000}"/>
    <cellStyle name="Note 2 5 12" xfId="5427" xr:uid="{00000000-0005-0000-0000-0000C9390000}"/>
    <cellStyle name="Note 2 5 12 2" xfId="15663" xr:uid="{00000000-0005-0000-0000-0000CA390000}"/>
    <cellStyle name="Note 2 5 12 2 2" xfId="30495" xr:uid="{00000000-0005-0000-0000-0000CB390000}"/>
    <cellStyle name="Note 2 5 12 3" xfId="22188" xr:uid="{00000000-0005-0000-0000-0000CC390000}"/>
    <cellStyle name="Note 2 5 13" xfId="9364" xr:uid="{00000000-0005-0000-0000-0000CD390000}"/>
    <cellStyle name="Note 2 5 13 2" xfId="24670" xr:uid="{00000000-0005-0000-0000-0000CE390000}"/>
    <cellStyle name="Note 2 5 14" xfId="5353" xr:uid="{00000000-0005-0000-0000-0000CF390000}"/>
    <cellStyle name="Note 2 5 14 2" xfId="18227" xr:uid="{00000000-0005-0000-0000-0000D0390000}"/>
    <cellStyle name="Note 2 5 2" xfId="1339" xr:uid="{00000000-0005-0000-0000-0000D1390000}"/>
    <cellStyle name="Note 2 5 2 2" xfId="1843" xr:uid="{00000000-0005-0000-0000-0000D2390000}"/>
    <cellStyle name="Note 2 5 2 2 2" xfId="3811" xr:uid="{00000000-0005-0000-0000-0000D3390000}"/>
    <cellStyle name="Note 2 5 2 2 2 2" xfId="7865" xr:uid="{00000000-0005-0000-0000-0000D4390000}"/>
    <cellStyle name="Note 2 5 2 2 2 2 2" xfId="17378" xr:uid="{00000000-0005-0000-0000-0000D5390000}"/>
    <cellStyle name="Note 2 5 2 2 2 2 2 2" xfId="32210" xr:uid="{00000000-0005-0000-0000-0000D6390000}"/>
    <cellStyle name="Note 2 5 2 2 2 2 3" xfId="23713" xr:uid="{00000000-0005-0000-0000-0000D7390000}"/>
    <cellStyle name="Note 2 5 2 2 2 3" xfId="14146" xr:uid="{00000000-0005-0000-0000-0000D8390000}"/>
    <cellStyle name="Note 2 5 2 2 2 3 2" xfId="28978" xr:uid="{00000000-0005-0000-0000-0000D9390000}"/>
    <cellStyle name="Note 2 5 2 2 2 4" xfId="10996" xr:uid="{00000000-0005-0000-0000-0000DA390000}"/>
    <cellStyle name="Note 2 5 2 2 2 4 2" xfId="25828" xr:uid="{00000000-0005-0000-0000-0000DB390000}"/>
    <cellStyle name="Note 2 5 2 2 2 5" xfId="21365" xr:uid="{00000000-0005-0000-0000-0000DC390000}"/>
    <cellStyle name="Note 2 5 2 2 3" xfId="4821" xr:uid="{00000000-0005-0000-0000-0000DD390000}"/>
    <cellStyle name="Note 2 5 2 2 3 2" xfId="8860" xr:uid="{00000000-0005-0000-0000-0000DE390000}"/>
    <cellStyle name="Note 2 5 2 2 3 2 2" xfId="17901" xr:uid="{00000000-0005-0000-0000-0000DF390000}"/>
    <cellStyle name="Note 2 5 2 2 3 2 2 2" xfId="32733" xr:uid="{00000000-0005-0000-0000-0000E0390000}"/>
    <cellStyle name="Note 2 5 2 2 3 2 3" xfId="24358" xr:uid="{00000000-0005-0000-0000-0000E1390000}"/>
    <cellStyle name="Note 2 5 2 2 3 3" xfId="15145" xr:uid="{00000000-0005-0000-0000-0000E2390000}"/>
    <cellStyle name="Note 2 5 2 2 3 3 2" xfId="29977" xr:uid="{00000000-0005-0000-0000-0000E3390000}"/>
    <cellStyle name="Note 2 5 2 2 3 4" xfId="11504" xr:uid="{00000000-0005-0000-0000-0000E4390000}"/>
    <cellStyle name="Note 2 5 2 2 3 4 2" xfId="26336" xr:uid="{00000000-0005-0000-0000-0000E5390000}"/>
    <cellStyle name="Note 2 5 2 2 3 5" xfId="21896" xr:uid="{00000000-0005-0000-0000-0000E6390000}"/>
    <cellStyle name="Note 2 5 2 2 4" xfId="2811" xr:uid="{00000000-0005-0000-0000-0000E7390000}"/>
    <cellStyle name="Note 2 5 2 2 4 2" xfId="6902" xr:uid="{00000000-0005-0000-0000-0000E8390000}"/>
    <cellStyle name="Note 2 5 2 2 4 2 2" xfId="16795" xr:uid="{00000000-0005-0000-0000-0000E9390000}"/>
    <cellStyle name="Note 2 5 2 2 4 2 2 2" xfId="31627" xr:uid="{00000000-0005-0000-0000-0000EA390000}"/>
    <cellStyle name="Note 2 5 2 2 4 2 3" xfId="23109" xr:uid="{00000000-0005-0000-0000-0000EB390000}"/>
    <cellStyle name="Note 2 5 2 2 4 3" xfId="13149" xr:uid="{00000000-0005-0000-0000-0000EC390000}"/>
    <cellStyle name="Note 2 5 2 2 4 3 2" xfId="27981" xr:uid="{00000000-0005-0000-0000-0000ED390000}"/>
    <cellStyle name="Note 2 5 2 2 4 4" xfId="10448" xr:uid="{00000000-0005-0000-0000-0000EE390000}"/>
    <cellStyle name="Note 2 5 2 2 4 4 2" xfId="25280" xr:uid="{00000000-0005-0000-0000-0000EF390000}"/>
    <cellStyle name="Note 2 5 2 2 4 5" xfId="20769" xr:uid="{00000000-0005-0000-0000-0000F0390000}"/>
    <cellStyle name="Note 2 5 2 2 5" xfId="5975" xr:uid="{00000000-0005-0000-0000-0000F1390000}"/>
    <cellStyle name="Note 2 5 2 2 5 2" xfId="16167" xr:uid="{00000000-0005-0000-0000-0000F2390000}"/>
    <cellStyle name="Note 2 5 2 2 5 2 2" xfId="30999" xr:uid="{00000000-0005-0000-0000-0000F3390000}"/>
    <cellStyle name="Note 2 5 2 2 5 3" xfId="22540" xr:uid="{00000000-0005-0000-0000-0000F4390000}"/>
    <cellStyle name="Note 2 5 2 2 6" xfId="12237" xr:uid="{00000000-0005-0000-0000-0000F5390000}"/>
    <cellStyle name="Note 2 5 2 2 6 2" xfId="27069" xr:uid="{00000000-0005-0000-0000-0000F6390000}"/>
    <cellStyle name="Note 2 5 2 2 7" xfId="9833" xr:uid="{00000000-0005-0000-0000-0000F7390000}"/>
    <cellStyle name="Note 2 5 2 2 7 2" xfId="24759" xr:uid="{00000000-0005-0000-0000-0000F8390000}"/>
    <cellStyle name="Note 2 5 2 2 8" xfId="20317" xr:uid="{00000000-0005-0000-0000-0000F9390000}"/>
    <cellStyle name="Note 2 5 2 3" xfId="4051" xr:uid="{00000000-0005-0000-0000-0000FA390000}"/>
    <cellStyle name="Note 2 5 2 3 2" xfId="8098" xr:uid="{00000000-0005-0000-0000-0000FB390000}"/>
    <cellStyle name="Note 2 5 2 3 2 2" xfId="17493" xr:uid="{00000000-0005-0000-0000-0000FC390000}"/>
    <cellStyle name="Note 2 5 2 3 2 2 2" xfId="32325" xr:uid="{00000000-0005-0000-0000-0000FD390000}"/>
    <cellStyle name="Note 2 5 2 3 2 3" xfId="23860" xr:uid="{00000000-0005-0000-0000-0000FE390000}"/>
    <cellStyle name="Note 2 5 2 3 3" xfId="14383" xr:uid="{00000000-0005-0000-0000-0000FF390000}"/>
    <cellStyle name="Note 2 5 2 3 3 2" xfId="29215" xr:uid="{00000000-0005-0000-0000-0000003A0000}"/>
    <cellStyle name="Note 2 5 2 3 4" xfId="11109" xr:uid="{00000000-0005-0000-0000-0000013A0000}"/>
    <cellStyle name="Note 2 5 2 3 4 2" xfId="25941" xr:uid="{00000000-0005-0000-0000-0000023A0000}"/>
    <cellStyle name="Note 2 5 2 3 5" xfId="21494" xr:uid="{00000000-0005-0000-0000-0000033A0000}"/>
    <cellStyle name="Note 2 5 2 4" xfId="4401" xr:uid="{00000000-0005-0000-0000-0000043A0000}"/>
    <cellStyle name="Note 2 5 2 4 2" xfId="8440" xr:uid="{00000000-0005-0000-0000-0000053A0000}"/>
    <cellStyle name="Note 2 5 2 4 2 2" xfId="17661" xr:uid="{00000000-0005-0000-0000-0000063A0000}"/>
    <cellStyle name="Note 2 5 2 4 2 2 2" xfId="32493" xr:uid="{00000000-0005-0000-0000-0000073A0000}"/>
    <cellStyle name="Note 2 5 2 4 2 3" xfId="24098" xr:uid="{00000000-0005-0000-0000-0000083A0000}"/>
    <cellStyle name="Note 2 5 2 4 3" xfId="14730" xr:uid="{00000000-0005-0000-0000-0000093A0000}"/>
    <cellStyle name="Note 2 5 2 4 3 2" xfId="29562" xr:uid="{00000000-0005-0000-0000-00000A3A0000}"/>
    <cellStyle name="Note 2 5 2 4 4" xfId="11269" xr:uid="{00000000-0005-0000-0000-00000B3A0000}"/>
    <cellStyle name="Note 2 5 2 4 4 2" xfId="26101" xr:uid="{00000000-0005-0000-0000-00000C3A0000}"/>
    <cellStyle name="Note 2 5 2 4 5" xfId="21666" xr:uid="{00000000-0005-0000-0000-00000D3A0000}"/>
    <cellStyle name="Note 2 5 2 5" xfId="2391" xr:uid="{00000000-0005-0000-0000-00000E3A0000}"/>
    <cellStyle name="Note 2 5 2 5 2" xfId="6503" xr:uid="{00000000-0005-0000-0000-00000F3A0000}"/>
    <cellStyle name="Note 2 5 2 5 2 2" xfId="16559" xr:uid="{00000000-0005-0000-0000-0000103A0000}"/>
    <cellStyle name="Note 2 5 2 5 2 2 2" xfId="31391" xr:uid="{00000000-0005-0000-0000-0000113A0000}"/>
    <cellStyle name="Note 2 5 2 5 2 3" xfId="22873" xr:uid="{00000000-0005-0000-0000-0000123A0000}"/>
    <cellStyle name="Note 2 5 2 5 3" xfId="12730" xr:uid="{00000000-0005-0000-0000-0000133A0000}"/>
    <cellStyle name="Note 2 5 2 5 3 2" xfId="27562" xr:uid="{00000000-0005-0000-0000-0000143A0000}"/>
    <cellStyle name="Note 2 5 2 5 4" xfId="10209" xr:uid="{00000000-0005-0000-0000-0000153A0000}"/>
    <cellStyle name="Note 2 5 2 5 4 2" xfId="25041" xr:uid="{00000000-0005-0000-0000-0000163A0000}"/>
    <cellStyle name="Note 2 5 2 5 5" xfId="20515" xr:uid="{00000000-0005-0000-0000-0000173A0000}"/>
    <cellStyle name="Note 2 5 2 6" xfId="5516" xr:uid="{00000000-0005-0000-0000-0000183A0000}"/>
    <cellStyle name="Note 2 5 2 6 2" xfId="15751" xr:uid="{00000000-0005-0000-0000-0000193A0000}"/>
    <cellStyle name="Note 2 5 2 6 2 2" xfId="30583" xr:uid="{00000000-0005-0000-0000-00001A3A0000}"/>
    <cellStyle name="Note 2 5 2 6 3" xfId="22244" xr:uid="{00000000-0005-0000-0000-00001B3A0000}"/>
    <cellStyle name="Note 2 5 2 7" xfId="11766" xr:uid="{00000000-0005-0000-0000-00001C3A0000}"/>
    <cellStyle name="Note 2 5 2 7 2" xfId="26598" xr:uid="{00000000-0005-0000-0000-00001D3A0000}"/>
    <cellStyle name="Note 2 5 2 8" xfId="9437" xr:uid="{00000000-0005-0000-0000-00001E3A0000}"/>
    <cellStyle name="Note 2 5 2 8 2" xfId="19741" xr:uid="{00000000-0005-0000-0000-00001F3A0000}"/>
    <cellStyle name="Note 2 5 3" xfId="1509" xr:uid="{00000000-0005-0000-0000-0000203A0000}"/>
    <cellStyle name="Note 2 5 3 2" xfId="2006" xr:uid="{00000000-0005-0000-0000-0000213A0000}"/>
    <cellStyle name="Note 2 5 3 2 2" xfId="3656" xr:uid="{00000000-0005-0000-0000-0000223A0000}"/>
    <cellStyle name="Note 2 5 3 2 2 2" xfId="7715" xr:uid="{00000000-0005-0000-0000-0000233A0000}"/>
    <cellStyle name="Note 2 5 3 2 2 2 2" xfId="17304" xr:uid="{00000000-0005-0000-0000-0000243A0000}"/>
    <cellStyle name="Note 2 5 3 2 2 2 2 2" xfId="32136" xr:uid="{00000000-0005-0000-0000-0000253A0000}"/>
    <cellStyle name="Note 2 5 3 2 2 2 3" xfId="23612" xr:uid="{00000000-0005-0000-0000-0000263A0000}"/>
    <cellStyle name="Note 2 5 3 2 2 3" xfId="13991" xr:uid="{00000000-0005-0000-0000-0000273A0000}"/>
    <cellStyle name="Note 2 5 3 2 2 3 2" xfId="28823" xr:uid="{00000000-0005-0000-0000-0000283A0000}"/>
    <cellStyle name="Note 2 5 3 2 2 4" xfId="10920" xr:uid="{00000000-0005-0000-0000-0000293A0000}"/>
    <cellStyle name="Note 2 5 3 2 2 4 2" xfId="25752" xr:uid="{00000000-0005-0000-0000-00002A3A0000}"/>
    <cellStyle name="Note 2 5 3 2 2 5" xfId="21277" xr:uid="{00000000-0005-0000-0000-00002B3A0000}"/>
    <cellStyle name="Note 2 5 3 2 3" xfId="4974" xr:uid="{00000000-0005-0000-0000-00002C3A0000}"/>
    <cellStyle name="Note 2 5 3 2 3 2" xfId="9013" xr:uid="{00000000-0005-0000-0000-00002D3A0000}"/>
    <cellStyle name="Note 2 5 3 2 3 2 2" xfId="17951" xr:uid="{00000000-0005-0000-0000-00002E3A0000}"/>
    <cellStyle name="Note 2 5 3 2 3 2 2 2" xfId="32783" xr:uid="{00000000-0005-0000-0000-00002F3A0000}"/>
    <cellStyle name="Note 2 5 3 2 3 2 3" xfId="24479" xr:uid="{00000000-0005-0000-0000-0000303A0000}"/>
    <cellStyle name="Note 2 5 3 2 3 3" xfId="15296" xr:uid="{00000000-0005-0000-0000-0000313A0000}"/>
    <cellStyle name="Note 2 5 3 2 3 3 2" xfId="30128" xr:uid="{00000000-0005-0000-0000-0000323A0000}"/>
    <cellStyle name="Note 2 5 3 2 3 4" xfId="11552" xr:uid="{00000000-0005-0000-0000-0000333A0000}"/>
    <cellStyle name="Note 2 5 3 2 3 4 2" xfId="26384" xr:uid="{00000000-0005-0000-0000-0000343A0000}"/>
    <cellStyle name="Note 2 5 3 2 3 5" xfId="22005" xr:uid="{00000000-0005-0000-0000-0000353A0000}"/>
    <cellStyle name="Note 2 5 3 2 4" xfId="2964" xr:uid="{00000000-0005-0000-0000-0000363A0000}"/>
    <cellStyle name="Note 2 5 3 2 4 2" xfId="7044" xr:uid="{00000000-0005-0000-0000-0000373A0000}"/>
    <cellStyle name="Note 2 5 3 2 4 2 2" xfId="16843" xr:uid="{00000000-0005-0000-0000-0000383A0000}"/>
    <cellStyle name="Note 2 5 3 2 4 2 2 2" xfId="31675" xr:uid="{00000000-0005-0000-0000-0000393A0000}"/>
    <cellStyle name="Note 2 5 3 2 4 2 3" xfId="23218" xr:uid="{00000000-0005-0000-0000-00003A3A0000}"/>
    <cellStyle name="Note 2 5 3 2 4 3" xfId="13302" xr:uid="{00000000-0005-0000-0000-00003B3A0000}"/>
    <cellStyle name="Note 2 5 3 2 4 3 2" xfId="28134" xr:uid="{00000000-0005-0000-0000-00003C3A0000}"/>
    <cellStyle name="Note 2 5 3 2 4 4" xfId="10498" xr:uid="{00000000-0005-0000-0000-00003D3A0000}"/>
    <cellStyle name="Note 2 5 3 2 4 4 2" xfId="25330" xr:uid="{00000000-0005-0000-0000-00003E3A0000}"/>
    <cellStyle name="Note 2 5 3 2 4 5" xfId="20890" xr:uid="{00000000-0005-0000-0000-00003F3A0000}"/>
    <cellStyle name="Note 2 5 3 2 5" xfId="6136" xr:uid="{00000000-0005-0000-0000-0000403A0000}"/>
    <cellStyle name="Note 2 5 3 2 5 2" xfId="16323" xr:uid="{00000000-0005-0000-0000-0000413A0000}"/>
    <cellStyle name="Note 2 5 3 2 5 2 2" xfId="31155" xr:uid="{00000000-0005-0000-0000-0000423A0000}"/>
    <cellStyle name="Note 2 5 3 2 5 3" xfId="22669" xr:uid="{00000000-0005-0000-0000-0000433A0000}"/>
    <cellStyle name="Note 2 5 3 2 6" xfId="12393" xr:uid="{00000000-0005-0000-0000-0000443A0000}"/>
    <cellStyle name="Note 2 5 3 2 6 2" xfId="27225" xr:uid="{00000000-0005-0000-0000-0000453A0000}"/>
    <cellStyle name="Note 2 5 3 2 7" xfId="9975" xr:uid="{00000000-0005-0000-0000-0000463A0000}"/>
    <cellStyle name="Note 2 5 3 2 7 2" xfId="24807" xr:uid="{00000000-0005-0000-0000-0000473A0000}"/>
    <cellStyle name="Note 2 5 3 2 8" xfId="20348" xr:uid="{00000000-0005-0000-0000-0000483A0000}"/>
    <cellStyle name="Note 2 5 3 3" xfId="3153" xr:uid="{00000000-0005-0000-0000-0000493A0000}"/>
    <cellStyle name="Note 2 5 3 3 2" xfId="7217" xr:uid="{00000000-0005-0000-0000-00004A3A0000}"/>
    <cellStyle name="Note 2 5 3 3 2 2" xfId="16995" xr:uid="{00000000-0005-0000-0000-00004B3A0000}"/>
    <cellStyle name="Note 2 5 3 3 2 2 2" xfId="31827" xr:uid="{00000000-0005-0000-0000-00004C3A0000}"/>
    <cellStyle name="Note 2 5 3 3 2 3" xfId="23285" xr:uid="{00000000-0005-0000-0000-00004D3A0000}"/>
    <cellStyle name="Note 2 5 3 3 3" xfId="13491" xr:uid="{00000000-0005-0000-0000-00004E3A0000}"/>
    <cellStyle name="Note 2 5 3 3 3 2" xfId="28323" xr:uid="{00000000-0005-0000-0000-00004F3A0000}"/>
    <cellStyle name="Note 2 5 3 3 4" xfId="10647" xr:uid="{00000000-0005-0000-0000-0000503A0000}"/>
    <cellStyle name="Note 2 5 3 3 4 2" xfId="25479" xr:uid="{00000000-0005-0000-0000-0000513A0000}"/>
    <cellStyle name="Note 2 5 3 3 5" xfId="20976" xr:uid="{00000000-0005-0000-0000-0000523A0000}"/>
    <cellStyle name="Note 2 5 3 4" xfId="4554" xr:uid="{00000000-0005-0000-0000-0000533A0000}"/>
    <cellStyle name="Note 2 5 3 4 2" xfId="8593" xr:uid="{00000000-0005-0000-0000-0000543A0000}"/>
    <cellStyle name="Note 2 5 3 4 2 2" xfId="17711" xr:uid="{00000000-0005-0000-0000-0000553A0000}"/>
    <cellStyle name="Note 2 5 3 4 2 2 2" xfId="32543" xr:uid="{00000000-0005-0000-0000-0000563A0000}"/>
    <cellStyle name="Note 2 5 3 4 2 3" xfId="24219" xr:uid="{00000000-0005-0000-0000-0000573A0000}"/>
    <cellStyle name="Note 2 5 3 4 3" xfId="14881" xr:uid="{00000000-0005-0000-0000-0000583A0000}"/>
    <cellStyle name="Note 2 5 3 4 3 2" xfId="29713" xr:uid="{00000000-0005-0000-0000-0000593A0000}"/>
    <cellStyle name="Note 2 5 3 4 4" xfId="11317" xr:uid="{00000000-0005-0000-0000-00005A3A0000}"/>
    <cellStyle name="Note 2 5 3 4 4 2" xfId="26149" xr:uid="{00000000-0005-0000-0000-00005B3A0000}"/>
    <cellStyle name="Note 2 5 3 4 5" xfId="21775" xr:uid="{00000000-0005-0000-0000-00005C3A0000}"/>
    <cellStyle name="Note 2 5 3 5" xfId="2544" xr:uid="{00000000-0005-0000-0000-00005D3A0000}"/>
    <cellStyle name="Note 2 5 3 5 2" xfId="6650" xr:uid="{00000000-0005-0000-0000-00005E3A0000}"/>
    <cellStyle name="Note 2 5 3 5 2 2" xfId="16608" xr:uid="{00000000-0005-0000-0000-00005F3A0000}"/>
    <cellStyle name="Note 2 5 3 5 2 2 2" xfId="31440" xr:uid="{00000000-0005-0000-0000-0000603A0000}"/>
    <cellStyle name="Note 2 5 3 5 2 3" xfId="22988" xr:uid="{00000000-0005-0000-0000-0000613A0000}"/>
    <cellStyle name="Note 2 5 3 5 3" xfId="12882" xr:uid="{00000000-0005-0000-0000-0000623A0000}"/>
    <cellStyle name="Note 2 5 3 5 3 2" xfId="27714" xr:uid="{00000000-0005-0000-0000-0000633A0000}"/>
    <cellStyle name="Note 2 5 3 5 4" xfId="10258" xr:uid="{00000000-0005-0000-0000-0000643A0000}"/>
    <cellStyle name="Note 2 5 3 5 4 2" xfId="25090" xr:uid="{00000000-0005-0000-0000-0000653A0000}"/>
    <cellStyle name="Note 2 5 3 5 5" xfId="20630" xr:uid="{00000000-0005-0000-0000-0000663A0000}"/>
    <cellStyle name="Note 2 5 3 6" xfId="5667" xr:uid="{00000000-0005-0000-0000-0000673A0000}"/>
    <cellStyle name="Note 2 5 3 6 2" xfId="15902" xr:uid="{00000000-0005-0000-0000-0000683A0000}"/>
    <cellStyle name="Note 2 5 3 6 2 2" xfId="30734" xr:uid="{00000000-0005-0000-0000-0000693A0000}"/>
    <cellStyle name="Note 2 5 3 6 3" xfId="22363" xr:uid="{00000000-0005-0000-0000-00006A3A0000}"/>
    <cellStyle name="Note 2 5 3 7" xfId="11922" xr:uid="{00000000-0005-0000-0000-00006B3A0000}"/>
    <cellStyle name="Note 2 5 3 7 2" xfId="26754" xr:uid="{00000000-0005-0000-0000-00006C3A0000}"/>
    <cellStyle name="Note 2 5 3 8" xfId="9580" xr:uid="{00000000-0005-0000-0000-00006D3A0000}"/>
    <cellStyle name="Note 2 5 3 8 2" xfId="19882" xr:uid="{00000000-0005-0000-0000-00006E3A0000}"/>
    <cellStyle name="Note 2 5 4" xfId="1564" xr:uid="{00000000-0005-0000-0000-00006F3A0000}"/>
    <cellStyle name="Note 2 5 4 2" xfId="2061" xr:uid="{00000000-0005-0000-0000-0000703A0000}"/>
    <cellStyle name="Note 2 5 4 2 2" xfId="3402" xr:uid="{00000000-0005-0000-0000-0000713A0000}"/>
    <cellStyle name="Note 2 5 4 2 2 2" xfId="7465" xr:uid="{00000000-0005-0000-0000-0000723A0000}"/>
    <cellStyle name="Note 2 5 4 2 2 2 2" xfId="17164" xr:uid="{00000000-0005-0000-0000-0000733A0000}"/>
    <cellStyle name="Note 2 5 4 2 2 2 2 2" xfId="31996" xr:uid="{00000000-0005-0000-0000-0000743A0000}"/>
    <cellStyle name="Note 2 5 4 2 2 2 3" xfId="23453" xr:uid="{00000000-0005-0000-0000-0000753A0000}"/>
    <cellStyle name="Note 2 5 4 2 2 3" xfId="13739" xr:uid="{00000000-0005-0000-0000-0000763A0000}"/>
    <cellStyle name="Note 2 5 4 2 2 3 2" xfId="28571" xr:uid="{00000000-0005-0000-0000-0000773A0000}"/>
    <cellStyle name="Note 2 5 4 2 2 4" xfId="10783" xr:uid="{00000000-0005-0000-0000-0000783A0000}"/>
    <cellStyle name="Note 2 5 4 2 2 4 2" xfId="25615" xr:uid="{00000000-0005-0000-0000-0000793A0000}"/>
    <cellStyle name="Note 2 5 4 2 2 5" xfId="21131" xr:uid="{00000000-0005-0000-0000-00007A3A0000}"/>
    <cellStyle name="Note 2 5 4 2 3" xfId="5029" xr:uid="{00000000-0005-0000-0000-00007B3A0000}"/>
    <cellStyle name="Note 2 5 4 2 3 2" xfId="9068" xr:uid="{00000000-0005-0000-0000-00007C3A0000}"/>
    <cellStyle name="Note 2 5 4 2 3 2 2" xfId="18001" xr:uid="{00000000-0005-0000-0000-00007D3A0000}"/>
    <cellStyle name="Note 2 5 4 2 3 2 2 2" xfId="32833" xr:uid="{00000000-0005-0000-0000-00007E3A0000}"/>
    <cellStyle name="Note 2 5 4 2 3 2 3" xfId="24502" xr:uid="{00000000-0005-0000-0000-00007F3A0000}"/>
    <cellStyle name="Note 2 5 4 2 3 3" xfId="15350" xr:uid="{00000000-0005-0000-0000-0000803A0000}"/>
    <cellStyle name="Note 2 5 4 2 3 3 2" xfId="30182" xr:uid="{00000000-0005-0000-0000-0000813A0000}"/>
    <cellStyle name="Note 2 5 4 2 3 4" xfId="11601" xr:uid="{00000000-0005-0000-0000-0000823A0000}"/>
    <cellStyle name="Note 2 5 4 2 3 4 2" xfId="26433" xr:uid="{00000000-0005-0000-0000-0000833A0000}"/>
    <cellStyle name="Note 2 5 4 2 3 5" xfId="22022" xr:uid="{00000000-0005-0000-0000-0000843A0000}"/>
    <cellStyle name="Note 2 5 4 2 4" xfId="3019" xr:uid="{00000000-0005-0000-0000-0000853A0000}"/>
    <cellStyle name="Note 2 5 4 2 4 2" xfId="7094" xr:uid="{00000000-0005-0000-0000-0000863A0000}"/>
    <cellStyle name="Note 2 5 4 2 4 2 2" xfId="16892" xr:uid="{00000000-0005-0000-0000-0000873A0000}"/>
    <cellStyle name="Note 2 5 4 2 4 2 2 2" xfId="31724" xr:uid="{00000000-0005-0000-0000-0000883A0000}"/>
    <cellStyle name="Note 2 5 4 2 4 2 3" xfId="23235" xr:uid="{00000000-0005-0000-0000-0000893A0000}"/>
    <cellStyle name="Note 2 5 4 2 4 3" xfId="13357" xr:uid="{00000000-0005-0000-0000-00008A3A0000}"/>
    <cellStyle name="Note 2 5 4 2 4 3 2" xfId="28189" xr:uid="{00000000-0005-0000-0000-00008B3A0000}"/>
    <cellStyle name="Note 2 5 4 2 4 4" xfId="10548" xr:uid="{00000000-0005-0000-0000-00008C3A0000}"/>
    <cellStyle name="Note 2 5 4 2 4 4 2" xfId="25380" xr:uid="{00000000-0005-0000-0000-00008D3A0000}"/>
    <cellStyle name="Note 2 5 4 2 4 5" xfId="20913" xr:uid="{00000000-0005-0000-0000-00008E3A0000}"/>
    <cellStyle name="Note 2 5 4 2 5" xfId="6186" xr:uid="{00000000-0005-0000-0000-00008F3A0000}"/>
    <cellStyle name="Note 2 5 4 2 5 2" xfId="16372" xr:uid="{00000000-0005-0000-0000-0000903A0000}"/>
    <cellStyle name="Note 2 5 4 2 5 2 2" xfId="31204" xr:uid="{00000000-0005-0000-0000-0000913A0000}"/>
    <cellStyle name="Note 2 5 4 2 5 3" xfId="22686" xr:uid="{00000000-0005-0000-0000-0000923A0000}"/>
    <cellStyle name="Note 2 5 4 2 6" xfId="12442" xr:uid="{00000000-0005-0000-0000-0000933A0000}"/>
    <cellStyle name="Note 2 5 4 2 6 2" xfId="27274" xr:uid="{00000000-0005-0000-0000-0000943A0000}"/>
    <cellStyle name="Note 2 5 4 2 7" xfId="10024" xr:uid="{00000000-0005-0000-0000-0000953A0000}"/>
    <cellStyle name="Note 2 5 4 2 7 2" xfId="24856" xr:uid="{00000000-0005-0000-0000-0000963A0000}"/>
    <cellStyle name="Note 2 5 4 2 8" xfId="20365" xr:uid="{00000000-0005-0000-0000-0000973A0000}"/>
    <cellStyle name="Note 2 5 4 3" xfId="3229" xr:uid="{00000000-0005-0000-0000-0000983A0000}"/>
    <cellStyle name="Note 2 5 4 3 2" xfId="7293" xr:uid="{00000000-0005-0000-0000-0000993A0000}"/>
    <cellStyle name="Note 2 5 4 3 2 2" xfId="17053" xr:uid="{00000000-0005-0000-0000-00009A3A0000}"/>
    <cellStyle name="Note 2 5 4 3 2 2 2" xfId="31885" xr:uid="{00000000-0005-0000-0000-00009B3A0000}"/>
    <cellStyle name="Note 2 5 4 3 2 3" xfId="23334" xr:uid="{00000000-0005-0000-0000-00009C3A0000}"/>
    <cellStyle name="Note 2 5 4 3 3" xfId="13567" xr:uid="{00000000-0005-0000-0000-00009D3A0000}"/>
    <cellStyle name="Note 2 5 4 3 3 2" xfId="28399" xr:uid="{00000000-0005-0000-0000-00009E3A0000}"/>
    <cellStyle name="Note 2 5 4 3 4" xfId="10693" xr:uid="{00000000-0005-0000-0000-00009F3A0000}"/>
    <cellStyle name="Note 2 5 4 3 4 2" xfId="25525" xr:uid="{00000000-0005-0000-0000-0000A03A0000}"/>
    <cellStyle name="Note 2 5 4 3 5" xfId="21023" xr:uid="{00000000-0005-0000-0000-0000A13A0000}"/>
    <cellStyle name="Note 2 5 4 4" xfId="4609" xr:uid="{00000000-0005-0000-0000-0000A23A0000}"/>
    <cellStyle name="Note 2 5 4 4 2" xfId="8648" xr:uid="{00000000-0005-0000-0000-0000A33A0000}"/>
    <cellStyle name="Note 2 5 4 4 2 2" xfId="17761" xr:uid="{00000000-0005-0000-0000-0000A43A0000}"/>
    <cellStyle name="Note 2 5 4 4 2 2 2" xfId="32593" xr:uid="{00000000-0005-0000-0000-0000A53A0000}"/>
    <cellStyle name="Note 2 5 4 4 2 3" xfId="24242" xr:uid="{00000000-0005-0000-0000-0000A63A0000}"/>
    <cellStyle name="Note 2 5 4 4 3" xfId="14935" xr:uid="{00000000-0005-0000-0000-0000A73A0000}"/>
    <cellStyle name="Note 2 5 4 4 3 2" xfId="29767" xr:uid="{00000000-0005-0000-0000-0000A83A0000}"/>
    <cellStyle name="Note 2 5 4 4 4" xfId="11366" xr:uid="{00000000-0005-0000-0000-0000A93A0000}"/>
    <cellStyle name="Note 2 5 4 4 4 2" xfId="26198" xr:uid="{00000000-0005-0000-0000-0000AA3A0000}"/>
    <cellStyle name="Note 2 5 4 4 5" xfId="21792" xr:uid="{00000000-0005-0000-0000-0000AB3A0000}"/>
    <cellStyle name="Note 2 5 4 5" xfId="2599" xr:uid="{00000000-0005-0000-0000-0000AC3A0000}"/>
    <cellStyle name="Note 2 5 4 5 2" xfId="6700" xr:uid="{00000000-0005-0000-0000-0000AD3A0000}"/>
    <cellStyle name="Note 2 5 4 5 2 2" xfId="16657" xr:uid="{00000000-0005-0000-0000-0000AE3A0000}"/>
    <cellStyle name="Note 2 5 4 5 2 2 2" xfId="31489" xr:uid="{00000000-0005-0000-0000-0000AF3A0000}"/>
    <cellStyle name="Note 2 5 4 5 2 3" xfId="23005" xr:uid="{00000000-0005-0000-0000-0000B03A0000}"/>
    <cellStyle name="Note 2 5 4 5 3" xfId="12937" xr:uid="{00000000-0005-0000-0000-0000B13A0000}"/>
    <cellStyle name="Note 2 5 4 5 3 2" xfId="27769" xr:uid="{00000000-0005-0000-0000-0000B23A0000}"/>
    <cellStyle name="Note 2 5 4 5 4" xfId="10308" xr:uid="{00000000-0005-0000-0000-0000B33A0000}"/>
    <cellStyle name="Note 2 5 4 5 4 2" xfId="25140" xr:uid="{00000000-0005-0000-0000-0000B43A0000}"/>
    <cellStyle name="Note 2 5 4 5 5" xfId="20653" xr:uid="{00000000-0005-0000-0000-0000B53A0000}"/>
    <cellStyle name="Note 2 5 4 6" xfId="5716" xr:uid="{00000000-0005-0000-0000-0000B63A0000}"/>
    <cellStyle name="Note 2 5 4 6 2" xfId="15951" xr:uid="{00000000-0005-0000-0000-0000B73A0000}"/>
    <cellStyle name="Note 2 5 4 6 2 2" xfId="30783" xr:uid="{00000000-0005-0000-0000-0000B83A0000}"/>
    <cellStyle name="Note 2 5 4 6 3" xfId="22380" xr:uid="{00000000-0005-0000-0000-0000B93A0000}"/>
    <cellStyle name="Note 2 5 4 7" xfId="11971" xr:uid="{00000000-0005-0000-0000-0000BA3A0000}"/>
    <cellStyle name="Note 2 5 4 7 2" xfId="26803" xr:uid="{00000000-0005-0000-0000-0000BB3A0000}"/>
    <cellStyle name="Note 2 5 4 8" xfId="9630" xr:uid="{00000000-0005-0000-0000-0000BC3A0000}"/>
    <cellStyle name="Note 2 5 4 8 2" xfId="19931" xr:uid="{00000000-0005-0000-0000-0000BD3A0000}"/>
    <cellStyle name="Note 2 5 5" xfId="1614" xr:uid="{00000000-0005-0000-0000-0000BE3A0000}"/>
    <cellStyle name="Note 2 5 5 2" xfId="2111" xr:uid="{00000000-0005-0000-0000-0000BF3A0000}"/>
    <cellStyle name="Note 2 5 5 2 2" xfId="3660" xr:uid="{00000000-0005-0000-0000-0000C03A0000}"/>
    <cellStyle name="Note 2 5 5 2 2 2" xfId="7719" xr:uid="{00000000-0005-0000-0000-0000C13A0000}"/>
    <cellStyle name="Note 2 5 5 2 2 2 2" xfId="17306" xr:uid="{00000000-0005-0000-0000-0000C23A0000}"/>
    <cellStyle name="Note 2 5 5 2 2 2 2 2" xfId="32138" xr:uid="{00000000-0005-0000-0000-0000C33A0000}"/>
    <cellStyle name="Note 2 5 5 2 2 2 3" xfId="23615" xr:uid="{00000000-0005-0000-0000-0000C43A0000}"/>
    <cellStyle name="Note 2 5 5 2 2 3" xfId="13995" xr:uid="{00000000-0005-0000-0000-0000C53A0000}"/>
    <cellStyle name="Note 2 5 5 2 2 3 2" xfId="28827" xr:uid="{00000000-0005-0000-0000-0000C63A0000}"/>
    <cellStyle name="Note 2 5 5 2 2 4" xfId="10922" xr:uid="{00000000-0005-0000-0000-0000C73A0000}"/>
    <cellStyle name="Note 2 5 5 2 2 4 2" xfId="25754" xr:uid="{00000000-0005-0000-0000-0000C83A0000}"/>
    <cellStyle name="Note 2 5 5 2 2 5" xfId="21279" xr:uid="{00000000-0005-0000-0000-0000C93A0000}"/>
    <cellStyle name="Note 2 5 5 2 3" xfId="5079" xr:uid="{00000000-0005-0000-0000-0000CA3A0000}"/>
    <cellStyle name="Note 2 5 5 2 3 2" xfId="9118" xr:uid="{00000000-0005-0000-0000-0000CB3A0000}"/>
    <cellStyle name="Note 2 5 5 2 3 2 2" xfId="18046" xr:uid="{00000000-0005-0000-0000-0000CC3A0000}"/>
    <cellStyle name="Note 2 5 5 2 3 2 2 2" xfId="32878" xr:uid="{00000000-0005-0000-0000-0000CD3A0000}"/>
    <cellStyle name="Note 2 5 5 2 3 2 3" xfId="24520" xr:uid="{00000000-0005-0000-0000-0000CE3A0000}"/>
    <cellStyle name="Note 2 5 5 2 3 3" xfId="15399" xr:uid="{00000000-0005-0000-0000-0000CF3A0000}"/>
    <cellStyle name="Note 2 5 5 2 3 3 2" xfId="30231" xr:uid="{00000000-0005-0000-0000-0000D03A0000}"/>
    <cellStyle name="Note 2 5 5 2 3 4" xfId="11645" xr:uid="{00000000-0005-0000-0000-0000D13A0000}"/>
    <cellStyle name="Note 2 5 5 2 3 4 2" xfId="26477" xr:uid="{00000000-0005-0000-0000-0000D23A0000}"/>
    <cellStyle name="Note 2 5 5 2 3 5" xfId="22034" xr:uid="{00000000-0005-0000-0000-0000D33A0000}"/>
    <cellStyle name="Note 2 5 5 2 4" xfId="3069" xr:uid="{00000000-0005-0000-0000-0000D43A0000}"/>
    <cellStyle name="Note 2 5 5 2 4 2" xfId="7139" xr:uid="{00000000-0005-0000-0000-0000D53A0000}"/>
    <cellStyle name="Note 2 5 5 2 4 2 2" xfId="16936" xr:uid="{00000000-0005-0000-0000-0000D63A0000}"/>
    <cellStyle name="Note 2 5 5 2 4 2 2 2" xfId="31768" xr:uid="{00000000-0005-0000-0000-0000D73A0000}"/>
    <cellStyle name="Note 2 5 5 2 4 2 3" xfId="23247" xr:uid="{00000000-0005-0000-0000-0000D83A0000}"/>
    <cellStyle name="Note 2 5 5 2 4 3" xfId="13407" xr:uid="{00000000-0005-0000-0000-0000D93A0000}"/>
    <cellStyle name="Note 2 5 5 2 4 3 2" xfId="28239" xr:uid="{00000000-0005-0000-0000-0000DA3A0000}"/>
    <cellStyle name="Note 2 5 5 2 4 4" xfId="10593" xr:uid="{00000000-0005-0000-0000-0000DB3A0000}"/>
    <cellStyle name="Note 2 5 5 2 4 4 2" xfId="25425" xr:uid="{00000000-0005-0000-0000-0000DC3A0000}"/>
    <cellStyle name="Note 2 5 5 2 4 5" xfId="20931" xr:uid="{00000000-0005-0000-0000-0000DD3A0000}"/>
    <cellStyle name="Note 2 5 5 2 5" xfId="6231" xr:uid="{00000000-0005-0000-0000-0000DE3A0000}"/>
    <cellStyle name="Note 2 5 5 2 5 2" xfId="16416" xr:uid="{00000000-0005-0000-0000-0000DF3A0000}"/>
    <cellStyle name="Note 2 5 5 2 5 2 2" xfId="31248" xr:uid="{00000000-0005-0000-0000-0000E03A0000}"/>
    <cellStyle name="Note 2 5 5 2 5 3" xfId="22698" xr:uid="{00000000-0005-0000-0000-0000E13A0000}"/>
    <cellStyle name="Note 2 5 5 2 6" xfId="12486" xr:uid="{00000000-0005-0000-0000-0000E23A0000}"/>
    <cellStyle name="Note 2 5 5 2 6 2" xfId="27318" xr:uid="{00000000-0005-0000-0000-0000E33A0000}"/>
    <cellStyle name="Note 2 5 5 2 7" xfId="10068" xr:uid="{00000000-0005-0000-0000-0000E43A0000}"/>
    <cellStyle name="Note 2 5 5 2 7 2" xfId="24900" xr:uid="{00000000-0005-0000-0000-0000E53A0000}"/>
    <cellStyle name="Note 2 5 5 2 8" xfId="20377" xr:uid="{00000000-0005-0000-0000-0000E63A0000}"/>
    <cellStyle name="Note 2 5 5 3" xfId="4331" xr:uid="{00000000-0005-0000-0000-0000E73A0000}"/>
    <cellStyle name="Note 2 5 5 3 2" xfId="8370" xr:uid="{00000000-0005-0000-0000-0000E83A0000}"/>
    <cellStyle name="Note 2 5 5 3 2 2" xfId="17648" xr:uid="{00000000-0005-0000-0000-0000E93A0000}"/>
    <cellStyle name="Note 2 5 5 3 2 2 2" xfId="32480" xr:uid="{00000000-0005-0000-0000-0000EA3A0000}"/>
    <cellStyle name="Note 2 5 5 3 2 3" xfId="24033" xr:uid="{00000000-0005-0000-0000-0000EB3A0000}"/>
    <cellStyle name="Note 2 5 5 3 3" xfId="14662" xr:uid="{00000000-0005-0000-0000-0000EC3A0000}"/>
    <cellStyle name="Note 2 5 5 3 3 2" xfId="29494" xr:uid="{00000000-0005-0000-0000-0000ED3A0000}"/>
    <cellStyle name="Note 2 5 5 3 4" xfId="11258" xr:uid="{00000000-0005-0000-0000-0000EE3A0000}"/>
    <cellStyle name="Note 2 5 5 3 4 2" xfId="26090" xr:uid="{00000000-0005-0000-0000-0000EF3A0000}"/>
    <cellStyle name="Note 2 5 5 3 5" xfId="21629" xr:uid="{00000000-0005-0000-0000-0000F03A0000}"/>
    <cellStyle name="Note 2 5 5 4" xfId="4659" xr:uid="{00000000-0005-0000-0000-0000F13A0000}"/>
    <cellStyle name="Note 2 5 5 4 2" xfId="8698" xr:uid="{00000000-0005-0000-0000-0000F23A0000}"/>
    <cellStyle name="Note 2 5 5 4 2 2" xfId="17806" xr:uid="{00000000-0005-0000-0000-0000F33A0000}"/>
    <cellStyle name="Note 2 5 5 4 2 2 2" xfId="32638" xr:uid="{00000000-0005-0000-0000-0000F43A0000}"/>
    <cellStyle name="Note 2 5 5 4 2 3" xfId="24260" xr:uid="{00000000-0005-0000-0000-0000F53A0000}"/>
    <cellStyle name="Note 2 5 5 4 3" xfId="14984" xr:uid="{00000000-0005-0000-0000-0000F63A0000}"/>
    <cellStyle name="Note 2 5 5 4 3 2" xfId="29816" xr:uid="{00000000-0005-0000-0000-0000F73A0000}"/>
    <cellStyle name="Note 2 5 5 4 4" xfId="11410" xr:uid="{00000000-0005-0000-0000-0000F83A0000}"/>
    <cellStyle name="Note 2 5 5 4 4 2" xfId="26242" xr:uid="{00000000-0005-0000-0000-0000F93A0000}"/>
    <cellStyle name="Note 2 5 5 4 5" xfId="21804" xr:uid="{00000000-0005-0000-0000-0000FA3A0000}"/>
    <cellStyle name="Note 2 5 5 5" xfId="2649" xr:uid="{00000000-0005-0000-0000-0000FB3A0000}"/>
    <cellStyle name="Note 2 5 5 5 2" xfId="6745" xr:uid="{00000000-0005-0000-0000-0000FC3A0000}"/>
    <cellStyle name="Note 2 5 5 5 2 2" xfId="16701" xr:uid="{00000000-0005-0000-0000-0000FD3A0000}"/>
    <cellStyle name="Note 2 5 5 5 2 2 2" xfId="31533" xr:uid="{00000000-0005-0000-0000-0000FE3A0000}"/>
    <cellStyle name="Note 2 5 5 5 2 3" xfId="23017" xr:uid="{00000000-0005-0000-0000-0000FF3A0000}"/>
    <cellStyle name="Note 2 5 5 5 3" xfId="12987" xr:uid="{00000000-0005-0000-0000-0000003B0000}"/>
    <cellStyle name="Note 2 5 5 5 3 2" xfId="27819" xr:uid="{00000000-0005-0000-0000-0000013B0000}"/>
    <cellStyle name="Note 2 5 5 5 4" xfId="10353" xr:uid="{00000000-0005-0000-0000-0000023B0000}"/>
    <cellStyle name="Note 2 5 5 5 4 2" xfId="25185" xr:uid="{00000000-0005-0000-0000-0000033B0000}"/>
    <cellStyle name="Note 2 5 5 5 5" xfId="20671" xr:uid="{00000000-0005-0000-0000-0000043B0000}"/>
    <cellStyle name="Note 2 5 5 6" xfId="5761" xr:uid="{00000000-0005-0000-0000-0000053B0000}"/>
    <cellStyle name="Note 2 5 5 6 2" xfId="15995" xr:uid="{00000000-0005-0000-0000-0000063B0000}"/>
    <cellStyle name="Note 2 5 5 6 2 2" xfId="30827" xr:uid="{00000000-0005-0000-0000-0000073B0000}"/>
    <cellStyle name="Note 2 5 5 6 3" xfId="22392" xr:uid="{00000000-0005-0000-0000-0000083B0000}"/>
    <cellStyle name="Note 2 5 5 7" xfId="12015" xr:uid="{00000000-0005-0000-0000-0000093B0000}"/>
    <cellStyle name="Note 2 5 5 7 2" xfId="26847" xr:uid="{00000000-0005-0000-0000-00000A3B0000}"/>
    <cellStyle name="Note 2 5 5 8" xfId="9675" xr:uid="{00000000-0005-0000-0000-00000B3B0000}"/>
    <cellStyle name="Note 2 5 5 8 2" xfId="19975" xr:uid="{00000000-0005-0000-0000-00000C3B0000}"/>
    <cellStyle name="Note 2 5 6" xfId="1765" xr:uid="{00000000-0005-0000-0000-00000D3B0000}"/>
    <cellStyle name="Note 2 5 6 2" xfId="3706" xr:uid="{00000000-0005-0000-0000-00000E3B0000}"/>
    <cellStyle name="Note 2 5 6 2 2" xfId="7762" xr:uid="{00000000-0005-0000-0000-00000F3B0000}"/>
    <cellStyle name="Note 2 5 6 2 2 2" xfId="17327" xr:uid="{00000000-0005-0000-0000-0000103B0000}"/>
    <cellStyle name="Note 2 5 6 2 2 2 2" xfId="32159" xr:uid="{00000000-0005-0000-0000-0000113B0000}"/>
    <cellStyle name="Note 2 5 6 2 2 3" xfId="23644" xr:uid="{00000000-0005-0000-0000-0000123B0000}"/>
    <cellStyle name="Note 2 5 6 2 3" xfId="14041" xr:uid="{00000000-0005-0000-0000-0000133B0000}"/>
    <cellStyle name="Note 2 5 6 2 3 2" xfId="28873" xr:uid="{00000000-0005-0000-0000-0000143B0000}"/>
    <cellStyle name="Note 2 5 6 2 4" xfId="10945" xr:uid="{00000000-0005-0000-0000-0000153B0000}"/>
    <cellStyle name="Note 2 5 6 2 4 2" xfId="25777" xr:uid="{00000000-0005-0000-0000-0000163B0000}"/>
    <cellStyle name="Note 2 5 6 2 5" xfId="21304" xr:uid="{00000000-0005-0000-0000-0000173B0000}"/>
    <cellStyle name="Note 2 5 6 3" xfId="4743" xr:uid="{00000000-0005-0000-0000-0000183B0000}"/>
    <cellStyle name="Note 2 5 6 3 2" xfId="8782" xr:uid="{00000000-0005-0000-0000-0000193B0000}"/>
    <cellStyle name="Note 2 5 6 3 2 2" xfId="17854" xr:uid="{00000000-0005-0000-0000-00001A3B0000}"/>
    <cellStyle name="Note 2 5 6 3 2 2 2" xfId="32686" xr:uid="{00000000-0005-0000-0000-00001B3B0000}"/>
    <cellStyle name="Note 2 5 6 3 2 3" xfId="24312" xr:uid="{00000000-0005-0000-0000-00001C3B0000}"/>
    <cellStyle name="Note 2 5 6 3 3" xfId="15067" xr:uid="{00000000-0005-0000-0000-00001D3B0000}"/>
    <cellStyle name="Note 2 5 6 3 3 2" xfId="29899" xr:uid="{00000000-0005-0000-0000-00001E3B0000}"/>
    <cellStyle name="Note 2 5 6 3 4" xfId="11457" xr:uid="{00000000-0005-0000-0000-00001F3B0000}"/>
    <cellStyle name="Note 2 5 6 3 4 2" xfId="26289" xr:uid="{00000000-0005-0000-0000-0000203B0000}"/>
    <cellStyle name="Note 2 5 6 3 5" xfId="21850" xr:uid="{00000000-0005-0000-0000-0000213B0000}"/>
    <cellStyle name="Note 2 5 6 4" xfId="2733" xr:uid="{00000000-0005-0000-0000-0000223B0000}"/>
    <cellStyle name="Note 2 5 6 4 2" xfId="6824" xr:uid="{00000000-0005-0000-0000-0000233B0000}"/>
    <cellStyle name="Note 2 5 6 4 2 2" xfId="16748" xr:uid="{00000000-0005-0000-0000-0000243B0000}"/>
    <cellStyle name="Note 2 5 6 4 2 2 2" xfId="31580" xr:uid="{00000000-0005-0000-0000-0000253B0000}"/>
    <cellStyle name="Note 2 5 6 4 2 3" xfId="23063" xr:uid="{00000000-0005-0000-0000-0000263B0000}"/>
    <cellStyle name="Note 2 5 6 4 3" xfId="13071" xr:uid="{00000000-0005-0000-0000-0000273B0000}"/>
    <cellStyle name="Note 2 5 6 4 3 2" xfId="27903" xr:uid="{00000000-0005-0000-0000-0000283B0000}"/>
    <cellStyle name="Note 2 5 6 4 4" xfId="10401" xr:uid="{00000000-0005-0000-0000-0000293B0000}"/>
    <cellStyle name="Note 2 5 6 4 4 2" xfId="25233" xr:uid="{00000000-0005-0000-0000-00002A3B0000}"/>
    <cellStyle name="Note 2 5 6 4 5" xfId="20723" xr:uid="{00000000-0005-0000-0000-00002B3B0000}"/>
    <cellStyle name="Note 2 5 6 5" xfId="5897" xr:uid="{00000000-0005-0000-0000-00002C3B0000}"/>
    <cellStyle name="Note 2 5 6 5 2" xfId="16089" xr:uid="{00000000-0005-0000-0000-00002D3B0000}"/>
    <cellStyle name="Note 2 5 6 5 2 2" xfId="30921" xr:uid="{00000000-0005-0000-0000-00002E3B0000}"/>
    <cellStyle name="Note 2 5 6 5 3" xfId="22494" xr:uid="{00000000-0005-0000-0000-00002F3B0000}"/>
    <cellStyle name="Note 2 5 6 6" xfId="12159" xr:uid="{00000000-0005-0000-0000-0000303B0000}"/>
    <cellStyle name="Note 2 5 6 6 2" xfId="26991" xr:uid="{00000000-0005-0000-0000-0000313B0000}"/>
    <cellStyle name="Note 2 5 6 7" xfId="9755" xr:uid="{00000000-0005-0000-0000-0000323B0000}"/>
    <cellStyle name="Note 2 5 6 7 2" xfId="24712" xr:uid="{00000000-0005-0000-0000-0000333B0000}"/>
    <cellStyle name="Note 2 5 6 8" xfId="20302" xr:uid="{00000000-0005-0000-0000-0000343B0000}"/>
    <cellStyle name="Note 2 5 7" xfId="2201" xr:uid="{00000000-0005-0000-0000-0000353B0000}"/>
    <cellStyle name="Note 2 5 7 2" xfId="4026" xr:uid="{00000000-0005-0000-0000-0000363B0000}"/>
    <cellStyle name="Note 2 5 7 2 2" xfId="8073" xr:uid="{00000000-0005-0000-0000-0000373B0000}"/>
    <cellStyle name="Note 2 5 7 2 2 2" xfId="17483" xr:uid="{00000000-0005-0000-0000-0000383B0000}"/>
    <cellStyle name="Note 2 5 7 2 2 2 2" xfId="32315" xr:uid="{00000000-0005-0000-0000-0000393B0000}"/>
    <cellStyle name="Note 2 5 7 2 2 3" xfId="23843" xr:uid="{00000000-0005-0000-0000-00003A3B0000}"/>
    <cellStyle name="Note 2 5 7 2 3" xfId="14358" xr:uid="{00000000-0005-0000-0000-00003B3B0000}"/>
    <cellStyle name="Note 2 5 7 2 3 2" xfId="29190" xr:uid="{00000000-0005-0000-0000-00003C3B0000}"/>
    <cellStyle name="Note 2 5 7 2 4" xfId="11099" xr:uid="{00000000-0005-0000-0000-00003D3B0000}"/>
    <cellStyle name="Note 2 5 7 2 4 2" xfId="25931" xr:uid="{00000000-0005-0000-0000-00003E3B0000}"/>
    <cellStyle name="Note 2 5 7 2 5" xfId="21481" xr:uid="{00000000-0005-0000-0000-00003F3B0000}"/>
    <cellStyle name="Note 2 5 7 3" xfId="5169" xr:uid="{00000000-0005-0000-0000-0000403B0000}"/>
    <cellStyle name="Note 2 5 7 3 2" xfId="9208" xr:uid="{00000000-0005-0000-0000-0000413B0000}"/>
    <cellStyle name="Note 2 5 7 3 2 2" xfId="18131" xr:uid="{00000000-0005-0000-0000-0000423B0000}"/>
    <cellStyle name="Note 2 5 7 3 2 2 2" xfId="32963" xr:uid="{00000000-0005-0000-0000-0000433B0000}"/>
    <cellStyle name="Note 2 5 7 3 2 3" xfId="24546" xr:uid="{00000000-0005-0000-0000-0000443B0000}"/>
    <cellStyle name="Note 2 5 7 3 3" xfId="15487" xr:uid="{00000000-0005-0000-0000-0000453B0000}"/>
    <cellStyle name="Note 2 5 7 3 3 2" xfId="30319" xr:uid="{00000000-0005-0000-0000-0000463B0000}"/>
    <cellStyle name="Note 2 5 7 3 4" xfId="11728" xr:uid="{00000000-0005-0000-0000-0000473B0000}"/>
    <cellStyle name="Note 2 5 7 3 4 2" xfId="26560" xr:uid="{00000000-0005-0000-0000-0000483B0000}"/>
    <cellStyle name="Note 2 5 7 3 5" xfId="22053" xr:uid="{00000000-0005-0000-0000-0000493B0000}"/>
    <cellStyle name="Note 2 5 7 4" xfId="4199" xr:uid="{00000000-0005-0000-0000-00004A3B0000}"/>
    <cellStyle name="Note 2 5 7 4 2" xfId="8240" xr:uid="{00000000-0005-0000-0000-00004B3B0000}"/>
    <cellStyle name="Note 2 5 7 4 2 2" xfId="17587" xr:uid="{00000000-0005-0000-0000-00004C3B0000}"/>
    <cellStyle name="Note 2 5 7 4 2 2 2" xfId="32419" xr:uid="{00000000-0005-0000-0000-00004D3B0000}"/>
    <cellStyle name="Note 2 5 7 4 2 3" xfId="23935" xr:uid="{00000000-0005-0000-0000-00004E3B0000}"/>
    <cellStyle name="Note 2 5 7 4 3" xfId="14531" xr:uid="{00000000-0005-0000-0000-00004F3B0000}"/>
    <cellStyle name="Note 2 5 7 4 3 2" xfId="29363" xr:uid="{00000000-0005-0000-0000-0000503B0000}"/>
    <cellStyle name="Note 2 5 7 4 4" xfId="11207" xr:uid="{00000000-0005-0000-0000-0000513B0000}"/>
    <cellStyle name="Note 2 5 7 4 4 2" xfId="26039" xr:uid="{00000000-0005-0000-0000-0000523B0000}"/>
    <cellStyle name="Note 2 5 7 4 5" xfId="21560" xr:uid="{00000000-0005-0000-0000-0000533B0000}"/>
    <cellStyle name="Note 2 5 7 5" xfId="6315" xr:uid="{00000000-0005-0000-0000-0000543B0000}"/>
    <cellStyle name="Note 2 5 7 5 2" xfId="16499" xr:uid="{00000000-0005-0000-0000-0000553B0000}"/>
    <cellStyle name="Note 2 5 7 5 2 2" xfId="31331" xr:uid="{00000000-0005-0000-0000-0000563B0000}"/>
    <cellStyle name="Note 2 5 7 5 3" xfId="22717" xr:uid="{00000000-0005-0000-0000-0000573B0000}"/>
    <cellStyle name="Note 2 5 7 6" xfId="12569" xr:uid="{00000000-0005-0000-0000-0000583B0000}"/>
    <cellStyle name="Note 2 5 7 6 2" xfId="27401" xr:uid="{00000000-0005-0000-0000-0000593B0000}"/>
    <cellStyle name="Note 2 5 7 7" xfId="10151" xr:uid="{00000000-0005-0000-0000-00005A3B0000}"/>
    <cellStyle name="Note 2 5 7 7 2" xfId="24983" xr:uid="{00000000-0005-0000-0000-00005B3B0000}"/>
    <cellStyle name="Note 2 5 7 8" xfId="20396" xr:uid="{00000000-0005-0000-0000-00005C3B0000}"/>
    <cellStyle name="Note 2 5 8" xfId="3206" xr:uid="{00000000-0005-0000-0000-00005D3B0000}"/>
    <cellStyle name="Note 2 5 8 2" xfId="7270" xr:uid="{00000000-0005-0000-0000-00005E3B0000}"/>
    <cellStyle name="Note 2 5 8 2 2" xfId="17037" xr:uid="{00000000-0005-0000-0000-00005F3B0000}"/>
    <cellStyle name="Note 2 5 8 2 2 2" xfId="31869" xr:uid="{00000000-0005-0000-0000-0000603B0000}"/>
    <cellStyle name="Note 2 5 8 2 3" xfId="23318" xr:uid="{00000000-0005-0000-0000-0000613B0000}"/>
    <cellStyle name="Note 2 5 8 3" xfId="13544" xr:uid="{00000000-0005-0000-0000-0000623B0000}"/>
    <cellStyle name="Note 2 5 8 3 2" xfId="28376" xr:uid="{00000000-0005-0000-0000-0000633B0000}"/>
    <cellStyle name="Note 2 5 8 4" xfId="10681" xr:uid="{00000000-0005-0000-0000-0000643B0000}"/>
    <cellStyle name="Note 2 5 8 4 2" xfId="25513" xr:uid="{00000000-0005-0000-0000-0000653B0000}"/>
    <cellStyle name="Note 2 5 8 5" xfId="21008" xr:uid="{00000000-0005-0000-0000-0000663B0000}"/>
    <cellStyle name="Note 2 5 9" xfId="3503" xr:uid="{00000000-0005-0000-0000-0000673B0000}"/>
    <cellStyle name="Note 2 5 9 2" xfId="7565" xr:uid="{00000000-0005-0000-0000-0000683B0000}"/>
    <cellStyle name="Note 2 5 9 2 2" xfId="17223" xr:uid="{00000000-0005-0000-0000-0000693B0000}"/>
    <cellStyle name="Note 2 5 9 2 2 2" xfId="32055" xr:uid="{00000000-0005-0000-0000-00006A3B0000}"/>
    <cellStyle name="Note 2 5 9 2 3" xfId="23519" xr:uid="{00000000-0005-0000-0000-00006B3B0000}"/>
    <cellStyle name="Note 2 5 9 3" xfId="13840" xr:uid="{00000000-0005-0000-0000-00006C3B0000}"/>
    <cellStyle name="Note 2 5 9 3 2" xfId="28672" xr:uid="{00000000-0005-0000-0000-00006D3B0000}"/>
    <cellStyle name="Note 2 5 9 4" xfId="10841" xr:uid="{00000000-0005-0000-0000-00006E3B0000}"/>
    <cellStyle name="Note 2 5 9 4 2" xfId="25673" xr:uid="{00000000-0005-0000-0000-00006F3B0000}"/>
    <cellStyle name="Note 2 5 9 5" xfId="21194" xr:uid="{00000000-0005-0000-0000-0000703B0000}"/>
    <cellStyle name="Note 2 6" xfId="1221" xr:uid="{00000000-0005-0000-0000-0000713B0000}"/>
    <cellStyle name="Note 2 6 10" xfId="2307" xr:uid="{00000000-0005-0000-0000-0000723B0000}"/>
    <cellStyle name="Note 2 6 10 2" xfId="6419" xr:uid="{00000000-0005-0000-0000-0000733B0000}"/>
    <cellStyle name="Note 2 6 10 2 2" xfId="16512" xr:uid="{00000000-0005-0000-0000-0000743B0000}"/>
    <cellStyle name="Note 2 6 10 2 2 2" xfId="31344" xr:uid="{00000000-0005-0000-0000-0000753B0000}"/>
    <cellStyle name="Note 2 6 10 2 3" xfId="22821" xr:uid="{00000000-0005-0000-0000-0000763B0000}"/>
    <cellStyle name="Note 2 6 10 3" xfId="12647" xr:uid="{00000000-0005-0000-0000-0000773B0000}"/>
    <cellStyle name="Note 2 6 10 3 2" xfId="27479" xr:uid="{00000000-0005-0000-0000-0000783B0000}"/>
    <cellStyle name="Note 2 6 10 4" xfId="10163" xr:uid="{00000000-0005-0000-0000-0000793B0000}"/>
    <cellStyle name="Note 2 6 10 4 2" xfId="24995" xr:uid="{00000000-0005-0000-0000-00007A3B0000}"/>
    <cellStyle name="Note 2 6 10 5" xfId="20470" xr:uid="{00000000-0005-0000-0000-00007B3B0000}"/>
    <cellStyle name="Note 2 6 11" xfId="5270" xr:uid="{00000000-0005-0000-0000-00007C3B0000}"/>
    <cellStyle name="Note 2 6 11 2" xfId="9278" xr:uid="{00000000-0005-0000-0000-00007D3B0000}"/>
    <cellStyle name="Note 2 6 11 2 2" xfId="18145" xr:uid="{00000000-0005-0000-0000-00007E3B0000}"/>
    <cellStyle name="Note 2 6 11 2 2 2" xfId="32977" xr:uid="{00000000-0005-0000-0000-00007F3B0000}"/>
    <cellStyle name="Note 2 6 11 2 3" xfId="24616" xr:uid="{00000000-0005-0000-0000-0000803B0000}"/>
    <cellStyle name="Note 2 6 11 3" xfId="15586" xr:uid="{00000000-0005-0000-0000-0000813B0000}"/>
    <cellStyle name="Note 2 6 11 3 2" xfId="30418" xr:uid="{00000000-0005-0000-0000-0000823B0000}"/>
    <cellStyle name="Note 2 6 11 4" xfId="22127" xr:uid="{00000000-0005-0000-0000-0000833B0000}"/>
    <cellStyle name="Note 2 6 12" xfId="5428" xr:uid="{00000000-0005-0000-0000-0000843B0000}"/>
    <cellStyle name="Note 2 6 12 2" xfId="15664" xr:uid="{00000000-0005-0000-0000-0000853B0000}"/>
    <cellStyle name="Note 2 6 12 2 2" xfId="30496" xr:uid="{00000000-0005-0000-0000-0000863B0000}"/>
    <cellStyle name="Note 2 6 12 3" xfId="22189" xr:uid="{00000000-0005-0000-0000-0000873B0000}"/>
    <cellStyle name="Note 2 6 13" xfId="9363" xr:uid="{00000000-0005-0000-0000-0000883B0000}"/>
    <cellStyle name="Note 2 6 13 2" xfId="24669" xr:uid="{00000000-0005-0000-0000-0000893B0000}"/>
    <cellStyle name="Note 2 6 14" xfId="5352" xr:uid="{00000000-0005-0000-0000-00008A3B0000}"/>
    <cellStyle name="Note 2 6 14 2" xfId="18226" xr:uid="{00000000-0005-0000-0000-00008B3B0000}"/>
    <cellStyle name="Note 2 6 2" xfId="1340" xr:uid="{00000000-0005-0000-0000-00008C3B0000}"/>
    <cellStyle name="Note 2 6 2 2" xfId="1844" xr:uid="{00000000-0005-0000-0000-00008D3B0000}"/>
    <cellStyle name="Note 2 6 2 2 2" xfId="3379" xr:uid="{00000000-0005-0000-0000-00008E3B0000}"/>
    <cellStyle name="Note 2 6 2 2 2 2" xfId="7442" xr:uid="{00000000-0005-0000-0000-00008F3B0000}"/>
    <cellStyle name="Note 2 6 2 2 2 2 2" xfId="17149" xr:uid="{00000000-0005-0000-0000-0000903B0000}"/>
    <cellStyle name="Note 2 6 2 2 2 2 2 2" xfId="31981" xr:uid="{00000000-0005-0000-0000-0000913B0000}"/>
    <cellStyle name="Note 2 6 2 2 2 2 3" xfId="23437" xr:uid="{00000000-0005-0000-0000-0000923B0000}"/>
    <cellStyle name="Note 2 6 2 2 2 3" xfId="13716" xr:uid="{00000000-0005-0000-0000-0000933B0000}"/>
    <cellStyle name="Note 2 6 2 2 2 3 2" xfId="28548" xr:uid="{00000000-0005-0000-0000-0000943B0000}"/>
    <cellStyle name="Note 2 6 2 2 2 4" xfId="10768" xr:uid="{00000000-0005-0000-0000-0000953B0000}"/>
    <cellStyle name="Note 2 6 2 2 2 4 2" xfId="25600" xr:uid="{00000000-0005-0000-0000-0000963B0000}"/>
    <cellStyle name="Note 2 6 2 2 2 5" xfId="21119" xr:uid="{00000000-0005-0000-0000-0000973B0000}"/>
    <cellStyle name="Note 2 6 2 2 3" xfId="4822" xr:uid="{00000000-0005-0000-0000-0000983B0000}"/>
    <cellStyle name="Note 2 6 2 2 3 2" xfId="8861" xr:uid="{00000000-0005-0000-0000-0000993B0000}"/>
    <cellStyle name="Note 2 6 2 2 3 2 2" xfId="17902" xr:uid="{00000000-0005-0000-0000-00009A3B0000}"/>
    <cellStyle name="Note 2 6 2 2 3 2 2 2" xfId="32734" xr:uid="{00000000-0005-0000-0000-00009B3B0000}"/>
    <cellStyle name="Note 2 6 2 2 3 2 3" xfId="24359" xr:uid="{00000000-0005-0000-0000-00009C3B0000}"/>
    <cellStyle name="Note 2 6 2 2 3 3" xfId="15146" xr:uid="{00000000-0005-0000-0000-00009D3B0000}"/>
    <cellStyle name="Note 2 6 2 2 3 3 2" xfId="29978" xr:uid="{00000000-0005-0000-0000-00009E3B0000}"/>
    <cellStyle name="Note 2 6 2 2 3 4" xfId="11505" xr:uid="{00000000-0005-0000-0000-00009F3B0000}"/>
    <cellStyle name="Note 2 6 2 2 3 4 2" xfId="26337" xr:uid="{00000000-0005-0000-0000-0000A03B0000}"/>
    <cellStyle name="Note 2 6 2 2 3 5" xfId="21897" xr:uid="{00000000-0005-0000-0000-0000A13B0000}"/>
    <cellStyle name="Note 2 6 2 2 4" xfId="2812" xr:uid="{00000000-0005-0000-0000-0000A23B0000}"/>
    <cellStyle name="Note 2 6 2 2 4 2" xfId="6903" xr:uid="{00000000-0005-0000-0000-0000A33B0000}"/>
    <cellStyle name="Note 2 6 2 2 4 2 2" xfId="16796" xr:uid="{00000000-0005-0000-0000-0000A43B0000}"/>
    <cellStyle name="Note 2 6 2 2 4 2 2 2" xfId="31628" xr:uid="{00000000-0005-0000-0000-0000A53B0000}"/>
    <cellStyle name="Note 2 6 2 2 4 2 3" xfId="23110" xr:uid="{00000000-0005-0000-0000-0000A63B0000}"/>
    <cellStyle name="Note 2 6 2 2 4 3" xfId="13150" xr:uid="{00000000-0005-0000-0000-0000A73B0000}"/>
    <cellStyle name="Note 2 6 2 2 4 3 2" xfId="27982" xr:uid="{00000000-0005-0000-0000-0000A83B0000}"/>
    <cellStyle name="Note 2 6 2 2 4 4" xfId="10449" xr:uid="{00000000-0005-0000-0000-0000A93B0000}"/>
    <cellStyle name="Note 2 6 2 2 4 4 2" xfId="25281" xr:uid="{00000000-0005-0000-0000-0000AA3B0000}"/>
    <cellStyle name="Note 2 6 2 2 4 5" xfId="20770" xr:uid="{00000000-0005-0000-0000-0000AB3B0000}"/>
    <cellStyle name="Note 2 6 2 2 5" xfId="5976" xr:uid="{00000000-0005-0000-0000-0000AC3B0000}"/>
    <cellStyle name="Note 2 6 2 2 5 2" xfId="16168" xr:uid="{00000000-0005-0000-0000-0000AD3B0000}"/>
    <cellStyle name="Note 2 6 2 2 5 2 2" xfId="31000" xr:uid="{00000000-0005-0000-0000-0000AE3B0000}"/>
    <cellStyle name="Note 2 6 2 2 5 3" xfId="22541" xr:uid="{00000000-0005-0000-0000-0000AF3B0000}"/>
    <cellStyle name="Note 2 6 2 2 6" xfId="12238" xr:uid="{00000000-0005-0000-0000-0000B03B0000}"/>
    <cellStyle name="Note 2 6 2 2 6 2" xfId="27070" xr:uid="{00000000-0005-0000-0000-0000B13B0000}"/>
    <cellStyle name="Note 2 6 2 2 7" xfId="9834" xr:uid="{00000000-0005-0000-0000-0000B23B0000}"/>
    <cellStyle name="Note 2 6 2 2 7 2" xfId="24760" xr:uid="{00000000-0005-0000-0000-0000B33B0000}"/>
    <cellStyle name="Note 2 6 2 2 8" xfId="20318" xr:uid="{00000000-0005-0000-0000-0000B43B0000}"/>
    <cellStyle name="Note 2 6 2 3" xfId="4119" xr:uid="{00000000-0005-0000-0000-0000B53B0000}"/>
    <cellStyle name="Note 2 6 2 3 2" xfId="8164" xr:uid="{00000000-0005-0000-0000-0000B63B0000}"/>
    <cellStyle name="Note 2 6 2 3 2 2" xfId="17527" xr:uid="{00000000-0005-0000-0000-0000B73B0000}"/>
    <cellStyle name="Note 2 6 2 3 2 2 2" xfId="32359" xr:uid="{00000000-0005-0000-0000-0000B83B0000}"/>
    <cellStyle name="Note 2 6 2 3 2 3" xfId="23902" xr:uid="{00000000-0005-0000-0000-0000B93B0000}"/>
    <cellStyle name="Note 2 6 2 3 3" xfId="14451" xr:uid="{00000000-0005-0000-0000-0000BA3B0000}"/>
    <cellStyle name="Note 2 6 2 3 3 2" xfId="29283" xr:uid="{00000000-0005-0000-0000-0000BB3B0000}"/>
    <cellStyle name="Note 2 6 2 3 4" xfId="11145" xr:uid="{00000000-0005-0000-0000-0000BC3B0000}"/>
    <cellStyle name="Note 2 6 2 3 4 2" xfId="25977" xr:uid="{00000000-0005-0000-0000-0000BD3B0000}"/>
    <cellStyle name="Note 2 6 2 3 5" xfId="21528" xr:uid="{00000000-0005-0000-0000-0000BE3B0000}"/>
    <cellStyle name="Note 2 6 2 4" xfId="4402" xr:uid="{00000000-0005-0000-0000-0000BF3B0000}"/>
    <cellStyle name="Note 2 6 2 4 2" xfId="8441" xr:uid="{00000000-0005-0000-0000-0000C03B0000}"/>
    <cellStyle name="Note 2 6 2 4 2 2" xfId="17662" xr:uid="{00000000-0005-0000-0000-0000C13B0000}"/>
    <cellStyle name="Note 2 6 2 4 2 2 2" xfId="32494" xr:uid="{00000000-0005-0000-0000-0000C23B0000}"/>
    <cellStyle name="Note 2 6 2 4 2 3" xfId="24099" xr:uid="{00000000-0005-0000-0000-0000C33B0000}"/>
    <cellStyle name="Note 2 6 2 4 3" xfId="14731" xr:uid="{00000000-0005-0000-0000-0000C43B0000}"/>
    <cellStyle name="Note 2 6 2 4 3 2" xfId="29563" xr:uid="{00000000-0005-0000-0000-0000C53B0000}"/>
    <cellStyle name="Note 2 6 2 4 4" xfId="11270" xr:uid="{00000000-0005-0000-0000-0000C63B0000}"/>
    <cellStyle name="Note 2 6 2 4 4 2" xfId="26102" xr:uid="{00000000-0005-0000-0000-0000C73B0000}"/>
    <cellStyle name="Note 2 6 2 4 5" xfId="21667" xr:uid="{00000000-0005-0000-0000-0000C83B0000}"/>
    <cellStyle name="Note 2 6 2 5" xfId="2392" xr:uid="{00000000-0005-0000-0000-0000C93B0000}"/>
    <cellStyle name="Note 2 6 2 5 2" xfId="6504" xr:uid="{00000000-0005-0000-0000-0000CA3B0000}"/>
    <cellStyle name="Note 2 6 2 5 2 2" xfId="16560" xr:uid="{00000000-0005-0000-0000-0000CB3B0000}"/>
    <cellStyle name="Note 2 6 2 5 2 2 2" xfId="31392" xr:uid="{00000000-0005-0000-0000-0000CC3B0000}"/>
    <cellStyle name="Note 2 6 2 5 2 3" xfId="22874" xr:uid="{00000000-0005-0000-0000-0000CD3B0000}"/>
    <cellStyle name="Note 2 6 2 5 3" xfId="12731" xr:uid="{00000000-0005-0000-0000-0000CE3B0000}"/>
    <cellStyle name="Note 2 6 2 5 3 2" xfId="27563" xr:uid="{00000000-0005-0000-0000-0000CF3B0000}"/>
    <cellStyle name="Note 2 6 2 5 4" xfId="10210" xr:uid="{00000000-0005-0000-0000-0000D03B0000}"/>
    <cellStyle name="Note 2 6 2 5 4 2" xfId="25042" xr:uid="{00000000-0005-0000-0000-0000D13B0000}"/>
    <cellStyle name="Note 2 6 2 5 5" xfId="20516" xr:uid="{00000000-0005-0000-0000-0000D23B0000}"/>
    <cellStyle name="Note 2 6 2 6" xfId="5517" xr:uid="{00000000-0005-0000-0000-0000D33B0000}"/>
    <cellStyle name="Note 2 6 2 6 2" xfId="15752" xr:uid="{00000000-0005-0000-0000-0000D43B0000}"/>
    <cellStyle name="Note 2 6 2 6 2 2" xfId="30584" xr:uid="{00000000-0005-0000-0000-0000D53B0000}"/>
    <cellStyle name="Note 2 6 2 6 3" xfId="22245" xr:uid="{00000000-0005-0000-0000-0000D63B0000}"/>
    <cellStyle name="Note 2 6 2 7" xfId="11767" xr:uid="{00000000-0005-0000-0000-0000D73B0000}"/>
    <cellStyle name="Note 2 6 2 7 2" xfId="26599" xr:uid="{00000000-0005-0000-0000-0000D83B0000}"/>
    <cellStyle name="Note 2 6 2 8" xfId="9438" xr:uid="{00000000-0005-0000-0000-0000D93B0000}"/>
    <cellStyle name="Note 2 6 2 8 2" xfId="19742" xr:uid="{00000000-0005-0000-0000-0000DA3B0000}"/>
    <cellStyle name="Note 2 6 3" xfId="1510" xr:uid="{00000000-0005-0000-0000-0000DB3B0000}"/>
    <cellStyle name="Note 2 6 3 2" xfId="2007" xr:uid="{00000000-0005-0000-0000-0000DC3B0000}"/>
    <cellStyle name="Note 2 6 3 2 2" xfId="3890" xr:uid="{00000000-0005-0000-0000-0000DD3B0000}"/>
    <cellStyle name="Note 2 6 3 2 2 2" xfId="7941" xr:uid="{00000000-0005-0000-0000-0000DE3B0000}"/>
    <cellStyle name="Note 2 6 3 2 2 2 2" xfId="17414" xr:uid="{00000000-0005-0000-0000-0000DF3B0000}"/>
    <cellStyle name="Note 2 6 3 2 2 2 2 2" xfId="32246" xr:uid="{00000000-0005-0000-0000-0000E03B0000}"/>
    <cellStyle name="Note 2 6 3 2 2 2 3" xfId="23763" xr:uid="{00000000-0005-0000-0000-0000E13B0000}"/>
    <cellStyle name="Note 2 6 3 2 2 3" xfId="14224" xr:uid="{00000000-0005-0000-0000-0000E23B0000}"/>
    <cellStyle name="Note 2 6 3 2 2 3 2" xfId="29056" xr:uid="{00000000-0005-0000-0000-0000E33B0000}"/>
    <cellStyle name="Note 2 6 3 2 2 4" xfId="11031" xr:uid="{00000000-0005-0000-0000-0000E43B0000}"/>
    <cellStyle name="Note 2 6 3 2 2 4 2" xfId="25863" xr:uid="{00000000-0005-0000-0000-0000E53B0000}"/>
    <cellStyle name="Note 2 6 3 2 2 5" xfId="21405" xr:uid="{00000000-0005-0000-0000-0000E63B0000}"/>
    <cellStyle name="Note 2 6 3 2 3" xfId="4975" xr:uid="{00000000-0005-0000-0000-0000E73B0000}"/>
    <cellStyle name="Note 2 6 3 2 3 2" xfId="9014" xr:uid="{00000000-0005-0000-0000-0000E83B0000}"/>
    <cellStyle name="Note 2 6 3 2 3 2 2" xfId="17952" xr:uid="{00000000-0005-0000-0000-0000E93B0000}"/>
    <cellStyle name="Note 2 6 3 2 3 2 2 2" xfId="32784" xr:uid="{00000000-0005-0000-0000-0000EA3B0000}"/>
    <cellStyle name="Note 2 6 3 2 3 2 3" xfId="24480" xr:uid="{00000000-0005-0000-0000-0000EB3B0000}"/>
    <cellStyle name="Note 2 6 3 2 3 3" xfId="15297" xr:uid="{00000000-0005-0000-0000-0000EC3B0000}"/>
    <cellStyle name="Note 2 6 3 2 3 3 2" xfId="30129" xr:uid="{00000000-0005-0000-0000-0000ED3B0000}"/>
    <cellStyle name="Note 2 6 3 2 3 4" xfId="11553" xr:uid="{00000000-0005-0000-0000-0000EE3B0000}"/>
    <cellStyle name="Note 2 6 3 2 3 4 2" xfId="26385" xr:uid="{00000000-0005-0000-0000-0000EF3B0000}"/>
    <cellStyle name="Note 2 6 3 2 3 5" xfId="22006" xr:uid="{00000000-0005-0000-0000-0000F03B0000}"/>
    <cellStyle name="Note 2 6 3 2 4" xfId="2965" xr:uid="{00000000-0005-0000-0000-0000F13B0000}"/>
    <cellStyle name="Note 2 6 3 2 4 2" xfId="7045" xr:uid="{00000000-0005-0000-0000-0000F23B0000}"/>
    <cellStyle name="Note 2 6 3 2 4 2 2" xfId="16844" xr:uid="{00000000-0005-0000-0000-0000F33B0000}"/>
    <cellStyle name="Note 2 6 3 2 4 2 2 2" xfId="31676" xr:uid="{00000000-0005-0000-0000-0000F43B0000}"/>
    <cellStyle name="Note 2 6 3 2 4 2 3" xfId="23219" xr:uid="{00000000-0005-0000-0000-0000F53B0000}"/>
    <cellStyle name="Note 2 6 3 2 4 3" xfId="13303" xr:uid="{00000000-0005-0000-0000-0000F63B0000}"/>
    <cellStyle name="Note 2 6 3 2 4 3 2" xfId="28135" xr:uid="{00000000-0005-0000-0000-0000F73B0000}"/>
    <cellStyle name="Note 2 6 3 2 4 4" xfId="10499" xr:uid="{00000000-0005-0000-0000-0000F83B0000}"/>
    <cellStyle name="Note 2 6 3 2 4 4 2" xfId="25331" xr:uid="{00000000-0005-0000-0000-0000F93B0000}"/>
    <cellStyle name="Note 2 6 3 2 4 5" xfId="20891" xr:uid="{00000000-0005-0000-0000-0000FA3B0000}"/>
    <cellStyle name="Note 2 6 3 2 5" xfId="6137" xr:uid="{00000000-0005-0000-0000-0000FB3B0000}"/>
    <cellStyle name="Note 2 6 3 2 5 2" xfId="16324" xr:uid="{00000000-0005-0000-0000-0000FC3B0000}"/>
    <cellStyle name="Note 2 6 3 2 5 2 2" xfId="31156" xr:uid="{00000000-0005-0000-0000-0000FD3B0000}"/>
    <cellStyle name="Note 2 6 3 2 5 3" xfId="22670" xr:uid="{00000000-0005-0000-0000-0000FE3B0000}"/>
    <cellStyle name="Note 2 6 3 2 6" xfId="12394" xr:uid="{00000000-0005-0000-0000-0000FF3B0000}"/>
    <cellStyle name="Note 2 6 3 2 6 2" xfId="27226" xr:uid="{00000000-0005-0000-0000-0000003C0000}"/>
    <cellStyle name="Note 2 6 3 2 7" xfId="9976" xr:uid="{00000000-0005-0000-0000-0000013C0000}"/>
    <cellStyle name="Note 2 6 3 2 7 2" xfId="24808" xr:uid="{00000000-0005-0000-0000-0000023C0000}"/>
    <cellStyle name="Note 2 6 3 2 8" xfId="20349" xr:uid="{00000000-0005-0000-0000-0000033C0000}"/>
    <cellStyle name="Note 2 6 3 3" xfId="3269" xr:uid="{00000000-0005-0000-0000-0000043C0000}"/>
    <cellStyle name="Note 2 6 3 3 2" xfId="7333" xr:uid="{00000000-0005-0000-0000-0000053C0000}"/>
    <cellStyle name="Note 2 6 3 3 2 2" xfId="17077" xr:uid="{00000000-0005-0000-0000-0000063C0000}"/>
    <cellStyle name="Note 2 6 3 3 2 2 2" xfId="31909" xr:uid="{00000000-0005-0000-0000-0000073C0000}"/>
    <cellStyle name="Note 2 6 3 3 2 3" xfId="23366" xr:uid="{00000000-0005-0000-0000-0000083C0000}"/>
    <cellStyle name="Note 2 6 3 3 3" xfId="13606" xr:uid="{00000000-0005-0000-0000-0000093C0000}"/>
    <cellStyle name="Note 2 6 3 3 3 2" xfId="28438" xr:uid="{00000000-0005-0000-0000-00000A3C0000}"/>
    <cellStyle name="Note 2 6 3 3 4" xfId="10705" xr:uid="{00000000-0005-0000-0000-00000B3C0000}"/>
    <cellStyle name="Note 2 6 3 3 4 2" xfId="25537" xr:uid="{00000000-0005-0000-0000-00000C3C0000}"/>
    <cellStyle name="Note 2 6 3 3 5" xfId="21053" xr:uid="{00000000-0005-0000-0000-00000D3C0000}"/>
    <cellStyle name="Note 2 6 3 4" xfId="4555" xr:uid="{00000000-0005-0000-0000-00000E3C0000}"/>
    <cellStyle name="Note 2 6 3 4 2" xfId="8594" xr:uid="{00000000-0005-0000-0000-00000F3C0000}"/>
    <cellStyle name="Note 2 6 3 4 2 2" xfId="17712" xr:uid="{00000000-0005-0000-0000-0000103C0000}"/>
    <cellStyle name="Note 2 6 3 4 2 2 2" xfId="32544" xr:uid="{00000000-0005-0000-0000-0000113C0000}"/>
    <cellStyle name="Note 2 6 3 4 2 3" xfId="24220" xr:uid="{00000000-0005-0000-0000-0000123C0000}"/>
    <cellStyle name="Note 2 6 3 4 3" xfId="14882" xr:uid="{00000000-0005-0000-0000-0000133C0000}"/>
    <cellStyle name="Note 2 6 3 4 3 2" xfId="29714" xr:uid="{00000000-0005-0000-0000-0000143C0000}"/>
    <cellStyle name="Note 2 6 3 4 4" xfId="11318" xr:uid="{00000000-0005-0000-0000-0000153C0000}"/>
    <cellStyle name="Note 2 6 3 4 4 2" xfId="26150" xr:uid="{00000000-0005-0000-0000-0000163C0000}"/>
    <cellStyle name="Note 2 6 3 4 5" xfId="21776" xr:uid="{00000000-0005-0000-0000-0000173C0000}"/>
    <cellStyle name="Note 2 6 3 5" xfId="2545" xr:uid="{00000000-0005-0000-0000-0000183C0000}"/>
    <cellStyle name="Note 2 6 3 5 2" xfId="6651" xr:uid="{00000000-0005-0000-0000-0000193C0000}"/>
    <cellStyle name="Note 2 6 3 5 2 2" xfId="16609" xr:uid="{00000000-0005-0000-0000-00001A3C0000}"/>
    <cellStyle name="Note 2 6 3 5 2 2 2" xfId="31441" xr:uid="{00000000-0005-0000-0000-00001B3C0000}"/>
    <cellStyle name="Note 2 6 3 5 2 3" xfId="22989" xr:uid="{00000000-0005-0000-0000-00001C3C0000}"/>
    <cellStyle name="Note 2 6 3 5 3" xfId="12883" xr:uid="{00000000-0005-0000-0000-00001D3C0000}"/>
    <cellStyle name="Note 2 6 3 5 3 2" xfId="27715" xr:uid="{00000000-0005-0000-0000-00001E3C0000}"/>
    <cellStyle name="Note 2 6 3 5 4" xfId="10259" xr:uid="{00000000-0005-0000-0000-00001F3C0000}"/>
    <cellStyle name="Note 2 6 3 5 4 2" xfId="25091" xr:uid="{00000000-0005-0000-0000-0000203C0000}"/>
    <cellStyle name="Note 2 6 3 5 5" xfId="20631" xr:uid="{00000000-0005-0000-0000-0000213C0000}"/>
    <cellStyle name="Note 2 6 3 6" xfId="5668" xr:uid="{00000000-0005-0000-0000-0000223C0000}"/>
    <cellStyle name="Note 2 6 3 6 2" xfId="15903" xr:uid="{00000000-0005-0000-0000-0000233C0000}"/>
    <cellStyle name="Note 2 6 3 6 2 2" xfId="30735" xr:uid="{00000000-0005-0000-0000-0000243C0000}"/>
    <cellStyle name="Note 2 6 3 6 3" xfId="22364" xr:uid="{00000000-0005-0000-0000-0000253C0000}"/>
    <cellStyle name="Note 2 6 3 7" xfId="11923" xr:uid="{00000000-0005-0000-0000-0000263C0000}"/>
    <cellStyle name="Note 2 6 3 7 2" xfId="26755" xr:uid="{00000000-0005-0000-0000-0000273C0000}"/>
    <cellStyle name="Note 2 6 3 8" xfId="9581" xr:uid="{00000000-0005-0000-0000-0000283C0000}"/>
    <cellStyle name="Note 2 6 3 8 2" xfId="19883" xr:uid="{00000000-0005-0000-0000-0000293C0000}"/>
    <cellStyle name="Note 2 6 4" xfId="1565" xr:uid="{00000000-0005-0000-0000-00002A3C0000}"/>
    <cellStyle name="Note 2 6 4 2" xfId="2062" xr:uid="{00000000-0005-0000-0000-00002B3C0000}"/>
    <cellStyle name="Note 2 6 4 2 2" xfId="3403" xr:uid="{00000000-0005-0000-0000-00002C3C0000}"/>
    <cellStyle name="Note 2 6 4 2 2 2" xfId="7466" xr:uid="{00000000-0005-0000-0000-00002D3C0000}"/>
    <cellStyle name="Note 2 6 4 2 2 2 2" xfId="17165" xr:uid="{00000000-0005-0000-0000-00002E3C0000}"/>
    <cellStyle name="Note 2 6 4 2 2 2 2 2" xfId="31997" xr:uid="{00000000-0005-0000-0000-00002F3C0000}"/>
    <cellStyle name="Note 2 6 4 2 2 2 3" xfId="23454" xr:uid="{00000000-0005-0000-0000-0000303C0000}"/>
    <cellStyle name="Note 2 6 4 2 2 3" xfId="13740" xr:uid="{00000000-0005-0000-0000-0000313C0000}"/>
    <cellStyle name="Note 2 6 4 2 2 3 2" xfId="28572" xr:uid="{00000000-0005-0000-0000-0000323C0000}"/>
    <cellStyle name="Note 2 6 4 2 2 4" xfId="10784" xr:uid="{00000000-0005-0000-0000-0000333C0000}"/>
    <cellStyle name="Note 2 6 4 2 2 4 2" xfId="25616" xr:uid="{00000000-0005-0000-0000-0000343C0000}"/>
    <cellStyle name="Note 2 6 4 2 2 5" xfId="21132" xr:uid="{00000000-0005-0000-0000-0000353C0000}"/>
    <cellStyle name="Note 2 6 4 2 3" xfId="5030" xr:uid="{00000000-0005-0000-0000-0000363C0000}"/>
    <cellStyle name="Note 2 6 4 2 3 2" xfId="9069" xr:uid="{00000000-0005-0000-0000-0000373C0000}"/>
    <cellStyle name="Note 2 6 4 2 3 2 2" xfId="18002" xr:uid="{00000000-0005-0000-0000-0000383C0000}"/>
    <cellStyle name="Note 2 6 4 2 3 2 2 2" xfId="32834" xr:uid="{00000000-0005-0000-0000-0000393C0000}"/>
    <cellStyle name="Note 2 6 4 2 3 2 3" xfId="24503" xr:uid="{00000000-0005-0000-0000-00003A3C0000}"/>
    <cellStyle name="Note 2 6 4 2 3 3" xfId="15351" xr:uid="{00000000-0005-0000-0000-00003B3C0000}"/>
    <cellStyle name="Note 2 6 4 2 3 3 2" xfId="30183" xr:uid="{00000000-0005-0000-0000-00003C3C0000}"/>
    <cellStyle name="Note 2 6 4 2 3 4" xfId="11602" xr:uid="{00000000-0005-0000-0000-00003D3C0000}"/>
    <cellStyle name="Note 2 6 4 2 3 4 2" xfId="26434" xr:uid="{00000000-0005-0000-0000-00003E3C0000}"/>
    <cellStyle name="Note 2 6 4 2 3 5" xfId="22023" xr:uid="{00000000-0005-0000-0000-00003F3C0000}"/>
    <cellStyle name="Note 2 6 4 2 4" xfId="3020" xr:uid="{00000000-0005-0000-0000-0000403C0000}"/>
    <cellStyle name="Note 2 6 4 2 4 2" xfId="7095" xr:uid="{00000000-0005-0000-0000-0000413C0000}"/>
    <cellStyle name="Note 2 6 4 2 4 2 2" xfId="16893" xr:uid="{00000000-0005-0000-0000-0000423C0000}"/>
    <cellStyle name="Note 2 6 4 2 4 2 2 2" xfId="31725" xr:uid="{00000000-0005-0000-0000-0000433C0000}"/>
    <cellStyle name="Note 2 6 4 2 4 2 3" xfId="23236" xr:uid="{00000000-0005-0000-0000-0000443C0000}"/>
    <cellStyle name="Note 2 6 4 2 4 3" xfId="13358" xr:uid="{00000000-0005-0000-0000-0000453C0000}"/>
    <cellStyle name="Note 2 6 4 2 4 3 2" xfId="28190" xr:uid="{00000000-0005-0000-0000-0000463C0000}"/>
    <cellStyle name="Note 2 6 4 2 4 4" xfId="10549" xr:uid="{00000000-0005-0000-0000-0000473C0000}"/>
    <cellStyle name="Note 2 6 4 2 4 4 2" xfId="25381" xr:uid="{00000000-0005-0000-0000-0000483C0000}"/>
    <cellStyle name="Note 2 6 4 2 4 5" xfId="20914" xr:uid="{00000000-0005-0000-0000-0000493C0000}"/>
    <cellStyle name="Note 2 6 4 2 5" xfId="6187" xr:uid="{00000000-0005-0000-0000-00004A3C0000}"/>
    <cellStyle name="Note 2 6 4 2 5 2" xfId="16373" xr:uid="{00000000-0005-0000-0000-00004B3C0000}"/>
    <cellStyle name="Note 2 6 4 2 5 2 2" xfId="31205" xr:uid="{00000000-0005-0000-0000-00004C3C0000}"/>
    <cellStyle name="Note 2 6 4 2 5 3" xfId="22687" xr:uid="{00000000-0005-0000-0000-00004D3C0000}"/>
    <cellStyle name="Note 2 6 4 2 6" xfId="12443" xr:uid="{00000000-0005-0000-0000-00004E3C0000}"/>
    <cellStyle name="Note 2 6 4 2 6 2" xfId="27275" xr:uid="{00000000-0005-0000-0000-00004F3C0000}"/>
    <cellStyle name="Note 2 6 4 2 7" xfId="10025" xr:uid="{00000000-0005-0000-0000-0000503C0000}"/>
    <cellStyle name="Note 2 6 4 2 7 2" xfId="24857" xr:uid="{00000000-0005-0000-0000-0000513C0000}"/>
    <cellStyle name="Note 2 6 4 2 8" xfId="20366" xr:uid="{00000000-0005-0000-0000-0000523C0000}"/>
    <cellStyle name="Note 2 6 4 3" xfId="3168" xr:uid="{00000000-0005-0000-0000-0000533C0000}"/>
    <cellStyle name="Note 2 6 4 3 2" xfId="7232" xr:uid="{00000000-0005-0000-0000-0000543C0000}"/>
    <cellStyle name="Note 2 6 4 3 2 2" xfId="17008" xr:uid="{00000000-0005-0000-0000-0000553C0000}"/>
    <cellStyle name="Note 2 6 4 3 2 2 2" xfId="31840" xr:uid="{00000000-0005-0000-0000-0000563C0000}"/>
    <cellStyle name="Note 2 6 4 3 2 3" xfId="23293" xr:uid="{00000000-0005-0000-0000-0000573C0000}"/>
    <cellStyle name="Note 2 6 4 3 3" xfId="13506" xr:uid="{00000000-0005-0000-0000-0000583C0000}"/>
    <cellStyle name="Note 2 6 4 3 3 2" xfId="28338" xr:uid="{00000000-0005-0000-0000-0000593C0000}"/>
    <cellStyle name="Note 2 6 4 3 4" xfId="10659" xr:uid="{00000000-0005-0000-0000-00005A3C0000}"/>
    <cellStyle name="Note 2 6 4 3 4 2" xfId="25491" xr:uid="{00000000-0005-0000-0000-00005B3C0000}"/>
    <cellStyle name="Note 2 6 4 3 5" xfId="20984" xr:uid="{00000000-0005-0000-0000-00005C3C0000}"/>
    <cellStyle name="Note 2 6 4 4" xfId="4610" xr:uid="{00000000-0005-0000-0000-00005D3C0000}"/>
    <cellStyle name="Note 2 6 4 4 2" xfId="8649" xr:uid="{00000000-0005-0000-0000-00005E3C0000}"/>
    <cellStyle name="Note 2 6 4 4 2 2" xfId="17762" xr:uid="{00000000-0005-0000-0000-00005F3C0000}"/>
    <cellStyle name="Note 2 6 4 4 2 2 2" xfId="32594" xr:uid="{00000000-0005-0000-0000-0000603C0000}"/>
    <cellStyle name="Note 2 6 4 4 2 3" xfId="24243" xr:uid="{00000000-0005-0000-0000-0000613C0000}"/>
    <cellStyle name="Note 2 6 4 4 3" xfId="14936" xr:uid="{00000000-0005-0000-0000-0000623C0000}"/>
    <cellStyle name="Note 2 6 4 4 3 2" xfId="29768" xr:uid="{00000000-0005-0000-0000-0000633C0000}"/>
    <cellStyle name="Note 2 6 4 4 4" xfId="11367" xr:uid="{00000000-0005-0000-0000-0000643C0000}"/>
    <cellStyle name="Note 2 6 4 4 4 2" xfId="26199" xr:uid="{00000000-0005-0000-0000-0000653C0000}"/>
    <cellStyle name="Note 2 6 4 4 5" xfId="21793" xr:uid="{00000000-0005-0000-0000-0000663C0000}"/>
    <cellStyle name="Note 2 6 4 5" xfId="2600" xr:uid="{00000000-0005-0000-0000-0000673C0000}"/>
    <cellStyle name="Note 2 6 4 5 2" xfId="6701" xr:uid="{00000000-0005-0000-0000-0000683C0000}"/>
    <cellStyle name="Note 2 6 4 5 2 2" xfId="16658" xr:uid="{00000000-0005-0000-0000-0000693C0000}"/>
    <cellStyle name="Note 2 6 4 5 2 2 2" xfId="31490" xr:uid="{00000000-0005-0000-0000-00006A3C0000}"/>
    <cellStyle name="Note 2 6 4 5 2 3" xfId="23006" xr:uid="{00000000-0005-0000-0000-00006B3C0000}"/>
    <cellStyle name="Note 2 6 4 5 3" xfId="12938" xr:uid="{00000000-0005-0000-0000-00006C3C0000}"/>
    <cellStyle name="Note 2 6 4 5 3 2" xfId="27770" xr:uid="{00000000-0005-0000-0000-00006D3C0000}"/>
    <cellStyle name="Note 2 6 4 5 4" xfId="10309" xr:uid="{00000000-0005-0000-0000-00006E3C0000}"/>
    <cellStyle name="Note 2 6 4 5 4 2" xfId="25141" xr:uid="{00000000-0005-0000-0000-00006F3C0000}"/>
    <cellStyle name="Note 2 6 4 5 5" xfId="20654" xr:uid="{00000000-0005-0000-0000-0000703C0000}"/>
    <cellStyle name="Note 2 6 4 6" xfId="5717" xr:uid="{00000000-0005-0000-0000-0000713C0000}"/>
    <cellStyle name="Note 2 6 4 6 2" xfId="15952" xr:uid="{00000000-0005-0000-0000-0000723C0000}"/>
    <cellStyle name="Note 2 6 4 6 2 2" xfId="30784" xr:uid="{00000000-0005-0000-0000-0000733C0000}"/>
    <cellStyle name="Note 2 6 4 6 3" xfId="22381" xr:uid="{00000000-0005-0000-0000-0000743C0000}"/>
    <cellStyle name="Note 2 6 4 7" xfId="11972" xr:uid="{00000000-0005-0000-0000-0000753C0000}"/>
    <cellStyle name="Note 2 6 4 7 2" xfId="26804" xr:uid="{00000000-0005-0000-0000-0000763C0000}"/>
    <cellStyle name="Note 2 6 4 8" xfId="9631" xr:uid="{00000000-0005-0000-0000-0000773C0000}"/>
    <cellStyle name="Note 2 6 4 8 2" xfId="19932" xr:uid="{00000000-0005-0000-0000-0000783C0000}"/>
    <cellStyle name="Note 2 6 5" xfId="1615" xr:uid="{00000000-0005-0000-0000-0000793C0000}"/>
    <cellStyle name="Note 2 6 5 2" xfId="2112" xr:uid="{00000000-0005-0000-0000-00007A3C0000}"/>
    <cellStyle name="Note 2 6 5 2 2" xfId="3413" xr:uid="{00000000-0005-0000-0000-00007B3C0000}"/>
    <cellStyle name="Note 2 6 5 2 2 2" xfId="7476" xr:uid="{00000000-0005-0000-0000-00007C3C0000}"/>
    <cellStyle name="Note 2 6 5 2 2 2 2" xfId="17175" xr:uid="{00000000-0005-0000-0000-00007D3C0000}"/>
    <cellStyle name="Note 2 6 5 2 2 2 2 2" xfId="32007" xr:uid="{00000000-0005-0000-0000-00007E3C0000}"/>
    <cellStyle name="Note 2 6 5 2 2 2 3" xfId="23462" xr:uid="{00000000-0005-0000-0000-00007F3C0000}"/>
    <cellStyle name="Note 2 6 5 2 2 3" xfId="13750" xr:uid="{00000000-0005-0000-0000-0000803C0000}"/>
    <cellStyle name="Note 2 6 5 2 2 3 2" xfId="28582" xr:uid="{00000000-0005-0000-0000-0000813C0000}"/>
    <cellStyle name="Note 2 6 5 2 2 4" xfId="10794" xr:uid="{00000000-0005-0000-0000-0000823C0000}"/>
    <cellStyle name="Note 2 6 5 2 2 4 2" xfId="25626" xr:uid="{00000000-0005-0000-0000-0000833C0000}"/>
    <cellStyle name="Note 2 6 5 2 2 5" xfId="21140" xr:uid="{00000000-0005-0000-0000-0000843C0000}"/>
    <cellStyle name="Note 2 6 5 2 3" xfId="5080" xr:uid="{00000000-0005-0000-0000-0000853C0000}"/>
    <cellStyle name="Note 2 6 5 2 3 2" xfId="9119" xr:uid="{00000000-0005-0000-0000-0000863C0000}"/>
    <cellStyle name="Note 2 6 5 2 3 2 2" xfId="18047" xr:uid="{00000000-0005-0000-0000-0000873C0000}"/>
    <cellStyle name="Note 2 6 5 2 3 2 2 2" xfId="32879" xr:uid="{00000000-0005-0000-0000-0000883C0000}"/>
    <cellStyle name="Note 2 6 5 2 3 2 3" xfId="24521" xr:uid="{00000000-0005-0000-0000-0000893C0000}"/>
    <cellStyle name="Note 2 6 5 2 3 3" xfId="15400" xr:uid="{00000000-0005-0000-0000-00008A3C0000}"/>
    <cellStyle name="Note 2 6 5 2 3 3 2" xfId="30232" xr:uid="{00000000-0005-0000-0000-00008B3C0000}"/>
    <cellStyle name="Note 2 6 5 2 3 4" xfId="11646" xr:uid="{00000000-0005-0000-0000-00008C3C0000}"/>
    <cellStyle name="Note 2 6 5 2 3 4 2" xfId="26478" xr:uid="{00000000-0005-0000-0000-00008D3C0000}"/>
    <cellStyle name="Note 2 6 5 2 3 5" xfId="22035" xr:uid="{00000000-0005-0000-0000-00008E3C0000}"/>
    <cellStyle name="Note 2 6 5 2 4" xfId="3070" xr:uid="{00000000-0005-0000-0000-00008F3C0000}"/>
    <cellStyle name="Note 2 6 5 2 4 2" xfId="7140" xr:uid="{00000000-0005-0000-0000-0000903C0000}"/>
    <cellStyle name="Note 2 6 5 2 4 2 2" xfId="16937" xr:uid="{00000000-0005-0000-0000-0000913C0000}"/>
    <cellStyle name="Note 2 6 5 2 4 2 2 2" xfId="31769" xr:uid="{00000000-0005-0000-0000-0000923C0000}"/>
    <cellStyle name="Note 2 6 5 2 4 2 3" xfId="23248" xr:uid="{00000000-0005-0000-0000-0000933C0000}"/>
    <cellStyle name="Note 2 6 5 2 4 3" xfId="13408" xr:uid="{00000000-0005-0000-0000-0000943C0000}"/>
    <cellStyle name="Note 2 6 5 2 4 3 2" xfId="28240" xr:uid="{00000000-0005-0000-0000-0000953C0000}"/>
    <cellStyle name="Note 2 6 5 2 4 4" xfId="10594" xr:uid="{00000000-0005-0000-0000-0000963C0000}"/>
    <cellStyle name="Note 2 6 5 2 4 4 2" xfId="25426" xr:uid="{00000000-0005-0000-0000-0000973C0000}"/>
    <cellStyle name="Note 2 6 5 2 4 5" xfId="20932" xr:uid="{00000000-0005-0000-0000-0000983C0000}"/>
    <cellStyle name="Note 2 6 5 2 5" xfId="6232" xr:uid="{00000000-0005-0000-0000-0000993C0000}"/>
    <cellStyle name="Note 2 6 5 2 5 2" xfId="16417" xr:uid="{00000000-0005-0000-0000-00009A3C0000}"/>
    <cellStyle name="Note 2 6 5 2 5 2 2" xfId="31249" xr:uid="{00000000-0005-0000-0000-00009B3C0000}"/>
    <cellStyle name="Note 2 6 5 2 5 3" xfId="22699" xr:uid="{00000000-0005-0000-0000-00009C3C0000}"/>
    <cellStyle name="Note 2 6 5 2 6" xfId="12487" xr:uid="{00000000-0005-0000-0000-00009D3C0000}"/>
    <cellStyle name="Note 2 6 5 2 6 2" xfId="27319" xr:uid="{00000000-0005-0000-0000-00009E3C0000}"/>
    <cellStyle name="Note 2 6 5 2 7" xfId="10069" xr:uid="{00000000-0005-0000-0000-00009F3C0000}"/>
    <cellStyle name="Note 2 6 5 2 7 2" xfId="24901" xr:uid="{00000000-0005-0000-0000-0000A03C0000}"/>
    <cellStyle name="Note 2 6 5 2 8" xfId="20378" xr:uid="{00000000-0005-0000-0000-0000A13C0000}"/>
    <cellStyle name="Note 2 6 5 3" xfId="3971" xr:uid="{00000000-0005-0000-0000-0000A23C0000}"/>
    <cellStyle name="Note 2 6 5 3 2" xfId="8020" xr:uid="{00000000-0005-0000-0000-0000A33C0000}"/>
    <cellStyle name="Note 2 6 5 3 2 2" xfId="17453" xr:uid="{00000000-0005-0000-0000-0000A43C0000}"/>
    <cellStyle name="Note 2 6 5 3 2 2 2" xfId="32285" xr:uid="{00000000-0005-0000-0000-0000A53C0000}"/>
    <cellStyle name="Note 2 6 5 3 2 3" xfId="23813" xr:uid="{00000000-0005-0000-0000-0000A63C0000}"/>
    <cellStyle name="Note 2 6 5 3 3" xfId="14304" xr:uid="{00000000-0005-0000-0000-0000A73C0000}"/>
    <cellStyle name="Note 2 6 5 3 3 2" xfId="29136" xr:uid="{00000000-0005-0000-0000-0000A83C0000}"/>
    <cellStyle name="Note 2 6 5 3 4" xfId="11069" xr:uid="{00000000-0005-0000-0000-0000A93C0000}"/>
    <cellStyle name="Note 2 6 5 3 4 2" xfId="25901" xr:uid="{00000000-0005-0000-0000-0000AA3C0000}"/>
    <cellStyle name="Note 2 6 5 3 5" xfId="21451" xr:uid="{00000000-0005-0000-0000-0000AB3C0000}"/>
    <cellStyle name="Note 2 6 5 4" xfId="4660" xr:uid="{00000000-0005-0000-0000-0000AC3C0000}"/>
    <cellStyle name="Note 2 6 5 4 2" xfId="8699" xr:uid="{00000000-0005-0000-0000-0000AD3C0000}"/>
    <cellStyle name="Note 2 6 5 4 2 2" xfId="17807" xr:uid="{00000000-0005-0000-0000-0000AE3C0000}"/>
    <cellStyle name="Note 2 6 5 4 2 2 2" xfId="32639" xr:uid="{00000000-0005-0000-0000-0000AF3C0000}"/>
    <cellStyle name="Note 2 6 5 4 2 3" xfId="24261" xr:uid="{00000000-0005-0000-0000-0000B03C0000}"/>
    <cellStyle name="Note 2 6 5 4 3" xfId="14985" xr:uid="{00000000-0005-0000-0000-0000B13C0000}"/>
    <cellStyle name="Note 2 6 5 4 3 2" xfId="29817" xr:uid="{00000000-0005-0000-0000-0000B23C0000}"/>
    <cellStyle name="Note 2 6 5 4 4" xfId="11411" xr:uid="{00000000-0005-0000-0000-0000B33C0000}"/>
    <cellStyle name="Note 2 6 5 4 4 2" xfId="26243" xr:uid="{00000000-0005-0000-0000-0000B43C0000}"/>
    <cellStyle name="Note 2 6 5 4 5" xfId="21805" xr:uid="{00000000-0005-0000-0000-0000B53C0000}"/>
    <cellStyle name="Note 2 6 5 5" xfId="2650" xr:uid="{00000000-0005-0000-0000-0000B63C0000}"/>
    <cellStyle name="Note 2 6 5 5 2" xfId="6746" xr:uid="{00000000-0005-0000-0000-0000B73C0000}"/>
    <cellStyle name="Note 2 6 5 5 2 2" xfId="16702" xr:uid="{00000000-0005-0000-0000-0000B83C0000}"/>
    <cellStyle name="Note 2 6 5 5 2 2 2" xfId="31534" xr:uid="{00000000-0005-0000-0000-0000B93C0000}"/>
    <cellStyle name="Note 2 6 5 5 2 3" xfId="23018" xr:uid="{00000000-0005-0000-0000-0000BA3C0000}"/>
    <cellStyle name="Note 2 6 5 5 3" xfId="12988" xr:uid="{00000000-0005-0000-0000-0000BB3C0000}"/>
    <cellStyle name="Note 2 6 5 5 3 2" xfId="27820" xr:uid="{00000000-0005-0000-0000-0000BC3C0000}"/>
    <cellStyle name="Note 2 6 5 5 4" xfId="10354" xr:uid="{00000000-0005-0000-0000-0000BD3C0000}"/>
    <cellStyle name="Note 2 6 5 5 4 2" xfId="25186" xr:uid="{00000000-0005-0000-0000-0000BE3C0000}"/>
    <cellStyle name="Note 2 6 5 5 5" xfId="20672" xr:uid="{00000000-0005-0000-0000-0000BF3C0000}"/>
    <cellStyle name="Note 2 6 5 6" xfId="5762" xr:uid="{00000000-0005-0000-0000-0000C03C0000}"/>
    <cellStyle name="Note 2 6 5 6 2" xfId="15996" xr:uid="{00000000-0005-0000-0000-0000C13C0000}"/>
    <cellStyle name="Note 2 6 5 6 2 2" xfId="30828" xr:uid="{00000000-0005-0000-0000-0000C23C0000}"/>
    <cellStyle name="Note 2 6 5 6 3" xfId="22393" xr:uid="{00000000-0005-0000-0000-0000C33C0000}"/>
    <cellStyle name="Note 2 6 5 7" xfId="12016" xr:uid="{00000000-0005-0000-0000-0000C43C0000}"/>
    <cellStyle name="Note 2 6 5 7 2" xfId="26848" xr:uid="{00000000-0005-0000-0000-0000C53C0000}"/>
    <cellStyle name="Note 2 6 5 8" xfId="9676" xr:uid="{00000000-0005-0000-0000-0000C63C0000}"/>
    <cellStyle name="Note 2 6 5 8 2" xfId="19976" xr:uid="{00000000-0005-0000-0000-0000C73C0000}"/>
    <cellStyle name="Note 2 6 6" xfId="1766" xr:uid="{00000000-0005-0000-0000-0000C83C0000}"/>
    <cellStyle name="Note 2 6 6 2" xfId="4125" xr:uid="{00000000-0005-0000-0000-0000C93C0000}"/>
    <cellStyle name="Note 2 6 6 2 2" xfId="8169" xr:uid="{00000000-0005-0000-0000-0000CA3C0000}"/>
    <cellStyle name="Note 2 6 6 2 2 2" xfId="17531" xr:uid="{00000000-0005-0000-0000-0000CB3C0000}"/>
    <cellStyle name="Note 2 6 6 2 2 2 2" xfId="32363" xr:uid="{00000000-0005-0000-0000-0000CC3C0000}"/>
    <cellStyle name="Note 2 6 6 2 2 3" xfId="23904" xr:uid="{00000000-0005-0000-0000-0000CD3C0000}"/>
    <cellStyle name="Note 2 6 6 2 3" xfId="14457" xr:uid="{00000000-0005-0000-0000-0000CE3C0000}"/>
    <cellStyle name="Note 2 6 6 2 3 2" xfId="29289" xr:uid="{00000000-0005-0000-0000-0000CF3C0000}"/>
    <cellStyle name="Note 2 6 6 2 4" xfId="11149" xr:uid="{00000000-0005-0000-0000-0000D03C0000}"/>
    <cellStyle name="Note 2 6 6 2 4 2" xfId="25981" xr:uid="{00000000-0005-0000-0000-0000D13C0000}"/>
    <cellStyle name="Note 2 6 6 2 5" xfId="21531" xr:uid="{00000000-0005-0000-0000-0000D23C0000}"/>
    <cellStyle name="Note 2 6 6 3" xfId="4744" xr:uid="{00000000-0005-0000-0000-0000D33C0000}"/>
    <cellStyle name="Note 2 6 6 3 2" xfId="8783" xr:uid="{00000000-0005-0000-0000-0000D43C0000}"/>
    <cellStyle name="Note 2 6 6 3 2 2" xfId="17855" xr:uid="{00000000-0005-0000-0000-0000D53C0000}"/>
    <cellStyle name="Note 2 6 6 3 2 2 2" xfId="32687" xr:uid="{00000000-0005-0000-0000-0000D63C0000}"/>
    <cellStyle name="Note 2 6 6 3 2 3" xfId="24313" xr:uid="{00000000-0005-0000-0000-0000D73C0000}"/>
    <cellStyle name="Note 2 6 6 3 3" xfId="15068" xr:uid="{00000000-0005-0000-0000-0000D83C0000}"/>
    <cellStyle name="Note 2 6 6 3 3 2" xfId="29900" xr:uid="{00000000-0005-0000-0000-0000D93C0000}"/>
    <cellStyle name="Note 2 6 6 3 4" xfId="11458" xr:uid="{00000000-0005-0000-0000-0000DA3C0000}"/>
    <cellStyle name="Note 2 6 6 3 4 2" xfId="26290" xr:uid="{00000000-0005-0000-0000-0000DB3C0000}"/>
    <cellStyle name="Note 2 6 6 3 5" xfId="21851" xr:uid="{00000000-0005-0000-0000-0000DC3C0000}"/>
    <cellStyle name="Note 2 6 6 4" xfId="2734" xr:uid="{00000000-0005-0000-0000-0000DD3C0000}"/>
    <cellStyle name="Note 2 6 6 4 2" xfId="6825" xr:uid="{00000000-0005-0000-0000-0000DE3C0000}"/>
    <cellStyle name="Note 2 6 6 4 2 2" xfId="16749" xr:uid="{00000000-0005-0000-0000-0000DF3C0000}"/>
    <cellStyle name="Note 2 6 6 4 2 2 2" xfId="31581" xr:uid="{00000000-0005-0000-0000-0000E03C0000}"/>
    <cellStyle name="Note 2 6 6 4 2 3" xfId="23064" xr:uid="{00000000-0005-0000-0000-0000E13C0000}"/>
    <cellStyle name="Note 2 6 6 4 3" xfId="13072" xr:uid="{00000000-0005-0000-0000-0000E23C0000}"/>
    <cellStyle name="Note 2 6 6 4 3 2" xfId="27904" xr:uid="{00000000-0005-0000-0000-0000E33C0000}"/>
    <cellStyle name="Note 2 6 6 4 4" xfId="10402" xr:uid="{00000000-0005-0000-0000-0000E43C0000}"/>
    <cellStyle name="Note 2 6 6 4 4 2" xfId="25234" xr:uid="{00000000-0005-0000-0000-0000E53C0000}"/>
    <cellStyle name="Note 2 6 6 4 5" xfId="20724" xr:uid="{00000000-0005-0000-0000-0000E63C0000}"/>
    <cellStyle name="Note 2 6 6 5" xfId="5898" xr:uid="{00000000-0005-0000-0000-0000E73C0000}"/>
    <cellStyle name="Note 2 6 6 5 2" xfId="16090" xr:uid="{00000000-0005-0000-0000-0000E83C0000}"/>
    <cellStyle name="Note 2 6 6 5 2 2" xfId="30922" xr:uid="{00000000-0005-0000-0000-0000E93C0000}"/>
    <cellStyle name="Note 2 6 6 5 3" xfId="22495" xr:uid="{00000000-0005-0000-0000-0000EA3C0000}"/>
    <cellStyle name="Note 2 6 6 6" xfId="12160" xr:uid="{00000000-0005-0000-0000-0000EB3C0000}"/>
    <cellStyle name="Note 2 6 6 6 2" xfId="26992" xr:uid="{00000000-0005-0000-0000-0000EC3C0000}"/>
    <cellStyle name="Note 2 6 6 7" xfId="9756" xr:uid="{00000000-0005-0000-0000-0000ED3C0000}"/>
    <cellStyle name="Note 2 6 6 7 2" xfId="24713" xr:uid="{00000000-0005-0000-0000-0000EE3C0000}"/>
    <cellStyle name="Note 2 6 6 8" xfId="20303" xr:uid="{00000000-0005-0000-0000-0000EF3C0000}"/>
    <cellStyle name="Note 2 6 7" xfId="2200" xr:uid="{00000000-0005-0000-0000-0000F03C0000}"/>
    <cellStyle name="Note 2 6 7 2" xfId="3232" xr:uid="{00000000-0005-0000-0000-0000F13C0000}"/>
    <cellStyle name="Note 2 6 7 2 2" xfId="7296" xr:uid="{00000000-0005-0000-0000-0000F23C0000}"/>
    <cellStyle name="Note 2 6 7 2 2 2" xfId="17056" xr:uid="{00000000-0005-0000-0000-0000F33C0000}"/>
    <cellStyle name="Note 2 6 7 2 2 2 2" xfId="31888" xr:uid="{00000000-0005-0000-0000-0000F43C0000}"/>
    <cellStyle name="Note 2 6 7 2 2 3" xfId="23336" xr:uid="{00000000-0005-0000-0000-0000F53C0000}"/>
    <cellStyle name="Note 2 6 7 2 3" xfId="13570" xr:uid="{00000000-0005-0000-0000-0000F63C0000}"/>
    <cellStyle name="Note 2 6 7 2 3 2" xfId="28402" xr:uid="{00000000-0005-0000-0000-0000F73C0000}"/>
    <cellStyle name="Note 2 6 7 2 4" xfId="10695" xr:uid="{00000000-0005-0000-0000-0000F83C0000}"/>
    <cellStyle name="Note 2 6 7 2 4 2" xfId="25527" xr:uid="{00000000-0005-0000-0000-0000F93C0000}"/>
    <cellStyle name="Note 2 6 7 2 5" xfId="21025" xr:uid="{00000000-0005-0000-0000-0000FA3C0000}"/>
    <cellStyle name="Note 2 6 7 3" xfId="5168" xr:uid="{00000000-0005-0000-0000-0000FB3C0000}"/>
    <cellStyle name="Note 2 6 7 3 2" xfId="9207" xr:uid="{00000000-0005-0000-0000-0000FC3C0000}"/>
    <cellStyle name="Note 2 6 7 3 2 2" xfId="18130" xr:uid="{00000000-0005-0000-0000-0000FD3C0000}"/>
    <cellStyle name="Note 2 6 7 3 2 2 2" xfId="32962" xr:uid="{00000000-0005-0000-0000-0000FE3C0000}"/>
    <cellStyle name="Note 2 6 7 3 2 3" xfId="24545" xr:uid="{00000000-0005-0000-0000-0000FF3C0000}"/>
    <cellStyle name="Note 2 6 7 3 3" xfId="15486" xr:uid="{00000000-0005-0000-0000-0000003D0000}"/>
    <cellStyle name="Note 2 6 7 3 3 2" xfId="30318" xr:uid="{00000000-0005-0000-0000-0000013D0000}"/>
    <cellStyle name="Note 2 6 7 3 4" xfId="11727" xr:uid="{00000000-0005-0000-0000-0000023D0000}"/>
    <cellStyle name="Note 2 6 7 3 4 2" xfId="26559" xr:uid="{00000000-0005-0000-0000-0000033D0000}"/>
    <cellStyle name="Note 2 6 7 3 5" xfId="22052" xr:uid="{00000000-0005-0000-0000-0000043D0000}"/>
    <cellStyle name="Note 2 6 7 4" xfId="4198" xr:uid="{00000000-0005-0000-0000-0000053D0000}"/>
    <cellStyle name="Note 2 6 7 4 2" xfId="8239" xr:uid="{00000000-0005-0000-0000-0000063D0000}"/>
    <cellStyle name="Note 2 6 7 4 2 2" xfId="17586" xr:uid="{00000000-0005-0000-0000-0000073D0000}"/>
    <cellStyle name="Note 2 6 7 4 2 2 2" xfId="32418" xr:uid="{00000000-0005-0000-0000-0000083D0000}"/>
    <cellStyle name="Note 2 6 7 4 2 3" xfId="23934" xr:uid="{00000000-0005-0000-0000-0000093D0000}"/>
    <cellStyle name="Note 2 6 7 4 3" xfId="14530" xr:uid="{00000000-0005-0000-0000-00000A3D0000}"/>
    <cellStyle name="Note 2 6 7 4 3 2" xfId="29362" xr:uid="{00000000-0005-0000-0000-00000B3D0000}"/>
    <cellStyle name="Note 2 6 7 4 4" xfId="11206" xr:uid="{00000000-0005-0000-0000-00000C3D0000}"/>
    <cellStyle name="Note 2 6 7 4 4 2" xfId="26038" xr:uid="{00000000-0005-0000-0000-00000D3D0000}"/>
    <cellStyle name="Note 2 6 7 4 5" xfId="21559" xr:uid="{00000000-0005-0000-0000-00000E3D0000}"/>
    <cellStyle name="Note 2 6 7 5" xfId="6314" xr:uid="{00000000-0005-0000-0000-00000F3D0000}"/>
    <cellStyle name="Note 2 6 7 5 2" xfId="16498" xr:uid="{00000000-0005-0000-0000-0000103D0000}"/>
    <cellStyle name="Note 2 6 7 5 2 2" xfId="31330" xr:uid="{00000000-0005-0000-0000-0000113D0000}"/>
    <cellStyle name="Note 2 6 7 5 3" xfId="22716" xr:uid="{00000000-0005-0000-0000-0000123D0000}"/>
    <cellStyle name="Note 2 6 7 6" xfId="12568" xr:uid="{00000000-0005-0000-0000-0000133D0000}"/>
    <cellStyle name="Note 2 6 7 6 2" xfId="27400" xr:uid="{00000000-0005-0000-0000-0000143D0000}"/>
    <cellStyle name="Note 2 6 7 7" xfId="10150" xr:uid="{00000000-0005-0000-0000-0000153D0000}"/>
    <cellStyle name="Note 2 6 7 7 2" xfId="24982" xr:uid="{00000000-0005-0000-0000-0000163D0000}"/>
    <cellStyle name="Note 2 6 7 8" xfId="20395" xr:uid="{00000000-0005-0000-0000-0000173D0000}"/>
    <cellStyle name="Note 2 6 8" xfId="3330" xr:uid="{00000000-0005-0000-0000-0000183D0000}"/>
    <cellStyle name="Note 2 6 8 2" xfId="7393" xr:uid="{00000000-0005-0000-0000-0000193D0000}"/>
    <cellStyle name="Note 2 6 8 2 2" xfId="17126" xr:uid="{00000000-0005-0000-0000-00001A3D0000}"/>
    <cellStyle name="Note 2 6 8 2 2 2" xfId="31958" xr:uid="{00000000-0005-0000-0000-00001B3D0000}"/>
    <cellStyle name="Note 2 6 8 2 3" xfId="23402" xr:uid="{00000000-0005-0000-0000-00001C3D0000}"/>
    <cellStyle name="Note 2 6 8 3" xfId="13667" xr:uid="{00000000-0005-0000-0000-00001D3D0000}"/>
    <cellStyle name="Note 2 6 8 3 2" xfId="28499" xr:uid="{00000000-0005-0000-0000-00001E3D0000}"/>
    <cellStyle name="Note 2 6 8 4" xfId="10747" xr:uid="{00000000-0005-0000-0000-00001F3D0000}"/>
    <cellStyle name="Note 2 6 8 4 2" xfId="25579" xr:uid="{00000000-0005-0000-0000-0000203D0000}"/>
    <cellStyle name="Note 2 6 8 5" xfId="21090" xr:uid="{00000000-0005-0000-0000-0000213D0000}"/>
    <cellStyle name="Note 2 6 9" xfId="3691" xr:uid="{00000000-0005-0000-0000-0000223D0000}"/>
    <cellStyle name="Note 2 6 9 2" xfId="7747" xr:uid="{00000000-0005-0000-0000-0000233D0000}"/>
    <cellStyle name="Note 2 6 9 2 2" xfId="17317" xr:uid="{00000000-0005-0000-0000-0000243D0000}"/>
    <cellStyle name="Note 2 6 9 2 2 2" xfId="32149" xr:uid="{00000000-0005-0000-0000-0000253D0000}"/>
    <cellStyle name="Note 2 6 9 2 3" xfId="23634" xr:uid="{00000000-0005-0000-0000-0000263D0000}"/>
    <cellStyle name="Note 2 6 9 3" xfId="14026" xr:uid="{00000000-0005-0000-0000-0000273D0000}"/>
    <cellStyle name="Note 2 6 9 3 2" xfId="28858" xr:uid="{00000000-0005-0000-0000-0000283D0000}"/>
    <cellStyle name="Note 2 6 9 4" xfId="10935" xr:uid="{00000000-0005-0000-0000-0000293D0000}"/>
    <cellStyle name="Note 2 6 9 4 2" xfId="25767" xr:uid="{00000000-0005-0000-0000-00002A3D0000}"/>
    <cellStyle name="Note 2 6 9 5" xfId="21295" xr:uid="{00000000-0005-0000-0000-00002B3D0000}"/>
    <cellStyle name="Note 2 7" xfId="1222" xr:uid="{00000000-0005-0000-0000-00002C3D0000}"/>
    <cellStyle name="Note 2 7 10" xfId="2308" xr:uid="{00000000-0005-0000-0000-00002D3D0000}"/>
    <cellStyle name="Note 2 7 10 2" xfId="6420" xr:uid="{00000000-0005-0000-0000-00002E3D0000}"/>
    <cellStyle name="Note 2 7 10 2 2" xfId="16513" xr:uid="{00000000-0005-0000-0000-00002F3D0000}"/>
    <cellStyle name="Note 2 7 10 2 2 2" xfId="31345" xr:uid="{00000000-0005-0000-0000-0000303D0000}"/>
    <cellStyle name="Note 2 7 10 2 3" xfId="22822" xr:uid="{00000000-0005-0000-0000-0000313D0000}"/>
    <cellStyle name="Note 2 7 10 3" xfId="12648" xr:uid="{00000000-0005-0000-0000-0000323D0000}"/>
    <cellStyle name="Note 2 7 10 3 2" xfId="27480" xr:uid="{00000000-0005-0000-0000-0000333D0000}"/>
    <cellStyle name="Note 2 7 10 4" xfId="10164" xr:uid="{00000000-0005-0000-0000-0000343D0000}"/>
    <cellStyle name="Note 2 7 10 4 2" xfId="24996" xr:uid="{00000000-0005-0000-0000-0000353D0000}"/>
    <cellStyle name="Note 2 7 10 5" xfId="20471" xr:uid="{00000000-0005-0000-0000-0000363D0000}"/>
    <cellStyle name="Note 2 7 11" xfId="5271" xr:uid="{00000000-0005-0000-0000-0000373D0000}"/>
    <cellStyle name="Note 2 7 11 2" xfId="9279" xr:uid="{00000000-0005-0000-0000-0000383D0000}"/>
    <cellStyle name="Note 2 7 11 2 2" xfId="18146" xr:uid="{00000000-0005-0000-0000-0000393D0000}"/>
    <cellStyle name="Note 2 7 11 2 2 2" xfId="32978" xr:uid="{00000000-0005-0000-0000-00003A3D0000}"/>
    <cellStyle name="Note 2 7 11 2 3" xfId="24617" xr:uid="{00000000-0005-0000-0000-00003B3D0000}"/>
    <cellStyle name="Note 2 7 11 3" xfId="15587" xr:uid="{00000000-0005-0000-0000-00003C3D0000}"/>
    <cellStyle name="Note 2 7 11 3 2" xfId="30419" xr:uid="{00000000-0005-0000-0000-00003D3D0000}"/>
    <cellStyle name="Note 2 7 11 4" xfId="22128" xr:uid="{00000000-0005-0000-0000-00003E3D0000}"/>
    <cellStyle name="Note 2 7 12" xfId="5429" xr:uid="{00000000-0005-0000-0000-00003F3D0000}"/>
    <cellStyle name="Note 2 7 12 2" xfId="15665" xr:uid="{00000000-0005-0000-0000-0000403D0000}"/>
    <cellStyle name="Note 2 7 12 2 2" xfId="30497" xr:uid="{00000000-0005-0000-0000-0000413D0000}"/>
    <cellStyle name="Note 2 7 12 3" xfId="22190" xr:uid="{00000000-0005-0000-0000-0000423D0000}"/>
    <cellStyle name="Note 2 7 13" xfId="9362" xr:uid="{00000000-0005-0000-0000-0000433D0000}"/>
    <cellStyle name="Note 2 7 13 2" xfId="24668" xr:uid="{00000000-0005-0000-0000-0000443D0000}"/>
    <cellStyle name="Note 2 7 14" xfId="5351" xr:uid="{00000000-0005-0000-0000-0000453D0000}"/>
    <cellStyle name="Note 2 7 14 2" xfId="18225" xr:uid="{00000000-0005-0000-0000-0000463D0000}"/>
    <cellStyle name="Note 2 7 2" xfId="1341" xr:uid="{00000000-0005-0000-0000-0000473D0000}"/>
    <cellStyle name="Note 2 7 2 2" xfId="1845" xr:uid="{00000000-0005-0000-0000-0000483D0000}"/>
    <cellStyle name="Note 2 7 2 2 2" xfId="3708" xr:uid="{00000000-0005-0000-0000-0000493D0000}"/>
    <cellStyle name="Note 2 7 2 2 2 2" xfId="7764" xr:uid="{00000000-0005-0000-0000-00004A3D0000}"/>
    <cellStyle name="Note 2 7 2 2 2 2 2" xfId="17328" xr:uid="{00000000-0005-0000-0000-00004B3D0000}"/>
    <cellStyle name="Note 2 7 2 2 2 2 2 2" xfId="32160" xr:uid="{00000000-0005-0000-0000-00004C3D0000}"/>
    <cellStyle name="Note 2 7 2 2 2 2 3" xfId="23646" xr:uid="{00000000-0005-0000-0000-00004D3D0000}"/>
    <cellStyle name="Note 2 7 2 2 2 3" xfId="14043" xr:uid="{00000000-0005-0000-0000-00004E3D0000}"/>
    <cellStyle name="Note 2 7 2 2 2 3 2" xfId="28875" xr:uid="{00000000-0005-0000-0000-00004F3D0000}"/>
    <cellStyle name="Note 2 7 2 2 2 4" xfId="10946" xr:uid="{00000000-0005-0000-0000-0000503D0000}"/>
    <cellStyle name="Note 2 7 2 2 2 4 2" xfId="25778" xr:uid="{00000000-0005-0000-0000-0000513D0000}"/>
    <cellStyle name="Note 2 7 2 2 2 5" xfId="21306" xr:uid="{00000000-0005-0000-0000-0000523D0000}"/>
    <cellStyle name="Note 2 7 2 2 3" xfId="4823" xr:uid="{00000000-0005-0000-0000-0000533D0000}"/>
    <cellStyle name="Note 2 7 2 2 3 2" xfId="8862" xr:uid="{00000000-0005-0000-0000-0000543D0000}"/>
    <cellStyle name="Note 2 7 2 2 3 2 2" xfId="17903" xr:uid="{00000000-0005-0000-0000-0000553D0000}"/>
    <cellStyle name="Note 2 7 2 2 3 2 2 2" xfId="32735" xr:uid="{00000000-0005-0000-0000-0000563D0000}"/>
    <cellStyle name="Note 2 7 2 2 3 2 3" xfId="24360" xr:uid="{00000000-0005-0000-0000-0000573D0000}"/>
    <cellStyle name="Note 2 7 2 2 3 3" xfId="15147" xr:uid="{00000000-0005-0000-0000-0000583D0000}"/>
    <cellStyle name="Note 2 7 2 2 3 3 2" xfId="29979" xr:uid="{00000000-0005-0000-0000-0000593D0000}"/>
    <cellStyle name="Note 2 7 2 2 3 4" xfId="11506" xr:uid="{00000000-0005-0000-0000-00005A3D0000}"/>
    <cellStyle name="Note 2 7 2 2 3 4 2" xfId="26338" xr:uid="{00000000-0005-0000-0000-00005B3D0000}"/>
    <cellStyle name="Note 2 7 2 2 3 5" xfId="21898" xr:uid="{00000000-0005-0000-0000-00005C3D0000}"/>
    <cellStyle name="Note 2 7 2 2 4" xfId="2813" xr:uid="{00000000-0005-0000-0000-00005D3D0000}"/>
    <cellStyle name="Note 2 7 2 2 4 2" xfId="6904" xr:uid="{00000000-0005-0000-0000-00005E3D0000}"/>
    <cellStyle name="Note 2 7 2 2 4 2 2" xfId="16797" xr:uid="{00000000-0005-0000-0000-00005F3D0000}"/>
    <cellStyle name="Note 2 7 2 2 4 2 2 2" xfId="31629" xr:uid="{00000000-0005-0000-0000-0000603D0000}"/>
    <cellStyle name="Note 2 7 2 2 4 2 3" xfId="23111" xr:uid="{00000000-0005-0000-0000-0000613D0000}"/>
    <cellStyle name="Note 2 7 2 2 4 3" xfId="13151" xr:uid="{00000000-0005-0000-0000-0000623D0000}"/>
    <cellStyle name="Note 2 7 2 2 4 3 2" xfId="27983" xr:uid="{00000000-0005-0000-0000-0000633D0000}"/>
    <cellStyle name="Note 2 7 2 2 4 4" xfId="10450" xr:uid="{00000000-0005-0000-0000-0000643D0000}"/>
    <cellStyle name="Note 2 7 2 2 4 4 2" xfId="25282" xr:uid="{00000000-0005-0000-0000-0000653D0000}"/>
    <cellStyle name="Note 2 7 2 2 4 5" xfId="20771" xr:uid="{00000000-0005-0000-0000-0000663D0000}"/>
    <cellStyle name="Note 2 7 2 2 5" xfId="5977" xr:uid="{00000000-0005-0000-0000-0000673D0000}"/>
    <cellStyle name="Note 2 7 2 2 5 2" xfId="16169" xr:uid="{00000000-0005-0000-0000-0000683D0000}"/>
    <cellStyle name="Note 2 7 2 2 5 2 2" xfId="31001" xr:uid="{00000000-0005-0000-0000-0000693D0000}"/>
    <cellStyle name="Note 2 7 2 2 5 3" xfId="22542" xr:uid="{00000000-0005-0000-0000-00006A3D0000}"/>
    <cellStyle name="Note 2 7 2 2 6" xfId="12239" xr:uid="{00000000-0005-0000-0000-00006B3D0000}"/>
    <cellStyle name="Note 2 7 2 2 6 2" xfId="27071" xr:uid="{00000000-0005-0000-0000-00006C3D0000}"/>
    <cellStyle name="Note 2 7 2 2 7" xfId="9835" xr:uid="{00000000-0005-0000-0000-00006D3D0000}"/>
    <cellStyle name="Note 2 7 2 2 7 2" xfId="24761" xr:uid="{00000000-0005-0000-0000-00006E3D0000}"/>
    <cellStyle name="Note 2 7 2 2 8" xfId="20319" xr:uid="{00000000-0005-0000-0000-00006F3D0000}"/>
    <cellStyle name="Note 2 7 2 3" xfId="4150" xr:uid="{00000000-0005-0000-0000-0000703D0000}"/>
    <cellStyle name="Note 2 7 2 3 2" xfId="8193" xr:uid="{00000000-0005-0000-0000-0000713D0000}"/>
    <cellStyle name="Note 2 7 2 3 2 2" xfId="17545" xr:uid="{00000000-0005-0000-0000-0000723D0000}"/>
    <cellStyle name="Note 2 7 2 3 2 2 2" xfId="32377" xr:uid="{00000000-0005-0000-0000-0000733D0000}"/>
    <cellStyle name="Note 2 7 2 3 2 3" xfId="23920" xr:uid="{00000000-0005-0000-0000-0000743D0000}"/>
    <cellStyle name="Note 2 7 2 3 3" xfId="14482" xr:uid="{00000000-0005-0000-0000-0000753D0000}"/>
    <cellStyle name="Note 2 7 2 3 3 2" xfId="29314" xr:uid="{00000000-0005-0000-0000-0000763D0000}"/>
    <cellStyle name="Note 2 7 2 3 4" xfId="11163" xr:uid="{00000000-0005-0000-0000-0000773D0000}"/>
    <cellStyle name="Note 2 7 2 3 4 2" xfId="25995" xr:uid="{00000000-0005-0000-0000-0000783D0000}"/>
    <cellStyle name="Note 2 7 2 3 5" xfId="21548" xr:uid="{00000000-0005-0000-0000-0000793D0000}"/>
    <cellStyle name="Note 2 7 2 4" xfId="4403" xr:uid="{00000000-0005-0000-0000-00007A3D0000}"/>
    <cellStyle name="Note 2 7 2 4 2" xfId="8442" xr:uid="{00000000-0005-0000-0000-00007B3D0000}"/>
    <cellStyle name="Note 2 7 2 4 2 2" xfId="17663" xr:uid="{00000000-0005-0000-0000-00007C3D0000}"/>
    <cellStyle name="Note 2 7 2 4 2 2 2" xfId="32495" xr:uid="{00000000-0005-0000-0000-00007D3D0000}"/>
    <cellStyle name="Note 2 7 2 4 2 3" xfId="24100" xr:uid="{00000000-0005-0000-0000-00007E3D0000}"/>
    <cellStyle name="Note 2 7 2 4 3" xfId="14732" xr:uid="{00000000-0005-0000-0000-00007F3D0000}"/>
    <cellStyle name="Note 2 7 2 4 3 2" xfId="29564" xr:uid="{00000000-0005-0000-0000-0000803D0000}"/>
    <cellStyle name="Note 2 7 2 4 4" xfId="11271" xr:uid="{00000000-0005-0000-0000-0000813D0000}"/>
    <cellStyle name="Note 2 7 2 4 4 2" xfId="26103" xr:uid="{00000000-0005-0000-0000-0000823D0000}"/>
    <cellStyle name="Note 2 7 2 4 5" xfId="21668" xr:uid="{00000000-0005-0000-0000-0000833D0000}"/>
    <cellStyle name="Note 2 7 2 5" xfId="2393" xr:uid="{00000000-0005-0000-0000-0000843D0000}"/>
    <cellStyle name="Note 2 7 2 5 2" xfId="6505" xr:uid="{00000000-0005-0000-0000-0000853D0000}"/>
    <cellStyle name="Note 2 7 2 5 2 2" xfId="16561" xr:uid="{00000000-0005-0000-0000-0000863D0000}"/>
    <cellStyle name="Note 2 7 2 5 2 2 2" xfId="31393" xr:uid="{00000000-0005-0000-0000-0000873D0000}"/>
    <cellStyle name="Note 2 7 2 5 2 3" xfId="22875" xr:uid="{00000000-0005-0000-0000-0000883D0000}"/>
    <cellStyle name="Note 2 7 2 5 3" xfId="12732" xr:uid="{00000000-0005-0000-0000-0000893D0000}"/>
    <cellStyle name="Note 2 7 2 5 3 2" xfId="27564" xr:uid="{00000000-0005-0000-0000-00008A3D0000}"/>
    <cellStyle name="Note 2 7 2 5 4" xfId="10211" xr:uid="{00000000-0005-0000-0000-00008B3D0000}"/>
    <cellStyle name="Note 2 7 2 5 4 2" xfId="25043" xr:uid="{00000000-0005-0000-0000-00008C3D0000}"/>
    <cellStyle name="Note 2 7 2 5 5" xfId="20517" xr:uid="{00000000-0005-0000-0000-00008D3D0000}"/>
    <cellStyle name="Note 2 7 2 6" xfId="5518" xr:uid="{00000000-0005-0000-0000-00008E3D0000}"/>
    <cellStyle name="Note 2 7 2 6 2" xfId="15753" xr:uid="{00000000-0005-0000-0000-00008F3D0000}"/>
    <cellStyle name="Note 2 7 2 6 2 2" xfId="30585" xr:uid="{00000000-0005-0000-0000-0000903D0000}"/>
    <cellStyle name="Note 2 7 2 6 3" xfId="22246" xr:uid="{00000000-0005-0000-0000-0000913D0000}"/>
    <cellStyle name="Note 2 7 2 7" xfId="11768" xr:uid="{00000000-0005-0000-0000-0000923D0000}"/>
    <cellStyle name="Note 2 7 2 7 2" xfId="26600" xr:uid="{00000000-0005-0000-0000-0000933D0000}"/>
    <cellStyle name="Note 2 7 2 8" xfId="9439" xr:uid="{00000000-0005-0000-0000-0000943D0000}"/>
    <cellStyle name="Note 2 7 2 8 2" xfId="19743" xr:uid="{00000000-0005-0000-0000-0000953D0000}"/>
    <cellStyle name="Note 2 7 3" xfId="1511" xr:uid="{00000000-0005-0000-0000-0000963D0000}"/>
    <cellStyle name="Note 2 7 3 2" xfId="2008" xr:uid="{00000000-0005-0000-0000-0000973D0000}"/>
    <cellStyle name="Note 2 7 3 2 2" xfId="3847" xr:uid="{00000000-0005-0000-0000-0000983D0000}"/>
    <cellStyle name="Note 2 7 3 2 2 2" xfId="7900" xr:uid="{00000000-0005-0000-0000-0000993D0000}"/>
    <cellStyle name="Note 2 7 3 2 2 2 2" xfId="17392" xr:uid="{00000000-0005-0000-0000-00009A3D0000}"/>
    <cellStyle name="Note 2 7 3 2 2 2 2 2" xfId="32224" xr:uid="{00000000-0005-0000-0000-00009B3D0000}"/>
    <cellStyle name="Note 2 7 3 2 2 2 3" xfId="23737" xr:uid="{00000000-0005-0000-0000-00009C3D0000}"/>
    <cellStyle name="Note 2 7 3 2 2 3" xfId="14182" xr:uid="{00000000-0005-0000-0000-00009D3D0000}"/>
    <cellStyle name="Note 2 7 3 2 2 3 2" xfId="29014" xr:uid="{00000000-0005-0000-0000-00009E3D0000}"/>
    <cellStyle name="Note 2 7 3 2 2 4" xfId="11011" xr:uid="{00000000-0005-0000-0000-00009F3D0000}"/>
    <cellStyle name="Note 2 7 3 2 2 4 2" xfId="25843" xr:uid="{00000000-0005-0000-0000-0000A03D0000}"/>
    <cellStyle name="Note 2 7 3 2 2 5" xfId="21383" xr:uid="{00000000-0005-0000-0000-0000A13D0000}"/>
    <cellStyle name="Note 2 7 3 2 3" xfId="4976" xr:uid="{00000000-0005-0000-0000-0000A23D0000}"/>
    <cellStyle name="Note 2 7 3 2 3 2" xfId="9015" xr:uid="{00000000-0005-0000-0000-0000A33D0000}"/>
    <cellStyle name="Note 2 7 3 2 3 2 2" xfId="17953" xr:uid="{00000000-0005-0000-0000-0000A43D0000}"/>
    <cellStyle name="Note 2 7 3 2 3 2 2 2" xfId="32785" xr:uid="{00000000-0005-0000-0000-0000A53D0000}"/>
    <cellStyle name="Note 2 7 3 2 3 2 3" xfId="24481" xr:uid="{00000000-0005-0000-0000-0000A63D0000}"/>
    <cellStyle name="Note 2 7 3 2 3 3" xfId="15298" xr:uid="{00000000-0005-0000-0000-0000A73D0000}"/>
    <cellStyle name="Note 2 7 3 2 3 3 2" xfId="30130" xr:uid="{00000000-0005-0000-0000-0000A83D0000}"/>
    <cellStyle name="Note 2 7 3 2 3 4" xfId="11554" xr:uid="{00000000-0005-0000-0000-0000A93D0000}"/>
    <cellStyle name="Note 2 7 3 2 3 4 2" xfId="26386" xr:uid="{00000000-0005-0000-0000-0000AA3D0000}"/>
    <cellStyle name="Note 2 7 3 2 3 5" xfId="22007" xr:uid="{00000000-0005-0000-0000-0000AB3D0000}"/>
    <cellStyle name="Note 2 7 3 2 4" xfId="2966" xr:uid="{00000000-0005-0000-0000-0000AC3D0000}"/>
    <cellStyle name="Note 2 7 3 2 4 2" xfId="7046" xr:uid="{00000000-0005-0000-0000-0000AD3D0000}"/>
    <cellStyle name="Note 2 7 3 2 4 2 2" xfId="16845" xr:uid="{00000000-0005-0000-0000-0000AE3D0000}"/>
    <cellStyle name="Note 2 7 3 2 4 2 2 2" xfId="31677" xr:uid="{00000000-0005-0000-0000-0000AF3D0000}"/>
    <cellStyle name="Note 2 7 3 2 4 2 3" xfId="23220" xr:uid="{00000000-0005-0000-0000-0000B03D0000}"/>
    <cellStyle name="Note 2 7 3 2 4 3" xfId="13304" xr:uid="{00000000-0005-0000-0000-0000B13D0000}"/>
    <cellStyle name="Note 2 7 3 2 4 3 2" xfId="28136" xr:uid="{00000000-0005-0000-0000-0000B23D0000}"/>
    <cellStyle name="Note 2 7 3 2 4 4" xfId="10500" xr:uid="{00000000-0005-0000-0000-0000B33D0000}"/>
    <cellStyle name="Note 2 7 3 2 4 4 2" xfId="25332" xr:uid="{00000000-0005-0000-0000-0000B43D0000}"/>
    <cellStyle name="Note 2 7 3 2 4 5" xfId="20892" xr:uid="{00000000-0005-0000-0000-0000B53D0000}"/>
    <cellStyle name="Note 2 7 3 2 5" xfId="6138" xr:uid="{00000000-0005-0000-0000-0000B63D0000}"/>
    <cellStyle name="Note 2 7 3 2 5 2" xfId="16325" xr:uid="{00000000-0005-0000-0000-0000B73D0000}"/>
    <cellStyle name="Note 2 7 3 2 5 2 2" xfId="31157" xr:uid="{00000000-0005-0000-0000-0000B83D0000}"/>
    <cellStyle name="Note 2 7 3 2 5 3" xfId="22671" xr:uid="{00000000-0005-0000-0000-0000B93D0000}"/>
    <cellStyle name="Note 2 7 3 2 6" xfId="12395" xr:uid="{00000000-0005-0000-0000-0000BA3D0000}"/>
    <cellStyle name="Note 2 7 3 2 6 2" xfId="27227" xr:uid="{00000000-0005-0000-0000-0000BB3D0000}"/>
    <cellStyle name="Note 2 7 3 2 7" xfId="9977" xr:uid="{00000000-0005-0000-0000-0000BC3D0000}"/>
    <cellStyle name="Note 2 7 3 2 7 2" xfId="24809" xr:uid="{00000000-0005-0000-0000-0000BD3D0000}"/>
    <cellStyle name="Note 2 7 3 2 8" xfId="20350" xr:uid="{00000000-0005-0000-0000-0000BE3D0000}"/>
    <cellStyle name="Note 2 7 3 3" xfId="3200" xr:uid="{00000000-0005-0000-0000-0000BF3D0000}"/>
    <cellStyle name="Note 2 7 3 3 2" xfId="7264" xr:uid="{00000000-0005-0000-0000-0000C03D0000}"/>
    <cellStyle name="Note 2 7 3 3 2 2" xfId="17031" xr:uid="{00000000-0005-0000-0000-0000C13D0000}"/>
    <cellStyle name="Note 2 7 3 3 2 2 2" xfId="31863" xr:uid="{00000000-0005-0000-0000-0000C23D0000}"/>
    <cellStyle name="Note 2 7 3 3 2 3" xfId="23315" xr:uid="{00000000-0005-0000-0000-0000C33D0000}"/>
    <cellStyle name="Note 2 7 3 3 3" xfId="13538" xr:uid="{00000000-0005-0000-0000-0000C43D0000}"/>
    <cellStyle name="Note 2 7 3 3 3 2" xfId="28370" xr:uid="{00000000-0005-0000-0000-0000C53D0000}"/>
    <cellStyle name="Note 2 7 3 3 4" xfId="10675" xr:uid="{00000000-0005-0000-0000-0000C63D0000}"/>
    <cellStyle name="Note 2 7 3 3 4 2" xfId="25507" xr:uid="{00000000-0005-0000-0000-0000C73D0000}"/>
    <cellStyle name="Note 2 7 3 3 5" xfId="21005" xr:uid="{00000000-0005-0000-0000-0000C83D0000}"/>
    <cellStyle name="Note 2 7 3 4" xfId="4556" xr:uid="{00000000-0005-0000-0000-0000C93D0000}"/>
    <cellStyle name="Note 2 7 3 4 2" xfId="8595" xr:uid="{00000000-0005-0000-0000-0000CA3D0000}"/>
    <cellStyle name="Note 2 7 3 4 2 2" xfId="17713" xr:uid="{00000000-0005-0000-0000-0000CB3D0000}"/>
    <cellStyle name="Note 2 7 3 4 2 2 2" xfId="32545" xr:uid="{00000000-0005-0000-0000-0000CC3D0000}"/>
    <cellStyle name="Note 2 7 3 4 2 3" xfId="24221" xr:uid="{00000000-0005-0000-0000-0000CD3D0000}"/>
    <cellStyle name="Note 2 7 3 4 3" xfId="14883" xr:uid="{00000000-0005-0000-0000-0000CE3D0000}"/>
    <cellStyle name="Note 2 7 3 4 3 2" xfId="29715" xr:uid="{00000000-0005-0000-0000-0000CF3D0000}"/>
    <cellStyle name="Note 2 7 3 4 4" xfId="11319" xr:uid="{00000000-0005-0000-0000-0000D03D0000}"/>
    <cellStyle name="Note 2 7 3 4 4 2" xfId="26151" xr:uid="{00000000-0005-0000-0000-0000D13D0000}"/>
    <cellStyle name="Note 2 7 3 4 5" xfId="21777" xr:uid="{00000000-0005-0000-0000-0000D23D0000}"/>
    <cellStyle name="Note 2 7 3 5" xfId="2546" xr:uid="{00000000-0005-0000-0000-0000D33D0000}"/>
    <cellStyle name="Note 2 7 3 5 2" xfId="6652" xr:uid="{00000000-0005-0000-0000-0000D43D0000}"/>
    <cellStyle name="Note 2 7 3 5 2 2" xfId="16610" xr:uid="{00000000-0005-0000-0000-0000D53D0000}"/>
    <cellStyle name="Note 2 7 3 5 2 2 2" xfId="31442" xr:uid="{00000000-0005-0000-0000-0000D63D0000}"/>
    <cellStyle name="Note 2 7 3 5 2 3" xfId="22990" xr:uid="{00000000-0005-0000-0000-0000D73D0000}"/>
    <cellStyle name="Note 2 7 3 5 3" xfId="12884" xr:uid="{00000000-0005-0000-0000-0000D83D0000}"/>
    <cellStyle name="Note 2 7 3 5 3 2" xfId="27716" xr:uid="{00000000-0005-0000-0000-0000D93D0000}"/>
    <cellStyle name="Note 2 7 3 5 4" xfId="10260" xr:uid="{00000000-0005-0000-0000-0000DA3D0000}"/>
    <cellStyle name="Note 2 7 3 5 4 2" xfId="25092" xr:uid="{00000000-0005-0000-0000-0000DB3D0000}"/>
    <cellStyle name="Note 2 7 3 5 5" xfId="20632" xr:uid="{00000000-0005-0000-0000-0000DC3D0000}"/>
    <cellStyle name="Note 2 7 3 6" xfId="5669" xr:uid="{00000000-0005-0000-0000-0000DD3D0000}"/>
    <cellStyle name="Note 2 7 3 6 2" xfId="15904" xr:uid="{00000000-0005-0000-0000-0000DE3D0000}"/>
    <cellStyle name="Note 2 7 3 6 2 2" xfId="30736" xr:uid="{00000000-0005-0000-0000-0000DF3D0000}"/>
    <cellStyle name="Note 2 7 3 6 3" xfId="22365" xr:uid="{00000000-0005-0000-0000-0000E03D0000}"/>
    <cellStyle name="Note 2 7 3 7" xfId="11924" xr:uid="{00000000-0005-0000-0000-0000E13D0000}"/>
    <cellStyle name="Note 2 7 3 7 2" xfId="26756" xr:uid="{00000000-0005-0000-0000-0000E23D0000}"/>
    <cellStyle name="Note 2 7 3 8" xfId="9582" xr:uid="{00000000-0005-0000-0000-0000E33D0000}"/>
    <cellStyle name="Note 2 7 3 8 2" xfId="19884" xr:uid="{00000000-0005-0000-0000-0000E43D0000}"/>
    <cellStyle name="Note 2 7 4" xfId="1566" xr:uid="{00000000-0005-0000-0000-0000E53D0000}"/>
    <cellStyle name="Note 2 7 4 2" xfId="2063" xr:uid="{00000000-0005-0000-0000-0000E63D0000}"/>
    <cellStyle name="Note 2 7 4 2 2" xfId="3404" xr:uid="{00000000-0005-0000-0000-0000E73D0000}"/>
    <cellStyle name="Note 2 7 4 2 2 2" xfId="7467" xr:uid="{00000000-0005-0000-0000-0000E83D0000}"/>
    <cellStyle name="Note 2 7 4 2 2 2 2" xfId="17166" xr:uid="{00000000-0005-0000-0000-0000E93D0000}"/>
    <cellStyle name="Note 2 7 4 2 2 2 2 2" xfId="31998" xr:uid="{00000000-0005-0000-0000-0000EA3D0000}"/>
    <cellStyle name="Note 2 7 4 2 2 2 3" xfId="23455" xr:uid="{00000000-0005-0000-0000-0000EB3D0000}"/>
    <cellStyle name="Note 2 7 4 2 2 3" xfId="13741" xr:uid="{00000000-0005-0000-0000-0000EC3D0000}"/>
    <cellStyle name="Note 2 7 4 2 2 3 2" xfId="28573" xr:uid="{00000000-0005-0000-0000-0000ED3D0000}"/>
    <cellStyle name="Note 2 7 4 2 2 4" xfId="10785" xr:uid="{00000000-0005-0000-0000-0000EE3D0000}"/>
    <cellStyle name="Note 2 7 4 2 2 4 2" xfId="25617" xr:uid="{00000000-0005-0000-0000-0000EF3D0000}"/>
    <cellStyle name="Note 2 7 4 2 2 5" xfId="21133" xr:uid="{00000000-0005-0000-0000-0000F03D0000}"/>
    <cellStyle name="Note 2 7 4 2 3" xfId="5031" xr:uid="{00000000-0005-0000-0000-0000F13D0000}"/>
    <cellStyle name="Note 2 7 4 2 3 2" xfId="9070" xr:uid="{00000000-0005-0000-0000-0000F23D0000}"/>
    <cellStyle name="Note 2 7 4 2 3 2 2" xfId="18003" xr:uid="{00000000-0005-0000-0000-0000F33D0000}"/>
    <cellStyle name="Note 2 7 4 2 3 2 2 2" xfId="32835" xr:uid="{00000000-0005-0000-0000-0000F43D0000}"/>
    <cellStyle name="Note 2 7 4 2 3 2 3" xfId="24504" xr:uid="{00000000-0005-0000-0000-0000F53D0000}"/>
    <cellStyle name="Note 2 7 4 2 3 3" xfId="15352" xr:uid="{00000000-0005-0000-0000-0000F63D0000}"/>
    <cellStyle name="Note 2 7 4 2 3 3 2" xfId="30184" xr:uid="{00000000-0005-0000-0000-0000F73D0000}"/>
    <cellStyle name="Note 2 7 4 2 3 4" xfId="11603" xr:uid="{00000000-0005-0000-0000-0000F83D0000}"/>
    <cellStyle name="Note 2 7 4 2 3 4 2" xfId="26435" xr:uid="{00000000-0005-0000-0000-0000F93D0000}"/>
    <cellStyle name="Note 2 7 4 2 3 5" xfId="22024" xr:uid="{00000000-0005-0000-0000-0000FA3D0000}"/>
    <cellStyle name="Note 2 7 4 2 4" xfId="3021" xr:uid="{00000000-0005-0000-0000-0000FB3D0000}"/>
    <cellStyle name="Note 2 7 4 2 4 2" xfId="7096" xr:uid="{00000000-0005-0000-0000-0000FC3D0000}"/>
    <cellStyle name="Note 2 7 4 2 4 2 2" xfId="16894" xr:uid="{00000000-0005-0000-0000-0000FD3D0000}"/>
    <cellStyle name="Note 2 7 4 2 4 2 2 2" xfId="31726" xr:uid="{00000000-0005-0000-0000-0000FE3D0000}"/>
    <cellStyle name="Note 2 7 4 2 4 2 3" xfId="23237" xr:uid="{00000000-0005-0000-0000-0000FF3D0000}"/>
    <cellStyle name="Note 2 7 4 2 4 3" xfId="13359" xr:uid="{00000000-0005-0000-0000-0000003E0000}"/>
    <cellStyle name="Note 2 7 4 2 4 3 2" xfId="28191" xr:uid="{00000000-0005-0000-0000-0000013E0000}"/>
    <cellStyle name="Note 2 7 4 2 4 4" xfId="10550" xr:uid="{00000000-0005-0000-0000-0000023E0000}"/>
    <cellStyle name="Note 2 7 4 2 4 4 2" xfId="25382" xr:uid="{00000000-0005-0000-0000-0000033E0000}"/>
    <cellStyle name="Note 2 7 4 2 4 5" xfId="20915" xr:uid="{00000000-0005-0000-0000-0000043E0000}"/>
    <cellStyle name="Note 2 7 4 2 5" xfId="6188" xr:uid="{00000000-0005-0000-0000-0000053E0000}"/>
    <cellStyle name="Note 2 7 4 2 5 2" xfId="16374" xr:uid="{00000000-0005-0000-0000-0000063E0000}"/>
    <cellStyle name="Note 2 7 4 2 5 2 2" xfId="31206" xr:uid="{00000000-0005-0000-0000-0000073E0000}"/>
    <cellStyle name="Note 2 7 4 2 5 3" xfId="22688" xr:uid="{00000000-0005-0000-0000-0000083E0000}"/>
    <cellStyle name="Note 2 7 4 2 6" xfId="12444" xr:uid="{00000000-0005-0000-0000-0000093E0000}"/>
    <cellStyle name="Note 2 7 4 2 6 2" xfId="27276" xr:uid="{00000000-0005-0000-0000-00000A3E0000}"/>
    <cellStyle name="Note 2 7 4 2 7" xfId="10026" xr:uid="{00000000-0005-0000-0000-00000B3E0000}"/>
    <cellStyle name="Note 2 7 4 2 7 2" xfId="24858" xr:uid="{00000000-0005-0000-0000-00000C3E0000}"/>
    <cellStyle name="Note 2 7 4 2 8" xfId="20367" xr:uid="{00000000-0005-0000-0000-00000D3E0000}"/>
    <cellStyle name="Note 2 7 4 3" xfId="3284" xr:uid="{00000000-0005-0000-0000-00000E3E0000}"/>
    <cellStyle name="Note 2 7 4 3 2" xfId="7348" xr:uid="{00000000-0005-0000-0000-00000F3E0000}"/>
    <cellStyle name="Note 2 7 4 3 2 2" xfId="17091" xr:uid="{00000000-0005-0000-0000-0000103E0000}"/>
    <cellStyle name="Note 2 7 4 3 2 2 2" xfId="31923" xr:uid="{00000000-0005-0000-0000-0000113E0000}"/>
    <cellStyle name="Note 2 7 4 3 2 3" xfId="23375" xr:uid="{00000000-0005-0000-0000-0000123E0000}"/>
    <cellStyle name="Note 2 7 4 3 3" xfId="13621" xr:uid="{00000000-0005-0000-0000-0000133E0000}"/>
    <cellStyle name="Note 2 7 4 3 3 2" xfId="28453" xr:uid="{00000000-0005-0000-0000-0000143E0000}"/>
    <cellStyle name="Note 2 7 4 3 4" xfId="10718" xr:uid="{00000000-0005-0000-0000-0000153E0000}"/>
    <cellStyle name="Note 2 7 4 3 4 2" xfId="25550" xr:uid="{00000000-0005-0000-0000-0000163E0000}"/>
    <cellStyle name="Note 2 7 4 3 5" xfId="21062" xr:uid="{00000000-0005-0000-0000-0000173E0000}"/>
    <cellStyle name="Note 2 7 4 4" xfId="4611" xr:uid="{00000000-0005-0000-0000-0000183E0000}"/>
    <cellStyle name="Note 2 7 4 4 2" xfId="8650" xr:uid="{00000000-0005-0000-0000-0000193E0000}"/>
    <cellStyle name="Note 2 7 4 4 2 2" xfId="17763" xr:uid="{00000000-0005-0000-0000-00001A3E0000}"/>
    <cellStyle name="Note 2 7 4 4 2 2 2" xfId="32595" xr:uid="{00000000-0005-0000-0000-00001B3E0000}"/>
    <cellStyle name="Note 2 7 4 4 2 3" xfId="24244" xr:uid="{00000000-0005-0000-0000-00001C3E0000}"/>
    <cellStyle name="Note 2 7 4 4 3" xfId="14937" xr:uid="{00000000-0005-0000-0000-00001D3E0000}"/>
    <cellStyle name="Note 2 7 4 4 3 2" xfId="29769" xr:uid="{00000000-0005-0000-0000-00001E3E0000}"/>
    <cellStyle name="Note 2 7 4 4 4" xfId="11368" xr:uid="{00000000-0005-0000-0000-00001F3E0000}"/>
    <cellStyle name="Note 2 7 4 4 4 2" xfId="26200" xr:uid="{00000000-0005-0000-0000-0000203E0000}"/>
    <cellStyle name="Note 2 7 4 4 5" xfId="21794" xr:uid="{00000000-0005-0000-0000-0000213E0000}"/>
    <cellStyle name="Note 2 7 4 5" xfId="2601" xr:uid="{00000000-0005-0000-0000-0000223E0000}"/>
    <cellStyle name="Note 2 7 4 5 2" xfId="6702" xr:uid="{00000000-0005-0000-0000-0000233E0000}"/>
    <cellStyle name="Note 2 7 4 5 2 2" xfId="16659" xr:uid="{00000000-0005-0000-0000-0000243E0000}"/>
    <cellStyle name="Note 2 7 4 5 2 2 2" xfId="31491" xr:uid="{00000000-0005-0000-0000-0000253E0000}"/>
    <cellStyle name="Note 2 7 4 5 2 3" xfId="23007" xr:uid="{00000000-0005-0000-0000-0000263E0000}"/>
    <cellStyle name="Note 2 7 4 5 3" xfId="12939" xr:uid="{00000000-0005-0000-0000-0000273E0000}"/>
    <cellStyle name="Note 2 7 4 5 3 2" xfId="27771" xr:uid="{00000000-0005-0000-0000-0000283E0000}"/>
    <cellStyle name="Note 2 7 4 5 4" xfId="10310" xr:uid="{00000000-0005-0000-0000-0000293E0000}"/>
    <cellStyle name="Note 2 7 4 5 4 2" xfId="25142" xr:uid="{00000000-0005-0000-0000-00002A3E0000}"/>
    <cellStyle name="Note 2 7 4 5 5" xfId="20655" xr:uid="{00000000-0005-0000-0000-00002B3E0000}"/>
    <cellStyle name="Note 2 7 4 6" xfId="5718" xr:uid="{00000000-0005-0000-0000-00002C3E0000}"/>
    <cellStyle name="Note 2 7 4 6 2" xfId="15953" xr:uid="{00000000-0005-0000-0000-00002D3E0000}"/>
    <cellStyle name="Note 2 7 4 6 2 2" xfId="30785" xr:uid="{00000000-0005-0000-0000-00002E3E0000}"/>
    <cellStyle name="Note 2 7 4 6 3" xfId="22382" xr:uid="{00000000-0005-0000-0000-00002F3E0000}"/>
    <cellStyle name="Note 2 7 4 7" xfId="11973" xr:uid="{00000000-0005-0000-0000-0000303E0000}"/>
    <cellStyle name="Note 2 7 4 7 2" xfId="26805" xr:uid="{00000000-0005-0000-0000-0000313E0000}"/>
    <cellStyle name="Note 2 7 4 8" xfId="9632" xr:uid="{00000000-0005-0000-0000-0000323E0000}"/>
    <cellStyle name="Note 2 7 4 8 2" xfId="19933" xr:uid="{00000000-0005-0000-0000-0000333E0000}"/>
    <cellStyle name="Note 2 7 5" xfId="1616" xr:uid="{00000000-0005-0000-0000-0000343E0000}"/>
    <cellStyle name="Note 2 7 5 2" xfId="2113" xr:uid="{00000000-0005-0000-0000-0000353E0000}"/>
    <cellStyle name="Note 2 7 5 2 2" xfId="3713" xr:uid="{00000000-0005-0000-0000-0000363E0000}"/>
    <cellStyle name="Note 2 7 5 2 2 2" xfId="7769" xr:uid="{00000000-0005-0000-0000-0000373E0000}"/>
    <cellStyle name="Note 2 7 5 2 2 2 2" xfId="17330" xr:uid="{00000000-0005-0000-0000-0000383E0000}"/>
    <cellStyle name="Note 2 7 5 2 2 2 2 2" xfId="32162" xr:uid="{00000000-0005-0000-0000-0000393E0000}"/>
    <cellStyle name="Note 2 7 5 2 2 2 3" xfId="23650" xr:uid="{00000000-0005-0000-0000-00003A3E0000}"/>
    <cellStyle name="Note 2 7 5 2 2 3" xfId="14048" xr:uid="{00000000-0005-0000-0000-00003B3E0000}"/>
    <cellStyle name="Note 2 7 5 2 2 3 2" xfId="28880" xr:uid="{00000000-0005-0000-0000-00003C3E0000}"/>
    <cellStyle name="Note 2 7 5 2 2 4" xfId="10948" xr:uid="{00000000-0005-0000-0000-00003D3E0000}"/>
    <cellStyle name="Note 2 7 5 2 2 4 2" xfId="25780" xr:uid="{00000000-0005-0000-0000-00003E3E0000}"/>
    <cellStyle name="Note 2 7 5 2 2 5" xfId="21310" xr:uid="{00000000-0005-0000-0000-00003F3E0000}"/>
    <cellStyle name="Note 2 7 5 2 3" xfId="5081" xr:uid="{00000000-0005-0000-0000-0000403E0000}"/>
    <cellStyle name="Note 2 7 5 2 3 2" xfId="9120" xr:uid="{00000000-0005-0000-0000-0000413E0000}"/>
    <cellStyle name="Note 2 7 5 2 3 2 2" xfId="18048" xr:uid="{00000000-0005-0000-0000-0000423E0000}"/>
    <cellStyle name="Note 2 7 5 2 3 2 2 2" xfId="32880" xr:uid="{00000000-0005-0000-0000-0000433E0000}"/>
    <cellStyle name="Note 2 7 5 2 3 2 3" xfId="24522" xr:uid="{00000000-0005-0000-0000-0000443E0000}"/>
    <cellStyle name="Note 2 7 5 2 3 3" xfId="15401" xr:uid="{00000000-0005-0000-0000-0000453E0000}"/>
    <cellStyle name="Note 2 7 5 2 3 3 2" xfId="30233" xr:uid="{00000000-0005-0000-0000-0000463E0000}"/>
    <cellStyle name="Note 2 7 5 2 3 4" xfId="11647" xr:uid="{00000000-0005-0000-0000-0000473E0000}"/>
    <cellStyle name="Note 2 7 5 2 3 4 2" xfId="26479" xr:uid="{00000000-0005-0000-0000-0000483E0000}"/>
    <cellStyle name="Note 2 7 5 2 3 5" xfId="22036" xr:uid="{00000000-0005-0000-0000-0000493E0000}"/>
    <cellStyle name="Note 2 7 5 2 4" xfId="3071" xr:uid="{00000000-0005-0000-0000-00004A3E0000}"/>
    <cellStyle name="Note 2 7 5 2 4 2" xfId="7141" xr:uid="{00000000-0005-0000-0000-00004B3E0000}"/>
    <cellStyle name="Note 2 7 5 2 4 2 2" xfId="16938" xr:uid="{00000000-0005-0000-0000-00004C3E0000}"/>
    <cellStyle name="Note 2 7 5 2 4 2 2 2" xfId="31770" xr:uid="{00000000-0005-0000-0000-00004D3E0000}"/>
    <cellStyle name="Note 2 7 5 2 4 2 3" xfId="23249" xr:uid="{00000000-0005-0000-0000-00004E3E0000}"/>
    <cellStyle name="Note 2 7 5 2 4 3" xfId="13409" xr:uid="{00000000-0005-0000-0000-00004F3E0000}"/>
    <cellStyle name="Note 2 7 5 2 4 3 2" xfId="28241" xr:uid="{00000000-0005-0000-0000-0000503E0000}"/>
    <cellStyle name="Note 2 7 5 2 4 4" xfId="10595" xr:uid="{00000000-0005-0000-0000-0000513E0000}"/>
    <cellStyle name="Note 2 7 5 2 4 4 2" xfId="25427" xr:uid="{00000000-0005-0000-0000-0000523E0000}"/>
    <cellStyle name="Note 2 7 5 2 4 5" xfId="20933" xr:uid="{00000000-0005-0000-0000-0000533E0000}"/>
    <cellStyle name="Note 2 7 5 2 5" xfId="6233" xr:uid="{00000000-0005-0000-0000-0000543E0000}"/>
    <cellStyle name="Note 2 7 5 2 5 2" xfId="16418" xr:uid="{00000000-0005-0000-0000-0000553E0000}"/>
    <cellStyle name="Note 2 7 5 2 5 2 2" xfId="31250" xr:uid="{00000000-0005-0000-0000-0000563E0000}"/>
    <cellStyle name="Note 2 7 5 2 5 3" xfId="22700" xr:uid="{00000000-0005-0000-0000-0000573E0000}"/>
    <cellStyle name="Note 2 7 5 2 6" xfId="12488" xr:uid="{00000000-0005-0000-0000-0000583E0000}"/>
    <cellStyle name="Note 2 7 5 2 6 2" xfId="27320" xr:uid="{00000000-0005-0000-0000-0000593E0000}"/>
    <cellStyle name="Note 2 7 5 2 7" xfId="10070" xr:uid="{00000000-0005-0000-0000-00005A3E0000}"/>
    <cellStyle name="Note 2 7 5 2 7 2" xfId="24902" xr:uid="{00000000-0005-0000-0000-00005B3E0000}"/>
    <cellStyle name="Note 2 7 5 2 8" xfId="20379" xr:uid="{00000000-0005-0000-0000-00005C3E0000}"/>
    <cellStyle name="Note 2 7 5 3" xfId="3583" xr:uid="{00000000-0005-0000-0000-00005D3E0000}"/>
    <cellStyle name="Note 2 7 5 3 2" xfId="7645" xr:uid="{00000000-0005-0000-0000-00005E3E0000}"/>
    <cellStyle name="Note 2 7 5 3 2 2" xfId="17269" xr:uid="{00000000-0005-0000-0000-00005F3E0000}"/>
    <cellStyle name="Note 2 7 5 3 2 2 2" xfId="32101" xr:uid="{00000000-0005-0000-0000-0000603E0000}"/>
    <cellStyle name="Note 2 7 5 3 2 3" xfId="23565" xr:uid="{00000000-0005-0000-0000-0000613E0000}"/>
    <cellStyle name="Note 2 7 5 3 3" xfId="13919" xr:uid="{00000000-0005-0000-0000-0000623E0000}"/>
    <cellStyle name="Note 2 7 5 3 3 2" xfId="28751" xr:uid="{00000000-0005-0000-0000-0000633E0000}"/>
    <cellStyle name="Note 2 7 5 3 4" xfId="10886" xr:uid="{00000000-0005-0000-0000-0000643E0000}"/>
    <cellStyle name="Note 2 7 5 3 4 2" xfId="25718" xr:uid="{00000000-0005-0000-0000-0000653E0000}"/>
    <cellStyle name="Note 2 7 5 3 5" xfId="21234" xr:uid="{00000000-0005-0000-0000-0000663E0000}"/>
    <cellStyle name="Note 2 7 5 4" xfId="4661" xr:uid="{00000000-0005-0000-0000-0000673E0000}"/>
    <cellStyle name="Note 2 7 5 4 2" xfId="8700" xr:uid="{00000000-0005-0000-0000-0000683E0000}"/>
    <cellStyle name="Note 2 7 5 4 2 2" xfId="17808" xr:uid="{00000000-0005-0000-0000-0000693E0000}"/>
    <cellStyle name="Note 2 7 5 4 2 2 2" xfId="32640" xr:uid="{00000000-0005-0000-0000-00006A3E0000}"/>
    <cellStyle name="Note 2 7 5 4 2 3" xfId="24262" xr:uid="{00000000-0005-0000-0000-00006B3E0000}"/>
    <cellStyle name="Note 2 7 5 4 3" xfId="14986" xr:uid="{00000000-0005-0000-0000-00006C3E0000}"/>
    <cellStyle name="Note 2 7 5 4 3 2" xfId="29818" xr:uid="{00000000-0005-0000-0000-00006D3E0000}"/>
    <cellStyle name="Note 2 7 5 4 4" xfId="11412" xr:uid="{00000000-0005-0000-0000-00006E3E0000}"/>
    <cellStyle name="Note 2 7 5 4 4 2" xfId="26244" xr:uid="{00000000-0005-0000-0000-00006F3E0000}"/>
    <cellStyle name="Note 2 7 5 4 5" xfId="21806" xr:uid="{00000000-0005-0000-0000-0000703E0000}"/>
    <cellStyle name="Note 2 7 5 5" xfId="2651" xr:uid="{00000000-0005-0000-0000-0000713E0000}"/>
    <cellStyle name="Note 2 7 5 5 2" xfId="6747" xr:uid="{00000000-0005-0000-0000-0000723E0000}"/>
    <cellStyle name="Note 2 7 5 5 2 2" xfId="16703" xr:uid="{00000000-0005-0000-0000-0000733E0000}"/>
    <cellStyle name="Note 2 7 5 5 2 2 2" xfId="31535" xr:uid="{00000000-0005-0000-0000-0000743E0000}"/>
    <cellStyle name="Note 2 7 5 5 2 3" xfId="23019" xr:uid="{00000000-0005-0000-0000-0000753E0000}"/>
    <cellStyle name="Note 2 7 5 5 3" xfId="12989" xr:uid="{00000000-0005-0000-0000-0000763E0000}"/>
    <cellStyle name="Note 2 7 5 5 3 2" xfId="27821" xr:uid="{00000000-0005-0000-0000-0000773E0000}"/>
    <cellStyle name="Note 2 7 5 5 4" xfId="10355" xr:uid="{00000000-0005-0000-0000-0000783E0000}"/>
    <cellStyle name="Note 2 7 5 5 4 2" xfId="25187" xr:uid="{00000000-0005-0000-0000-0000793E0000}"/>
    <cellStyle name="Note 2 7 5 5 5" xfId="20673" xr:uid="{00000000-0005-0000-0000-00007A3E0000}"/>
    <cellStyle name="Note 2 7 5 6" xfId="5763" xr:uid="{00000000-0005-0000-0000-00007B3E0000}"/>
    <cellStyle name="Note 2 7 5 6 2" xfId="15997" xr:uid="{00000000-0005-0000-0000-00007C3E0000}"/>
    <cellStyle name="Note 2 7 5 6 2 2" xfId="30829" xr:uid="{00000000-0005-0000-0000-00007D3E0000}"/>
    <cellStyle name="Note 2 7 5 6 3" xfId="22394" xr:uid="{00000000-0005-0000-0000-00007E3E0000}"/>
    <cellStyle name="Note 2 7 5 7" xfId="12017" xr:uid="{00000000-0005-0000-0000-00007F3E0000}"/>
    <cellStyle name="Note 2 7 5 7 2" xfId="26849" xr:uid="{00000000-0005-0000-0000-0000803E0000}"/>
    <cellStyle name="Note 2 7 5 8" xfId="9677" xr:uid="{00000000-0005-0000-0000-0000813E0000}"/>
    <cellStyle name="Note 2 7 5 8 2" xfId="19977" xr:uid="{00000000-0005-0000-0000-0000823E0000}"/>
    <cellStyle name="Note 2 7 6" xfId="1767" xr:uid="{00000000-0005-0000-0000-0000833E0000}"/>
    <cellStyle name="Note 2 7 6 2" xfId="3373" xr:uid="{00000000-0005-0000-0000-0000843E0000}"/>
    <cellStyle name="Note 2 7 6 2 2" xfId="7436" xr:uid="{00000000-0005-0000-0000-0000853E0000}"/>
    <cellStyle name="Note 2 7 6 2 2 2" xfId="17145" xr:uid="{00000000-0005-0000-0000-0000863E0000}"/>
    <cellStyle name="Note 2 7 6 2 2 2 2" xfId="31977" xr:uid="{00000000-0005-0000-0000-0000873E0000}"/>
    <cellStyle name="Note 2 7 6 2 2 3" xfId="23434" xr:uid="{00000000-0005-0000-0000-0000883E0000}"/>
    <cellStyle name="Note 2 7 6 2 3" xfId="13710" xr:uid="{00000000-0005-0000-0000-0000893E0000}"/>
    <cellStyle name="Note 2 7 6 2 3 2" xfId="28542" xr:uid="{00000000-0005-0000-0000-00008A3E0000}"/>
    <cellStyle name="Note 2 7 6 2 4" xfId="10764" xr:uid="{00000000-0005-0000-0000-00008B3E0000}"/>
    <cellStyle name="Note 2 7 6 2 4 2" xfId="25596" xr:uid="{00000000-0005-0000-0000-00008C3E0000}"/>
    <cellStyle name="Note 2 7 6 2 5" xfId="21116" xr:uid="{00000000-0005-0000-0000-00008D3E0000}"/>
    <cellStyle name="Note 2 7 6 3" xfId="4745" xr:uid="{00000000-0005-0000-0000-00008E3E0000}"/>
    <cellStyle name="Note 2 7 6 3 2" xfId="8784" xr:uid="{00000000-0005-0000-0000-00008F3E0000}"/>
    <cellStyle name="Note 2 7 6 3 2 2" xfId="17856" xr:uid="{00000000-0005-0000-0000-0000903E0000}"/>
    <cellStyle name="Note 2 7 6 3 2 2 2" xfId="32688" xr:uid="{00000000-0005-0000-0000-0000913E0000}"/>
    <cellStyle name="Note 2 7 6 3 2 3" xfId="24314" xr:uid="{00000000-0005-0000-0000-0000923E0000}"/>
    <cellStyle name="Note 2 7 6 3 3" xfId="15069" xr:uid="{00000000-0005-0000-0000-0000933E0000}"/>
    <cellStyle name="Note 2 7 6 3 3 2" xfId="29901" xr:uid="{00000000-0005-0000-0000-0000943E0000}"/>
    <cellStyle name="Note 2 7 6 3 4" xfId="11459" xr:uid="{00000000-0005-0000-0000-0000953E0000}"/>
    <cellStyle name="Note 2 7 6 3 4 2" xfId="26291" xr:uid="{00000000-0005-0000-0000-0000963E0000}"/>
    <cellStyle name="Note 2 7 6 3 5" xfId="21852" xr:uid="{00000000-0005-0000-0000-0000973E0000}"/>
    <cellStyle name="Note 2 7 6 4" xfId="2735" xr:uid="{00000000-0005-0000-0000-0000983E0000}"/>
    <cellStyle name="Note 2 7 6 4 2" xfId="6826" xr:uid="{00000000-0005-0000-0000-0000993E0000}"/>
    <cellStyle name="Note 2 7 6 4 2 2" xfId="16750" xr:uid="{00000000-0005-0000-0000-00009A3E0000}"/>
    <cellStyle name="Note 2 7 6 4 2 2 2" xfId="31582" xr:uid="{00000000-0005-0000-0000-00009B3E0000}"/>
    <cellStyle name="Note 2 7 6 4 2 3" xfId="23065" xr:uid="{00000000-0005-0000-0000-00009C3E0000}"/>
    <cellStyle name="Note 2 7 6 4 3" xfId="13073" xr:uid="{00000000-0005-0000-0000-00009D3E0000}"/>
    <cellStyle name="Note 2 7 6 4 3 2" xfId="27905" xr:uid="{00000000-0005-0000-0000-00009E3E0000}"/>
    <cellStyle name="Note 2 7 6 4 4" xfId="10403" xr:uid="{00000000-0005-0000-0000-00009F3E0000}"/>
    <cellStyle name="Note 2 7 6 4 4 2" xfId="25235" xr:uid="{00000000-0005-0000-0000-0000A03E0000}"/>
    <cellStyle name="Note 2 7 6 4 5" xfId="20725" xr:uid="{00000000-0005-0000-0000-0000A13E0000}"/>
    <cellStyle name="Note 2 7 6 5" xfId="5899" xr:uid="{00000000-0005-0000-0000-0000A23E0000}"/>
    <cellStyle name="Note 2 7 6 5 2" xfId="16091" xr:uid="{00000000-0005-0000-0000-0000A33E0000}"/>
    <cellStyle name="Note 2 7 6 5 2 2" xfId="30923" xr:uid="{00000000-0005-0000-0000-0000A43E0000}"/>
    <cellStyle name="Note 2 7 6 5 3" xfId="22496" xr:uid="{00000000-0005-0000-0000-0000A53E0000}"/>
    <cellStyle name="Note 2 7 6 6" xfId="12161" xr:uid="{00000000-0005-0000-0000-0000A63E0000}"/>
    <cellStyle name="Note 2 7 6 6 2" xfId="26993" xr:uid="{00000000-0005-0000-0000-0000A73E0000}"/>
    <cellStyle name="Note 2 7 6 7" xfId="9757" xr:uid="{00000000-0005-0000-0000-0000A83E0000}"/>
    <cellStyle name="Note 2 7 6 7 2" xfId="24714" xr:uid="{00000000-0005-0000-0000-0000A93E0000}"/>
    <cellStyle name="Note 2 7 6 8" xfId="20304" xr:uid="{00000000-0005-0000-0000-0000AA3E0000}"/>
    <cellStyle name="Note 2 7 7" xfId="2199" xr:uid="{00000000-0005-0000-0000-0000AB3E0000}"/>
    <cellStyle name="Note 2 7 7 2" xfId="3442" xr:uid="{00000000-0005-0000-0000-0000AC3E0000}"/>
    <cellStyle name="Note 2 7 7 2 2" xfId="7505" xr:uid="{00000000-0005-0000-0000-0000AD3E0000}"/>
    <cellStyle name="Note 2 7 7 2 2 2" xfId="17192" xr:uid="{00000000-0005-0000-0000-0000AE3E0000}"/>
    <cellStyle name="Note 2 7 7 2 2 2 2" xfId="32024" xr:uid="{00000000-0005-0000-0000-0000AF3E0000}"/>
    <cellStyle name="Note 2 7 7 2 2 3" xfId="23478" xr:uid="{00000000-0005-0000-0000-0000B03E0000}"/>
    <cellStyle name="Note 2 7 7 2 3" xfId="13779" xr:uid="{00000000-0005-0000-0000-0000B13E0000}"/>
    <cellStyle name="Note 2 7 7 2 3 2" xfId="28611" xr:uid="{00000000-0005-0000-0000-0000B23E0000}"/>
    <cellStyle name="Note 2 7 7 2 4" xfId="10811" xr:uid="{00000000-0005-0000-0000-0000B33E0000}"/>
    <cellStyle name="Note 2 7 7 2 4 2" xfId="25643" xr:uid="{00000000-0005-0000-0000-0000B43E0000}"/>
    <cellStyle name="Note 2 7 7 2 5" xfId="21154" xr:uid="{00000000-0005-0000-0000-0000B53E0000}"/>
    <cellStyle name="Note 2 7 7 3" xfId="5167" xr:uid="{00000000-0005-0000-0000-0000B63E0000}"/>
    <cellStyle name="Note 2 7 7 3 2" xfId="9206" xr:uid="{00000000-0005-0000-0000-0000B73E0000}"/>
    <cellStyle name="Note 2 7 7 3 2 2" xfId="18129" xr:uid="{00000000-0005-0000-0000-0000B83E0000}"/>
    <cellStyle name="Note 2 7 7 3 2 2 2" xfId="32961" xr:uid="{00000000-0005-0000-0000-0000B93E0000}"/>
    <cellStyle name="Note 2 7 7 3 2 3" xfId="24544" xr:uid="{00000000-0005-0000-0000-0000BA3E0000}"/>
    <cellStyle name="Note 2 7 7 3 3" xfId="15485" xr:uid="{00000000-0005-0000-0000-0000BB3E0000}"/>
    <cellStyle name="Note 2 7 7 3 3 2" xfId="30317" xr:uid="{00000000-0005-0000-0000-0000BC3E0000}"/>
    <cellStyle name="Note 2 7 7 3 4" xfId="11726" xr:uid="{00000000-0005-0000-0000-0000BD3E0000}"/>
    <cellStyle name="Note 2 7 7 3 4 2" xfId="26558" xr:uid="{00000000-0005-0000-0000-0000BE3E0000}"/>
    <cellStyle name="Note 2 7 7 3 5" xfId="22051" xr:uid="{00000000-0005-0000-0000-0000BF3E0000}"/>
    <cellStyle name="Note 2 7 7 4" xfId="4197" xr:uid="{00000000-0005-0000-0000-0000C03E0000}"/>
    <cellStyle name="Note 2 7 7 4 2" xfId="8238" xr:uid="{00000000-0005-0000-0000-0000C13E0000}"/>
    <cellStyle name="Note 2 7 7 4 2 2" xfId="17585" xr:uid="{00000000-0005-0000-0000-0000C23E0000}"/>
    <cellStyle name="Note 2 7 7 4 2 2 2" xfId="32417" xr:uid="{00000000-0005-0000-0000-0000C33E0000}"/>
    <cellStyle name="Note 2 7 7 4 2 3" xfId="23933" xr:uid="{00000000-0005-0000-0000-0000C43E0000}"/>
    <cellStyle name="Note 2 7 7 4 3" xfId="14529" xr:uid="{00000000-0005-0000-0000-0000C53E0000}"/>
    <cellStyle name="Note 2 7 7 4 3 2" xfId="29361" xr:uid="{00000000-0005-0000-0000-0000C63E0000}"/>
    <cellStyle name="Note 2 7 7 4 4" xfId="11205" xr:uid="{00000000-0005-0000-0000-0000C73E0000}"/>
    <cellStyle name="Note 2 7 7 4 4 2" xfId="26037" xr:uid="{00000000-0005-0000-0000-0000C83E0000}"/>
    <cellStyle name="Note 2 7 7 4 5" xfId="21558" xr:uid="{00000000-0005-0000-0000-0000C93E0000}"/>
    <cellStyle name="Note 2 7 7 5" xfId="6313" xr:uid="{00000000-0005-0000-0000-0000CA3E0000}"/>
    <cellStyle name="Note 2 7 7 5 2" xfId="16497" xr:uid="{00000000-0005-0000-0000-0000CB3E0000}"/>
    <cellStyle name="Note 2 7 7 5 2 2" xfId="31329" xr:uid="{00000000-0005-0000-0000-0000CC3E0000}"/>
    <cellStyle name="Note 2 7 7 5 3" xfId="22715" xr:uid="{00000000-0005-0000-0000-0000CD3E0000}"/>
    <cellStyle name="Note 2 7 7 6" xfId="12567" xr:uid="{00000000-0005-0000-0000-0000CE3E0000}"/>
    <cellStyle name="Note 2 7 7 6 2" xfId="27399" xr:uid="{00000000-0005-0000-0000-0000CF3E0000}"/>
    <cellStyle name="Note 2 7 7 7" xfId="10149" xr:uid="{00000000-0005-0000-0000-0000D03E0000}"/>
    <cellStyle name="Note 2 7 7 7 2" xfId="24981" xr:uid="{00000000-0005-0000-0000-0000D13E0000}"/>
    <cellStyle name="Note 2 7 7 8" xfId="20394" xr:uid="{00000000-0005-0000-0000-0000D23E0000}"/>
    <cellStyle name="Note 2 7 8" xfId="3918" xr:uid="{00000000-0005-0000-0000-0000D33E0000}"/>
    <cellStyle name="Note 2 7 8 2" xfId="7969" xr:uid="{00000000-0005-0000-0000-0000D43E0000}"/>
    <cellStyle name="Note 2 7 8 2 2" xfId="17430" xr:uid="{00000000-0005-0000-0000-0000D53E0000}"/>
    <cellStyle name="Note 2 7 8 2 2 2" xfId="32262" xr:uid="{00000000-0005-0000-0000-0000D63E0000}"/>
    <cellStyle name="Note 2 7 8 2 3" xfId="23777" xr:uid="{00000000-0005-0000-0000-0000D73E0000}"/>
    <cellStyle name="Note 2 7 8 3" xfId="14251" xr:uid="{00000000-0005-0000-0000-0000D83E0000}"/>
    <cellStyle name="Note 2 7 8 3 2" xfId="29083" xr:uid="{00000000-0005-0000-0000-0000D93E0000}"/>
    <cellStyle name="Note 2 7 8 4" xfId="11046" xr:uid="{00000000-0005-0000-0000-0000DA3E0000}"/>
    <cellStyle name="Note 2 7 8 4 2" xfId="25878" xr:uid="{00000000-0005-0000-0000-0000DB3E0000}"/>
    <cellStyle name="Note 2 7 8 5" xfId="21418" xr:uid="{00000000-0005-0000-0000-0000DC3E0000}"/>
    <cellStyle name="Note 2 7 9" xfId="4294" xr:uid="{00000000-0005-0000-0000-0000DD3E0000}"/>
    <cellStyle name="Note 2 7 9 2" xfId="8333" xr:uid="{00000000-0005-0000-0000-0000DE3E0000}"/>
    <cellStyle name="Note 2 7 9 2 2" xfId="17613" xr:uid="{00000000-0005-0000-0000-0000DF3E0000}"/>
    <cellStyle name="Note 2 7 9 2 2 2" xfId="32445" xr:uid="{00000000-0005-0000-0000-0000E03E0000}"/>
    <cellStyle name="Note 2 7 9 2 3" xfId="24021" xr:uid="{00000000-0005-0000-0000-0000E13E0000}"/>
    <cellStyle name="Note 2 7 9 3" xfId="14625" xr:uid="{00000000-0005-0000-0000-0000E23E0000}"/>
    <cellStyle name="Note 2 7 9 3 2" xfId="29457" xr:uid="{00000000-0005-0000-0000-0000E33E0000}"/>
    <cellStyle name="Note 2 7 9 4" xfId="11226" xr:uid="{00000000-0005-0000-0000-0000E43E0000}"/>
    <cellStyle name="Note 2 7 9 4 2" xfId="26058" xr:uid="{00000000-0005-0000-0000-0000E53E0000}"/>
    <cellStyle name="Note 2 7 9 5" xfId="21618" xr:uid="{00000000-0005-0000-0000-0000E63E0000}"/>
    <cellStyle name="Note 2 8" xfId="1223" xr:uid="{00000000-0005-0000-0000-0000E73E0000}"/>
    <cellStyle name="Note 2 8 10" xfId="2309" xr:uid="{00000000-0005-0000-0000-0000E83E0000}"/>
    <cellStyle name="Note 2 8 10 2" xfId="6421" xr:uid="{00000000-0005-0000-0000-0000E93E0000}"/>
    <cellStyle name="Note 2 8 10 2 2" xfId="16514" xr:uid="{00000000-0005-0000-0000-0000EA3E0000}"/>
    <cellStyle name="Note 2 8 10 2 2 2" xfId="31346" xr:uid="{00000000-0005-0000-0000-0000EB3E0000}"/>
    <cellStyle name="Note 2 8 10 2 3" xfId="22823" xr:uid="{00000000-0005-0000-0000-0000EC3E0000}"/>
    <cellStyle name="Note 2 8 10 3" xfId="12649" xr:uid="{00000000-0005-0000-0000-0000ED3E0000}"/>
    <cellStyle name="Note 2 8 10 3 2" xfId="27481" xr:uid="{00000000-0005-0000-0000-0000EE3E0000}"/>
    <cellStyle name="Note 2 8 10 4" xfId="10165" xr:uid="{00000000-0005-0000-0000-0000EF3E0000}"/>
    <cellStyle name="Note 2 8 10 4 2" xfId="24997" xr:uid="{00000000-0005-0000-0000-0000F03E0000}"/>
    <cellStyle name="Note 2 8 10 5" xfId="20472" xr:uid="{00000000-0005-0000-0000-0000F13E0000}"/>
    <cellStyle name="Note 2 8 11" xfId="5272" xr:uid="{00000000-0005-0000-0000-0000F23E0000}"/>
    <cellStyle name="Note 2 8 11 2" xfId="9280" xr:uid="{00000000-0005-0000-0000-0000F33E0000}"/>
    <cellStyle name="Note 2 8 11 2 2" xfId="18147" xr:uid="{00000000-0005-0000-0000-0000F43E0000}"/>
    <cellStyle name="Note 2 8 11 2 2 2" xfId="32979" xr:uid="{00000000-0005-0000-0000-0000F53E0000}"/>
    <cellStyle name="Note 2 8 11 2 3" xfId="24618" xr:uid="{00000000-0005-0000-0000-0000F63E0000}"/>
    <cellStyle name="Note 2 8 11 3" xfId="15588" xr:uid="{00000000-0005-0000-0000-0000F73E0000}"/>
    <cellStyle name="Note 2 8 11 3 2" xfId="30420" xr:uid="{00000000-0005-0000-0000-0000F83E0000}"/>
    <cellStyle name="Note 2 8 11 4" xfId="22129" xr:uid="{00000000-0005-0000-0000-0000F93E0000}"/>
    <cellStyle name="Note 2 8 12" xfId="5430" xr:uid="{00000000-0005-0000-0000-0000FA3E0000}"/>
    <cellStyle name="Note 2 8 12 2" xfId="15666" xr:uid="{00000000-0005-0000-0000-0000FB3E0000}"/>
    <cellStyle name="Note 2 8 12 2 2" xfId="30498" xr:uid="{00000000-0005-0000-0000-0000FC3E0000}"/>
    <cellStyle name="Note 2 8 12 3" xfId="22191" xr:uid="{00000000-0005-0000-0000-0000FD3E0000}"/>
    <cellStyle name="Note 2 8 13" xfId="9361" xr:uid="{00000000-0005-0000-0000-0000FE3E0000}"/>
    <cellStyle name="Note 2 8 13 2" xfId="24667" xr:uid="{00000000-0005-0000-0000-0000FF3E0000}"/>
    <cellStyle name="Note 2 8 14" xfId="5350" xr:uid="{00000000-0005-0000-0000-0000003F0000}"/>
    <cellStyle name="Note 2 8 14 2" xfId="18224" xr:uid="{00000000-0005-0000-0000-0000013F0000}"/>
    <cellStyle name="Note 2 8 2" xfId="1342" xr:uid="{00000000-0005-0000-0000-0000023F0000}"/>
    <cellStyle name="Note 2 8 2 2" xfId="1846" xr:uid="{00000000-0005-0000-0000-0000033F0000}"/>
    <cellStyle name="Note 2 8 2 2 2" xfId="3941" xr:uid="{00000000-0005-0000-0000-0000043F0000}"/>
    <cellStyle name="Note 2 8 2 2 2 2" xfId="7991" xr:uid="{00000000-0005-0000-0000-0000053F0000}"/>
    <cellStyle name="Note 2 8 2 2 2 2 2" xfId="17441" xr:uid="{00000000-0005-0000-0000-0000063F0000}"/>
    <cellStyle name="Note 2 8 2 2 2 2 2 2" xfId="32273" xr:uid="{00000000-0005-0000-0000-0000073F0000}"/>
    <cellStyle name="Note 2 8 2 2 2 2 3" xfId="23792" xr:uid="{00000000-0005-0000-0000-0000083F0000}"/>
    <cellStyle name="Note 2 8 2 2 2 3" xfId="14274" xr:uid="{00000000-0005-0000-0000-0000093F0000}"/>
    <cellStyle name="Note 2 8 2 2 2 3 2" xfId="29106" xr:uid="{00000000-0005-0000-0000-00000A3F0000}"/>
    <cellStyle name="Note 2 8 2 2 2 4" xfId="11056" xr:uid="{00000000-0005-0000-0000-00000B3F0000}"/>
    <cellStyle name="Note 2 8 2 2 2 4 2" xfId="25888" xr:uid="{00000000-0005-0000-0000-00000C3F0000}"/>
    <cellStyle name="Note 2 8 2 2 2 5" xfId="21434" xr:uid="{00000000-0005-0000-0000-00000D3F0000}"/>
    <cellStyle name="Note 2 8 2 2 3" xfId="4824" xr:uid="{00000000-0005-0000-0000-00000E3F0000}"/>
    <cellStyle name="Note 2 8 2 2 3 2" xfId="8863" xr:uid="{00000000-0005-0000-0000-00000F3F0000}"/>
    <cellStyle name="Note 2 8 2 2 3 2 2" xfId="17904" xr:uid="{00000000-0005-0000-0000-0000103F0000}"/>
    <cellStyle name="Note 2 8 2 2 3 2 2 2" xfId="32736" xr:uid="{00000000-0005-0000-0000-0000113F0000}"/>
    <cellStyle name="Note 2 8 2 2 3 2 3" xfId="24361" xr:uid="{00000000-0005-0000-0000-0000123F0000}"/>
    <cellStyle name="Note 2 8 2 2 3 3" xfId="15148" xr:uid="{00000000-0005-0000-0000-0000133F0000}"/>
    <cellStyle name="Note 2 8 2 2 3 3 2" xfId="29980" xr:uid="{00000000-0005-0000-0000-0000143F0000}"/>
    <cellStyle name="Note 2 8 2 2 3 4" xfId="11507" xr:uid="{00000000-0005-0000-0000-0000153F0000}"/>
    <cellStyle name="Note 2 8 2 2 3 4 2" xfId="26339" xr:uid="{00000000-0005-0000-0000-0000163F0000}"/>
    <cellStyle name="Note 2 8 2 2 3 5" xfId="21899" xr:uid="{00000000-0005-0000-0000-0000173F0000}"/>
    <cellStyle name="Note 2 8 2 2 4" xfId="2814" xr:uid="{00000000-0005-0000-0000-0000183F0000}"/>
    <cellStyle name="Note 2 8 2 2 4 2" xfId="6905" xr:uid="{00000000-0005-0000-0000-0000193F0000}"/>
    <cellStyle name="Note 2 8 2 2 4 2 2" xfId="16798" xr:uid="{00000000-0005-0000-0000-00001A3F0000}"/>
    <cellStyle name="Note 2 8 2 2 4 2 2 2" xfId="31630" xr:uid="{00000000-0005-0000-0000-00001B3F0000}"/>
    <cellStyle name="Note 2 8 2 2 4 2 3" xfId="23112" xr:uid="{00000000-0005-0000-0000-00001C3F0000}"/>
    <cellStyle name="Note 2 8 2 2 4 3" xfId="13152" xr:uid="{00000000-0005-0000-0000-00001D3F0000}"/>
    <cellStyle name="Note 2 8 2 2 4 3 2" xfId="27984" xr:uid="{00000000-0005-0000-0000-00001E3F0000}"/>
    <cellStyle name="Note 2 8 2 2 4 4" xfId="10451" xr:uid="{00000000-0005-0000-0000-00001F3F0000}"/>
    <cellStyle name="Note 2 8 2 2 4 4 2" xfId="25283" xr:uid="{00000000-0005-0000-0000-0000203F0000}"/>
    <cellStyle name="Note 2 8 2 2 4 5" xfId="20772" xr:uid="{00000000-0005-0000-0000-0000213F0000}"/>
    <cellStyle name="Note 2 8 2 2 5" xfId="5978" xr:uid="{00000000-0005-0000-0000-0000223F0000}"/>
    <cellStyle name="Note 2 8 2 2 5 2" xfId="16170" xr:uid="{00000000-0005-0000-0000-0000233F0000}"/>
    <cellStyle name="Note 2 8 2 2 5 2 2" xfId="31002" xr:uid="{00000000-0005-0000-0000-0000243F0000}"/>
    <cellStyle name="Note 2 8 2 2 5 3" xfId="22543" xr:uid="{00000000-0005-0000-0000-0000253F0000}"/>
    <cellStyle name="Note 2 8 2 2 6" xfId="12240" xr:uid="{00000000-0005-0000-0000-0000263F0000}"/>
    <cellStyle name="Note 2 8 2 2 6 2" xfId="27072" xr:uid="{00000000-0005-0000-0000-0000273F0000}"/>
    <cellStyle name="Note 2 8 2 2 7" xfId="9836" xr:uid="{00000000-0005-0000-0000-0000283F0000}"/>
    <cellStyle name="Note 2 8 2 2 7 2" xfId="24762" xr:uid="{00000000-0005-0000-0000-0000293F0000}"/>
    <cellStyle name="Note 2 8 2 2 8" xfId="20320" xr:uid="{00000000-0005-0000-0000-00002A3F0000}"/>
    <cellStyle name="Note 2 8 2 3" xfId="3321" xr:uid="{00000000-0005-0000-0000-00002B3F0000}"/>
    <cellStyle name="Note 2 8 2 3 2" xfId="7384" xr:uid="{00000000-0005-0000-0000-00002C3F0000}"/>
    <cellStyle name="Note 2 8 2 3 2 2" xfId="17118" xr:uid="{00000000-0005-0000-0000-00002D3F0000}"/>
    <cellStyle name="Note 2 8 2 3 2 2 2" xfId="31950" xr:uid="{00000000-0005-0000-0000-00002E3F0000}"/>
    <cellStyle name="Note 2 8 2 3 2 3" xfId="23397" xr:uid="{00000000-0005-0000-0000-00002F3F0000}"/>
    <cellStyle name="Note 2 8 2 3 3" xfId="13658" xr:uid="{00000000-0005-0000-0000-0000303F0000}"/>
    <cellStyle name="Note 2 8 2 3 3 2" xfId="28490" xr:uid="{00000000-0005-0000-0000-0000313F0000}"/>
    <cellStyle name="Note 2 8 2 3 4" xfId="10739" xr:uid="{00000000-0005-0000-0000-0000323F0000}"/>
    <cellStyle name="Note 2 8 2 3 4 2" xfId="25571" xr:uid="{00000000-0005-0000-0000-0000333F0000}"/>
    <cellStyle name="Note 2 8 2 3 5" xfId="21085" xr:uid="{00000000-0005-0000-0000-0000343F0000}"/>
    <cellStyle name="Note 2 8 2 4" xfId="4404" xr:uid="{00000000-0005-0000-0000-0000353F0000}"/>
    <cellStyle name="Note 2 8 2 4 2" xfId="8443" xr:uid="{00000000-0005-0000-0000-0000363F0000}"/>
    <cellStyle name="Note 2 8 2 4 2 2" xfId="17664" xr:uid="{00000000-0005-0000-0000-0000373F0000}"/>
    <cellStyle name="Note 2 8 2 4 2 2 2" xfId="32496" xr:uid="{00000000-0005-0000-0000-0000383F0000}"/>
    <cellStyle name="Note 2 8 2 4 2 3" xfId="24101" xr:uid="{00000000-0005-0000-0000-0000393F0000}"/>
    <cellStyle name="Note 2 8 2 4 3" xfId="14733" xr:uid="{00000000-0005-0000-0000-00003A3F0000}"/>
    <cellStyle name="Note 2 8 2 4 3 2" xfId="29565" xr:uid="{00000000-0005-0000-0000-00003B3F0000}"/>
    <cellStyle name="Note 2 8 2 4 4" xfId="11272" xr:uid="{00000000-0005-0000-0000-00003C3F0000}"/>
    <cellStyle name="Note 2 8 2 4 4 2" xfId="26104" xr:uid="{00000000-0005-0000-0000-00003D3F0000}"/>
    <cellStyle name="Note 2 8 2 4 5" xfId="21669" xr:uid="{00000000-0005-0000-0000-00003E3F0000}"/>
    <cellStyle name="Note 2 8 2 5" xfId="2394" xr:uid="{00000000-0005-0000-0000-00003F3F0000}"/>
    <cellStyle name="Note 2 8 2 5 2" xfId="6506" xr:uid="{00000000-0005-0000-0000-0000403F0000}"/>
    <cellStyle name="Note 2 8 2 5 2 2" xfId="16562" xr:uid="{00000000-0005-0000-0000-0000413F0000}"/>
    <cellStyle name="Note 2 8 2 5 2 2 2" xfId="31394" xr:uid="{00000000-0005-0000-0000-0000423F0000}"/>
    <cellStyle name="Note 2 8 2 5 2 3" xfId="22876" xr:uid="{00000000-0005-0000-0000-0000433F0000}"/>
    <cellStyle name="Note 2 8 2 5 3" xfId="12733" xr:uid="{00000000-0005-0000-0000-0000443F0000}"/>
    <cellStyle name="Note 2 8 2 5 3 2" xfId="27565" xr:uid="{00000000-0005-0000-0000-0000453F0000}"/>
    <cellStyle name="Note 2 8 2 5 4" xfId="10212" xr:uid="{00000000-0005-0000-0000-0000463F0000}"/>
    <cellStyle name="Note 2 8 2 5 4 2" xfId="25044" xr:uid="{00000000-0005-0000-0000-0000473F0000}"/>
    <cellStyle name="Note 2 8 2 5 5" xfId="20518" xr:uid="{00000000-0005-0000-0000-0000483F0000}"/>
    <cellStyle name="Note 2 8 2 6" xfId="5519" xr:uid="{00000000-0005-0000-0000-0000493F0000}"/>
    <cellStyle name="Note 2 8 2 6 2" xfId="15754" xr:uid="{00000000-0005-0000-0000-00004A3F0000}"/>
    <cellStyle name="Note 2 8 2 6 2 2" xfId="30586" xr:uid="{00000000-0005-0000-0000-00004B3F0000}"/>
    <cellStyle name="Note 2 8 2 6 3" xfId="22247" xr:uid="{00000000-0005-0000-0000-00004C3F0000}"/>
    <cellStyle name="Note 2 8 2 7" xfId="11769" xr:uid="{00000000-0005-0000-0000-00004D3F0000}"/>
    <cellStyle name="Note 2 8 2 7 2" xfId="26601" xr:uid="{00000000-0005-0000-0000-00004E3F0000}"/>
    <cellStyle name="Note 2 8 2 8" xfId="9440" xr:uid="{00000000-0005-0000-0000-00004F3F0000}"/>
    <cellStyle name="Note 2 8 2 8 2" xfId="19744" xr:uid="{00000000-0005-0000-0000-0000503F0000}"/>
    <cellStyle name="Note 2 8 3" xfId="1512" xr:uid="{00000000-0005-0000-0000-0000513F0000}"/>
    <cellStyle name="Note 2 8 3 2" xfId="2009" xr:uid="{00000000-0005-0000-0000-0000523F0000}"/>
    <cellStyle name="Note 2 8 3 2 2" xfId="3389" xr:uid="{00000000-0005-0000-0000-0000533F0000}"/>
    <cellStyle name="Note 2 8 3 2 2 2" xfId="7452" xr:uid="{00000000-0005-0000-0000-0000543F0000}"/>
    <cellStyle name="Note 2 8 3 2 2 2 2" xfId="17156" xr:uid="{00000000-0005-0000-0000-0000553F0000}"/>
    <cellStyle name="Note 2 8 3 2 2 2 2 2" xfId="31988" xr:uid="{00000000-0005-0000-0000-0000563F0000}"/>
    <cellStyle name="Note 2 8 3 2 2 2 3" xfId="23444" xr:uid="{00000000-0005-0000-0000-0000573F0000}"/>
    <cellStyle name="Note 2 8 3 2 2 3" xfId="13726" xr:uid="{00000000-0005-0000-0000-0000583F0000}"/>
    <cellStyle name="Note 2 8 3 2 2 3 2" xfId="28558" xr:uid="{00000000-0005-0000-0000-0000593F0000}"/>
    <cellStyle name="Note 2 8 3 2 2 4" xfId="10775" xr:uid="{00000000-0005-0000-0000-00005A3F0000}"/>
    <cellStyle name="Note 2 8 3 2 2 4 2" xfId="25607" xr:uid="{00000000-0005-0000-0000-00005B3F0000}"/>
    <cellStyle name="Note 2 8 3 2 2 5" xfId="21126" xr:uid="{00000000-0005-0000-0000-00005C3F0000}"/>
    <cellStyle name="Note 2 8 3 2 3" xfId="4977" xr:uid="{00000000-0005-0000-0000-00005D3F0000}"/>
    <cellStyle name="Note 2 8 3 2 3 2" xfId="9016" xr:uid="{00000000-0005-0000-0000-00005E3F0000}"/>
    <cellStyle name="Note 2 8 3 2 3 2 2" xfId="17954" xr:uid="{00000000-0005-0000-0000-00005F3F0000}"/>
    <cellStyle name="Note 2 8 3 2 3 2 2 2" xfId="32786" xr:uid="{00000000-0005-0000-0000-0000603F0000}"/>
    <cellStyle name="Note 2 8 3 2 3 2 3" xfId="24482" xr:uid="{00000000-0005-0000-0000-0000613F0000}"/>
    <cellStyle name="Note 2 8 3 2 3 3" xfId="15299" xr:uid="{00000000-0005-0000-0000-0000623F0000}"/>
    <cellStyle name="Note 2 8 3 2 3 3 2" xfId="30131" xr:uid="{00000000-0005-0000-0000-0000633F0000}"/>
    <cellStyle name="Note 2 8 3 2 3 4" xfId="11555" xr:uid="{00000000-0005-0000-0000-0000643F0000}"/>
    <cellStyle name="Note 2 8 3 2 3 4 2" xfId="26387" xr:uid="{00000000-0005-0000-0000-0000653F0000}"/>
    <cellStyle name="Note 2 8 3 2 3 5" xfId="22008" xr:uid="{00000000-0005-0000-0000-0000663F0000}"/>
    <cellStyle name="Note 2 8 3 2 4" xfId="2967" xr:uid="{00000000-0005-0000-0000-0000673F0000}"/>
    <cellStyle name="Note 2 8 3 2 4 2" xfId="7047" xr:uid="{00000000-0005-0000-0000-0000683F0000}"/>
    <cellStyle name="Note 2 8 3 2 4 2 2" xfId="16846" xr:uid="{00000000-0005-0000-0000-0000693F0000}"/>
    <cellStyle name="Note 2 8 3 2 4 2 2 2" xfId="31678" xr:uid="{00000000-0005-0000-0000-00006A3F0000}"/>
    <cellStyle name="Note 2 8 3 2 4 2 3" xfId="23221" xr:uid="{00000000-0005-0000-0000-00006B3F0000}"/>
    <cellStyle name="Note 2 8 3 2 4 3" xfId="13305" xr:uid="{00000000-0005-0000-0000-00006C3F0000}"/>
    <cellStyle name="Note 2 8 3 2 4 3 2" xfId="28137" xr:uid="{00000000-0005-0000-0000-00006D3F0000}"/>
    <cellStyle name="Note 2 8 3 2 4 4" xfId="10501" xr:uid="{00000000-0005-0000-0000-00006E3F0000}"/>
    <cellStyle name="Note 2 8 3 2 4 4 2" xfId="25333" xr:uid="{00000000-0005-0000-0000-00006F3F0000}"/>
    <cellStyle name="Note 2 8 3 2 4 5" xfId="20893" xr:uid="{00000000-0005-0000-0000-0000703F0000}"/>
    <cellStyle name="Note 2 8 3 2 5" xfId="6139" xr:uid="{00000000-0005-0000-0000-0000713F0000}"/>
    <cellStyle name="Note 2 8 3 2 5 2" xfId="16326" xr:uid="{00000000-0005-0000-0000-0000723F0000}"/>
    <cellStyle name="Note 2 8 3 2 5 2 2" xfId="31158" xr:uid="{00000000-0005-0000-0000-0000733F0000}"/>
    <cellStyle name="Note 2 8 3 2 5 3" xfId="22672" xr:uid="{00000000-0005-0000-0000-0000743F0000}"/>
    <cellStyle name="Note 2 8 3 2 6" xfId="12396" xr:uid="{00000000-0005-0000-0000-0000753F0000}"/>
    <cellStyle name="Note 2 8 3 2 6 2" xfId="27228" xr:uid="{00000000-0005-0000-0000-0000763F0000}"/>
    <cellStyle name="Note 2 8 3 2 7" xfId="9978" xr:uid="{00000000-0005-0000-0000-0000773F0000}"/>
    <cellStyle name="Note 2 8 3 2 7 2" xfId="24810" xr:uid="{00000000-0005-0000-0000-0000783F0000}"/>
    <cellStyle name="Note 2 8 3 2 8" xfId="20351" xr:uid="{00000000-0005-0000-0000-0000793F0000}"/>
    <cellStyle name="Note 2 8 3 3" xfId="3324" xr:uid="{00000000-0005-0000-0000-00007A3F0000}"/>
    <cellStyle name="Note 2 8 3 3 2" xfId="7387" xr:uid="{00000000-0005-0000-0000-00007B3F0000}"/>
    <cellStyle name="Note 2 8 3 3 2 2" xfId="17120" xr:uid="{00000000-0005-0000-0000-00007C3F0000}"/>
    <cellStyle name="Note 2 8 3 3 2 2 2" xfId="31952" xr:uid="{00000000-0005-0000-0000-00007D3F0000}"/>
    <cellStyle name="Note 2 8 3 3 2 3" xfId="23400" xr:uid="{00000000-0005-0000-0000-00007E3F0000}"/>
    <cellStyle name="Note 2 8 3 3 3" xfId="13661" xr:uid="{00000000-0005-0000-0000-00007F3F0000}"/>
    <cellStyle name="Note 2 8 3 3 3 2" xfId="28493" xr:uid="{00000000-0005-0000-0000-0000803F0000}"/>
    <cellStyle name="Note 2 8 3 3 4" xfId="10741" xr:uid="{00000000-0005-0000-0000-0000813F0000}"/>
    <cellStyle name="Note 2 8 3 3 4 2" xfId="25573" xr:uid="{00000000-0005-0000-0000-0000823F0000}"/>
    <cellStyle name="Note 2 8 3 3 5" xfId="21088" xr:uid="{00000000-0005-0000-0000-0000833F0000}"/>
    <cellStyle name="Note 2 8 3 4" xfId="4557" xr:uid="{00000000-0005-0000-0000-0000843F0000}"/>
    <cellStyle name="Note 2 8 3 4 2" xfId="8596" xr:uid="{00000000-0005-0000-0000-0000853F0000}"/>
    <cellStyle name="Note 2 8 3 4 2 2" xfId="17714" xr:uid="{00000000-0005-0000-0000-0000863F0000}"/>
    <cellStyle name="Note 2 8 3 4 2 2 2" xfId="32546" xr:uid="{00000000-0005-0000-0000-0000873F0000}"/>
    <cellStyle name="Note 2 8 3 4 2 3" xfId="24222" xr:uid="{00000000-0005-0000-0000-0000883F0000}"/>
    <cellStyle name="Note 2 8 3 4 3" xfId="14884" xr:uid="{00000000-0005-0000-0000-0000893F0000}"/>
    <cellStyle name="Note 2 8 3 4 3 2" xfId="29716" xr:uid="{00000000-0005-0000-0000-00008A3F0000}"/>
    <cellStyle name="Note 2 8 3 4 4" xfId="11320" xr:uid="{00000000-0005-0000-0000-00008B3F0000}"/>
    <cellStyle name="Note 2 8 3 4 4 2" xfId="26152" xr:uid="{00000000-0005-0000-0000-00008C3F0000}"/>
    <cellStyle name="Note 2 8 3 4 5" xfId="21778" xr:uid="{00000000-0005-0000-0000-00008D3F0000}"/>
    <cellStyle name="Note 2 8 3 5" xfId="2547" xr:uid="{00000000-0005-0000-0000-00008E3F0000}"/>
    <cellStyle name="Note 2 8 3 5 2" xfId="6653" xr:uid="{00000000-0005-0000-0000-00008F3F0000}"/>
    <cellStyle name="Note 2 8 3 5 2 2" xfId="16611" xr:uid="{00000000-0005-0000-0000-0000903F0000}"/>
    <cellStyle name="Note 2 8 3 5 2 2 2" xfId="31443" xr:uid="{00000000-0005-0000-0000-0000913F0000}"/>
    <cellStyle name="Note 2 8 3 5 2 3" xfId="22991" xr:uid="{00000000-0005-0000-0000-0000923F0000}"/>
    <cellStyle name="Note 2 8 3 5 3" xfId="12885" xr:uid="{00000000-0005-0000-0000-0000933F0000}"/>
    <cellStyle name="Note 2 8 3 5 3 2" xfId="27717" xr:uid="{00000000-0005-0000-0000-0000943F0000}"/>
    <cellStyle name="Note 2 8 3 5 4" xfId="10261" xr:uid="{00000000-0005-0000-0000-0000953F0000}"/>
    <cellStyle name="Note 2 8 3 5 4 2" xfId="25093" xr:uid="{00000000-0005-0000-0000-0000963F0000}"/>
    <cellStyle name="Note 2 8 3 5 5" xfId="20633" xr:uid="{00000000-0005-0000-0000-0000973F0000}"/>
    <cellStyle name="Note 2 8 3 6" xfId="5670" xr:uid="{00000000-0005-0000-0000-0000983F0000}"/>
    <cellStyle name="Note 2 8 3 6 2" xfId="15905" xr:uid="{00000000-0005-0000-0000-0000993F0000}"/>
    <cellStyle name="Note 2 8 3 6 2 2" xfId="30737" xr:uid="{00000000-0005-0000-0000-00009A3F0000}"/>
    <cellStyle name="Note 2 8 3 6 3" xfId="22366" xr:uid="{00000000-0005-0000-0000-00009B3F0000}"/>
    <cellStyle name="Note 2 8 3 7" xfId="11925" xr:uid="{00000000-0005-0000-0000-00009C3F0000}"/>
    <cellStyle name="Note 2 8 3 7 2" xfId="26757" xr:uid="{00000000-0005-0000-0000-00009D3F0000}"/>
    <cellStyle name="Note 2 8 3 8" xfId="9583" xr:uid="{00000000-0005-0000-0000-00009E3F0000}"/>
    <cellStyle name="Note 2 8 3 8 2" xfId="19885" xr:uid="{00000000-0005-0000-0000-00009F3F0000}"/>
    <cellStyle name="Note 2 8 4" xfId="1567" xr:uid="{00000000-0005-0000-0000-0000A03F0000}"/>
    <cellStyle name="Note 2 8 4 2" xfId="2064" xr:uid="{00000000-0005-0000-0000-0000A13F0000}"/>
    <cellStyle name="Note 2 8 4 2 2" xfId="3405" xr:uid="{00000000-0005-0000-0000-0000A23F0000}"/>
    <cellStyle name="Note 2 8 4 2 2 2" xfId="7468" xr:uid="{00000000-0005-0000-0000-0000A33F0000}"/>
    <cellStyle name="Note 2 8 4 2 2 2 2" xfId="17167" xr:uid="{00000000-0005-0000-0000-0000A43F0000}"/>
    <cellStyle name="Note 2 8 4 2 2 2 2 2" xfId="31999" xr:uid="{00000000-0005-0000-0000-0000A53F0000}"/>
    <cellStyle name="Note 2 8 4 2 2 2 3" xfId="23456" xr:uid="{00000000-0005-0000-0000-0000A63F0000}"/>
    <cellStyle name="Note 2 8 4 2 2 3" xfId="13742" xr:uid="{00000000-0005-0000-0000-0000A73F0000}"/>
    <cellStyle name="Note 2 8 4 2 2 3 2" xfId="28574" xr:uid="{00000000-0005-0000-0000-0000A83F0000}"/>
    <cellStyle name="Note 2 8 4 2 2 4" xfId="10786" xr:uid="{00000000-0005-0000-0000-0000A93F0000}"/>
    <cellStyle name="Note 2 8 4 2 2 4 2" xfId="25618" xr:uid="{00000000-0005-0000-0000-0000AA3F0000}"/>
    <cellStyle name="Note 2 8 4 2 2 5" xfId="21134" xr:uid="{00000000-0005-0000-0000-0000AB3F0000}"/>
    <cellStyle name="Note 2 8 4 2 3" xfId="5032" xr:uid="{00000000-0005-0000-0000-0000AC3F0000}"/>
    <cellStyle name="Note 2 8 4 2 3 2" xfId="9071" xr:uid="{00000000-0005-0000-0000-0000AD3F0000}"/>
    <cellStyle name="Note 2 8 4 2 3 2 2" xfId="18004" xr:uid="{00000000-0005-0000-0000-0000AE3F0000}"/>
    <cellStyle name="Note 2 8 4 2 3 2 2 2" xfId="32836" xr:uid="{00000000-0005-0000-0000-0000AF3F0000}"/>
    <cellStyle name="Note 2 8 4 2 3 2 3" xfId="24505" xr:uid="{00000000-0005-0000-0000-0000B03F0000}"/>
    <cellStyle name="Note 2 8 4 2 3 3" xfId="15353" xr:uid="{00000000-0005-0000-0000-0000B13F0000}"/>
    <cellStyle name="Note 2 8 4 2 3 3 2" xfId="30185" xr:uid="{00000000-0005-0000-0000-0000B23F0000}"/>
    <cellStyle name="Note 2 8 4 2 3 4" xfId="11604" xr:uid="{00000000-0005-0000-0000-0000B33F0000}"/>
    <cellStyle name="Note 2 8 4 2 3 4 2" xfId="26436" xr:uid="{00000000-0005-0000-0000-0000B43F0000}"/>
    <cellStyle name="Note 2 8 4 2 3 5" xfId="22025" xr:uid="{00000000-0005-0000-0000-0000B53F0000}"/>
    <cellStyle name="Note 2 8 4 2 4" xfId="3022" xr:uid="{00000000-0005-0000-0000-0000B63F0000}"/>
    <cellStyle name="Note 2 8 4 2 4 2" xfId="7097" xr:uid="{00000000-0005-0000-0000-0000B73F0000}"/>
    <cellStyle name="Note 2 8 4 2 4 2 2" xfId="16895" xr:uid="{00000000-0005-0000-0000-0000B83F0000}"/>
    <cellStyle name="Note 2 8 4 2 4 2 2 2" xfId="31727" xr:uid="{00000000-0005-0000-0000-0000B93F0000}"/>
    <cellStyle name="Note 2 8 4 2 4 2 3" xfId="23238" xr:uid="{00000000-0005-0000-0000-0000BA3F0000}"/>
    <cellStyle name="Note 2 8 4 2 4 3" xfId="13360" xr:uid="{00000000-0005-0000-0000-0000BB3F0000}"/>
    <cellStyle name="Note 2 8 4 2 4 3 2" xfId="28192" xr:uid="{00000000-0005-0000-0000-0000BC3F0000}"/>
    <cellStyle name="Note 2 8 4 2 4 4" xfId="10551" xr:uid="{00000000-0005-0000-0000-0000BD3F0000}"/>
    <cellStyle name="Note 2 8 4 2 4 4 2" xfId="25383" xr:uid="{00000000-0005-0000-0000-0000BE3F0000}"/>
    <cellStyle name="Note 2 8 4 2 4 5" xfId="20916" xr:uid="{00000000-0005-0000-0000-0000BF3F0000}"/>
    <cellStyle name="Note 2 8 4 2 5" xfId="6189" xr:uid="{00000000-0005-0000-0000-0000C03F0000}"/>
    <cellStyle name="Note 2 8 4 2 5 2" xfId="16375" xr:uid="{00000000-0005-0000-0000-0000C13F0000}"/>
    <cellStyle name="Note 2 8 4 2 5 2 2" xfId="31207" xr:uid="{00000000-0005-0000-0000-0000C23F0000}"/>
    <cellStyle name="Note 2 8 4 2 5 3" xfId="22689" xr:uid="{00000000-0005-0000-0000-0000C33F0000}"/>
    <cellStyle name="Note 2 8 4 2 6" xfId="12445" xr:uid="{00000000-0005-0000-0000-0000C43F0000}"/>
    <cellStyle name="Note 2 8 4 2 6 2" xfId="27277" xr:uid="{00000000-0005-0000-0000-0000C53F0000}"/>
    <cellStyle name="Note 2 8 4 2 7" xfId="10027" xr:uid="{00000000-0005-0000-0000-0000C63F0000}"/>
    <cellStyle name="Note 2 8 4 2 7 2" xfId="24859" xr:uid="{00000000-0005-0000-0000-0000C73F0000}"/>
    <cellStyle name="Note 2 8 4 2 8" xfId="20368" xr:uid="{00000000-0005-0000-0000-0000C83F0000}"/>
    <cellStyle name="Note 2 8 4 3" xfId="3174" xr:uid="{00000000-0005-0000-0000-0000C93F0000}"/>
    <cellStyle name="Note 2 8 4 3 2" xfId="7238" xr:uid="{00000000-0005-0000-0000-0000CA3F0000}"/>
    <cellStyle name="Note 2 8 4 3 2 2" xfId="17012" xr:uid="{00000000-0005-0000-0000-0000CB3F0000}"/>
    <cellStyle name="Note 2 8 4 3 2 2 2" xfId="31844" xr:uid="{00000000-0005-0000-0000-0000CC3F0000}"/>
    <cellStyle name="Note 2 8 4 3 2 3" xfId="23298" xr:uid="{00000000-0005-0000-0000-0000CD3F0000}"/>
    <cellStyle name="Note 2 8 4 3 3" xfId="13512" xr:uid="{00000000-0005-0000-0000-0000CE3F0000}"/>
    <cellStyle name="Note 2 8 4 3 3 2" xfId="28344" xr:uid="{00000000-0005-0000-0000-0000CF3F0000}"/>
    <cellStyle name="Note 2 8 4 3 4" xfId="10662" xr:uid="{00000000-0005-0000-0000-0000D03F0000}"/>
    <cellStyle name="Note 2 8 4 3 4 2" xfId="25494" xr:uid="{00000000-0005-0000-0000-0000D13F0000}"/>
    <cellStyle name="Note 2 8 4 3 5" xfId="20988" xr:uid="{00000000-0005-0000-0000-0000D23F0000}"/>
    <cellStyle name="Note 2 8 4 4" xfId="4612" xr:uid="{00000000-0005-0000-0000-0000D33F0000}"/>
    <cellStyle name="Note 2 8 4 4 2" xfId="8651" xr:uid="{00000000-0005-0000-0000-0000D43F0000}"/>
    <cellStyle name="Note 2 8 4 4 2 2" xfId="17764" xr:uid="{00000000-0005-0000-0000-0000D53F0000}"/>
    <cellStyle name="Note 2 8 4 4 2 2 2" xfId="32596" xr:uid="{00000000-0005-0000-0000-0000D63F0000}"/>
    <cellStyle name="Note 2 8 4 4 2 3" xfId="24245" xr:uid="{00000000-0005-0000-0000-0000D73F0000}"/>
    <cellStyle name="Note 2 8 4 4 3" xfId="14938" xr:uid="{00000000-0005-0000-0000-0000D83F0000}"/>
    <cellStyle name="Note 2 8 4 4 3 2" xfId="29770" xr:uid="{00000000-0005-0000-0000-0000D93F0000}"/>
    <cellStyle name="Note 2 8 4 4 4" xfId="11369" xr:uid="{00000000-0005-0000-0000-0000DA3F0000}"/>
    <cellStyle name="Note 2 8 4 4 4 2" xfId="26201" xr:uid="{00000000-0005-0000-0000-0000DB3F0000}"/>
    <cellStyle name="Note 2 8 4 4 5" xfId="21795" xr:uid="{00000000-0005-0000-0000-0000DC3F0000}"/>
    <cellStyle name="Note 2 8 4 5" xfId="2602" xr:uid="{00000000-0005-0000-0000-0000DD3F0000}"/>
    <cellStyle name="Note 2 8 4 5 2" xfId="6703" xr:uid="{00000000-0005-0000-0000-0000DE3F0000}"/>
    <cellStyle name="Note 2 8 4 5 2 2" xfId="16660" xr:uid="{00000000-0005-0000-0000-0000DF3F0000}"/>
    <cellStyle name="Note 2 8 4 5 2 2 2" xfId="31492" xr:uid="{00000000-0005-0000-0000-0000E03F0000}"/>
    <cellStyle name="Note 2 8 4 5 2 3" xfId="23008" xr:uid="{00000000-0005-0000-0000-0000E13F0000}"/>
    <cellStyle name="Note 2 8 4 5 3" xfId="12940" xr:uid="{00000000-0005-0000-0000-0000E23F0000}"/>
    <cellStyle name="Note 2 8 4 5 3 2" xfId="27772" xr:uid="{00000000-0005-0000-0000-0000E33F0000}"/>
    <cellStyle name="Note 2 8 4 5 4" xfId="10311" xr:uid="{00000000-0005-0000-0000-0000E43F0000}"/>
    <cellStyle name="Note 2 8 4 5 4 2" xfId="25143" xr:uid="{00000000-0005-0000-0000-0000E53F0000}"/>
    <cellStyle name="Note 2 8 4 5 5" xfId="20656" xr:uid="{00000000-0005-0000-0000-0000E63F0000}"/>
    <cellStyle name="Note 2 8 4 6" xfId="5719" xr:uid="{00000000-0005-0000-0000-0000E73F0000}"/>
    <cellStyle name="Note 2 8 4 6 2" xfId="15954" xr:uid="{00000000-0005-0000-0000-0000E83F0000}"/>
    <cellStyle name="Note 2 8 4 6 2 2" xfId="30786" xr:uid="{00000000-0005-0000-0000-0000E93F0000}"/>
    <cellStyle name="Note 2 8 4 6 3" xfId="22383" xr:uid="{00000000-0005-0000-0000-0000EA3F0000}"/>
    <cellStyle name="Note 2 8 4 7" xfId="11974" xr:uid="{00000000-0005-0000-0000-0000EB3F0000}"/>
    <cellStyle name="Note 2 8 4 7 2" xfId="26806" xr:uid="{00000000-0005-0000-0000-0000EC3F0000}"/>
    <cellStyle name="Note 2 8 4 8" xfId="9633" xr:uid="{00000000-0005-0000-0000-0000ED3F0000}"/>
    <cellStyle name="Note 2 8 4 8 2" xfId="19934" xr:uid="{00000000-0005-0000-0000-0000EE3F0000}"/>
    <cellStyle name="Note 2 8 5" xfId="1617" xr:uid="{00000000-0005-0000-0000-0000EF3F0000}"/>
    <cellStyle name="Note 2 8 5 2" xfId="2114" xr:uid="{00000000-0005-0000-0000-0000F03F0000}"/>
    <cellStyle name="Note 2 8 5 2 2" xfId="3942" xr:uid="{00000000-0005-0000-0000-0000F13F0000}"/>
    <cellStyle name="Note 2 8 5 2 2 2" xfId="7992" xr:uid="{00000000-0005-0000-0000-0000F23F0000}"/>
    <cellStyle name="Note 2 8 5 2 2 2 2" xfId="17442" xr:uid="{00000000-0005-0000-0000-0000F33F0000}"/>
    <cellStyle name="Note 2 8 5 2 2 2 2 2" xfId="32274" xr:uid="{00000000-0005-0000-0000-0000F43F0000}"/>
    <cellStyle name="Note 2 8 5 2 2 2 3" xfId="23793" xr:uid="{00000000-0005-0000-0000-0000F53F0000}"/>
    <cellStyle name="Note 2 8 5 2 2 3" xfId="14275" xr:uid="{00000000-0005-0000-0000-0000F63F0000}"/>
    <cellStyle name="Note 2 8 5 2 2 3 2" xfId="29107" xr:uid="{00000000-0005-0000-0000-0000F73F0000}"/>
    <cellStyle name="Note 2 8 5 2 2 4" xfId="11057" xr:uid="{00000000-0005-0000-0000-0000F83F0000}"/>
    <cellStyle name="Note 2 8 5 2 2 4 2" xfId="25889" xr:uid="{00000000-0005-0000-0000-0000F93F0000}"/>
    <cellStyle name="Note 2 8 5 2 2 5" xfId="21435" xr:uid="{00000000-0005-0000-0000-0000FA3F0000}"/>
    <cellStyle name="Note 2 8 5 2 3" xfId="5082" xr:uid="{00000000-0005-0000-0000-0000FB3F0000}"/>
    <cellStyle name="Note 2 8 5 2 3 2" xfId="9121" xr:uid="{00000000-0005-0000-0000-0000FC3F0000}"/>
    <cellStyle name="Note 2 8 5 2 3 2 2" xfId="18049" xr:uid="{00000000-0005-0000-0000-0000FD3F0000}"/>
    <cellStyle name="Note 2 8 5 2 3 2 2 2" xfId="32881" xr:uid="{00000000-0005-0000-0000-0000FE3F0000}"/>
    <cellStyle name="Note 2 8 5 2 3 2 3" xfId="24523" xr:uid="{00000000-0005-0000-0000-0000FF3F0000}"/>
    <cellStyle name="Note 2 8 5 2 3 3" xfId="15402" xr:uid="{00000000-0005-0000-0000-000000400000}"/>
    <cellStyle name="Note 2 8 5 2 3 3 2" xfId="30234" xr:uid="{00000000-0005-0000-0000-000001400000}"/>
    <cellStyle name="Note 2 8 5 2 3 4" xfId="11648" xr:uid="{00000000-0005-0000-0000-000002400000}"/>
    <cellStyle name="Note 2 8 5 2 3 4 2" xfId="26480" xr:uid="{00000000-0005-0000-0000-000003400000}"/>
    <cellStyle name="Note 2 8 5 2 3 5" xfId="22037" xr:uid="{00000000-0005-0000-0000-000004400000}"/>
    <cellStyle name="Note 2 8 5 2 4" xfId="3072" xr:uid="{00000000-0005-0000-0000-000005400000}"/>
    <cellStyle name="Note 2 8 5 2 4 2" xfId="7142" xr:uid="{00000000-0005-0000-0000-000006400000}"/>
    <cellStyle name="Note 2 8 5 2 4 2 2" xfId="16939" xr:uid="{00000000-0005-0000-0000-000007400000}"/>
    <cellStyle name="Note 2 8 5 2 4 2 2 2" xfId="31771" xr:uid="{00000000-0005-0000-0000-000008400000}"/>
    <cellStyle name="Note 2 8 5 2 4 2 3" xfId="23250" xr:uid="{00000000-0005-0000-0000-000009400000}"/>
    <cellStyle name="Note 2 8 5 2 4 3" xfId="13410" xr:uid="{00000000-0005-0000-0000-00000A400000}"/>
    <cellStyle name="Note 2 8 5 2 4 3 2" xfId="28242" xr:uid="{00000000-0005-0000-0000-00000B400000}"/>
    <cellStyle name="Note 2 8 5 2 4 4" xfId="10596" xr:uid="{00000000-0005-0000-0000-00000C400000}"/>
    <cellStyle name="Note 2 8 5 2 4 4 2" xfId="25428" xr:uid="{00000000-0005-0000-0000-00000D400000}"/>
    <cellStyle name="Note 2 8 5 2 4 5" xfId="20934" xr:uid="{00000000-0005-0000-0000-00000E400000}"/>
    <cellStyle name="Note 2 8 5 2 5" xfId="6234" xr:uid="{00000000-0005-0000-0000-00000F400000}"/>
    <cellStyle name="Note 2 8 5 2 5 2" xfId="16419" xr:uid="{00000000-0005-0000-0000-000010400000}"/>
    <cellStyle name="Note 2 8 5 2 5 2 2" xfId="31251" xr:uid="{00000000-0005-0000-0000-000011400000}"/>
    <cellStyle name="Note 2 8 5 2 5 3" xfId="22701" xr:uid="{00000000-0005-0000-0000-000012400000}"/>
    <cellStyle name="Note 2 8 5 2 6" xfId="12489" xr:uid="{00000000-0005-0000-0000-000013400000}"/>
    <cellStyle name="Note 2 8 5 2 6 2" xfId="27321" xr:uid="{00000000-0005-0000-0000-000014400000}"/>
    <cellStyle name="Note 2 8 5 2 7" xfId="10071" xr:uid="{00000000-0005-0000-0000-000015400000}"/>
    <cellStyle name="Note 2 8 5 2 7 2" xfId="24903" xr:uid="{00000000-0005-0000-0000-000016400000}"/>
    <cellStyle name="Note 2 8 5 2 8" xfId="20380" xr:uid="{00000000-0005-0000-0000-000017400000}"/>
    <cellStyle name="Note 2 8 5 3" xfId="3506" xr:uid="{00000000-0005-0000-0000-000018400000}"/>
    <cellStyle name="Note 2 8 5 3 2" xfId="7568" xr:uid="{00000000-0005-0000-0000-000019400000}"/>
    <cellStyle name="Note 2 8 5 3 2 2" xfId="17226" xr:uid="{00000000-0005-0000-0000-00001A400000}"/>
    <cellStyle name="Note 2 8 5 3 2 2 2" xfId="32058" xr:uid="{00000000-0005-0000-0000-00001B400000}"/>
    <cellStyle name="Note 2 8 5 3 2 3" xfId="23520" xr:uid="{00000000-0005-0000-0000-00001C400000}"/>
    <cellStyle name="Note 2 8 5 3 3" xfId="13843" xr:uid="{00000000-0005-0000-0000-00001D400000}"/>
    <cellStyle name="Note 2 8 5 3 3 2" xfId="28675" xr:uid="{00000000-0005-0000-0000-00001E400000}"/>
    <cellStyle name="Note 2 8 5 3 4" xfId="10844" xr:uid="{00000000-0005-0000-0000-00001F400000}"/>
    <cellStyle name="Note 2 8 5 3 4 2" xfId="25676" xr:uid="{00000000-0005-0000-0000-000020400000}"/>
    <cellStyle name="Note 2 8 5 3 5" xfId="21195" xr:uid="{00000000-0005-0000-0000-000021400000}"/>
    <cellStyle name="Note 2 8 5 4" xfId="4662" xr:uid="{00000000-0005-0000-0000-000022400000}"/>
    <cellStyle name="Note 2 8 5 4 2" xfId="8701" xr:uid="{00000000-0005-0000-0000-000023400000}"/>
    <cellStyle name="Note 2 8 5 4 2 2" xfId="17809" xr:uid="{00000000-0005-0000-0000-000024400000}"/>
    <cellStyle name="Note 2 8 5 4 2 2 2" xfId="32641" xr:uid="{00000000-0005-0000-0000-000025400000}"/>
    <cellStyle name="Note 2 8 5 4 2 3" xfId="24263" xr:uid="{00000000-0005-0000-0000-000026400000}"/>
    <cellStyle name="Note 2 8 5 4 3" xfId="14987" xr:uid="{00000000-0005-0000-0000-000027400000}"/>
    <cellStyle name="Note 2 8 5 4 3 2" xfId="29819" xr:uid="{00000000-0005-0000-0000-000028400000}"/>
    <cellStyle name="Note 2 8 5 4 4" xfId="11413" xr:uid="{00000000-0005-0000-0000-000029400000}"/>
    <cellStyle name="Note 2 8 5 4 4 2" xfId="26245" xr:uid="{00000000-0005-0000-0000-00002A400000}"/>
    <cellStyle name="Note 2 8 5 4 5" xfId="21807" xr:uid="{00000000-0005-0000-0000-00002B400000}"/>
    <cellStyle name="Note 2 8 5 5" xfId="2652" xr:uid="{00000000-0005-0000-0000-00002C400000}"/>
    <cellStyle name="Note 2 8 5 5 2" xfId="6748" xr:uid="{00000000-0005-0000-0000-00002D400000}"/>
    <cellStyle name="Note 2 8 5 5 2 2" xfId="16704" xr:uid="{00000000-0005-0000-0000-00002E400000}"/>
    <cellStyle name="Note 2 8 5 5 2 2 2" xfId="31536" xr:uid="{00000000-0005-0000-0000-00002F400000}"/>
    <cellStyle name="Note 2 8 5 5 2 3" xfId="23020" xr:uid="{00000000-0005-0000-0000-000030400000}"/>
    <cellStyle name="Note 2 8 5 5 3" xfId="12990" xr:uid="{00000000-0005-0000-0000-000031400000}"/>
    <cellStyle name="Note 2 8 5 5 3 2" xfId="27822" xr:uid="{00000000-0005-0000-0000-000032400000}"/>
    <cellStyle name="Note 2 8 5 5 4" xfId="10356" xr:uid="{00000000-0005-0000-0000-000033400000}"/>
    <cellStyle name="Note 2 8 5 5 4 2" xfId="25188" xr:uid="{00000000-0005-0000-0000-000034400000}"/>
    <cellStyle name="Note 2 8 5 5 5" xfId="20674" xr:uid="{00000000-0005-0000-0000-000035400000}"/>
    <cellStyle name="Note 2 8 5 6" xfId="5764" xr:uid="{00000000-0005-0000-0000-000036400000}"/>
    <cellStyle name="Note 2 8 5 6 2" xfId="15998" xr:uid="{00000000-0005-0000-0000-000037400000}"/>
    <cellStyle name="Note 2 8 5 6 2 2" xfId="30830" xr:uid="{00000000-0005-0000-0000-000038400000}"/>
    <cellStyle name="Note 2 8 5 6 3" xfId="22395" xr:uid="{00000000-0005-0000-0000-000039400000}"/>
    <cellStyle name="Note 2 8 5 7" xfId="12018" xr:uid="{00000000-0005-0000-0000-00003A400000}"/>
    <cellStyle name="Note 2 8 5 7 2" xfId="26850" xr:uid="{00000000-0005-0000-0000-00003B400000}"/>
    <cellStyle name="Note 2 8 5 8" xfId="9678" xr:uid="{00000000-0005-0000-0000-00003C400000}"/>
    <cellStyle name="Note 2 8 5 8 2" xfId="19978" xr:uid="{00000000-0005-0000-0000-00003D400000}"/>
    <cellStyle name="Note 2 8 6" xfId="1768" xr:uid="{00000000-0005-0000-0000-00003E400000}"/>
    <cellStyle name="Note 2 8 6 2" xfId="3699" xr:uid="{00000000-0005-0000-0000-00003F400000}"/>
    <cellStyle name="Note 2 8 6 2 2" xfId="7755" xr:uid="{00000000-0005-0000-0000-000040400000}"/>
    <cellStyle name="Note 2 8 6 2 2 2" xfId="17323" xr:uid="{00000000-0005-0000-0000-000041400000}"/>
    <cellStyle name="Note 2 8 6 2 2 2 2" xfId="32155" xr:uid="{00000000-0005-0000-0000-000042400000}"/>
    <cellStyle name="Note 2 8 6 2 2 3" xfId="23639" xr:uid="{00000000-0005-0000-0000-000043400000}"/>
    <cellStyle name="Note 2 8 6 2 3" xfId="14034" xr:uid="{00000000-0005-0000-0000-000044400000}"/>
    <cellStyle name="Note 2 8 6 2 3 2" xfId="28866" xr:uid="{00000000-0005-0000-0000-000045400000}"/>
    <cellStyle name="Note 2 8 6 2 4" xfId="10941" xr:uid="{00000000-0005-0000-0000-000046400000}"/>
    <cellStyle name="Note 2 8 6 2 4 2" xfId="25773" xr:uid="{00000000-0005-0000-0000-000047400000}"/>
    <cellStyle name="Note 2 8 6 2 5" xfId="21300" xr:uid="{00000000-0005-0000-0000-000048400000}"/>
    <cellStyle name="Note 2 8 6 3" xfId="4746" xr:uid="{00000000-0005-0000-0000-000049400000}"/>
    <cellStyle name="Note 2 8 6 3 2" xfId="8785" xr:uid="{00000000-0005-0000-0000-00004A400000}"/>
    <cellStyle name="Note 2 8 6 3 2 2" xfId="17857" xr:uid="{00000000-0005-0000-0000-00004B400000}"/>
    <cellStyle name="Note 2 8 6 3 2 2 2" xfId="32689" xr:uid="{00000000-0005-0000-0000-00004C400000}"/>
    <cellStyle name="Note 2 8 6 3 2 3" xfId="24315" xr:uid="{00000000-0005-0000-0000-00004D400000}"/>
    <cellStyle name="Note 2 8 6 3 3" xfId="15070" xr:uid="{00000000-0005-0000-0000-00004E400000}"/>
    <cellStyle name="Note 2 8 6 3 3 2" xfId="29902" xr:uid="{00000000-0005-0000-0000-00004F400000}"/>
    <cellStyle name="Note 2 8 6 3 4" xfId="11460" xr:uid="{00000000-0005-0000-0000-000050400000}"/>
    <cellStyle name="Note 2 8 6 3 4 2" xfId="26292" xr:uid="{00000000-0005-0000-0000-000051400000}"/>
    <cellStyle name="Note 2 8 6 3 5" xfId="21853" xr:uid="{00000000-0005-0000-0000-000052400000}"/>
    <cellStyle name="Note 2 8 6 4" xfId="2736" xr:uid="{00000000-0005-0000-0000-000053400000}"/>
    <cellStyle name="Note 2 8 6 4 2" xfId="6827" xr:uid="{00000000-0005-0000-0000-000054400000}"/>
    <cellStyle name="Note 2 8 6 4 2 2" xfId="16751" xr:uid="{00000000-0005-0000-0000-000055400000}"/>
    <cellStyle name="Note 2 8 6 4 2 2 2" xfId="31583" xr:uid="{00000000-0005-0000-0000-000056400000}"/>
    <cellStyle name="Note 2 8 6 4 2 3" xfId="23066" xr:uid="{00000000-0005-0000-0000-000057400000}"/>
    <cellStyle name="Note 2 8 6 4 3" xfId="13074" xr:uid="{00000000-0005-0000-0000-000058400000}"/>
    <cellStyle name="Note 2 8 6 4 3 2" xfId="27906" xr:uid="{00000000-0005-0000-0000-000059400000}"/>
    <cellStyle name="Note 2 8 6 4 4" xfId="10404" xr:uid="{00000000-0005-0000-0000-00005A400000}"/>
    <cellStyle name="Note 2 8 6 4 4 2" xfId="25236" xr:uid="{00000000-0005-0000-0000-00005B400000}"/>
    <cellStyle name="Note 2 8 6 4 5" xfId="20726" xr:uid="{00000000-0005-0000-0000-00005C400000}"/>
    <cellStyle name="Note 2 8 6 5" xfId="5900" xr:uid="{00000000-0005-0000-0000-00005D400000}"/>
    <cellStyle name="Note 2 8 6 5 2" xfId="16092" xr:uid="{00000000-0005-0000-0000-00005E400000}"/>
    <cellStyle name="Note 2 8 6 5 2 2" xfId="30924" xr:uid="{00000000-0005-0000-0000-00005F400000}"/>
    <cellStyle name="Note 2 8 6 5 3" xfId="22497" xr:uid="{00000000-0005-0000-0000-000060400000}"/>
    <cellStyle name="Note 2 8 6 6" xfId="12162" xr:uid="{00000000-0005-0000-0000-000061400000}"/>
    <cellStyle name="Note 2 8 6 6 2" xfId="26994" xr:uid="{00000000-0005-0000-0000-000062400000}"/>
    <cellStyle name="Note 2 8 6 7" xfId="9758" xr:uid="{00000000-0005-0000-0000-000063400000}"/>
    <cellStyle name="Note 2 8 6 7 2" xfId="24715" xr:uid="{00000000-0005-0000-0000-000064400000}"/>
    <cellStyle name="Note 2 8 6 8" xfId="20305" xr:uid="{00000000-0005-0000-0000-000065400000}"/>
    <cellStyle name="Note 2 8 7" xfId="2198" xr:uid="{00000000-0005-0000-0000-000066400000}"/>
    <cellStyle name="Note 2 8 7 2" xfId="3421" xr:uid="{00000000-0005-0000-0000-000067400000}"/>
    <cellStyle name="Note 2 8 7 2 2" xfId="7484" xr:uid="{00000000-0005-0000-0000-000068400000}"/>
    <cellStyle name="Note 2 8 7 2 2 2" xfId="17182" xr:uid="{00000000-0005-0000-0000-000069400000}"/>
    <cellStyle name="Note 2 8 7 2 2 2 2" xfId="32014" xr:uid="{00000000-0005-0000-0000-00006A400000}"/>
    <cellStyle name="Note 2 8 7 2 2 3" xfId="23464" xr:uid="{00000000-0005-0000-0000-00006B400000}"/>
    <cellStyle name="Note 2 8 7 2 3" xfId="13758" xr:uid="{00000000-0005-0000-0000-00006C400000}"/>
    <cellStyle name="Note 2 8 7 2 3 2" xfId="28590" xr:uid="{00000000-0005-0000-0000-00006D400000}"/>
    <cellStyle name="Note 2 8 7 2 4" xfId="10801" xr:uid="{00000000-0005-0000-0000-00006E400000}"/>
    <cellStyle name="Note 2 8 7 2 4 2" xfId="25633" xr:uid="{00000000-0005-0000-0000-00006F400000}"/>
    <cellStyle name="Note 2 8 7 2 5" xfId="21141" xr:uid="{00000000-0005-0000-0000-000070400000}"/>
    <cellStyle name="Note 2 8 7 3" xfId="5166" xr:uid="{00000000-0005-0000-0000-000071400000}"/>
    <cellStyle name="Note 2 8 7 3 2" xfId="9205" xr:uid="{00000000-0005-0000-0000-000072400000}"/>
    <cellStyle name="Note 2 8 7 3 2 2" xfId="18128" xr:uid="{00000000-0005-0000-0000-000073400000}"/>
    <cellStyle name="Note 2 8 7 3 2 2 2" xfId="32960" xr:uid="{00000000-0005-0000-0000-000074400000}"/>
    <cellStyle name="Note 2 8 7 3 2 3" xfId="24543" xr:uid="{00000000-0005-0000-0000-000075400000}"/>
    <cellStyle name="Note 2 8 7 3 3" xfId="15484" xr:uid="{00000000-0005-0000-0000-000076400000}"/>
    <cellStyle name="Note 2 8 7 3 3 2" xfId="30316" xr:uid="{00000000-0005-0000-0000-000077400000}"/>
    <cellStyle name="Note 2 8 7 3 4" xfId="11725" xr:uid="{00000000-0005-0000-0000-000078400000}"/>
    <cellStyle name="Note 2 8 7 3 4 2" xfId="26557" xr:uid="{00000000-0005-0000-0000-000079400000}"/>
    <cellStyle name="Note 2 8 7 3 5" xfId="22050" xr:uid="{00000000-0005-0000-0000-00007A400000}"/>
    <cellStyle name="Note 2 8 7 4" xfId="4196" xr:uid="{00000000-0005-0000-0000-00007B400000}"/>
    <cellStyle name="Note 2 8 7 4 2" xfId="8237" xr:uid="{00000000-0005-0000-0000-00007C400000}"/>
    <cellStyle name="Note 2 8 7 4 2 2" xfId="17584" xr:uid="{00000000-0005-0000-0000-00007D400000}"/>
    <cellStyle name="Note 2 8 7 4 2 2 2" xfId="32416" xr:uid="{00000000-0005-0000-0000-00007E400000}"/>
    <cellStyle name="Note 2 8 7 4 2 3" xfId="23932" xr:uid="{00000000-0005-0000-0000-00007F400000}"/>
    <cellStyle name="Note 2 8 7 4 3" xfId="14528" xr:uid="{00000000-0005-0000-0000-000080400000}"/>
    <cellStyle name="Note 2 8 7 4 3 2" xfId="29360" xr:uid="{00000000-0005-0000-0000-000081400000}"/>
    <cellStyle name="Note 2 8 7 4 4" xfId="11204" xr:uid="{00000000-0005-0000-0000-000082400000}"/>
    <cellStyle name="Note 2 8 7 4 4 2" xfId="26036" xr:uid="{00000000-0005-0000-0000-000083400000}"/>
    <cellStyle name="Note 2 8 7 4 5" xfId="21557" xr:uid="{00000000-0005-0000-0000-000084400000}"/>
    <cellStyle name="Note 2 8 7 5" xfId="6312" xr:uid="{00000000-0005-0000-0000-000085400000}"/>
    <cellStyle name="Note 2 8 7 5 2" xfId="16496" xr:uid="{00000000-0005-0000-0000-000086400000}"/>
    <cellStyle name="Note 2 8 7 5 2 2" xfId="31328" xr:uid="{00000000-0005-0000-0000-000087400000}"/>
    <cellStyle name="Note 2 8 7 5 3" xfId="22714" xr:uid="{00000000-0005-0000-0000-000088400000}"/>
    <cellStyle name="Note 2 8 7 6" xfId="12566" xr:uid="{00000000-0005-0000-0000-000089400000}"/>
    <cellStyle name="Note 2 8 7 6 2" xfId="27398" xr:uid="{00000000-0005-0000-0000-00008A400000}"/>
    <cellStyle name="Note 2 8 7 7" xfId="10148" xr:uid="{00000000-0005-0000-0000-00008B400000}"/>
    <cellStyle name="Note 2 8 7 7 2" xfId="24980" xr:uid="{00000000-0005-0000-0000-00008C400000}"/>
    <cellStyle name="Note 2 8 7 8" xfId="20393" xr:uid="{00000000-0005-0000-0000-00008D400000}"/>
    <cellStyle name="Note 2 8 8" xfId="3696" xr:uid="{00000000-0005-0000-0000-00008E400000}"/>
    <cellStyle name="Note 2 8 8 2" xfId="7752" xr:uid="{00000000-0005-0000-0000-00008F400000}"/>
    <cellStyle name="Note 2 8 8 2 2" xfId="17320" xr:uid="{00000000-0005-0000-0000-000090400000}"/>
    <cellStyle name="Note 2 8 8 2 2 2" xfId="32152" xr:uid="{00000000-0005-0000-0000-000091400000}"/>
    <cellStyle name="Note 2 8 8 2 3" xfId="23637" xr:uid="{00000000-0005-0000-0000-000092400000}"/>
    <cellStyle name="Note 2 8 8 3" xfId="14031" xr:uid="{00000000-0005-0000-0000-000093400000}"/>
    <cellStyle name="Note 2 8 8 3 2" xfId="28863" xr:uid="{00000000-0005-0000-0000-000094400000}"/>
    <cellStyle name="Note 2 8 8 4" xfId="10938" xr:uid="{00000000-0005-0000-0000-000095400000}"/>
    <cellStyle name="Note 2 8 8 4 2" xfId="25770" xr:uid="{00000000-0005-0000-0000-000096400000}"/>
    <cellStyle name="Note 2 8 8 5" xfId="21298" xr:uid="{00000000-0005-0000-0000-000097400000}"/>
    <cellStyle name="Note 2 8 9" xfId="4272" xr:uid="{00000000-0005-0000-0000-000098400000}"/>
    <cellStyle name="Note 2 8 9 2" xfId="8311" xr:uid="{00000000-0005-0000-0000-000099400000}"/>
    <cellStyle name="Note 2 8 9 2 2" xfId="17598" xr:uid="{00000000-0005-0000-0000-00009A400000}"/>
    <cellStyle name="Note 2 8 9 2 2 2" xfId="32430" xr:uid="{00000000-0005-0000-0000-00009B400000}"/>
    <cellStyle name="Note 2 8 9 2 3" xfId="24005" xr:uid="{00000000-0005-0000-0000-00009C400000}"/>
    <cellStyle name="Note 2 8 9 3" xfId="14604" xr:uid="{00000000-0005-0000-0000-00009D400000}"/>
    <cellStyle name="Note 2 8 9 3 2" xfId="29436" xr:uid="{00000000-0005-0000-0000-00009E400000}"/>
    <cellStyle name="Note 2 8 9 4" xfId="11217" xr:uid="{00000000-0005-0000-0000-00009F400000}"/>
    <cellStyle name="Note 2 8 9 4 2" xfId="26049" xr:uid="{00000000-0005-0000-0000-0000A0400000}"/>
    <cellStyle name="Note 2 8 9 5" xfId="21605" xr:uid="{00000000-0005-0000-0000-0000A1400000}"/>
    <cellStyle name="Note 2 9" xfId="1335" xr:uid="{00000000-0005-0000-0000-0000A2400000}"/>
    <cellStyle name="Note 2 9 2" xfId="1839" xr:uid="{00000000-0005-0000-0000-0000A3400000}"/>
    <cellStyle name="Note 2 9 2 2" xfId="3585" xr:uid="{00000000-0005-0000-0000-0000A4400000}"/>
    <cellStyle name="Note 2 9 2 2 2" xfId="7647" xr:uid="{00000000-0005-0000-0000-0000A5400000}"/>
    <cellStyle name="Note 2 9 2 2 2 2" xfId="17271" xr:uid="{00000000-0005-0000-0000-0000A6400000}"/>
    <cellStyle name="Note 2 9 2 2 2 2 2" xfId="32103" xr:uid="{00000000-0005-0000-0000-0000A7400000}"/>
    <cellStyle name="Note 2 9 2 2 2 3" xfId="23566" xr:uid="{00000000-0005-0000-0000-0000A8400000}"/>
    <cellStyle name="Note 2 9 2 2 3" xfId="13921" xr:uid="{00000000-0005-0000-0000-0000A9400000}"/>
    <cellStyle name="Note 2 9 2 2 3 2" xfId="28753" xr:uid="{00000000-0005-0000-0000-0000AA400000}"/>
    <cellStyle name="Note 2 9 2 2 4" xfId="10888" xr:uid="{00000000-0005-0000-0000-0000AB400000}"/>
    <cellStyle name="Note 2 9 2 2 4 2" xfId="25720" xr:uid="{00000000-0005-0000-0000-0000AC400000}"/>
    <cellStyle name="Note 2 9 2 2 5" xfId="21235" xr:uid="{00000000-0005-0000-0000-0000AD400000}"/>
    <cellStyle name="Note 2 9 2 3" xfId="4817" xr:uid="{00000000-0005-0000-0000-0000AE400000}"/>
    <cellStyle name="Note 2 9 2 3 2" xfId="8856" xr:uid="{00000000-0005-0000-0000-0000AF400000}"/>
    <cellStyle name="Note 2 9 2 3 2 2" xfId="17897" xr:uid="{00000000-0005-0000-0000-0000B0400000}"/>
    <cellStyle name="Note 2 9 2 3 2 2 2" xfId="32729" xr:uid="{00000000-0005-0000-0000-0000B1400000}"/>
    <cellStyle name="Note 2 9 2 3 2 3" xfId="24354" xr:uid="{00000000-0005-0000-0000-0000B2400000}"/>
    <cellStyle name="Note 2 9 2 3 3" xfId="15141" xr:uid="{00000000-0005-0000-0000-0000B3400000}"/>
    <cellStyle name="Note 2 9 2 3 3 2" xfId="29973" xr:uid="{00000000-0005-0000-0000-0000B4400000}"/>
    <cellStyle name="Note 2 9 2 3 4" xfId="11500" xr:uid="{00000000-0005-0000-0000-0000B5400000}"/>
    <cellStyle name="Note 2 9 2 3 4 2" xfId="26332" xr:uid="{00000000-0005-0000-0000-0000B6400000}"/>
    <cellStyle name="Note 2 9 2 3 5" xfId="21892" xr:uid="{00000000-0005-0000-0000-0000B7400000}"/>
    <cellStyle name="Note 2 9 2 4" xfId="2807" xr:uid="{00000000-0005-0000-0000-0000B8400000}"/>
    <cellStyle name="Note 2 9 2 4 2" xfId="6898" xr:uid="{00000000-0005-0000-0000-0000B9400000}"/>
    <cellStyle name="Note 2 9 2 4 2 2" xfId="16791" xr:uid="{00000000-0005-0000-0000-0000BA400000}"/>
    <cellStyle name="Note 2 9 2 4 2 2 2" xfId="31623" xr:uid="{00000000-0005-0000-0000-0000BB400000}"/>
    <cellStyle name="Note 2 9 2 4 2 3" xfId="23105" xr:uid="{00000000-0005-0000-0000-0000BC400000}"/>
    <cellStyle name="Note 2 9 2 4 3" xfId="13145" xr:uid="{00000000-0005-0000-0000-0000BD400000}"/>
    <cellStyle name="Note 2 9 2 4 3 2" xfId="27977" xr:uid="{00000000-0005-0000-0000-0000BE400000}"/>
    <cellStyle name="Note 2 9 2 4 4" xfId="10444" xr:uid="{00000000-0005-0000-0000-0000BF400000}"/>
    <cellStyle name="Note 2 9 2 4 4 2" xfId="25276" xr:uid="{00000000-0005-0000-0000-0000C0400000}"/>
    <cellStyle name="Note 2 9 2 4 5" xfId="20765" xr:uid="{00000000-0005-0000-0000-0000C1400000}"/>
    <cellStyle name="Note 2 9 2 5" xfId="5971" xr:uid="{00000000-0005-0000-0000-0000C2400000}"/>
    <cellStyle name="Note 2 9 2 5 2" xfId="16163" xr:uid="{00000000-0005-0000-0000-0000C3400000}"/>
    <cellStyle name="Note 2 9 2 5 2 2" xfId="30995" xr:uid="{00000000-0005-0000-0000-0000C4400000}"/>
    <cellStyle name="Note 2 9 2 5 3" xfId="22536" xr:uid="{00000000-0005-0000-0000-0000C5400000}"/>
    <cellStyle name="Note 2 9 2 6" xfId="12233" xr:uid="{00000000-0005-0000-0000-0000C6400000}"/>
    <cellStyle name="Note 2 9 2 6 2" xfId="27065" xr:uid="{00000000-0005-0000-0000-0000C7400000}"/>
    <cellStyle name="Note 2 9 2 7" xfId="9829" xr:uid="{00000000-0005-0000-0000-0000C8400000}"/>
    <cellStyle name="Note 2 9 2 7 2" xfId="24755" xr:uid="{00000000-0005-0000-0000-0000C9400000}"/>
    <cellStyle name="Note 2 9 2 8" xfId="20313" xr:uid="{00000000-0005-0000-0000-0000CA400000}"/>
    <cellStyle name="Note 2 9 3" xfId="4052" xr:uid="{00000000-0005-0000-0000-0000CB400000}"/>
    <cellStyle name="Note 2 9 3 2" xfId="8099" xr:uid="{00000000-0005-0000-0000-0000CC400000}"/>
    <cellStyle name="Note 2 9 3 2 2" xfId="17494" xr:uid="{00000000-0005-0000-0000-0000CD400000}"/>
    <cellStyle name="Note 2 9 3 2 2 2" xfId="32326" xr:uid="{00000000-0005-0000-0000-0000CE400000}"/>
    <cellStyle name="Note 2 9 3 2 3" xfId="23861" xr:uid="{00000000-0005-0000-0000-0000CF400000}"/>
    <cellStyle name="Note 2 9 3 3" xfId="14384" xr:uid="{00000000-0005-0000-0000-0000D0400000}"/>
    <cellStyle name="Note 2 9 3 3 2" xfId="29216" xr:uid="{00000000-0005-0000-0000-0000D1400000}"/>
    <cellStyle name="Note 2 9 3 4" xfId="11110" xr:uid="{00000000-0005-0000-0000-0000D2400000}"/>
    <cellStyle name="Note 2 9 3 4 2" xfId="25942" xr:uid="{00000000-0005-0000-0000-0000D3400000}"/>
    <cellStyle name="Note 2 9 3 5" xfId="21495" xr:uid="{00000000-0005-0000-0000-0000D4400000}"/>
    <cellStyle name="Note 2 9 4" xfId="4397" xr:uid="{00000000-0005-0000-0000-0000D5400000}"/>
    <cellStyle name="Note 2 9 4 2" xfId="8436" xr:uid="{00000000-0005-0000-0000-0000D6400000}"/>
    <cellStyle name="Note 2 9 4 2 2" xfId="17657" xr:uid="{00000000-0005-0000-0000-0000D7400000}"/>
    <cellStyle name="Note 2 9 4 2 2 2" xfId="32489" xr:uid="{00000000-0005-0000-0000-0000D8400000}"/>
    <cellStyle name="Note 2 9 4 2 3" xfId="24094" xr:uid="{00000000-0005-0000-0000-0000D9400000}"/>
    <cellStyle name="Note 2 9 4 3" xfId="14726" xr:uid="{00000000-0005-0000-0000-0000DA400000}"/>
    <cellStyle name="Note 2 9 4 3 2" xfId="29558" xr:uid="{00000000-0005-0000-0000-0000DB400000}"/>
    <cellStyle name="Note 2 9 4 4" xfId="11265" xr:uid="{00000000-0005-0000-0000-0000DC400000}"/>
    <cellStyle name="Note 2 9 4 4 2" xfId="26097" xr:uid="{00000000-0005-0000-0000-0000DD400000}"/>
    <cellStyle name="Note 2 9 4 5" xfId="21662" xr:uid="{00000000-0005-0000-0000-0000DE400000}"/>
    <cellStyle name="Note 2 9 5" xfId="2387" xr:uid="{00000000-0005-0000-0000-0000DF400000}"/>
    <cellStyle name="Note 2 9 5 2" xfId="6499" xr:uid="{00000000-0005-0000-0000-0000E0400000}"/>
    <cellStyle name="Note 2 9 5 2 2" xfId="16555" xr:uid="{00000000-0005-0000-0000-0000E1400000}"/>
    <cellStyle name="Note 2 9 5 2 2 2" xfId="31387" xr:uid="{00000000-0005-0000-0000-0000E2400000}"/>
    <cellStyle name="Note 2 9 5 2 3" xfId="22869" xr:uid="{00000000-0005-0000-0000-0000E3400000}"/>
    <cellStyle name="Note 2 9 5 3" xfId="12726" xr:uid="{00000000-0005-0000-0000-0000E4400000}"/>
    <cellStyle name="Note 2 9 5 3 2" xfId="27558" xr:uid="{00000000-0005-0000-0000-0000E5400000}"/>
    <cellStyle name="Note 2 9 5 4" xfId="10205" xr:uid="{00000000-0005-0000-0000-0000E6400000}"/>
    <cellStyle name="Note 2 9 5 4 2" xfId="25037" xr:uid="{00000000-0005-0000-0000-0000E7400000}"/>
    <cellStyle name="Note 2 9 5 5" xfId="20511" xr:uid="{00000000-0005-0000-0000-0000E8400000}"/>
    <cellStyle name="Note 2 9 6" xfId="5512" xr:uid="{00000000-0005-0000-0000-0000E9400000}"/>
    <cellStyle name="Note 2 9 6 2" xfId="15747" xr:uid="{00000000-0005-0000-0000-0000EA400000}"/>
    <cellStyle name="Note 2 9 6 2 2" xfId="30579" xr:uid="{00000000-0005-0000-0000-0000EB400000}"/>
    <cellStyle name="Note 2 9 6 3" xfId="22240" xr:uid="{00000000-0005-0000-0000-0000EC400000}"/>
    <cellStyle name="Note 2 9 7" xfId="11762" xr:uid="{00000000-0005-0000-0000-0000ED400000}"/>
    <cellStyle name="Note 2 9 7 2" xfId="26594" xr:uid="{00000000-0005-0000-0000-0000EE400000}"/>
    <cellStyle name="Note 2 9 8" xfId="9433" xr:uid="{00000000-0005-0000-0000-0000EF400000}"/>
    <cellStyle name="Note 2 9 8 2" xfId="19737" xr:uid="{00000000-0005-0000-0000-0000F0400000}"/>
    <cellStyle name="Note 3" xfId="1224" xr:uid="{00000000-0005-0000-0000-0000F1400000}"/>
    <cellStyle name="Note 3 10" xfId="2310" xr:uid="{00000000-0005-0000-0000-0000F2400000}"/>
    <cellStyle name="Note 3 10 2" xfId="6422" xr:uid="{00000000-0005-0000-0000-0000F3400000}"/>
    <cellStyle name="Note 3 10 2 2" xfId="16515" xr:uid="{00000000-0005-0000-0000-0000F4400000}"/>
    <cellStyle name="Note 3 10 2 2 2" xfId="31347" xr:uid="{00000000-0005-0000-0000-0000F5400000}"/>
    <cellStyle name="Note 3 10 2 3" xfId="22824" xr:uid="{00000000-0005-0000-0000-0000F6400000}"/>
    <cellStyle name="Note 3 10 3" xfId="12650" xr:uid="{00000000-0005-0000-0000-0000F7400000}"/>
    <cellStyle name="Note 3 10 3 2" xfId="27482" xr:uid="{00000000-0005-0000-0000-0000F8400000}"/>
    <cellStyle name="Note 3 10 4" xfId="10166" xr:uid="{00000000-0005-0000-0000-0000F9400000}"/>
    <cellStyle name="Note 3 10 4 2" xfId="24998" xr:uid="{00000000-0005-0000-0000-0000FA400000}"/>
    <cellStyle name="Note 3 10 5" xfId="20473" xr:uid="{00000000-0005-0000-0000-0000FB400000}"/>
    <cellStyle name="Note 3 11" xfId="5273" xr:uid="{00000000-0005-0000-0000-0000FC400000}"/>
    <cellStyle name="Note 3 11 2" xfId="9281" xr:uid="{00000000-0005-0000-0000-0000FD400000}"/>
    <cellStyle name="Note 3 11 2 2" xfId="18148" xr:uid="{00000000-0005-0000-0000-0000FE400000}"/>
    <cellStyle name="Note 3 11 2 2 2" xfId="32980" xr:uid="{00000000-0005-0000-0000-0000FF400000}"/>
    <cellStyle name="Note 3 11 2 3" xfId="24619" xr:uid="{00000000-0005-0000-0000-000000410000}"/>
    <cellStyle name="Note 3 11 3" xfId="15589" xr:uid="{00000000-0005-0000-0000-000001410000}"/>
    <cellStyle name="Note 3 11 3 2" xfId="30421" xr:uid="{00000000-0005-0000-0000-000002410000}"/>
    <cellStyle name="Note 3 11 4" xfId="22130" xr:uid="{00000000-0005-0000-0000-000003410000}"/>
    <cellStyle name="Note 3 12" xfId="5431" xr:uid="{00000000-0005-0000-0000-000004410000}"/>
    <cellStyle name="Note 3 12 2" xfId="15667" xr:uid="{00000000-0005-0000-0000-000005410000}"/>
    <cellStyle name="Note 3 12 2 2" xfId="30499" xr:uid="{00000000-0005-0000-0000-000006410000}"/>
    <cellStyle name="Note 3 12 3" xfId="22192" xr:uid="{00000000-0005-0000-0000-000007410000}"/>
    <cellStyle name="Note 3 13" xfId="9360" xr:uid="{00000000-0005-0000-0000-000008410000}"/>
    <cellStyle name="Note 3 13 2" xfId="24666" xr:uid="{00000000-0005-0000-0000-000009410000}"/>
    <cellStyle name="Note 3 14" xfId="5349" xr:uid="{00000000-0005-0000-0000-00000A410000}"/>
    <cellStyle name="Note 3 14 2" xfId="18223" xr:uid="{00000000-0005-0000-0000-00000B410000}"/>
    <cellStyle name="Note 3 2" xfId="1343" xr:uid="{00000000-0005-0000-0000-00000C410000}"/>
    <cellStyle name="Note 3 2 2" xfId="1847" xr:uid="{00000000-0005-0000-0000-00000D410000}"/>
    <cellStyle name="Note 3 2 2 2" xfId="4015" xr:uid="{00000000-0005-0000-0000-00000E410000}"/>
    <cellStyle name="Note 3 2 2 2 2" xfId="8062" xr:uid="{00000000-0005-0000-0000-00000F410000}"/>
    <cellStyle name="Note 3 2 2 2 2 2" xfId="17475" xr:uid="{00000000-0005-0000-0000-000010410000}"/>
    <cellStyle name="Note 3 2 2 2 2 2 2" xfId="32307" xr:uid="{00000000-0005-0000-0000-000011410000}"/>
    <cellStyle name="Note 3 2 2 2 2 3" xfId="23839" xr:uid="{00000000-0005-0000-0000-000012410000}"/>
    <cellStyle name="Note 3 2 2 2 3" xfId="14347" xr:uid="{00000000-0005-0000-0000-000013410000}"/>
    <cellStyle name="Note 3 2 2 2 3 2" xfId="29179" xr:uid="{00000000-0005-0000-0000-000014410000}"/>
    <cellStyle name="Note 3 2 2 2 4" xfId="11091" xr:uid="{00000000-0005-0000-0000-000015410000}"/>
    <cellStyle name="Note 3 2 2 2 4 2" xfId="25923" xr:uid="{00000000-0005-0000-0000-000016410000}"/>
    <cellStyle name="Note 3 2 2 2 5" xfId="21477" xr:uid="{00000000-0005-0000-0000-000017410000}"/>
    <cellStyle name="Note 3 2 2 3" xfId="4825" xr:uid="{00000000-0005-0000-0000-000018410000}"/>
    <cellStyle name="Note 3 2 2 3 2" xfId="8864" xr:uid="{00000000-0005-0000-0000-000019410000}"/>
    <cellStyle name="Note 3 2 2 3 2 2" xfId="17905" xr:uid="{00000000-0005-0000-0000-00001A410000}"/>
    <cellStyle name="Note 3 2 2 3 2 2 2" xfId="32737" xr:uid="{00000000-0005-0000-0000-00001B410000}"/>
    <cellStyle name="Note 3 2 2 3 2 3" xfId="24362" xr:uid="{00000000-0005-0000-0000-00001C410000}"/>
    <cellStyle name="Note 3 2 2 3 3" xfId="15149" xr:uid="{00000000-0005-0000-0000-00001D410000}"/>
    <cellStyle name="Note 3 2 2 3 3 2" xfId="29981" xr:uid="{00000000-0005-0000-0000-00001E410000}"/>
    <cellStyle name="Note 3 2 2 3 4" xfId="11508" xr:uid="{00000000-0005-0000-0000-00001F410000}"/>
    <cellStyle name="Note 3 2 2 3 4 2" xfId="26340" xr:uid="{00000000-0005-0000-0000-000020410000}"/>
    <cellStyle name="Note 3 2 2 3 5" xfId="21900" xr:uid="{00000000-0005-0000-0000-000021410000}"/>
    <cellStyle name="Note 3 2 2 4" xfId="2815" xr:uid="{00000000-0005-0000-0000-000022410000}"/>
    <cellStyle name="Note 3 2 2 4 2" xfId="6906" xr:uid="{00000000-0005-0000-0000-000023410000}"/>
    <cellStyle name="Note 3 2 2 4 2 2" xfId="16799" xr:uid="{00000000-0005-0000-0000-000024410000}"/>
    <cellStyle name="Note 3 2 2 4 2 2 2" xfId="31631" xr:uid="{00000000-0005-0000-0000-000025410000}"/>
    <cellStyle name="Note 3 2 2 4 2 3" xfId="23113" xr:uid="{00000000-0005-0000-0000-000026410000}"/>
    <cellStyle name="Note 3 2 2 4 3" xfId="13153" xr:uid="{00000000-0005-0000-0000-000027410000}"/>
    <cellStyle name="Note 3 2 2 4 3 2" xfId="27985" xr:uid="{00000000-0005-0000-0000-000028410000}"/>
    <cellStyle name="Note 3 2 2 4 4" xfId="10452" xr:uid="{00000000-0005-0000-0000-000029410000}"/>
    <cellStyle name="Note 3 2 2 4 4 2" xfId="25284" xr:uid="{00000000-0005-0000-0000-00002A410000}"/>
    <cellStyle name="Note 3 2 2 4 5" xfId="20773" xr:uid="{00000000-0005-0000-0000-00002B410000}"/>
    <cellStyle name="Note 3 2 2 5" xfId="5979" xr:uid="{00000000-0005-0000-0000-00002C410000}"/>
    <cellStyle name="Note 3 2 2 5 2" xfId="16171" xr:uid="{00000000-0005-0000-0000-00002D410000}"/>
    <cellStyle name="Note 3 2 2 5 2 2" xfId="31003" xr:uid="{00000000-0005-0000-0000-00002E410000}"/>
    <cellStyle name="Note 3 2 2 5 3" xfId="22544" xr:uid="{00000000-0005-0000-0000-00002F410000}"/>
    <cellStyle name="Note 3 2 2 6" xfId="12241" xr:uid="{00000000-0005-0000-0000-000030410000}"/>
    <cellStyle name="Note 3 2 2 6 2" xfId="27073" xr:uid="{00000000-0005-0000-0000-000031410000}"/>
    <cellStyle name="Note 3 2 2 7" xfId="9837" xr:uid="{00000000-0005-0000-0000-000032410000}"/>
    <cellStyle name="Note 3 2 2 7 2" xfId="24763" xr:uid="{00000000-0005-0000-0000-000033410000}"/>
    <cellStyle name="Note 3 2 2 8" xfId="20321" xr:uid="{00000000-0005-0000-0000-000034410000}"/>
    <cellStyle name="Note 3 2 3" xfId="3430" xr:uid="{00000000-0005-0000-0000-000035410000}"/>
    <cellStyle name="Note 3 2 3 2" xfId="7493" xr:uid="{00000000-0005-0000-0000-000036410000}"/>
    <cellStyle name="Note 3 2 3 2 2" xfId="17187" xr:uid="{00000000-0005-0000-0000-000037410000}"/>
    <cellStyle name="Note 3 2 3 2 2 2" xfId="32019" xr:uid="{00000000-0005-0000-0000-000038410000}"/>
    <cellStyle name="Note 3 2 3 2 3" xfId="23470" xr:uid="{00000000-0005-0000-0000-000039410000}"/>
    <cellStyle name="Note 3 2 3 3" xfId="13767" xr:uid="{00000000-0005-0000-0000-00003A410000}"/>
    <cellStyle name="Note 3 2 3 3 2" xfId="28599" xr:uid="{00000000-0005-0000-0000-00003B410000}"/>
    <cellStyle name="Note 3 2 3 4" xfId="10806" xr:uid="{00000000-0005-0000-0000-00003C410000}"/>
    <cellStyle name="Note 3 2 3 4 2" xfId="25638" xr:uid="{00000000-0005-0000-0000-00003D410000}"/>
    <cellStyle name="Note 3 2 3 5" xfId="21146" xr:uid="{00000000-0005-0000-0000-00003E410000}"/>
    <cellStyle name="Note 3 2 4" xfId="4405" xr:uid="{00000000-0005-0000-0000-00003F410000}"/>
    <cellStyle name="Note 3 2 4 2" xfId="8444" xr:uid="{00000000-0005-0000-0000-000040410000}"/>
    <cellStyle name="Note 3 2 4 2 2" xfId="17665" xr:uid="{00000000-0005-0000-0000-000041410000}"/>
    <cellStyle name="Note 3 2 4 2 2 2" xfId="32497" xr:uid="{00000000-0005-0000-0000-000042410000}"/>
    <cellStyle name="Note 3 2 4 2 3" xfId="24102" xr:uid="{00000000-0005-0000-0000-000043410000}"/>
    <cellStyle name="Note 3 2 4 3" xfId="14734" xr:uid="{00000000-0005-0000-0000-000044410000}"/>
    <cellStyle name="Note 3 2 4 3 2" xfId="29566" xr:uid="{00000000-0005-0000-0000-000045410000}"/>
    <cellStyle name="Note 3 2 4 4" xfId="11273" xr:uid="{00000000-0005-0000-0000-000046410000}"/>
    <cellStyle name="Note 3 2 4 4 2" xfId="26105" xr:uid="{00000000-0005-0000-0000-000047410000}"/>
    <cellStyle name="Note 3 2 4 5" xfId="21670" xr:uid="{00000000-0005-0000-0000-000048410000}"/>
    <cellStyle name="Note 3 2 5" xfId="2395" xr:uid="{00000000-0005-0000-0000-000049410000}"/>
    <cellStyle name="Note 3 2 5 2" xfId="6507" xr:uid="{00000000-0005-0000-0000-00004A410000}"/>
    <cellStyle name="Note 3 2 5 2 2" xfId="16563" xr:uid="{00000000-0005-0000-0000-00004B410000}"/>
    <cellStyle name="Note 3 2 5 2 2 2" xfId="31395" xr:uid="{00000000-0005-0000-0000-00004C410000}"/>
    <cellStyle name="Note 3 2 5 2 3" xfId="22877" xr:uid="{00000000-0005-0000-0000-00004D410000}"/>
    <cellStyle name="Note 3 2 5 3" xfId="12734" xr:uid="{00000000-0005-0000-0000-00004E410000}"/>
    <cellStyle name="Note 3 2 5 3 2" xfId="27566" xr:uid="{00000000-0005-0000-0000-00004F410000}"/>
    <cellStyle name="Note 3 2 5 4" xfId="10213" xr:uid="{00000000-0005-0000-0000-000050410000}"/>
    <cellStyle name="Note 3 2 5 4 2" xfId="25045" xr:uid="{00000000-0005-0000-0000-000051410000}"/>
    <cellStyle name="Note 3 2 5 5" xfId="20519" xr:uid="{00000000-0005-0000-0000-000052410000}"/>
    <cellStyle name="Note 3 2 6" xfId="5520" xr:uid="{00000000-0005-0000-0000-000053410000}"/>
    <cellStyle name="Note 3 2 6 2" xfId="15755" xr:uid="{00000000-0005-0000-0000-000054410000}"/>
    <cellStyle name="Note 3 2 6 2 2" xfId="30587" xr:uid="{00000000-0005-0000-0000-000055410000}"/>
    <cellStyle name="Note 3 2 6 3" xfId="22248" xr:uid="{00000000-0005-0000-0000-000056410000}"/>
    <cellStyle name="Note 3 2 7" xfId="11770" xr:uid="{00000000-0005-0000-0000-000057410000}"/>
    <cellStyle name="Note 3 2 7 2" xfId="26602" xr:uid="{00000000-0005-0000-0000-000058410000}"/>
    <cellStyle name="Note 3 2 8" xfId="9441" xr:uid="{00000000-0005-0000-0000-000059410000}"/>
    <cellStyle name="Note 3 2 8 2" xfId="19745" xr:uid="{00000000-0005-0000-0000-00005A410000}"/>
    <cellStyle name="Note 3 3" xfId="1513" xr:uid="{00000000-0005-0000-0000-00005B410000}"/>
    <cellStyle name="Note 3 3 2" xfId="2010" xr:uid="{00000000-0005-0000-0000-00005C410000}"/>
    <cellStyle name="Note 3 3 2 2" xfId="3872" xr:uid="{00000000-0005-0000-0000-00005D410000}"/>
    <cellStyle name="Note 3 3 2 2 2" xfId="7924" xr:uid="{00000000-0005-0000-0000-00005E410000}"/>
    <cellStyle name="Note 3 3 2 2 2 2" xfId="17403" xr:uid="{00000000-0005-0000-0000-00005F410000}"/>
    <cellStyle name="Note 3 3 2 2 2 2 2" xfId="32235" xr:uid="{00000000-0005-0000-0000-000060410000}"/>
    <cellStyle name="Note 3 3 2 2 2 3" xfId="23753" xr:uid="{00000000-0005-0000-0000-000061410000}"/>
    <cellStyle name="Note 3 3 2 2 3" xfId="14207" xr:uid="{00000000-0005-0000-0000-000062410000}"/>
    <cellStyle name="Note 3 3 2 2 3 2" xfId="29039" xr:uid="{00000000-0005-0000-0000-000063410000}"/>
    <cellStyle name="Note 3 3 2 2 4" xfId="11022" xr:uid="{00000000-0005-0000-0000-000064410000}"/>
    <cellStyle name="Note 3 3 2 2 4 2" xfId="25854" xr:uid="{00000000-0005-0000-0000-000065410000}"/>
    <cellStyle name="Note 3 3 2 2 5" xfId="21395" xr:uid="{00000000-0005-0000-0000-000066410000}"/>
    <cellStyle name="Note 3 3 2 3" xfId="4978" xr:uid="{00000000-0005-0000-0000-000067410000}"/>
    <cellStyle name="Note 3 3 2 3 2" xfId="9017" xr:uid="{00000000-0005-0000-0000-000068410000}"/>
    <cellStyle name="Note 3 3 2 3 2 2" xfId="17955" xr:uid="{00000000-0005-0000-0000-000069410000}"/>
    <cellStyle name="Note 3 3 2 3 2 2 2" xfId="32787" xr:uid="{00000000-0005-0000-0000-00006A410000}"/>
    <cellStyle name="Note 3 3 2 3 2 3" xfId="24483" xr:uid="{00000000-0005-0000-0000-00006B410000}"/>
    <cellStyle name="Note 3 3 2 3 3" xfId="15300" xr:uid="{00000000-0005-0000-0000-00006C410000}"/>
    <cellStyle name="Note 3 3 2 3 3 2" xfId="30132" xr:uid="{00000000-0005-0000-0000-00006D410000}"/>
    <cellStyle name="Note 3 3 2 3 4" xfId="11556" xr:uid="{00000000-0005-0000-0000-00006E410000}"/>
    <cellStyle name="Note 3 3 2 3 4 2" xfId="26388" xr:uid="{00000000-0005-0000-0000-00006F410000}"/>
    <cellStyle name="Note 3 3 2 3 5" xfId="22009" xr:uid="{00000000-0005-0000-0000-000070410000}"/>
    <cellStyle name="Note 3 3 2 4" xfId="2968" xr:uid="{00000000-0005-0000-0000-000071410000}"/>
    <cellStyle name="Note 3 3 2 4 2" xfId="7048" xr:uid="{00000000-0005-0000-0000-000072410000}"/>
    <cellStyle name="Note 3 3 2 4 2 2" xfId="16847" xr:uid="{00000000-0005-0000-0000-000073410000}"/>
    <cellStyle name="Note 3 3 2 4 2 2 2" xfId="31679" xr:uid="{00000000-0005-0000-0000-000074410000}"/>
    <cellStyle name="Note 3 3 2 4 2 3" xfId="23222" xr:uid="{00000000-0005-0000-0000-000075410000}"/>
    <cellStyle name="Note 3 3 2 4 3" xfId="13306" xr:uid="{00000000-0005-0000-0000-000076410000}"/>
    <cellStyle name="Note 3 3 2 4 3 2" xfId="28138" xr:uid="{00000000-0005-0000-0000-000077410000}"/>
    <cellStyle name="Note 3 3 2 4 4" xfId="10502" xr:uid="{00000000-0005-0000-0000-000078410000}"/>
    <cellStyle name="Note 3 3 2 4 4 2" xfId="25334" xr:uid="{00000000-0005-0000-0000-000079410000}"/>
    <cellStyle name="Note 3 3 2 4 5" xfId="20894" xr:uid="{00000000-0005-0000-0000-00007A410000}"/>
    <cellStyle name="Note 3 3 2 5" xfId="6140" xr:uid="{00000000-0005-0000-0000-00007B410000}"/>
    <cellStyle name="Note 3 3 2 5 2" xfId="16327" xr:uid="{00000000-0005-0000-0000-00007C410000}"/>
    <cellStyle name="Note 3 3 2 5 2 2" xfId="31159" xr:uid="{00000000-0005-0000-0000-00007D410000}"/>
    <cellStyle name="Note 3 3 2 5 3" xfId="22673" xr:uid="{00000000-0005-0000-0000-00007E410000}"/>
    <cellStyle name="Note 3 3 2 6" xfId="12397" xr:uid="{00000000-0005-0000-0000-00007F410000}"/>
    <cellStyle name="Note 3 3 2 6 2" xfId="27229" xr:uid="{00000000-0005-0000-0000-000080410000}"/>
    <cellStyle name="Note 3 3 2 7" xfId="9979" xr:uid="{00000000-0005-0000-0000-000081410000}"/>
    <cellStyle name="Note 3 3 2 7 2" xfId="24811" xr:uid="{00000000-0005-0000-0000-000082410000}"/>
    <cellStyle name="Note 3 3 2 8" xfId="20352" xr:uid="{00000000-0005-0000-0000-000083410000}"/>
    <cellStyle name="Note 3 3 3" xfId="3985" xr:uid="{00000000-0005-0000-0000-000084410000}"/>
    <cellStyle name="Note 3 3 3 2" xfId="8033" xr:uid="{00000000-0005-0000-0000-000085410000}"/>
    <cellStyle name="Note 3 3 3 2 2" xfId="17458" xr:uid="{00000000-0005-0000-0000-000086410000}"/>
    <cellStyle name="Note 3 3 3 2 2 2" xfId="32290" xr:uid="{00000000-0005-0000-0000-000087410000}"/>
    <cellStyle name="Note 3 3 3 2 3" xfId="23822" xr:uid="{00000000-0005-0000-0000-000088410000}"/>
    <cellStyle name="Note 3 3 3 3" xfId="14318" xr:uid="{00000000-0005-0000-0000-000089410000}"/>
    <cellStyle name="Note 3 3 3 3 2" xfId="29150" xr:uid="{00000000-0005-0000-0000-00008A410000}"/>
    <cellStyle name="Note 3 3 3 4" xfId="11075" xr:uid="{00000000-0005-0000-0000-00008B410000}"/>
    <cellStyle name="Note 3 3 3 4 2" xfId="25907" xr:uid="{00000000-0005-0000-0000-00008C410000}"/>
    <cellStyle name="Note 3 3 3 5" xfId="21461" xr:uid="{00000000-0005-0000-0000-00008D410000}"/>
    <cellStyle name="Note 3 3 4" xfId="4558" xr:uid="{00000000-0005-0000-0000-00008E410000}"/>
    <cellStyle name="Note 3 3 4 2" xfId="8597" xr:uid="{00000000-0005-0000-0000-00008F410000}"/>
    <cellStyle name="Note 3 3 4 2 2" xfId="17715" xr:uid="{00000000-0005-0000-0000-000090410000}"/>
    <cellStyle name="Note 3 3 4 2 2 2" xfId="32547" xr:uid="{00000000-0005-0000-0000-000091410000}"/>
    <cellStyle name="Note 3 3 4 2 3" xfId="24223" xr:uid="{00000000-0005-0000-0000-000092410000}"/>
    <cellStyle name="Note 3 3 4 3" xfId="14885" xr:uid="{00000000-0005-0000-0000-000093410000}"/>
    <cellStyle name="Note 3 3 4 3 2" xfId="29717" xr:uid="{00000000-0005-0000-0000-000094410000}"/>
    <cellStyle name="Note 3 3 4 4" xfId="11321" xr:uid="{00000000-0005-0000-0000-000095410000}"/>
    <cellStyle name="Note 3 3 4 4 2" xfId="26153" xr:uid="{00000000-0005-0000-0000-000096410000}"/>
    <cellStyle name="Note 3 3 4 5" xfId="21779" xr:uid="{00000000-0005-0000-0000-000097410000}"/>
    <cellStyle name="Note 3 3 5" xfId="2548" xr:uid="{00000000-0005-0000-0000-000098410000}"/>
    <cellStyle name="Note 3 3 5 2" xfId="6654" xr:uid="{00000000-0005-0000-0000-000099410000}"/>
    <cellStyle name="Note 3 3 5 2 2" xfId="16612" xr:uid="{00000000-0005-0000-0000-00009A410000}"/>
    <cellStyle name="Note 3 3 5 2 2 2" xfId="31444" xr:uid="{00000000-0005-0000-0000-00009B410000}"/>
    <cellStyle name="Note 3 3 5 2 3" xfId="22992" xr:uid="{00000000-0005-0000-0000-00009C410000}"/>
    <cellStyle name="Note 3 3 5 3" xfId="12886" xr:uid="{00000000-0005-0000-0000-00009D410000}"/>
    <cellStyle name="Note 3 3 5 3 2" xfId="27718" xr:uid="{00000000-0005-0000-0000-00009E410000}"/>
    <cellStyle name="Note 3 3 5 4" xfId="10262" xr:uid="{00000000-0005-0000-0000-00009F410000}"/>
    <cellStyle name="Note 3 3 5 4 2" xfId="25094" xr:uid="{00000000-0005-0000-0000-0000A0410000}"/>
    <cellStyle name="Note 3 3 5 5" xfId="20634" xr:uid="{00000000-0005-0000-0000-0000A1410000}"/>
    <cellStyle name="Note 3 3 6" xfId="5671" xr:uid="{00000000-0005-0000-0000-0000A2410000}"/>
    <cellStyle name="Note 3 3 6 2" xfId="15906" xr:uid="{00000000-0005-0000-0000-0000A3410000}"/>
    <cellStyle name="Note 3 3 6 2 2" xfId="30738" xr:uid="{00000000-0005-0000-0000-0000A4410000}"/>
    <cellStyle name="Note 3 3 6 3" xfId="22367" xr:uid="{00000000-0005-0000-0000-0000A5410000}"/>
    <cellStyle name="Note 3 3 7" xfId="11926" xr:uid="{00000000-0005-0000-0000-0000A6410000}"/>
    <cellStyle name="Note 3 3 7 2" xfId="26758" xr:uid="{00000000-0005-0000-0000-0000A7410000}"/>
    <cellStyle name="Note 3 3 8" xfId="9584" xr:uid="{00000000-0005-0000-0000-0000A8410000}"/>
    <cellStyle name="Note 3 3 8 2" xfId="19886" xr:uid="{00000000-0005-0000-0000-0000A9410000}"/>
    <cellStyle name="Note 3 4" xfId="1568" xr:uid="{00000000-0005-0000-0000-0000AA410000}"/>
    <cellStyle name="Note 3 4 2" xfId="2065" xr:uid="{00000000-0005-0000-0000-0000AB410000}"/>
    <cellStyle name="Note 3 4 2 2" xfId="3406" xr:uid="{00000000-0005-0000-0000-0000AC410000}"/>
    <cellStyle name="Note 3 4 2 2 2" xfId="7469" xr:uid="{00000000-0005-0000-0000-0000AD410000}"/>
    <cellStyle name="Note 3 4 2 2 2 2" xfId="17168" xr:uid="{00000000-0005-0000-0000-0000AE410000}"/>
    <cellStyle name="Note 3 4 2 2 2 2 2" xfId="32000" xr:uid="{00000000-0005-0000-0000-0000AF410000}"/>
    <cellStyle name="Note 3 4 2 2 2 3" xfId="23457" xr:uid="{00000000-0005-0000-0000-0000B0410000}"/>
    <cellStyle name="Note 3 4 2 2 3" xfId="13743" xr:uid="{00000000-0005-0000-0000-0000B1410000}"/>
    <cellStyle name="Note 3 4 2 2 3 2" xfId="28575" xr:uid="{00000000-0005-0000-0000-0000B2410000}"/>
    <cellStyle name="Note 3 4 2 2 4" xfId="10787" xr:uid="{00000000-0005-0000-0000-0000B3410000}"/>
    <cellStyle name="Note 3 4 2 2 4 2" xfId="25619" xr:uid="{00000000-0005-0000-0000-0000B4410000}"/>
    <cellStyle name="Note 3 4 2 2 5" xfId="21135" xr:uid="{00000000-0005-0000-0000-0000B5410000}"/>
    <cellStyle name="Note 3 4 2 3" xfId="5033" xr:uid="{00000000-0005-0000-0000-0000B6410000}"/>
    <cellStyle name="Note 3 4 2 3 2" xfId="9072" xr:uid="{00000000-0005-0000-0000-0000B7410000}"/>
    <cellStyle name="Note 3 4 2 3 2 2" xfId="18005" xr:uid="{00000000-0005-0000-0000-0000B8410000}"/>
    <cellStyle name="Note 3 4 2 3 2 2 2" xfId="32837" xr:uid="{00000000-0005-0000-0000-0000B9410000}"/>
    <cellStyle name="Note 3 4 2 3 2 3" xfId="24506" xr:uid="{00000000-0005-0000-0000-0000BA410000}"/>
    <cellStyle name="Note 3 4 2 3 3" xfId="15354" xr:uid="{00000000-0005-0000-0000-0000BB410000}"/>
    <cellStyle name="Note 3 4 2 3 3 2" xfId="30186" xr:uid="{00000000-0005-0000-0000-0000BC410000}"/>
    <cellStyle name="Note 3 4 2 3 4" xfId="11605" xr:uid="{00000000-0005-0000-0000-0000BD410000}"/>
    <cellStyle name="Note 3 4 2 3 4 2" xfId="26437" xr:uid="{00000000-0005-0000-0000-0000BE410000}"/>
    <cellStyle name="Note 3 4 2 3 5" xfId="22026" xr:uid="{00000000-0005-0000-0000-0000BF410000}"/>
    <cellStyle name="Note 3 4 2 4" xfId="3023" xr:uid="{00000000-0005-0000-0000-0000C0410000}"/>
    <cellStyle name="Note 3 4 2 4 2" xfId="7098" xr:uid="{00000000-0005-0000-0000-0000C1410000}"/>
    <cellStyle name="Note 3 4 2 4 2 2" xfId="16896" xr:uid="{00000000-0005-0000-0000-0000C2410000}"/>
    <cellStyle name="Note 3 4 2 4 2 2 2" xfId="31728" xr:uid="{00000000-0005-0000-0000-0000C3410000}"/>
    <cellStyle name="Note 3 4 2 4 2 3" xfId="23239" xr:uid="{00000000-0005-0000-0000-0000C4410000}"/>
    <cellStyle name="Note 3 4 2 4 3" xfId="13361" xr:uid="{00000000-0005-0000-0000-0000C5410000}"/>
    <cellStyle name="Note 3 4 2 4 3 2" xfId="28193" xr:uid="{00000000-0005-0000-0000-0000C6410000}"/>
    <cellStyle name="Note 3 4 2 4 4" xfId="10552" xr:uid="{00000000-0005-0000-0000-0000C7410000}"/>
    <cellStyle name="Note 3 4 2 4 4 2" xfId="25384" xr:uid="{00000000-0005-0000-0000-0000C8410000}"/>
    <cellStyle name="Note 3 4 2 4 5" xfId="20917" xr:uid="{00000000-0005-0000-0000-0000C9410000}"/>
    <cellStyle name="Note 3 4 2 5" xfId="6190" xr:uid="{00000000-0005-0000-0000-0000CA410000}"/>
    <cellStyle name="Note 3 4 2 5 2" xfId="16376" xr:uid="{00000000-0005-0000-0000-0000CB410000}"/>
    <cellStyle name="Note 3 4 2 5 2 2" xfId="31208" xr:uid="{00000000-0005-0000-0000-0000CC410000}"/>
    <cellStyle name="Note 3 4 2 5 3" xfId="22690" xr:uid="{00000000-0005-0000-0000-0000CD410000}"/>
    <cellStyle name="Note 3 4 2 6" xfId="12446" xr:uid="{00000000-0005-0000-0000-0000CE410000}"/>
    <cellStyle name="Note 3 4 2 6 2" xfId="27278" xr:uid="{00000000-0005-0000-0000-0000CF410000}"/>
    <cellStyle name="Note 3 4 2 7" xfId="10028" xr:uid="{00000000-0005-0000-0000-0000D0410000}"/>
    <cellStyle name="Note 3 4 2 7 2" xfId="24860" xr:uid="{00000000-0005-0000-0000-0000D1410000}"/>
    <cellStyle name="Note 3 4 2 8" xfId="20369" xr:uid="{00000000-0005-0000-0000-0000D2410000}"/>
    <cellStyle name="Note 3 4 3" xfId="3290" xr:uid="{00000000-0005-0000-0000-0000D3410000}"/>
    <cellStyle name="Note 3 4 3 2" xfId="7354" xr:uid="{00000000-0005-0000-0000-0000D4410000}"/>
    <cellStyle name="Note 3 4 3 2 2" xfId="17096" xr:uid="{00000000-0005-0000-0000-0000D5410000}"/>
    <cellStyle name="Note 3 4 3 2 2 2" xfId="31928" xr:uid="{00000000-0005-0000-0000-0000D6410000}"/>
    <cellStyle name="Note 3 4 3 2 3" xfId="23380" xr:uid="{00000000-0005-0000-0000-0000D7410000}"/>
    <cellStyle name="Note 3 4 3 3" xfId="13627" xr:uid="{00000000-0005-0000-0000-0000D8410000}"/>
    <cellStyle name="Note 3 4 3 3 2" xfId="28459" xr:uid="{00000000-0005-0000-0000-0000D9410000}"/>
    <cellStyle name="Note 3 4 3 4" xfId="10722" xr:uid="{00000000-0005-0000-0000-0000DA410000}"/>
    <cellStyle name="Note 3 4 3 4 2" xfId="25554" xr:uid="{00000000-0005-0000-0000-0000DB410000}"/>
    <cellStyle name="Note 3 4 3 5" xfId="21067" xr:uid="{00000000-0005-0000-0000-0000DC410000}"/>
    <cellStyle name="Note 3 4 4" xfId="4613" xr:uid="{00000000-0005-0000-0000-0000DD410000}"/>
    <cellStyle name="Note 3 4 4 2" xfId="8652" xr:uid="{00000000-0005-0000-0000-0000DE410000}"/>
    <cellStyle name="Note 3 4 4 2 2" xfId="17765" xr:uid="{00000000-0005-0000-0000-0000DF410000}"/>
    <cellStyle name="Note 3 4 4 2 2 2" xfId="32597" xr:uid="{00000000-0005-0000-0000-0000E0410000}"/>
    <cellStyle name="Note 3 4 4 2 3" xfId="24246" xr:uid="{00000000-0005-0000-0000-0000E1410000}"/>
    <cellStyle name="Note 3 4 4 3" xfId="14939" xr:uid="{00000000-0005-0000-0000-0000E2410000}"/>
    <cellStyle name="Note 3 4 4 3 2" xfId="29771" xr:uid="{00000000-0005-0000-0000-0000E3410000}"/>
    <cellStyle name="Note 3 4 4 4" xfId="11370" xr:uid="{00000000-0005-0000-0000-0000E4410000}"/>
    <cellStyle name="Note 3 4 4 4 2" xfId="26202" xr:uid="{00000000-0005-0000-0000-0000E5410000}"/>
    <cellStyle name="Note 3 4 4 5" xfId="21796" xr:uid="{00000000-0005-0000-0000-0000E6410000}"/>
    <cellStyle name="Note 3 4 5" xfId="2603" xr:uid="{00000000-0005-0000-0000-0000E7410000}"/>
    <cellStyle name="Note 3 4 5 2" xfId="6704" xr:uid="{00000000-0005-0000-0000-0000E8410000}"/>
    <cellStyle name="Note 3 4 5 2 2" xfId="16661" xr:uid="{00000000-0005-0000-0000-0000E9410000}"/>
    <cellStyle name="Note 3 4 5 2 2 2" xfId="31493" xr:uid="{00000000-0005-0000-0000-0000EA410000}"/>
    <cellStyle name="Note 3 4 5 2 3" xfId="23009" xr:uid="{00000000-0005-0000-0000-0000EB410000}"/>
    <cellStyle name="Note 3 4 5 3" xfId="12941" xr:uid="{00000000-0005-0000-0000-0000EC410000}"/>
    <cellStyle name="Note 3 4 5 3 2" xfId="27773" xr:uid="{00000000-0005-0000-0000-0000ED410000}"/>
    <cellStyle name="Note 3 4 5 4" xfId="10312" xr:uid="{00000000-0005-0000-0000-0000EE410000}"/>
    <cellStyle name="Note 3 4 5 4 2" xfId="25144" xr:uid="{00000000-0005-0000-0000-0000EF410000}"/>
    <cellStyle name="Note 3 4 5 5" xfId="20657" xr:uid="{00000000-0005-0000-0000-0000F0410000}"/>
    <cellStyle name="Note 3 4 6" xfId="5720" xr:uid="{00000000-0005-0000-0000-0000F1410000}"/>
    <cellStyle name="Note 3 4 6 2" xfId="15955" xr:uid="{00000000-0005-0000-0000-0000F2410000}"/>
    <cellStyle name="Note 3 4 6 2 2" xfId="30787" xr:uid="{00000000-0005-0000-0000-0000F3410000}"/>
    <cellStyle name="Note 3 4 6 3" xfId="22384" xr:uid="{00000000-0005-0000-0000-0000F4410000}"/>
    <cellStyle name="Note 3 4 7" xfId="11975" xr:uid="{00000000-0005-0000-0000-0000F5410000}"/>
    <cellStyle name="Note 3 4 7 2" xfId="26807" xr:uid="{00000000-0005-0000-0000-0000F6410000}"/>
    <cellStyle name="Note 3 4 8" xfId="9634" xr:uid="{00000000-0005-0000-0000-0000F7410000}"/>
    <cellStyle name="Note 3 4 8 2" xfId="19935" xr:uid="{00000000-0005-0000-0000-0000F8410000}"/>
    <cellStyle name="Note 3 5" xfId="1618" xr:uid="{00000000-0005-0000-0000-0000F9410000}"/>
    <cellStyle name="Note 3 5 2" xfId="2115" xr:uid="{00000000-0005-0000-0000-0000FA410000}"/>
    <cellStyle name="Note 3 5 2 2" xfId="3475" xr:uid="{00000000-0005-0000-0000-0000FB410000}"/>
    <cellStyle name="Note 3 5 2 2 2" xfId="7537" xr:uid="{00000000-0005-0000-0000-0000FC410000}"/>
    <cellStyle name="Note 3 5 2 2 2 2" xfId="17206" xr:uid="{00000000-0005-0000-0000-0000FD410000}"/>
    <cellStyle name="Note 3 5 2 2 2 2 2" xfId="32038" xr:uid="{00000000-0005-0000-0000-0000FE410000}"/>
    <cellStyle name="Note 3 5 2 2 2 3" xfId="23503" xr:uid="{00000000-0005-0000-0000-0000FF410000}"/>
    <cellStyle name="Note 3 5 2 2 3" xfId="13812" xr:uid="{00000000-0005-0000-0000-000000420000}"/>
    <cellStyle name="Note 3 5 2 2 3 2" xfId="28644" xr:uid="{00000000-0005-0000-0000-000001420000}"/>
    <cellStyle name="Note 3 5 2 2 4" xfId="10824" xr:uid="{00000000-0005-0000-0000-000002420000}"/>
    <cellStyle name="Note 3 5 2 2 4 2" xfId="25656" xr:uid="{00000000-0005-0000-0000-000003420000}"/>
    <cellStyle name="Note 3 5 2 2 5" xfId="21179" xr:uid="{00000000-0005-0000-0000-000004420000}"/>
    <cellStyle name="Note 3 5 2 3" xfId="5083" xr:uid="{00000000-0005-0000-0000-000005420000}"/>
    <cellStyle name="Note 3 5 2 3 2" xfId="9122" xr:uid="{00000000-0005-0000-0000-000006420000}"/>
    <cellStyle name="Note 3 5 2 3 2 2" xfId="18050" xr:uid="{00000000-0005-0000-0000-000007420000}"/>
    <cellStyle name="Note 3 5 2 3 2 2 2" xfId="32882" xr:uid="{00000000-0005-0000-0000-000008420000}"/>
    <cellStyle name="Note 3 5 2 3 2 3" xfId="24524" xr:uid="{00000000-0005-0000-0000-000009420000}"/>
    <cellStyle name="Note 3 5 2 3 3" xfId="15403" xr:uid="{00000000-0005-0000-0000-00000A420000}"/>
    <cellStyle name="Note 3 5 2 3 3 2" xfId="30235" xr:uid="{00000000-0005-0000-0000-00000B420000}"/>
    <cellStyle name="Note 3 5 2 3 4" xfId="11649" xr:uid="{00000000-0005-0000-0000-00000C420000}"/>
    <cellStyle name="Note 3 5 2 3 4 2" xfId="26481" xr:uid="{00000000-0005-0000-0000-00000D420000}"/>
    <cellStyle name="Note 3 5 2 3 5" xfId="22038" xr:uid="{00000000-0005-0000-0000-00000E420000}"/>
    <cellStyle name="Note 3 5 2 4" xfId="3073" xr:uid="{00000000-0005-0000-0000-00000F420000}"/>
    <cellStyle name="Note 3 5 2 4 2" xfId="7143" xr:uid="{00000000-0005-0000-0000-000010420000}"/>
    <cellStyle name="Note 3 5 2 4 2 2" xfId="16940" xr:uid="{00000000-0005-0000-0000-000011420000}"/>
    <cellStyle name="Note 3 5 2 4 2 2 2" xfId="31772" xr:uid="{00000000-0005-0000-0000-000012420000}"/>
    <cellStyle name="Note 3 5 2 4 2 3" xfId="23251" xr:uid="{00000000-0005-0000-0000-000013420000}"/>
    <cellStyle name="Note 3 5 2 4 3" xfId="13411" xr:uid="{00000000-0005-0000-0000-000014420000}"/>
    <cellStyle name="Note 3 5 2 4 3 2" xfId="28243" xr:uid="{00000000-0005-0000-0000-000015420000}"/>
    <cellStyle name="Note 3 5 2 4 4" xfId="10597" xr:uid="{00000000-0005-0000-0000-000016420000}"/>
    <cellStyle name="Note 3 5 2 4 4 2" xfId="25429" xr:uid="{00000000-0005-0000-0000-000017420000}"/>
    <cellStyle name="Note 3 5 2 4 5" xfId="20935" xr:uid="{00000000-0005-0000-0000-000018420000}"/>
    <cellStyle name="Note 3 5 2 5" xfId="6235" xr:uid="{00000000-0005-0000-0000-000019420000}"/>
    <cellStyle name="Note 3 5 2 5 2" xfId="16420" xr:uid="{00000000-0005-0000-0000-00001A420000}"/>
    <cellStyle name="Note 3 5 2 5 2 2" xfId="31252" xr:uid="{00000000-0005-0000-0000-00001B420000}"/>
    <cellStyle name="Note 3 5 2 5 3" xfId="22702" xr:uid="{00000000-0005-0000-0000-00001C420000}"/>
    <cellStyle name="Note 3 5 2 6" xfId="12490" xr:uid="{00000000-0005-0000-0000-00001D420000}"/>
    <cellStyle name="Note 3 5 2 6 2" xfId="27322" xr:uid="{00000000-0005-0000-0000-00001E420000}"/>
    <cellStyle name="Note 3 5 2 7" xfId="10072" xr:uid="{00000000-0005-0000-0000-00001F420000}"/>
    <cellStyle name="Note 3 5 2 7 2" xfId="24904" xr:uid="{00000000-0005-0000-0000-000020420000}"/>
    <cellStyle name="Note 3 5 2 8" xfId="20381" xr:uid="{00000000-0005-0000-0000-000021420000}"/>
    <cellStyle name="Note 3 5 3" xfId="4063" xr:uid="{00000000-0005-0000-0000-000022420000}"/>
    <cellStyle name="Note 3 5 3 2" xfId="8110" xr:uid="{00000000-0005-0000-0000-000023420000}"/>
    <cellStyle name="Note 3 5 3 2 2" xfId="17500" xr:uid="{00000000-0005-0000-0000-000024420000}"/>
    <cellStyle name="Note 3 5 3 2 2 2" xfId="32332" xr:uid="{00000000-0005-0000-0000-000025420000}"/>
    <cellStyle name="Note 3 5 3 2 3" xfId="23868" xr:uid="{00000000-0005-0000-0000-000026420000}"/>
    <cellStyle name="Note 3 5 3 3" xfId="14395" xr:uid="{00000000-0005-0000-0000-000027420000}"/>
    <cellStyle name="Note 3 5 3 3 2" xfId="29227" xr:uid="{00000000-0005-0000-0000-000028420000}"/>
    <cellStyle name="Note 3 5 3 4" xfId="11116" xr:uid="{00000000-0005-0000-0000-000029420000}"/>
    <cellStyle name="Note 3 5 3 4 2" xfId="25948" xr:uid="{00000000-0005-0000-0000-00002A420000}"/>
    <cellStyle name="Note 3 5 3 5" xfId="21502" xr:uid="{00000000-0005-0000-0000-00002B420000}"/>
    <cellStyle name="Note 3 5 4" xfId="4663" xr:uid="{00000000-0005-0000-0000-00002C420000}"/>
    <cellStyle name="Note 3 5 4 2" xfId="8702" xr:uid="{00000000-0005-0000-0000-00002D420000}"/>
    <cellStyle name="Note 3 5 4 2 2" xfId="17810" xr:uid="{00000000-0005-0000-0000-00002E420000}"/>
    <cellStyle name="Note 3 5 4 2 2 2" xfId="32642" xr:uid="{00000000-0005-0000-0000-00002F420000}"/>
    <cellStyle name="Note 3 5 4 2 3" xfId="24264" xr:uid="{00000000-0005-0000-0000-000030420000}"/>
    <cellStyle name="Note 3 5 4 3" xfId="14988" xr:uid="{00000000-0005-0000-0000-000031420000}"/>
    <cellStyle name="Note 3 5 4 3 2" xfId="29820" xr:uid="{00000000-0005-0000-0000-000032420000}"/>
    <cellStyle name="Note 3 5 4 4" xfId="11414" xr:uid="{00000000-0005-0000-0000-000033420000}"/>
    <cellStyle name="Note 3 5 4 4 2" xfId="26246" xr:uid="{00000000-0005-0000-0000-000034420000}"/>
    <cellStyle name="Note 3 5 4 5" xfId="21808" xr:uid="{00000000-0005-0000-0000-000035420000}"/>
    <cellStyle name="Note 3 5 5" xfId="2653" xr:uid="{00000000-0005-0000-0000-000036420000}"/>
    <cellStyle name="Note 3 5 5 2" xfId="6749" xr:uid="{00000000-0005-0000-0000-000037420000}"/>
    <cellStyle name="Note 3 5 5 2 2" xfId="16705" xr:uid="{00000000-0005-0000-0000-000038420000}"/>
    <cellStyle name="Note 3 5 5 2 2 2" xfId="31537" xr:uid="{00000000-0005-0000-0000-000039420000}"/>
    <cellStyle name="Note 3 5 5 2 3" xfId="23021" xr:uid="{00000000-0005-0000-0000-00003A420000}"/>
    <cellStyle name="Note 3 5 5 3" xfId="12991" xr:uid="{00000000-0005-0000-0000-00003B420000}"/>
    <cellStyle name="Note 3 5 5 3 2" xfId="27823" xr:uid="{00000000-0005-0000-0000-00003C420000}"/>
    <cellStyle name="Note 3 5 5 4" xfId="10357" xr:uid="{00000000-0005-0000-0000-00003D420000}"/>
    <cellStyle name="Note 3 5 5 4 2" xfId="25189" xr:uid="{00000000-0005-0000-0000-00003E420000}"/>
    <cellStyle name="Note 3 5 5 5" xfId="20675" xr:uid="{00000000-0005-0000-0000-00003F420000}"/>
    <cellStyle name="Note 3 5 6" xfId="5765" xr:uid="{00000000-0005-0000-0000-000040420000}"/>
    <cellStyle name="Note 3 5 6 2" xfId="15999" xr:uid="{00000000-0005-0000-0000-000041420000}"/>
    <cellStyle name="Note 3 5 6 2 2" xfId="30831" xr:uid="{00000000-0005-0000-0000-000042420000}"/>
    <cellStyle name="Note 3 5 6 3" xfId="22396" xr:uid="{00000000-0005-0000-0000-000043420000}"/>
    <cellStyle name="Note 3 5 7" xfId="12019" xr:uid="{00000000-0005-0000-0000-000044420000}"/>
    <cellStyle name="Note 3 5 7 2" xfId="26851" xr:uid="{00000000-0005-0000-0000-000045420000}"/>
    <cellStyle name="Note 3 5 8" xfId="9679" xr:uid="{00000000-0005-0000-0000-000046420000}"/>
    <cellStyle name="Note 3 5 8 2" xfId="19979" xr:uid="{00000000-0005-0000-0000-000047420000}"/>
    <cellStyle name="Note 3 6" xfId="1769" xr:uid="{00000000-0005-0000-0000-000048420000}"/>
    <cellStyle name="Note 3 6 2" xfId="4087" xr:uid="{00000000-0005-0000-0000-000049420000}"/>
    <cellStyle name="Note 3 6 2 2" xfId="8133" xr:uid="{00000000-0005-0000-0000-00004A420000}"/>
    <cellStyle name="Note 3 6 2 2 2" xfId="17512" xr:uid="{00000000-0005-0000-0000-00004B420000}"/>
    <cellStyle name="Note 3 6 2 2 2 2" xfId="32344" xr:uid="{00000000-0005-0000-0000-00004C420000}"/>
    <cellStyle name="Note 3 6 2 2 3" xfId="23881" xr:uid="{00000000-0005-0000-0000-00004D420000}"/>
    <cellStyle name="Note 3 6 2 3" xfId="14419" xr:uid="{00000000-0005-0000-0000-00004E420000}"/>
    <cellStyle name="Note 3 6 2 3 2" xfId="29251" xr:uid="{00000000-0005-0000-0000-00004F420000}"/>
    <cellStyle name="Note 3 6 2 4" xfId="11129" xr:uid="{00000000-0005-0000-0000-000050420000}"/>
    <cellStyle name="Note 3 6 2 4 2" xfId="25961" xr:uid="{00000000-0005-0000-0000-000051420000}"/>
    <cellStyle name="Note 3 6 2 5" xfId="21511" xr:uid="{00000000-0005-0000-0000-000052420000}"/>
    <cellStyle name="Note 3 6 3" xfId="4747" xr:uid="{00000000-0005-0000-0000-000053420000}"/>
    <cellStyle name="Note 3 6 3 2" xfId="8786" xr:uid="{00000000-0005-0000-0000-000054420000}"/>
    <cellStyle name="Note 3 6 3 2 2" xfId="17858" xr:uid="{00000000-0005-0000-0000-000055420000}"/>
    <cellStyle name="Note 3 6 3 2 2 2" xfId="32690" xr:uid="{00000000-0005-0000-0000-000056420000}"/>
    <cellStyle name="Note 3 6 3 2 3" xfId="24316" xr:uid="{00000000-0005-0000-0000-000057420000}"/>
    <cellStyle name="Note 3 6 3 3" xfId="15071" xr:uid="{00000000-0005-0000-0000-000058420000}"/>
    <cellStyle name="Note 3 6 3 3 2" xfId="29903" xr:uid="{00000000-0005-0000-0000-000059420000}"/>
    <cellStyle name="Note 3 6 3 4" xfId="11461" xr:uid="{00000000-0005-0000-0000-00005A420000}"/>
    <cellStyle name="Note 3 6 3 4 2" xfId="26293" xr:uid="{00000000-0005-0000-0000-00005B420000}"/>
    <cellStyle name="Note 3 6 3 5" xfId="21854" xr:uid="{00000000-0005-0000-0000-00005C420000}"/>
    <cellStyle name="Note 3 6 4" xfId="2737" xr:uid="{00000000-0005-0000-0000-00005D420000}"/>
    <cellStyle name="Note 3 6 4 2" xfId="6828" xr:uid="{00000000-0005-0000-0000-00005E420000}"/>
    <cellStyle name="Note 3 6 4 2 2" xfId="16752" xr:uid="{00000000-0005-0000-0000-00005F420000}"/>
    <cellStyle name="Note 3 6 4 2 2 2" xfId="31584" xr:uid="{00000000-0005-0000-0000-000060420000}"/>
    <cellStyle name="Note 3 6 4 2 3" xfId="23067" xr:uid="{00000000-0005-0000-0000-000061420000}"/>
    <cellStyle name="Note 3 6 4 3" xfId="13075" xr:uid="{00000000-0005-0000-0000-000062420000}"/>
    <cellStyle name="Note 3 6 4 3 2" xfId="27907" xr:uid="{00000000-0005-0000-0000-000063420000}"/>
    <cellStyle name="Note 3 6 4 4" xfId="10405" xr:uid="{00000000-0005-0000-0000-000064420000}"/>
    <cellStyle name="Note 3 6 4 4 2" xfId="25237" xr:uid="{00000000-0005-0000-0000-000065420000}"/>
    <cellStyle name="Note 3 6 4 5" xfId="20727" xr:uid="{00000000-0005-0000-0000-000066420000}"/>
    <cellStyle name="Note 3 6 5" xfId="5901" xr:uid="{00000000-0005-0000-0000-000067420000}"/>
    <cellStyle name="Note 3 6 5 2" xfId="16093" xr:uid="{00000000-0005-0000-0000-000068420000}"/>
    <cellStyle name="Note 3 6 5 2 2" xfId="30925" xr:uid="{00000000-0005-0000-0000-000069420000}"/>
    <cellStyle name="Note 3 6 5 3" xfId="22498" xr:uid="{00000000-0005-0000-0000-00006A420000}"/>
    <cellStyle name="Note 3 6 6" xfId="12163" xr:uid="{00000000-0005-0000-0000-00006B420000}"/>
    <cellStyle name="Note 3 6 6 2" xfId="26995" xr:uid="{00000000-0005-0000-0000-00006C420000}"/>
    <cellStyle name="Note 3 6 7" xfId="9759" xr:uid="{00000000-0005-0000-0000-00006D420000}"/>
    <cellStyle name="Note 3 6 7 2" xfId="24716" xr:uid="{00000000-0005-0000-0000-00006E420000}"/>
    <cellStyle name="Note 3 6 8" xfId="20306" xr:uid="{00000000-0005-0000-0000-00006F420000}"/>
    <cellStyle name="Note 3 7" xfId="2197" xr:uid="{00000000-0005-0000-0000-000070420000}"/>
    <cellStyle name="Note 3 7 2" xfId="3769" xr:uid="{00000000-0005-0000-0000-000071420000}"/>
    <cellStyle name="Note 3 7 2 2" xfId="7825" xr:uid="{00000000-0005-0000-0000-000072420000}"/>
    <cellStyle name="Note 3 7 2 2 2" xfId="17359" xr:uid="{00000000-0005-0000-0000-000073420000}"/>
    <cellStyle name="Note 3 7 2 2 2 2" xfId="32191" xr:uid="{00000000-0005-0000-0000-000074420000}"/>
    <cellStyle name="Note 3 7 2 2 3" xfId="23683" xr:uid="{00000000-0005-0000-0000-000075420000}"/>
    <cellStyle name="Note 3 7 2 3" xfId="14104" xr:uid="{00000000-0005-0000-0000-000076420000}"/>
    <cellStyle name="Note 3 7 2 3 2" xfId="28936" xr:uid="{00000000-0005-0000-0000-000077420000}"/>
    <cellStyle name="Note 3 7 2 4" xfId="10975" xr:uid="{00000000-0005-0000-0000-000078420000}"/>
    <cellStyle name="Note 3 7 2 4 2" xfId="25807" xr:uid="{00000000-0005-0000-0000-000079420000}"/>
    <cellStyle name="Note 3 7 2 5" xfId="21339" xr:uid="{00000000-0005-0000-0000-00007A420000}"/>
    <cellStyle name="Note 3 7 3" xfId="5165" xr:uid="{00000000-0005-0000-0000-00007B420000}"/>
    <cellStyle name="Note 3 7 3 2" xfId="9204" xr:uid="{00000000-0005-0000-0000-00007C420000}"/>
    <cellStyle name="Note 3 7 3 2 2" xfId="18127" xr:uid="{00000000-0005-0000-0000-00007D420000}"/>
    <cellStyle name="Note 3 7 3 2 2 2" xfId="32959" xr:uid="{00000000-0005-0000-0000-00007E420000}"/>
    <cellStyle name="Note 3 7 3 2 3" xfId="24542" xr:uid="{00000000-0005-0000-0000-00007F420000}"/>
    <cellStyle name="Note 3 7 3 3" xfId="15483" xr:uid="{00000000-0005-0000-0000-000080420000}"/>
    <cellStyle name="Note 3 7 3 3 2" xfId="30315" xr:uid="{00000000-0005-0000-0000-000081420000}"/>
    <cellStyle name="Note 3 7 3 4" xfId="11724" xr:uid="{00000000-0005-0000-0000-000082420000}"/>
    <cellStyle name="Note 3 7 3 4 2" xfId="26556" xr:uid="{00000000-0005-0000-0000-000083420000}"/>
    <cellStyle name="Note 3 7 3 5" xfId="22049" xr:uid="{00000000-0005-0000-0000-000084420000}"/>
    <cellStyle name="Note 3 7 4" xfId="4195" xr:uid="{00000000-0005-0000-0000-000085420000}"/>
    <cellStyle name="Note 3 7 4 2" xfId="8236" xr:uid="{00000000-0005-0000-0000-000086420000}"/>
    <cellStyle name="Note 3 7 4 2 2" xfId="17583" xr:uid="{00000000-0005-0000-0000-000087420000}"/>
    <cellStyle name="Note 3 7 4 2 2 2" xfId="32415" xr:uid="{00000000-0005-0000-0000-000088420000}"/>
    <cellStyle name="Note 3 7 4 2 3" xfId="23931" xr:uid="{00000000-0005-0000-0000-000089420000}"/>
    <cellStyle name="Note 3 7 4 3" xfId="14527" xr:uid="{00000000-0005-0000-0000-00008A420000}"/>
    <cellStyle name="Note 3 7 4 3 2" xfId="29359" xr:uid="{00000000-0005-0000-0000-00008B420000}"/>
    <cellStyle name="Note 3 7 4 4" xfId="11203" xr:uid="{00000000-0005-0000-0000-00008C420000}"/>
    <cellStyle name="Note 3 7 4 4 2" xfId="26035" xr:uid="{00000000-0005-0000-0000-00008D420000}"/>
    <cellStyle name="Note 3 7 4 5" xfId="21556" xr:uid="{00000000-0005-0000-0000-00008E420000}"/>
    <cellStyle name="Note 3 7 5" xfId="6311" xr:uid="{00000000-0005-0000-0000-00008F420000}"/>
    <cellStyle name="Note 3 7 5 2" xfId="16495" xr:uid="{00000000-0005-0000-0000-000090420000}"/>
    <cellStyle name="Note 3 7 5 2 2" xfId="31327" xr:uid="{00000000-0005-0000-0000-000091420000}"/>
    <cellStyle name="Note 3 7 5 3" xfId="22713" xr:uid="{00000000-0005-0000-0000-000092420000}"/>
    <cellStyle name="Note 3 7 6" xfId="12565" xr:uid="{00000000-0005-0000-0000-000093420000}"/>
    <cellStyle name="Note 3 7 6 2" xfId="27397" xr:uid="{00000000-0005-0000-0000-000094420000}"/>
    <cellStyle name="Note 3 7 7" xfId="10147" xr:uid="{00000000-0005-0000-0000-000095420000}"/>
    <cellStyle name="Note 3 7 7 2" xfId="24979" xr:uid="{00000000-0005-0000-0000-000096420000}"/>
    <cellStyle name="Note 3 7 8" xfId="20392" xr:uid="{00000000-0005-0000-0000-000097420000}"/>
    <cellStyle name="Note 3 8" xfId="3219" xr:uid="{00000000-0005-0000-0000-000098420000}"/>
    <cellStyle name="Note 3 8 2" xfId="7283" xr:uid="{00000000-0005-0000-0000-000099420000}"/>
    <cellStyle name="Note 3 8 2 2" xfId="17045" xr:uid="{00000000-0005-0000-0000-00009A420000}"/>
    <cellStyle name="Note 3 8 2 2 2" xfId="31877" xr:uid="{00000000-0005-0000-0000-00009B420000}"/>
    <cellStyle name="Note 3 8 2 3" xfId="23328" xr:uid="{00000000-0005-0000-0000-00009C420000}"/>
    <cellStyle name="Note 3 8 3" xfId="13557" xr:uid="{00000000-0005-0000-0000-00009D420000}"/>
    <cellStyle name="Note 3 8 3 2" xfId="28389" xr:uid="{00000000-0005-0000-0000-00009E420000}"/>
    <cellStyle name="Note 3 8 4" xfId="10686" xr:uid="{00000000-0005-0000-0000-00009F420000}"/>
    <cellStyle name="Note 3 8 4 2" xfId="25518" xr:uid="{00000000-0005-0000-0000-0000A0420000}"/>
    <cellStyle name="Note 3 8 5" xfId="21017" xr:uid="{00000000-0005-0000-0000-0000A1420000}"/>
    <cellStyle name="Note 3 9" xfId="3352" xr:uid="{00000000-0005-0000-0000-0000A2420000}"/>
    <cellStyle name="Note 3 9 2" xfId="7415" xr:uid="{00000000-0005-0000-0000-0000A3420000}"/>
    <cellStyle name="Note 3 9 2 2" xfId="17139" xr:uid="{00000000-0005-0000-0000-0000A4420000}"/>
    <cellStyle name="Note 3 9 2 2 2" xfId="31971" xr:uid="{00000000-0005-0000-0000-0000A5420000}"/>
    <cellStyle name="Note 3 9 2 3" xfId="23417" xr:uid="{00000000-0005-0000-0000-0000A6420000}"/>
    <cellStyle name="Note 3 9 3" xfId="13689" xr:uid="{00000000-0005-0000-0000-0000A7420000}"/>
    <cellStyle name="Note 3 9 3 2" xfId="28521" xr:uid="{00000000-0005-0000-0000-0000A8420000}"/>
    <cellStyle name="Note 3 9 4" xfId="10758" xr:uid="{00000000-0005-0000-0000-0000A9420000}"/>
    <cellStyle name="Note 3 9 4 2" xfId="25590" xr:uid="{00000000-0005-0000-0000-0000AA420000}"/>
    <cellStyle name="Note 3 9 5" xfId="21103" xr:uid="{00000000-0005-0000-0000-0000AB420000}"/>
    <cellStyle name="Note 4" xfId="1225" xr:uid="{00000000-0005-0000-0000-0000AC420000}"/>
    <cellStyle name="Note 4 10" xfId="2311" xr:uid="{00000000-0005-0000-0000-0000AD420000}"/>
    <cellStyle name="Note 4 10 2" xfId="6423" xr:uid="{00000000-0005-0000-0000-0000AE420000}"/>
    <cellStyle name="Note 4 10 2 2" xfId="16516" xr:uid="{00000000-0005-0000-0000-0000AF420000}"/>
    <cellStyle name="Note 4 10 2 2 2" xfId="31348" xr:uid="{00000000-0005-0000-0000-0000B0420000}"/>
    <cellStyle name="Note 4 10 2 3" xfId="22825" xr:uid="{00000000-0005-0000-0000-0000B1420000}"/>
    <cellStyle name="Note 4 10 3" xfId="12651" xr:uid="{00000000-0005-0000-0000-0000B2420000}"/>
    <cellStyle name="Note 4 10 3 2" xfId="27483" xr:uid="{00000000-0005-0000-0000-0000B3420000}"/>
    <cellStyle name="Note 4 10 4" xfId="10167" xr:uid="{00000000-0005-0000-0000-0000B4420000}"/>
    <cellStyle name="Note 4 10 4 2" xfId="24999" xr:uid="{00000000-0005-0000-0000-0000B5420000}"/>
    <cellStyle name="Note 4 10 5" xfId="20474" xr:uid="{00000000-0005-0000-0000-0000B6420000}"/>
    <cellStyle name="Note 4 11" xfId="5274" xr:uid="{00000000-0005-0000-0000-0000B7420000}"/>
    <cellStyle name="Note 4 11 2" xfId="9282" xr:uid="{00000000-0005-0000-0000-0000B8420000}"/>
    <cellStyle name="Note 4 11 2 2" xfId="18149" xr:uid="{00000000-0005-0000-0000-0000B9420000}"/>
    <cellStyle name="Note 4 11 2 2 2" xfId="32981" xr:uid="{00000000-0005-0000-0000-0000BA420000}"/>
    <cellStyle name="Note 4 11 2 3" xfId="24620" xr:uid="{00000000-0005-0000-0000-0000BB420000}"/>
    <cellStyle name="Note 4 11 3" xfId="15590" xr:uid="{00000000-0005-0000-0000-0000BC420000}"/>
    <cellStyle name="Note 4 11 3 2" xfId="30422" xr:uid="{00000000-0005-0000-0000-0000BD420000}"/>
    <cellStyle name="Note 4 11 4" xfId="22131" xr:uid="{00000000-0005-0000-0000-0000BE420000}"/>
    <cellStyle name="Note 4 12" xfId="5432" xr:uid="{00000000-0005-0000-0000-0000BF420000}"/>
    <cellStyle name="Note 4 12 2" xfId="15668" xr:uid="{00000000-0005-0000-0000-0000C0420000}"/>
    <cellStyle name="Note 4 12 2 2" xfId="30500" xr:uid="{00000000-0005-0000-0000-0000C1420000}"/>
    <cellStyle name="Note 4 12 3" xfId="22193" xr:uid="{00000000-0005-0000-0000-0000C2420000}"/>
    <cellStyle name="Note 4 13" xfId="9359" xr:uid="{00000000-0005-0000-0000-0000C3420000}"/>
    <cellStyle name="Note 4 13 2" xfId="24665" xr:uid="{00000000-0005-0000-0000-0000C4420000}"/>
    <cellStyle name="Note 4 14" xfId="5348" xr:uid="{00000000-0005-0000-0000-0000C5420000}"/>
    <cellStyle name="Note 4 14 2" xfId="18222" xr:uid="{00000000-0005-0000-0000-0000C6420000}"/>
    <cellStyle name="Note 4 2" xfId="1344" xr:uid="{00000000-0005-0000-0000-0000C7420000}"/>
    <cellStyle name="Note 4 2 2" xfId="1848" xr:uid="{00000000-0005-0000-0000-0000C8420000}"/>
    <cellStyle name="Note 4 2 2 2" xfId="4055" xr:uid="{00000000-0005-0000-0000-0000C9420000}"/>
    <cellStyle name="Note 4 2 2 2 2" xfId="8102" xr:uid="{00000000-0005-0000-0000-0000CA420000}"/>
    <cellStyle name="Note 4 2 2 2 2 2" xfId="17495" xr:uid="{00000000-0005-0000-0000-0000CB420000}"/>
    <cellStyle name="Note 4 2 2 2 2 2 2" xfId="32327" xr:uid="{00000000-0005-0000-0000-0000CC420000}"/>
    <cellStyle name="Note 4 2 2 2 2 3" xfId="23864" xr:uid="{00000000-0005-0000-0000-0000CD420000}"/>
    <cellStyle name="Note 4 2 2 2 3" xfId="14387" xr:uid="{00000000-0005-0000-0000-0000CE420000}"/>
    <cellStyle name="Note 4 2 2 2 3 2" xfId="29219" xr:uid="{00000000-0005-0000-0000-0000CF420000}"/>
    <cellStyle name="Note 4 2 2 2 4" xfId="11111" xr:uid="{00000000-0005-0000-0000-0000D0420000}"/>
    <cellStyle name="Note 4 2 2 2 4 2" xfId="25943" xr:uid="{00000000-0005-0000-0000-0000D1420000}"/>
    <cellStyle name="Note 4 2 2 2 5" xfId="21498" xr:uid="{00000000-0005-0000-0000-0000D2420000}"/>
    <cellStyle name="Note 4 2 2 3" xfId="4826" xr:uid="{00000000-0005-0000-0000-0000D3420000}"/>
    <cellStyle name="Note 4 2 2 3 2" xfId="8865" xr:uid="{00000000-0005-0000-0000-0000D4420000}"/>
    <cellStyle name="Note 4 2 2 3 2 2" xfId="17906" xr:uid="{00000000-0005-0000-0000-0000D5420000}"/>
    <cellStyle name="Note 4 2 2 3 2 2 2" xfId="32738" xr:uid="{00000000-0005-0000-0000-0000D6420000}"/>
    <cellStyle name="Note 4 2 2 3 2 3" xfId="24363" xr:uid="{00000000-0005-0000-0000-0000D7420000}"/>
    <cellStyle name="Note 4 2 2 3 3" xfId="15150" xr:uid="{00000000-0005-0000-0000-0000D8420000}"/>
    <cellStyle name="Note 4 2 2 3 3 2" xfId="29982" xr:uid="{00000000-0005-0000-0000-0000D9420000}"/>
    <cellStyle name="Note 4 2 2 3 4" xfId="11509" xr:uid="{00000000-0005-0000-0000-0000DA420000}"/>
    <cellStyle name="Note 4 2 2 3 4 2" xfId="26341" xr:uid="{00000000-0005-0000-0000-0000DB420000}"/>
    <cellStyle name="Note 4 2 2 3 5" xfId="21901" xr:uid="{00000000-0005-0000-0000-0000DC420000}"/>
    <cellStyle name="Note 4 2 2 4" xfId="2816" xr:uid="{00000000-0005-0000-0000-0000DD420000}"/>
    <cellStyle name="Note 4 2 2 4 2" xfId="6907" xr:uid="{00000000-0005-0000-0000-0000DE420000}"/>
    <cellStyle name="Note 4 2 2 4 2 2" xfId="16800" xr:uid="{00000000-0005-0000-0000-0000DF420000}"/>
    <cellStyle name="Note 4 2 2 4 2 2 2" xfId="31632" xr:uid="{00000000-0005-0000-0000-0000E0420000}"/>
    <cellStyle name="Note 4 2 2 4 2 3" xfId="23114" xr:uid="{00000000-0005-0000-0000-0000E1420000}"/>
    <cellStyle name="Note 4 2 2 4 3" xfId="13154" xr:uid="{00000000-0005-0000-0000-0000E2420000}"/>
    <cellStyle name="Note 4 2 2 4 3 2" xfId="27986" xr:uid="{00000000-0005-0000-0000-0000E3420000}"/>
    <cellStyle name="Note 4 2 2 4 4" xfId="10453" xr:uid="{00000000-0005-0000-0000-0000E4420000}"/>
    <cellStyle name="Note 4 2 2 4 4 2" xfId="25285" xr:uid="{00000000-0005-0000-0000-0000E5420000}"/>
    <cellStyle name="Note 4 2 2 4 5" xfId="20774" xr:uid="{00000000-0005-0000-0000-0000E6420000}"/>
    <cellStyle name="Note 4 2 2 5" xfId="5980" xr:uid="{00000000-0005-0000-0000-0000E7420000}"/>
    <cellStyle name="Note 4 2 2 5 2" xfId="16172" xr:uid="{00000000-0005-0000-0000-0000E8420000}"/>
    <cellStyle name="Note 4 2 2 5 2 2" xfId="31004" xr:uid="{00000000-0005-0000-0000-0000E9420000}"/>
    <cellStyle name="Note 4 2 2 5 3" xfId="22545" xr:uid="{00000000-0005-0000-0000-0000EA420000}"/>
    <cellStyle name="Note 4 2 2 6" xfId="12242" xr:uid="{00000000-0005-0000-0000-0000EB420000}"/>
    <cellStyle name="Note 4 2 2 6 2" xfId="27074" xr:uid="{00000000-0005-0000-0000-0000EC420000}"/>
    <cellStyle name="Note 4 2 2 7" xfId="9838" xr:uid="{00000000-0005-0000-0000-0000ED420000}"/>
    <cellStyle name="Note 4 2 2 7 2" xfId="24764" xr:uid="{00000000-0005-0000-0000-0000EE420000}"/>
    <cellStyle name="Note 4 2 2 8" xfId="20322" xr:uid="{00000000-0005-0000-0000-0000EF420000}"/>
    <cellStyle name="Note 4 2 3" xfId="3787" xr:uid="{00000000-0005-0000-0000-0000F0420000}"/>
    <cellStyle name="Note 4 2 3 2" xfId="7842" xr:uid="{00000000-0005-0000-0000-0000F1420000}"/>
    <cellStyle name="Note 4 2 3 2 2" xfId="17364" xr:uid="{00000000-0005-0000-0000-0000F2420000}"/>
    <cellStyle name="Note 4 2 3 2 2 2" xfId="32196" xr:uid="{00000000-0005-0000-0000-0000F3420000}"/>
    <cellStyle name="Note 4 2 3 2 3" xfId="23698" xr:uid="{00000000-0005-0000-0000-0000F4420000}"/>
    <cellStyle name="Note 4 2 3 3" xfId="14122" xr:uid="{00000000-0005-0000-0000-0000F5420000}"/>
    <cellStyle name="Note 4 2 3 3 2" xfId="28954" xr:uid="{00000000-0005-0000-0000-0000F6420000}"/>
    <cellStyle name="Note 4 2 3 4" xfId="10981" xr:uid="{00000000-0005-0000-0000-0000F7420000}"/>
    <cellStyle name="Note 4 2 3 4 2" xfId="25813" xr:uid="{00000000-0005-0000-0000-0000F8420000}"/>
    <cellStyle name="Note 4 2 3 5" xfId="21350" xr:uid="{00000000-0005-0000-0000-0000F9420000}"/>
    <cellStyle name="Note 4 2 4" xfId="4406" xr:uid="{00000000-0005-0000-0000-0000FA420000}"/>
    <cellStyle name="Note 4 2 4 2" xfId="8445" xr:uid="{00000000-0005-0000-0000-0000FB420000}"/>
    <cellStyle name="Note 4 2 4 2 2" xfId="17666" xr:uid="{00000000-0005-0000-0000-0000FC420000}"/>
    <cellStyle name="Note 4 2 4 2 2 2" xfId="32498" xr:uid="{00000000-0005-0000-0000-0000FD420000}"/>
    <cellStyle name="Note 4 2 4 2 3" xfId="24103" xr:uid="{00000000-0005-0000-0000-0000FE420000}"/>
    <cellStyle name="Note 4 2 4 3" xfId="14735" xr:uid="{00000000-0005-0000-0000-0000FF420000}"/>
    <cellStyle name="Note 4 2 4 3 2" xfId="29567" xr:uid="{00000000-0005-0000-0000-000000430000}"/>
    <cellStyle name="Note 4 2 4 4" xfId="11274" xr:uid="{00000000-0005-0000-0000-000001430000}"/>
    <cellStyle name="Note 4 2 4 4 2" xfId="26106" xr:uid="{00000000-0005-0000-0000-000002430000}"/>
    <cellStyle name="Note 4 2 4 5" xfId="21671" xr:uid="{00000000-0005-0000-0000-000003430000}"/>
    <cellStyle name="Note 4 2 5" xfId="2396" xr:uid="{00000000-0005-0000-0000-000004430000}"/>
    <cellStyle name="Note 4 2 5 2" xfId="6508" xr:uid="{00000000-0005-0000-0000-000005430000}"/>
    <cellStyle name="Note 4 2 5 2 2" xfId="16564" xr:uid="{00000000-0005-0000-0000-000006430000}"/>
    <cellStyle name="Note 4 2 5 2 2 2" xfId="31396" xr:uid="{00000000-0005-0000-0000-000007430000}"/>
    <cellStyle name="Note 4 2 5 2 3" xfId="22878" xr:uid="{00000000-0005-0000-0000-000008430000}"/>
    <cellStyle name="Note 4 2 5 3" xfId="12735" xr:uid="{00000000-0005-0000-0000-000009430000}"/>
    <cellStyle name="Note 4 2 5 3 2" xfId="27567" xr:uid="{00000000-0005-0000-0000-00000A430000}"/>
    <cellStyle name="Note 4 2 5 4" xfId="10214" xr:uid="{00000000-0005-0000-0000-00000B430000}"/>
    <cellStyle name="Note 4 2 5 4 2" xfId="25046" xr:uid="{00000000-0005-0000-0000-00000C430000}"/>
    <cellStyle name="Note 4 2 5 5" xfId="20520" xr:uid="{00000000-0005-0000-0000-00000D430000}"/>
    <cellStyle name="Note 4 2 6" xfId="5521" xr:uid="{00000000-0005-0000-0000-00000E430000}"/>
    <cellStyle name="Note 4 2 6 2" xfId="15756" xr:uid="{00000000-0005-0000-0000-00000F430000}"/>
    <cellStyle name="Note 4 2 6 2 2" xfId="30588" xr:uid="{00000000-0005-0000-0000-000010430000}"/>
    <cellStyle name="Note 4 2 6 3" xfId="22249" xr:uid="{00000000-0005-0000-0000-000011430000}"/>
    <cellStyle name="Note 4 2 7" xfId="11771" xr:uid="{00000000-0005-0000-0000-000012430000}"/>
    <cellStyle name="Note 4 2 7 2" xfId="26603" xr:uid="{00000000-0005-0000-0000-000013430000}"/>
    <cellStyle name="Note 4 2 8" xfId="9442" xr:uid="{00000000-0005-0000-0000-000014430000}"/>
    <cellStyle name="Note 4 2 8 2" xfId="19746" xr:uid="{00000000-0005-0000-0000-000015430000}"/>
    <cellStyle name="Note 4 3" xfId="1514" xr:uid="{00000000-0005-0000-0000-000016430000}"/>
    <cellStyle name="Note 4 3 2" xfId="2011" xr:uid="{00000000-0005-0000-0000-000017430000}"/>
    <cellStyle name="Note 4 3 2 2" xfId="4079" xr:uid="{00000000-0005-0000-0000-000018430000}"/>
    <cellStyle name="Note 4 3 2 2 2" xfId="8125" xr:uid="{00000000-0005-0000-0000-000019430000}"/>
    <cellStyle name="Note 4 3 2 2 2 2" xfId="17508" xr:uid="{00000000-0005-0000-0000-00001A430000}"/>
    <cellStyle name="Note 4 3 2 2 2 2 2" xfId="32340" xr:uid="{00000000-0005-0000-0000-00001B430000}"/>
    <cellStyle name="Note 4 3 2 2 2 3" xfId="23876" xr:uid="{00000000-0005-0000-0000-00001C430000}"/>
    <cellStyle name="Note 4 3 2 2 3" xfId="14411" xr:uid="{00000000-0005-0000-0000-00001D430000}"/>
    <cellStyle name="Note 4 3 2 2 3 2" xfId="29243" xr:uid="{00000000-0005-0000-0000-00001E430000}"/>
    <cellStyle name="Note 4 3 2 2 4" xfId="11125" xr:uid="{00000000-0005-0000-0000-00001F430000}"/>
    <cellStyle name="Note 4 3 2 2 4 2" xfId="25957" xr:uid="{00000000-0005-0000-0000-000020430000}"/>
    <cellStyle name="Note 4 3 2 2 5" xfId="21506" xr:uid="{00000000-0005-0000-0000-000021430000}"/>
    <cellStyle name="Note 4 3 2 3" xfId="4979" xr:uid="{00000000-0005-0000-0000-000022430000}"/>
    <cellStyle name="Note 4 3 2 3 2" xfId="9018" xr:uid="{00000000-0005-0000-0000-000023430000}"/>
    <cellStyle name="Note 4 3 2 3 2 2" xfId="17956" xr:uid="{00000000-0005-0000-0000-000024430000}"/>
    <cellStyle name="Note 4 3 2 3 2 2 2" xfId="32788" xr:uid="{00000000-0005-0000-0000-000025430000}"/>
    <cellStyle name="Note 4 3 2 3 2 3" xfId="24484" xr:uid="{00000000-0005-0000-0000-000026430000}"/>
    <cellStyle name="Note 4 3 2 3 3" xfId="15301" xr:uid="{00000000-0005-0000-0000-000027430000}"/>
    <cellStyle name="Note 4 3 2 3 3 2" xfId="30133" xr:uid="{00000000-0005-0000-0000-000028430000}"/>
    <cellStyle name="Note 4 3 2 3 4" xfId="11557" xr:uid="{00000000-0005-0000-0000-000029430000}"/>
    <cellStyle name="Note 4 3 2 3 4 2" xfId="26389" xr:uid="{00000000-0005-0000-0000-00002A430000}"/>
    <cellStyle name="Note 4 3 2 3 5" xfId="22010" xr:uid="{00000000-0005-0000-0000-00002B430000}"/>
    <cellStyle name="Note 4 3 2 4" xfId="2969" xr:uid="{00000000-0005-0000-0000-00002C430000}"/>
    <cellStyle name="Note 4 3 2 4 2" xfId="7049" xr:uid="{00000000-0005-0000-0000-00002D430000}"/>
    <cellStyle name="Note 4 3 2 4 2 2" xfId="16848" xr:uid="{00000000-0005-0000-0000-00002E430000}"/>
    <cellStyle name="Note 4 3 2 4 2 2 2" xfId="31680" xr:uid="{00000000-0005-0000-0000-00002F430000}"/>
    <cellStyle name="Note 4 3 2 4 2 3" xfId="23223" xr:uid="{00000000-0005-0000-0000-000030430000}"/>
    <cellStyle name="Note 4 3 2 4 3" xfId="13307" xr:uid="{00000000-0005-0000-0000-000031430000}"/>
    <cellStyle name="Note 4 3 2 4 3 2" xfId="28139" xr:uid="{00000000-0005-0000-0000-000032430000}"/>
    <cellStyle name="Note 4 3 2 4 4" xfId="10503" xr:uid="{00000000-0005-0000-0000-000033430000}"/>
    <cellStyle name="Note 4 3 2 4 4 2" xfId="25335" xr:uid="{00000000-0005-0000-0000-000034430000}"/>
    <cellStyle name="Note 4 3 2 4 5" xfId="20895" xr:uid="{00000000-0005-0000-0000-000035430000}"/>
    <cellStyle name="Note 4 3 2 5" xfId="6141" xr:uid="{00000000-0005-0000-0000-000036430000}"/>
    <cellStyle name="Note 4 3 2 5 2" xfId="16328" xr:uid="{00000000-0005-0000-0000-000037430000}"/>
    <cellStyle name="Note 4 3 2 5 2 2" xfId="31160" xr:uid="{00000000-0005-0000-0000-000038430000}"/>
    <cellStyle name="Note 4 3 2 5 3" xfId="22674" xr:uid="{00000000-0005-0000-0000-000039430000}"/>
    <cellStyle name="Note 4 3 2 6" xfId="12398" xr:uid="{00000000-0005-0000-0000-00003A430000}"/>
    <cellStyle name="Note 4 3 2 6 2" xfId="27230" xr:uid="{00000000-0005-0000-0000-00003B430000}"/>
    <cellStyle name="Note 4 3 2 7" xfId="9980" xr:uid="{00000000-0005-0000-0000-00003C430000}"/>
    <cellStyle name="Note 4 3 2 7 2" xfId="24812" xr:uid="{00000000-0005-0000-0000-00003D430000}"/>
    <cellStyle name="Note 4 3 2 8" xfId="20353" xr:uid="{00000000-0005-0000-0000-00003E430000}"/>
    <cellStyle name="Note 4 3 3" xfId="4301" xr:uid="{00000000-0005-0000-0000-00003F430000}"/>
    <cellStyle name="Note 4 3 3 2" xfId="8340" xr:uid="{00000000-0005-0000-0000-000040430000}"/>
    <cellStyle name="Note 4 3 3 2 2" xfId="17619" xr:uid="{00000000-0005-0000-0000-000041430000}"/>
    <cellStyle name="Note 4 3 3 2 2 2" xfId="32451" xr:uid="{00000000-0005-0000-0000-000042430000}"/>
    <cellStyle name="Note 4 3 3 2 3" xfId="24025" xr:uid="{00000000-0005-0000-0000-000043430000}"/>
    <cellStyle name="Note 4 3 3 3" xfId="14632" xr:uid="{00000000-0005-0000-0000-000044430000}"/>
    <cellStyle name="Note 4 3 3 3 2" xfId="29464" xr:uid="{00000000-0005-0000-0000-000045430000}"/>
    <cellStyle name="Note 4 3 3 4" xfId="11231" xr:uid="{00000000-0005-0000-0000-000046430000}"/>
    <cellStyle name="Note 4 3 3 4 2" xfId="26063" xr:uid="{00000000-0005-0000-0000-000047430000}"/>
    <cellStyle name="Note 4 3 3 5" xfId="21622" xr:uid="{00000000-0005-0000-0000-000048430000}"/>
    <cellStyle name="Note 4 3 4" xfId="4559" xr:uid="{00000000-0005-0000-0000-000049430000}"/>
    <cellStyle name="Note 4 3 4 2" xfId="8598" xr:uid="{00000000-0005-0000-0000-00004A430000}"/>
    <cellStyle name="Note 4 3 4 2 2" xfId="17716" xr:uid="{00000000-0005-0000-0000-00004B430000}"/>
    <cellStyle name="Note 4 3 4 2 2 2" xfId="32548" xr:uid="{00000000-0005-0000-0000-00004C430000}"/>
    <cellStyle name="Note 4 3 4 2 3" xfId="24224" xr:uid="{00000000-0005-0000-0000-00004D430000}"/>
    <cellStyle name="Note 4 3 4 3" xfId="14886" xr:uid="{00000000-0005-0000-0000-00004E430000}"/>
    <cellStyle name="Note 4 3 4 3 2" xfId="29718" xr:uid="{00000000-0005-0000-0000-00004F430000}"/>
    <cellStyle name="Note 4 3 4 4" xfId="11322" xr:uid="{00000000-0005-0000-0000-000050430000}"/>
    <cellStyle name="Note 4 3 4 4 2" xfId="26154" xr:uid="{00000000-0005-0000-0000-000051430000}"/>
    <cellStyle name="Note 4 3 4 5" xfId="21780" xr:uid="{00000000-0005-0000-0000-000052430000}"/>
    <cellStyle name="Note 4 3 5" xfId="2549" xr:uid="{00000000-0005-0000-0000-000053430000}"/>
    <cellStyle name="Note 4 3 5 2" xfId="6655" xr:uid="{00000000-0005-0000-0000-000054430000}"/>
    <cellStyle name="Note 4 3 5 2 2" xfId="16613" xr:uid="{00000000-0005-0000-0000-000055430000}"/>
    <cellStyle name="Note 4 3 5 2 2 2" xfId="31445" xr:uid="{00000000-0005-0000-0000-000056430000}"/>
    <cellStyle name="Note 4 3 5 2 3" xfId="22993" xr:uid="{00000000-0005-0000-0000-000057430000}"/>
    <cellStyle name="Note 4 3 5 3" xfId="12887" xr:uid="{00000000-0005-0000-0000-000058430000}"/>
    <cellStyle name="Note 4 3 5 3 2" xfId="27719" xr:uid="{00000000-0005-0000-0000-000059430000}"/>
    <cellStyle name="Note 4 3 5 4" xfId="10263" xr:uid="{00000000-0005-0000-0000-00005A430000}"/>
    <cellStyle name="Note 4 3 5 4 2" xfId="25095" xr:uid="{00000000-0005-0000-0000-00005B430000}"/>
    <cellStyle name="Note 4 3 5 5" xfId="20635" xr:uid="{00000000-0005-0000-0000-00005C430000}"/>
    <cellStyle name="Note 4 3 6" xfId="5672" xr:uid="{00000000-0005-0000-0000-00005D430000}"/>
    <cellStyle name="Note 4 3 6 2" xfId="15907" xr:uid="{00000000-0005-0000-0000-00005E430000}"/>
    <cellStyle name="Note 4 3 6 2 2" xfId="30739" xr:uid="{00000000-0005-0000-0000-00005F430000}"/>
    <cellStyle name="Note 4 3 6 3" xfId="22368" xr:uid="{00000000-0005-0000-0000-000060430000}"/>
    <cellStyle name="Note 4 3 7" xfId="11927" xr:uid="{00000000-0005-0000-0000-000061430000}"/>
    <cellStyle name="Note 4 3 7 2" xfId="26759" xr:uid="{00000000-0005-0000-0000-000062430000}"/>
    <cellStyle name="Note 4 3 8" xfId="9585" xr:uid="{00000000-0005-0000-0000-000063430000}"/>
    <cellStyle name="Note 4 3 8 2" xfId="19887" xr:uid="{00000000-0005-0000-0000-000064430000}"/>
    <cellStyle name="Note 4 4" xfId="1569" xr:uid="{00000000-0005-0000-0000-000065430000}"/>
    <cellStyle name="Note 4 4 2" xfId="2066" xr:uid="{00000000-0005-0000-0000-000066430000}"/>
    <cellStyle name="Note 4 4 2 2" xfId="3407" xr:uid="{00000000-0005-0000-0000-000067430000}"/>
    <cellStyle name="Note 4 4 2 2 2" xfId="7470" xr:uid="{00000000-0005-0000-0000-000068430000}"/>
    <cellStyle name="Note 4 4 2 2 2 2" xfId="17169" xr:uid="{00000000-0005-0000-0000-000069430000}"/>
    <cellStyle name="Note 4 4 2 2 2 2 2" xfId="32001" xr:uid="{00000000-0005-0000-0000-00006A430000}"/>
    <cellStyle name="Note 4 4 2 2 2 3" xfId="23458" xr:uid="{00000000-0005-0000-0000-00006B430000}"/>
    <cellStyle name="Note 4 4 2 2 3" xfId="13744" xr:uid="{00000000-0005-0000-0000-00006C430000}"/>
    <cellStyle name="Note 4 4 2 2 3 2" xfId="28576" xr:uid="{00000000-0005-0000-0000-00006D430000}"/>
    <cellStyle name="Note 4 4 2 2 4" xfId="10788" xr:uid="{00000000-0005-0000-0000-00006E430000}"/>
    <cellStyle name="Note 4 4 2 2 4 2" xfId="25620" xr:uid="{00000000-0005-0000-0000-00006F430000}"/>
    <cellStyle name="Note 4 4 2 2 5" xfId="21136" xr:uid="{00000000-0005-0000-0000-000070430000}"/>
    <cellStyle name="Note 4 4 2 3" xfId="5034" xr:uid="{00000000-0005-0000-0000-000071430000}"/>
    <cellStyle name="Note 4 4 2 3 2" xfId="9073" xr:uid="{00000000-0005-0000-0000-000072430000}"/>
    <cellStyle name="Note 4 4 2 3 2 2" xfId="18006" xr:uid="{00000000-0005-0000-0000-000073430000}"/>
    <cellStyle name="Note 4 4 2 3 2 2 2" xfId="32838" xr:uid="{00000000-0005-0000-0000-000074430000}"/>
    <cellStyle name="Note 4 4 2 3 2 3" xfId="24507" xr:uid="{00000000-0005-0000-0000-000075430000}"/>
    <cellStyle name="Note 4 4 2 3 3" xfId="15355" xr:uid="{00000000-0005-0000-0000-000076430000}"/>
    <cellStyle name="Note 4 4 2 3 3 2" xfId="30187" xr:uid="{00000000-0005-0000-0000-000077430000}"/>
    <cellStyle name="Note 4 4 2 3 4" xfId="11606" xr:uid="{00000000-0005-0000-0000-000078430000}"/>
    <cellStyle name="Note 4 4 2 3 4 2" xfId="26438" xr:uid="{00000000-0005-0000-0000-000079430000}"/>
    <cellStyle name="Note 4 4 2 3 5" xfId="22027" xr:uid="{00000000-0005-0000-0000-00007A430000}"/>
    <cellStyle name="Note 4 4 2 4" xfId="3024" xr:uid="{00000000-0005-0000-0000-00007B430000}"/>
    <cellStyle name="Note 4 4 2 4 2" xfId="7099" xr:uid="{00000000-0005-0000-0000-00007C430000}"/>
    <cellStyle name="Note 4 4 2 4 2 2" xfId="16897" xr:uid="{00000000-0005-0000-0000-00007D430000}"/>
    <cellStyle name="Note 4 4 2 4 2 2 2" xfId="31729" xr:uid="{00000000-0005-0000-0000-00007E430000}"/>
    <cellStyle name="Note 4 4 2 4 2 3" xfId="23240" xr:uid="{00000000-0005-0000-0000-00007F430000}"/>
    <cellStyle name="Note 4 4 2 4 3" xfId="13362" xr:uid="{00000000-0005-0000-0000-000080430000}"/>
    <cellStyle name="Note 4 4 2 4 3 2" xfId="28194" xr:uid="{00000000-0005-0000-0000-000081430000}"/>
    <cellStyle name="Note 4 4 2 4 4" xfId="10553" xr:uid="{00000000-0005-0000-0000-000082430000}"/>
    <cellStyle name="Note 4 4 2 4 4 2" xfId="25385" xr:uid="{00000000-0005-0000-0000-000083430000}"/>
    <cellStyle name="Note 4 4 2 4 5" xfId="20918" xr:uid="{00000000-0005-0000-0000-000084430000}"/>
    <cellStyle name="Note 4 4 2 5" xfId="6191" xr:uid="{00000000-0005-0000-0000-000085430000}"/>
    <cellStyle name="Note 4 4 2 5 2" xfId="16377" xr:uid="{00000000-0005-0000-0000-000086430000}"/>
    <cellStyle name="Note 4 4 2 5 2 2" xfId="31209" xr:uid="{00000000-0005-0000-0000-000087430000}"/>
    <cellStyle name="Note 4 4 2 5 3" xfId="22691" xr:uid="{00000000-0005-0000-0000-000088430000}"/>
    <cellStyle name="Note 4 4 2 6" xfId="12447" xr:uid="{00000000-0005-0000-0000-000089430000}"/>
    <cellStyle name="Note 4 4 2 6 2" xfId="27279" xr:uid="{00000000-0005-0000-0000-00008A430000}"/>
    <cellStyle name="Note 4 4 2 7" xfId="10029" xr:uid="{00000000-0005-0000-0000-00008B430000}"/>
    <cellStyle name="Note 4 4 2 7 2" xfId="24861" xr:uid="{00000000-0005-0000-0000-00008C430000}"/>
    <cellStyle name="Note 4 4 2 8" xfId="20370" xr:uid="{00000000-0005-0000-0000-00008D430000}"/>
    <cellStyle name="Note 4 4 3" xfId="3157" xr:uid="{00000000-0005-0000-0000-00008E430000}"/>
    <cellStyle name="Note 4 4 3 2" xfId="7221" xr:uid="{00000000-0005-0000-0000-00008F430000}"/>
    <cellStyle name="Note 4 4 3 2 2" xfId="16999" xr:uid="{00000000-0005-0000-0000-000090430000}"/>
    <cellStyle name="Note 4 4 3 2 2 2" xfId="31831" xr:uid="{00000000-0005-0000-0000-000091430000}"/>
    <cellStyle name="Note 4 4 3 2 3" xfId="23286" xr:uid="{00000000-0005-0000-0000-000092430000}"/>
    <cellStyle name="Note 4 4 3 3" xfId="13495" xr:uid="{00000000-0005-0000-0000-000093430000}"/>
    <cellStyle name="Note 4 4 3 3 2" xfId="28327" xr:uid="{00000000-0005-0000-0000-000094430000}"/>
    <cellStyle name="Note 4 4 3 4" xfId="10651" xr:uid="{00000000-0005-0000-0000-000095430000}"/>
    <cellStyle name="Note 4 4 3 4 2" xfId="25483" xr:uid="{00000000-0005-0000-0000-000096430000}"/>
    <cellStyle name="Note 4 4 3 5" xfId="20977" xr:uid="{00000000-0005-0000-0000-000097430000}"/>
    <cellStyle name="Note 4 4 4" xfId="4614" xr:uid="{00000000-0005-0000-0000-000098430000}"/>
    <cellStyle name="Note 4 4 4 2" xfId="8653" xr:uid="{00000000-0005-0000-0000-000099430000}"/>
    <cellStyle name="Note 4 4 4 2 2" xfId="17766" xr:uid="{00000000-0005-0000-0000-00009A430000}"/>
    <cellStyle name="Note 4 4 4 2 2 2" xfId="32598" xr:uid="{00000000-0005-0000-0000-00009B430000}"/>
    <cellStyle name="Note 4 4 4 2 3" xfId="24247" xr:uid="{00000000-0005-0000-0000-00009C430000}"/>
    <cellStyle name="Note 4 4 4 3" xfId="14940" xr:uid="{00000000-0005-0000-0000-00009D430000}"/>
    <cellStyle name="Note 4 4 4 3 2" xfId="29772" xr:uid="{00000000-0005-0000-0000-00009E430000}"/>
    <cellStyle name="Note 4 4 4 4" xfId="11371" xr:uid="{00000000-0005-0000-0000-00009F430000}"/>
    <cellStyle name="Note 4 4 4 4 2" xfId="26203" xr:uid="{00000000-0005-0000-0000-0000A0430000}"/>
    <cellStyle name="Note 4 4 4 5" xfId="21797" xr:uid="{00000000-0005-0000-0000-0000A1430000}"/>
    <cellStyle name="Note 4 4 5" xfId="2604" xr:uid="{00000000-0005-0000-0000-0000A2430000}"/>
    <cellStyle name="Note 4 4 5 2" xfId="6705" xr:uid="{00000000-0005-0000-0000-0000A3430000}"/>
    <cellStyle name="Note 4 4 5 2 2" xfId="16662" xr:uid="{00000000-0005-0000-0000-0000A4430000}"/>
    <cellStyle name="Note 4 4 5 2 2 2" xfId="31494" xr:uid="{00000000-0005-0000-0000-0000A5430000}"/>
    <cellStyle name="Note 4 4 5 2 3" xfId="23010" xr:uid="{00000000-0005-0000-0000-0000A6430000}"/>
    <cellStyle name="Note 4 4 5 3" xfId="12942" xr:uid="{00000000-0005-0000-0000-0000A7430000}"/>
    <cellStyle name="Note 4 4 5 3 2" xfId="27774" xr:uid="{00000000-0005-0000-0000-0000A8430000}"/>
    <cellStyle name="Note 4 4 5 4" xfId="10313" xr:uid="{00000000-0005-0000-0000-0000A9430000}"/>
    <cellStyle name="Note 4 4 5 4 2" xfId="25145" xr:uid="{00000000-0005-0000-0000-0000AA430000}"/>
    <cellStyle name="Note 4 4 5 5" xfId="20658" xr:uid="{00000000-0005-0000-0000-0000AB430000}"/>
    <cellStyle name="Note 4 4 6" xfId="5721" xr:uid="{00000000-0005-0000-0000-0000AC430000}"/>
    <cellStyle name="Note 4 4 6 2" xfId="15956" xr:uid="{00000000-0005-0000-0000-0000AD430000}"/>
    <cellStyle name="Note 4 4 6 2 2" xfId="30788" xr:uid="{00000000-0005-0000-0000-0000AE430000}"/>
    <cellStyle name="Note 4 4 6 3" xfId="22385" xr:uid="{00000000-0005-0000-0000-0000AF430000}"/>
    <cellStyle name="Note 4 4 7" xfId="11976" xr:uid="{00000000-0005-0000-0000-0000B0430000}"/>
    <cellStyle name="Note 4 4 7 2" xfId="26808" xr:uid="{00000000-0005-0000-0000-0000B1430000}"/>
    <cellStyle name="Note 4 4 8" xfId="9635" xr:uid="{00000000-0005-0000-0000-0000B2430000}"/>
    <cellStyle name="Note 4 4 8 2" xfId="19936" xr:uid="{00000000-0005-0000-0000-0000B3430000}"/>
    <cellStyle name="Note 4 5" xfId="1619" xr:uid="{00000000-0005-0000-0000-0000B4430000}"/>
    <cellStyle name="Note 4 5 2" xfId="2116" xr:uid="{00000000-0005-0000-0000-0000B5430000}"/>
    <cellStyle name="Note 4 5 2 2" xfId="4098" xr:uid="{00000000-0005-0000-0000-0000B6430000}"/>
    <cellStyle name="Note 4 5 2 2 2" xfId="8144" xr:uid="{00000000-0005-0000-0000-0000B7430000}"/>
    <cellStyle name="Note 4 5 2 2 2 2" xfId="17516" xr:uid="{00000000-0005-0000-0000-0000B8430000}"/>
    <cellStyle name="Note 4 5 2 2 2 2 2" xfId="32348" xr:uid="{00000000-0005-0000-0000-0000B9430000}"/>
    <cellStyle name="Note 4 5 2 2 2 3" xfId="23889" xr:uid="{00000000-0005-0000-0000-0000BA430000}"/>
    <cellStyle name="Note 4 5 2 2 3" xfId="14430" xr:uid="{00000000-0005-0000-0000-0000BB430000}"/>
    <cellStyle name="Note 4 5 2 2 3 2" xfId="29262" xr:uid="{00000000-0005-0000-0000-0000BC430000}"/>
    <cellStyle name="Note 4 5 2 2 4" xfId="11133" xr:uid="{00000000-0005-0000-0000-0000BD430000}"/>
    <cellStyle name="Note 4 5 2 2 4 2" xfId="25965" xr:uid="{00000000-0005-0000-0000-0000BE430000}"/>
    <cellStyle name="Note 4 5 2 2 5" xfId="21519" xr:uid="{00000000-0005-0000-0000-0000BF430000}"/>
    <cellStyle name="Note 4 5 2 3" xfId="5084" xr:uid="{00000000-0005-0000-0000-0000C0430000}"/>
    <cellStyle name="Note 4 5 2 3 2" xfId="9123" xr:uid="{00000000-0005-0000-0000-0000C1430000}"/>
    <cellStyle name="Note 4 5 2 3 2 2" xfId="18051" xr:uid="{00000000-0005-0000-0000-0000C2430000}"/>
    <cellStyle name="Note 4 5 2 3 2 2 2" xfId="32883" xr:uid="{00000000-0005-0000-0000-0000C3430000}"/>
    <cellStyle name="Note 4 5 2 3 2 3" xfId="24525" xr:uid="{00000000-0005-0000-0000-0000C4430000}"/>
    <cellStyle name="Note 4 5 2 3 3" xfId="15404" xr:uid="{00000000-0005-0000-0000-0000C5430000}"/>
    <cellStyle name="Note 4 5 2 3 3 2" xfId="30236" xr:uid="{00000000-0005-0000-0000-0000C6430000}"/>
    <cellStyle name="Note 4 5 2 3 4" xfId="11650" xr:uid="{00000000-0005-0000-0000-0000C7430000}"/>
    <cellStyle name="Note 4 5 2 3 4 2" xfId="26482" xr:uid="{00000000-0005-0000-0000-0000C8430000}"/>
    <cellStyle name="Note 4 5 2 3 5" xfId="22039" xr:uid="{00000000-0005-0000-0000-0000C9430000}"/>
    <cellStyle name="Note 4 5 2 4" xfId="3074" xr:uid="{00000000-0005-0000-0000-0000CA430000}"/>
    <cellStyle name="Note 4 5 2 4 2" xfId="7144" xr:uid="{00000000-0005-0000-0000-0000CB430000}"/>
    <cellStyle name="Note 4 5 2 4 2 2" xfId="16941" xr:uid="{00000000-0005-0000-0000-0000CC430000}"/>
    <cellStyle name="Note 4 5 2 4 2 2 2" xfId="31773" xr:uid="{00000000-0005-0000-0000-0000CD430000}"/>
    <cellStyle name="Note 4 5 2 4 2 3" xfId="23252" xr:uid="{00000000-0005-0000-0000-0000CE430000}"/>
    <cellStyle name="Note 4 5 2 4 3" xfId="13412" xr:uid="{00000000-0005-0000-0000-0000CF430000}"/>
    <cellStyle name="Note 4 5 2 4 3 2" xfId="28244" xr:uid="{00000000-0005-0000-0000-0000D0430000}"/>
    <cellStyle name="Note 4 5 2 4 4" xfId="10598" xr:uid="{00000000-0005-0000-0000-0000D1430000}"/>
    <cellStyle name="Note 4 5 2 4 4 2" xfId="25430" xr:uid="{00000000-0005-0000-0000-0000D2430000}"/>
    <cellStyle name="Note 4 5 2 4 5" xfId="20936" xr:uid="{00000000-0005-0000-0000-0000D3430000}"/>
    <cellStyle name="Note 4 5 2 5" xfId="6236" xr:uid="{00000000-0005-0000-0000-0000D4430000}"/>
    <cellStyle name="Note 4 5 2 5 2" xfId="16421" xr:uid="{00000000-0005-0000-0000-0000D5430000}"/>
    <cellStyle name="Note 4 5 2 5 2 2" xfId="31253" xr:uid="{00000000-0005-0000-0000-0000D6430000}"/>
    <cellStyle name="Note 4 5 2 5 3" xfId="22703" xr:uid="{00000000-0005-0000-0000-0000D7430000}"/>
    <cellStyle name="Note 4 5 2 6" xfId="12491" xr:uid="{00000000-0005-0000-0000-0000D8430000}"/>
    <cellStyle name="Note 4 5 2 6 2" xfId="27323" xr:uid="{00000000-0005-0000-0000-0000D9430000}"/>
    <cellStyle name="Note 4 5 2 7" xfId="10073" xr:uid="{00000000-0005-0000-0000-0000DA430000}"/>
    <cellStyle name="Note 4 5 2 7 2" xfId="24905" xr:uid="{00000000-0005-0000-0000-0000DB430000}"/>
    <cellStyle name="Note 4 5 2 8" xfId="20382" xr:uid="{00000000-0005-0000-0000-0000DC430000}"/>
    <cellStyle name="Note 4 5 3" xfId="3547" xr:uid="{00000000-0005-0000-0000-0000DD430000}"/>
    <cellStyle name="Note 4 5 3 2" xfId="7609" xr:uid="{00000000-0005-0000-0000-0000DE430000}"/>
    <cellStyle name="Note 4 5 3 2 2" xfId="17251" xr:uid="{00000000-0005-0000-0000-0000DF430000}"/>
    <cellStyle name="Note 4 5 3 2 2 2" xfId="32083" xr:uid="{00000000-0005-0000-0000-0000E0430000}"/>
    <cellStyle name="Note 4 5 3 2 3" xfId="23545" xr:uid="{00000000-0005-0000-0000-0000E1430000}"/>
    <cellStyle name="Note 4 5 3 3" xfId="13883" xr:uid="{00000000-0005-0000-0000-0000E2430000}"/>
    <cellStyle name="Note 4 5 3 3 2" xfId="28715" xr:uid="{00000000-0005-0000-0000-0000E3430000}"/>
    <cellStyle name="Note 4 5 3 4" xfId="10868" xr:uid="{00000000-0005-0000-0000-0000E4430000}"/>
    <cellStyle name="Note 4 5 3 4 2" xfId="25700" xr:uid="{00000000-0005-0000-0000-0000E5430000}"/>
    <cellStyle name="Note 4 5 3 5" xfId="21218" xr:uid="{00000000-0005-0000-0000-0000E6430000}"/>
    <cellStyle name="Note 4 5 4" xfId="4664" xr:uid="{00000000-0005-0000-0000-0000E7430000}"/>
    <cellStyle name="Note 4 5 4 2" xfId="8703" xr:uid="{00000000-0005-0000-0000-0000E8430000}"/>
    <cellStyle name="Note 4 5 4 2 2" xfId="17811" xr:uid="{00000000-0005-0000-0000-0000E9430000}"/>
    <cellStyle name="Note 4 5 4 2 2 2" xfId="32643" xr:uid="{00000000-0005-0000-0000-0000EA430000}"/>
    <cellStyle name="Note 4 5 4 2 3" xfId="24265" xr:uid="{00000000-0005-0000-0000-0000EB430000}"/>
    <cellStyle name="Note 4 5 4 3" xfId="14989" xr:uid="{00000000-0005-0000-0000-0000EC430000}"/>
    <cellStyle name="Note 4 5 4 3 2" xfId="29821" xr:uid="{00000000-0005-0000-0000-0000ED430000}"/>
    <cellStyle name="Note 4 5 4 4" xfId="11415" xr:uid="{00000000-0005-0000-0000-0000EE430000}"/>
    <cellStyle name="Note 4 5 4 4 2" xfId="26247" xr:uid="{00000000-0005-0000-0000-0000EF430000}"/>
    <cellStyle name="Note 4 5 4 5" xfId="21809" xr:uid="{00000000-0005-0000-0000-0000F0430000}"/>
    <cellStyle name="Note 4 5 5" xfId="2654" xr:uid="{00000000-0005-0000-0000-0000F1430000}"/>
    <cellStyle name="Note 4 5 5 2" xfId="6750" xr:uid="{00000000-0005-0000-0000-0000F2430000}"/>
    <cellStyle name="Note 4 5 5 2 2" xfId="16706" xr:uid="{00000000-0005-0000-0000-0000F3430000}"/>
    <cellStyle name="Note 4 5 5 2 2 2" xfId="31538" xr:uid="{00000000-0005-0000-0000-0000F4430000}"/>
    <cellStyle name="Note 4 5 5 2 3" xfId="23022" xr:uid="{00000000-0005-0000-0000-0000F5430000}"/>
    <cellStyle name="Note 4 5 5 3" xfId="12992" xr:uid="{00000000-0005-0000-0000-0000F6430000}"/>
    <cellStyle name="Note 4 5 5 3 2" xfId="27824" xr:uid="{00000000-0005-0000-0000-0000F7430000}"/>
    <cellStyle name="Note 4 5 5 4" xfId="10358" xr:uid="{00000000-0005-0000-0000-0000F8430000}"/>
    <cellStyle name="Note 4 5 5 4 2" xfId="25190" xr:uid="{00000000-0005-0000-0000-0000F9430000}"/>
    <cellStyle name="Note 4 5 5 5" xfId="20676" xr:uid="{00000000-0005-0000-0000-0000FA430000}"/>
    <cellStyle name="Note 4 5 6" xfId="5766" xr:uid="{00000000-0005-0000-0000-0000FB430000}"/>
    <cellStyle name="Note 4 5 6 2" xfId="16000" xr:uid="{00000000-0005-0000-0000-0000FC430000}"/>
    <cellStyle name="Note 4 5 6 2 2" xfId="30832" xr:uid="{00000000-0005-0000-0000-0000FD430000}"/>
    <cellStyle name="Note 4 5 6 3" xfId="22397" xr:uid="{00000000-0005-0000-0000-0000FE430000}"/>
    <cellStyle name="Note 4 5 7" xfId="12020" xr:uid="{00000000-0005-0000-0000-0000FF430000}"/>
    <cellStyle name="Note 4 5 7 2" xfId="26852" xr:uid="{00000000-0005-0000-0000-000000440000}"/>
    <cellStyle name="Note 4 5 8" xfId="9680" xr:uid="{00000000-0005-0000-0000-000001440000}"/>
    <cellStyle name="Note 4 5 8 2" xfId="19980" xr:uid="{00000000-0005-0000-0000-000002440000}"/>
    <cellStyle name="Note 4 6" xfId="1770" xr:uid="{00000000-0005-0000-0000-000003440000}"/>
    <cellStyle name="Note 4 6 2" xfId="3924" xr:uid="{00000000-0005-0000-0000-000004440000}"/>
    <cellStyle name="Note 4 6 2 2" xfId="7974" xr:uid="{00000000-0005-0000-0000-000005440000}"/>
    <cellStyle name="Note 4 6 2 2 2" xfId="17433" xr:uid="{00000000-0005-0000-0000-000006440000}"/>
    <cellStyle name="Note 4 6 2 2 2 2" xfId="32265" xr:uid="{00000000-0005-0000-0000-000007440000}"/>
    <cellStyle name="Note 4 6 2 2 3" xfId="23781" xr:uid="{00000000-0005-0000-0000-000008440000}"/>
    <cellStyle name="Note 4 6 2 3" xfId="14257" xr:uid="{00000000-0005-0000-0000-000009440000}"/>
    <cellStyle name="Note 4 6 2 3 2" xfId="29089" xr:uid="{00000000-0005-0000-0000-00000A440000}"/>
    <cellStyle name="Note 4 6 2 4" xfId="11048" xr:uid="{00000000-0005-0000-0000-00000B440000}"/>
    <cellStyle name="Note 4 6 2 4 2" xfId="25880" xr:uid="{00000000-0005-0000-0000-00000C440000}"/>
    <cellStyle name="Note 4 6 2 5" xfId="21423" xr:uid="{00000000-0005-0000-0000-00000D440000}"/>
    <cellStyle name="Note 4 6 3" xfId="4748" xr:uid="{00000000-0005-0000-0000-00000E440000}"/>
    <cellStyle name="Note 4 6 3 2" xfId="8787" xr:uid="{00000000-0005-0000-0000-00000F440000}"/>
    <cellStyle name="Note 4 6 3 2 2" xfId="17859" xr:uid="{00000000-0005-0000-0000-000010440000}"/>
    <cellStyle name="Note 4 6 3 2 2 2" xfId="32691" xr:uid="{00000000-0005-0000-0000-000011440000}"/>
    <cellStyle name="Note 4 6 3 2 3" xfId="24317" xr:uid="{00000000-0005-0000-0000-000012440000}"/>
    <cellStyle name="Note 4 6 3 3" xfId="15072" xr:uid="{00000000-0005-0000-0000-000013440000}"/>
    <cellStyle name="Note 4 6 3 3 2" xfId="29904" xr:uid="{00000000-0005-0000-0000-000014440000}"/>
    <cellStyle name="Note 4 6 3 4" xfId="11462" xr:uid="{00000000-0005-0000-0000-000015440000}"/>
    <cellStyle name="Note 4 6 3 4 2" xfId="26294" xr:uid="{00000000-0005-0000-0000-000016440000}"/>
    <cellStyle name="Note 4 6 3 5" xfId="21855" xr:uid="{00000000-0005-0000-0000-000017440000}"/>
    <cellStyle name="Note 4 6 4" xfId="2738" xr:uid="{00000000-0005-0000-0000-000018440000}"/>
    <cellStyle name="Note 4 6 4 2" xfId="6829" xr:uid="{00000000-0005-0000-0000-000019440000}"/>
    <cellStyle name="Note 4 6 4 2 2" xfId="16753" xr:uid="{00000000-0005-0000-0000-00001A440000}"/>
    <cellStyle name="Note 4 6 4 2 2 2" xfId="31585" xr:uid="{00000000-0005-0000-0000-00001B440000}"/>
    <cellStyle name="Note 4 6 4 2 3" xfId="23068" xr:uid="{00000000-0005-0000-0000-00001C440000}"/>
    <cellStyle name="Note 4 6 4 3" xfId="13076" xr:uid="{00000000-0005-0000-0000-00001D440000}"/>
    <cellStyle name="Note 4 6 4 3 2" xfId="27908" xr:uid="{00000000-0005-0000-0000-00001E440000}"/>
    <cellStyle name="Note 4 6 4 4" xfId="10406" xr:uid="{00000000-0005-0000-0000-00001F440000}"/>
    <cellStyle name="Note 4 6 4 4 2" xfId="25238" xr:uid="{00000000-0005-0000-0000-000020440000}"/>
    <cellStyle name="Note 4 6 4 5" xfId="20728" xr:uid="{00000000-0005-0000-0000-000021440000}"/>
    <cellStyle name="Note 4 6 5" xfId="5902" xr:uid="{00000000-0005-0000-0000-000022440000}"/>
    <cellStyle name="Note 4 6 5 2" xfId="16094" xr:uid="{00000000-0005-0000-0000-000023440000}"/>
    <cellStyle name="Note 4 6 5 2 2" xfId="30926" xr:uid="{00000000-0005-0000-0000-000024440000}"/>
    <cellStyle name="Note 4 6 5 3" xfId="22499" xr:uid="{00000000-0005-0000-0000-000025440000}"/>
    <cellStyle name="Note 4 6 6" xfId="12164" xr:uid="{00000000-0005-0000-0000-000026440000}"/>
    <cellStyle name="Note 4 6 6 2" xfId="26996" xr:uid="{00000000-0005-0000-0000-000027440000}"/>
    <cellStyle name="Note 4 6 7" xfId="9760" xr:uid="{00000000-0005-0000-0000-000028440000}"/>
    <cellStyle name="Note 4 6 7 2" xfId="24717" xr:uid="{00000000-0005-0000-0000-000029440000}"/>
    <cellStyle name="Note 4 6 8" xfId="20307" xr:uid="{00000000-0005-0000-0000-00002A440000}"/>
    <cellStyle name="Note 4 7" xfId="2196" xr:uid="{00000000-0005-0000-0000-00002B440000}"/>
    <cellStyle name="Note 4 7 2" xfId="3640" xr:uid="{00000000-0005-0000-0000-00002C440000}"/>
    <cellStyle name="Note 4 7 2 2" xfId="7699" xr:uid="{00000000-0005-0000-0000-00002D440000}"/>
    <cellStyle name="Note 4 7 2 2 2" xfId="17297" xr:uid="{00000000-0005-0000-0000-00002E440000}"/>
    <cellStyle name="Note 4 7 2 2 2 2" xfId="32129" xr:uid="{00000000-0005-0000-0000-00002F440000}"/>
    <cellStyle name="Note 4 7 2 2 3" xfId="23599" xr:uid="{00000000-0005-0000-0000-000030440000}"/>
    <cellStyle name="Note 4 7 2 3" xfId="13975" xr:uid="{00000000-0005-0000-0000-000031440000}"/>
    <cellStyle name="Note 4 7 2 3 2" xfId="28807" xr:uid="{00000000-0005-0000-0000-000032440000}"/>
    <cellStyle name="Note 4 7 2 4" xfId="10913" xr:uid="{00000000-0005-0000-0000-000033440000}"/>
    <cellStyle name="Note 4 7 2 4 2" xfId="25745" xr:uid="{00000000-0005-0000-0000-000034440000}"/>
    <cellStyle name="Note 4 7 2 5" xfId="21265" xr:uid="{00000000-0005-0000-0000-000035440000}"/>
    <cellStyle name="Note 4 7 3" xfId="5164" xr:uid="{00000000-0005-0000-0000-000036440000}"/>
    <cellStyle name="Note 4 7 3 2" xfId="9203" xr:uid="{00000000-0005-0000-0000-000037440000}"/>
    <cellStyle name="Note 4 7 3 2 2" xfId="18126" xr:uid="{00000000-0005-0000-0000-000038440000}"/>
    <cellStyle name="Note 4 7 3 2 2 2" xfId="32958" xr:uid="{00000000-0005-0000-0000-000039440000}"/>
    <cellStyle name="Note 4 7 3 2 3" xfId="24541" xr:uid="{00000000-0005-0000-0000-00003A440000}"/>
    <cellStyle name="Note 4 7 3 3" xfId="15482" xr:uid="{00000000-0005-0000-0000-00003B440000}"/>
    <cellStyle name="Note 4 7 3 3 2" xfId="30314" xr:uid="{00000000-0005-0000-0000-00003C440000}"/>
    <cellStyle name="Note 4 7 3 4" xfId="11723" xr:uid="{00000000-0005-0000-0000-00003D440000}"/>
    <cellStyle name="Note 4 7 3 4 2" xfId="26555" xr:uid="{00000000-0005-0000-0000-00003E440000}"/>
    <cellStyle name="Note 4 7 3 5" xfId="22048" xr:uid="{00000000-0005-0000-0000-00003F440000}"/>
    <cellStyle name="Note 4 7 4" xfId="4194" xr:uid="{00000000-0005-0000-0000-000040440000}"/>
    <cellStyle name="Note 4 7 4 2" xfId="8235" xr:uid="{00000000-0005-0000-0000-000041440000}"/>
    <cellStyle name="Note 4 7 4 2 2" xfId="17582" xr:uid="{00000000-0005-0000-0000-000042440000}"/>
    <cellStyle name="Note 4 7 4 2 2 2" xfId="32414" xr:uid="{00000000-0005-0000-0000-000043440000}"/>
    <cellStyle name="Note 4 7 4 2 3" xfId="23930" xr:uid="{00000000-0005-0000-0000-000044440000}"/>
    <cellStyle name="Note 4 7 4 3" xfId="14526" xr:uid="{00000000-0005-0000-0000-000045440000}"/>
    <cellStyle name="Note 4 7 4 3 2" xfId="29358" xr:uid="{00000000-0005-0000-0000-000046440000}"/>
    <cellStyle name="Note 4 7 4 4" xfId="11202" xr:uid="{00000000-0005-0000-0000-000047440000}"/>
    <cellStyle name="Note 4 7 4 4 2" xfId="26034" xr:uid="{00000000-0005-0000-0000-000048440000}"/>
    <cellStyle name="Note 4 7 4 5" xfId="21555" xr:uid="{00000000-0005-0000-0000-000049440000}"/>
    <cellStyle name="Note 4 7 5" xfId="6310" xr:uid="{00000000-0005-0000-0000-00004A440000}"/>
    <cellStyle name="Note 4 7 5 2" xfId="16494" xr:uid="{00000000-0005-0000-0000-00004B440000}"/>
    <cellStyle name="Note 4 7 5 2 2" xfId="31326" xr:uid="{00000000-0005-0000-0000-00004C440000}"/>
    <cellStyle name="Note 4 7 5 3" xfId="22712" xr:uid="{00000000-0005-0000-0000-00004D440000}"/>
    <cellStyle name="Note 4 7 6" xfId="12564" xr:uid="{00000000-0005-0000-0000-00004E440000}"/>
    <cellStyle name="Note 4 7 6 2" xfId="27396" xr:uid="{00000000-0005-0000-0000-00004F440000}"/>
    <cellStyle name="Note 4 7 7" xfId="10146" xr:uid="{00000000-0005-0000-0000-000050440000}"/>
    <cellStyle name="Note 4 7 7 2" xfId="24978" xr:uid="{00000000-0005-0000-0000-000051440000}"/>
    <cellStyle name="Note 4 7 8" xfId="20391" xr:uid="{00000000-0005-0000-0000-000052440000}"/>
    <cellStyle name="Note 4 8" xfId="3159" xr:uid="{00000000-0005-0000-0000-000053440000}"/>
    <cellStyle name="Note 4 8 2" xfId="7223" xr:uid="{00000000-0005-0000-0000-000054440000}"/>
    <cellStyle name="Note 4 8 2 2" xfId="17001" xr:uid="{00000000-0005-0000-0000-000055440000}"/>
    <cellStyle name="Note 4 8 2 2 2" xfId="31833" xr:uid="{00000000-0005-0000-0000-000056440000}"/>
    <cellStyle name="Note 4 8 2 3" xfId="23288" xr:uid="{00000000-0005-0000-0000-000057440000}"/>
    <cellStyle name="Note 4 8 3" xfId="13497" xr:uid="{00000000-0005-0000-0000-000058440000}"/>
    <cellStyle name="Note 4 8 3 2" xfId="28329" xr:uid="{00000000-0005-0000-0000-000059440000}"/>
    <cellStyle name="Note 4 8 4" xfId="10653" xr:uid="{00000000-0005-0000-0000-00005A440000}"/>
    <cellStyle name="Note 4 8 4 2" xfId="25485" xr:uid="{00000000-0005-0000-0000-00005B440000}"/>
    <cellStyle name="Note 4 8 5" xfId="20979" xr:uid="{00000000-0005-0000-0000-00005C440000}"/>
    <cellStyle name="Note 4 9" xfId="4313" xr:uid="{00000000-0005-0000-0000-00005D440000}"/>
    <cellStyle name="Note 4 9 2" xfId="8352" xr:uid="{00000000-0005-0000-0000-00005E440000}"/>
    <cellStyle name="Note 4 9 2 2" xfId="17631" xr:uid="{00000000-0005-0000-0000-00005F440000}"/>
    <cellStyle name="Note 4 9 2 2 2" xfId="32463" xr:uid="{00000000-0005-0000-0000-000060440000}"/>
    <cellStyle name="Note 4 9 2 3" xfId="24029" xr:uid="{00000000-0005-0000-0000-000061440000}"/>
    <cellStyle name="Note 4 9 3" xfId="14644" xr:uid="{00000000-0005-0000-0000-000062440000}"/>
    <cellStyle name="Note 4 9 3 2" xfId="29476" xr:uid="{00000000-0005-0000-0000-000063440000}"/>
    <cellStyle name="Note 4 9 4" xfId="11241" xr:uid="{00000000-0005-0000-0000-000064440000}"/>
    <cellStyle name="Note 4 9 4 2" xfId="26073" xr:uid="{00000000-0005-0000-0000-000065440000}"/>
    <cellStyle name="Note 4 9 5" xfId="21626" xr:uid="{00000000-0005-0000-0000-000066440000}"/>
    <cellStyle name="Note 5" xfId="1226" xr:uid="{00000000-0005-0000-0000-000067440000}"/>
    <cellStyle name="Note 5 10" xfId="2312" xr:uid="{00000000-0005-0000-0000-000068440000}"/>
    <cellStyle name="Note 5 10 2" xfId="6424" xr:uid="{00000000-0005-0000-0000-000069440000}"/>
    <cellStyle name="Note 5 10 2 2" xfId="16517" xr:uid="{00000000-0005-0000-0000-00006A440000}"/>
    <cellStyle name="Note 5 10 2 2 2" xfId="31349" xr:uid="{00000000-0005-0000-0000-00006B440000}"/>
    <cellStyle name="Note 5 10 2 3" xfId="22826" xr:uid="{00000000-0005-0000-0000-00006C440000}"/>
    <cellStyle name="Note 5 10 3" xfId="12652" xr:uid="{00000000-0005-0000-0000-00006D440000}"/>
    <cellStyle name="Note 5 10 3 2" xfId="27484" xr:uid="{00000000-0005-0000-0000-00006E440000}"/>
    <cellStyle name="Note 5 10 4" xfId="10168" xr:uid="{00000000-0005-0000-0000-00006F440000}"/>
    <cellStyle name="Note 5 10 4 2" xfId="25000" xr:uid="{00000000-0005-0000-0000-000070440000}"/>
    <cellStyle name="Note 5 10 5" xfId="20475" xr:uid="{00000000-0005-0000-0000-000071440000}"/>
    <cellStyle name="Note 5 11" xfId="5275" xr:uid="{00000000-0005-0000-0000-000072440000}"/>
    <cellStyle name="Note 5 11 2" xfId="9283" xr:uid="{00000000-0005-0000-0000-000073440000}"/>
    <cellStyle name="Note 5 11 2 2" xfId="18150" xr:uid="{00000000-0005-0000-0000-000074440000}"/>
    <cellStyle name="Note 5 11 2 2 2" xfId="32982" xr:uid="{00000000-0005-0000-0000-000075440000}"/>
    <cellStyle name="Note 5 11 2 3" xfId="24621" xr:uid="{00000000-0005-0000-0000-000076440000}"/>
    <cellStyle name="Note 5 11 3" xfId="15591" xr:uid="{00000000-0005-0000-0000-000077440000}"/>
    <cellStyle name="Note 5 11 3 2" xfId="30423" xr:uid="{00000000-0005-0000-0000-000078440000}"/>
    <cellStyle name="Note 5 11 4" xfId="22132" xr:uid="{00000000-0005-0000-0000-000079440000}"/>
    <cellStyle name="Note 5 12" xfId="5433" xr:uid="{00000000-0005-0000-0000-00007A440000}"/>
    <cellStyle name="Note 5 12 2" xfId="15669" xr:uid="{00000000-0005-0000-0000-00007B440000}"/>
    <cellStyle name="Note 5 12 2 2" xfId="30501" xr:uid="{00000000-0005-0000-0000-00007C440000}"/>
    <cellStyle name="Note 5 12 3" xfId="22194" xr:uid="{00000000-0005-0000-0000-00007D440000}"/>
    <cellStyle name="Note 5 13" xfId="9358" xr:uid="{00000000-0005-0000-0000-00007E440000}"/>
    <cellStyle name="Note 5 13 2" xfId="24664" xr:uid="{00000000-0005-0000-0000-00007F440000}"/>
    <cellStyle name="Note 5 14" xfId="5347" xr:uid="{00000000-0005-0000-0000-000080440000}"/>
    <cellStyle name="Note 5 14 2" xfId="18221" xr:uid="{00000000-0005-0000-0000-000081440000}"/>
    <cellStyle name="Note 5 2" xfId="1345" xr:uid="{00000000-0005-0000-0000-000082440000}"/>
    <cellStyle name="Note 5 2 2" xfId="1849" xr:uid="{00000000-0005-0000-0000-000083440000}"/>
    <cellStyle name="Note 5 2 2 2" xfId="3728" xr:uid="{00000000-0005-0000-0000-000084440000}"/>
    <cellStyle name="Note 5 2 2 2 2" xfId="7784" xr:uid="{00000000-0005-0000-0000-000085440000}"/>
    <cellStyle name="Note 5 2 2 2 2 2" xfId="17337" xr:uid="{00000000-0005-0000-0000-000086440000}"/>
    <cellStyle name="Note 5 2 2 2 2 2 2" xfId="32169" xr:uid="{00000000-0005-0000-0000-000087440000}"/>
    <cellStyle name="Note 5 2 2 2 2 3" xfId="23661" xr:uid="{00000000-0005-0000-0000-000088440000}"/>
    <cellStyle name="Note 5 2 2 2 3" xfId="14063" xr:uid="{00000000-0005-0000-0000-000089440000}"/>
    <cellStyle name="Note 5 2 2 2 3 2" xfId="28895" xr:uid="{00000000-0005-0000-0000-00008A440000}"/>
    <cellStyle name="Note 5 2 2 2 4" xfId="10953" xr:uid="{00000000-0005-0000-0000-00008B440000}"/>
    <cellStyle name="Note 5 2 2 2 4 2" xfId="25785" xr:uid="{00000000-0005-0000-0000-00008C440000}"/>
    <cellStyle name="Note 5 2 2 2 5" xfId="21321" xr:uid="{00000000-0005-0000-0000-00008D440000}"/>
    <cellStyle name="Note 5 2 2 3" xfId="4827" xr:uid="{00000000-0005-0000-0000-00008E440000}"/>
    <cellStyle name="Note 5 2 2 3 2" xfId="8866" xr:uid="{00000000-0005-0000-0000-00008F440000}"/>
    <cellStyle name="Note 5 2 2 3 2 2" xfId="17907" xr:uid="{00000000-0005-0000-0000-000090440000}"/>
    <cellStyle name="Note 5 2 2 3 2 2 2" xfId="32739" xr:uid="{00000000-0005-0000-0000-000091440000}"/>
    <cellStyle name="Note 5 2 2 3 2 3" xfId="24364" xr:uid="{00000000-0005-0000-0000-000092440000}"/>
    <cellStyle name="Note 5 2 2 3 3" xfId="15151" xr:uid="{00000000-0005-0000-0000-000093440000}"/>
    <cellStyle name="Note 5 2 2 3 3 2" xfId="29983" xr:uid="{00000000-0005-0000-0000-000094440000}"/>
    <cellStyle name="Note 5 2 2 3 4" xfId="11510" xr:uid="{00000000-0005-0000-0000-000095440000}"/>
    <cellStyle name="Note 5 2 2 3 4 2" xfId="26342" xr:uid="{00000000-0005-0000-0000-000096440000}"/>
    <cellStyle name="Note 5 2 2 3 5" xfId="21902" xr:uid="{00000000-0005-0000-0000-000097440000}"/>
    <cellStyle name="Note 5 2 2 4" xfId="2817" xr:uid="{00000000-0005-0000-0000-000098440000}"/>
    <cellStyle name="Note 5 2 2 4 2" xfId="6908" xr:uid="{00000000-0005-0000-0000-000099440000}"/>
    <cellStyle name="Note 5 2 2 4 2 2" xfId="16801" xr:uid="{00000000-0005-0000-0000-00009A440000}"/>
    <cellStyle name="Note 5 2 2 4 2 2 2" xfId="31633" xr:uid="{00000000-0005-0000-0000-00009B440000}"/>
    <cellStyle name="Note 5 2 2 4 2 3" xfId="23115" xr:uid="{00000000-0005-0000-0000-00009C440000}"/>
    <cellStyle name="Note 5 2 2 4 3" xfId="13155" xr:uid="{00000000-0005-0000-0000-00009D440000}"/>
    <cellStyle name="Note 5 2 2 4 3 2" xfId="27987" xr:uid="{00000000-0005-0000-0000-00009E440000}"/>
    <cellStyle name="Note 5 2 2 4 4" xfId="10454" xr:uid="{00000000-0005-0000-0000-00009F440000}"/>
    <cellStyle name="Note 5 2 2 4 4 2" xfId="25286" xr:uid="{00000000-0005-0000-0000-0000A0440000}"/>
    <cellStyle name="Note 5 2 2 4 5" xfId="20775" xr:uid="{00000000-0005-0000-0000-0000A1440000}"/>
    <cellStyle name="Note 5 2 2 5" xfId="5981" xr:uid="{00000000-0005-0000-0000-0000A2440000}"/>
    <cellStyle name="Note 5 2 2 5 2" xfId="16173" xr:uid="{00000000-0005-0000-0000-0000A3440000}"/>
    <cellStyle name="Note 5 2 2 5 2 2" xfId="31005" xr:uid="{00000000-0005-0000-0000-0000A4440000}"/>
    <cellStyle name="Note 5 2 2 5 3" xfId="22546" xr:uid="{00000000-0005-0000-0000-0000A5440000}"/>
    <cellStyle name="Note 5 2 2 6" xfId="12243" xr:uid="{00000000-0005-0000-0000-0000A6440000}"/>
    <cellStyle name="Note 5 2 2 6 2" xfId="27075" xr:uid="{00000000-0005-0000-0000-0000A7440000}"/>
    <cellStyle name="Note 5 2 2 7" xfId="9839" xr:uid="{00000000-0005-0000-0000-0000A8440000}"/>
    <cellStyle name="Note 5 2 2 7 2" xfId="24765" xr:uid="{00000000-0005-0000-0000-0000A9440000}"/>
    <cellStyle name="Note 5 2 2 8" xfId="20323" xr:uid="{00000000-0005-0000-0000-0000AA440000}"/>
    <cellStyle name="Note 5 2 3" xfId="3624" xr:uid="{00000000-0005-0000-0000-0000AB440000}"/>
    <cellStyle name="Note 5 2 3 2" xfId="7684" xr:uid="{00000000-0005-0000-0000-0000AC440000}"/>
    <cellStyle name="Note 5 2 3 2 2" xfId="17286" xr:uid="{00000000-0005-0000-0000-0000AD440000}"/>
    <cellStyle name="Note 5 2 3 2 2 2" xfId="32118" xr:uid="{00000000-0005-0000-0000-0000AE440000}"/>
    <cellStyle name="Note 5 2 3 2 3" xfId="23593" xr:uid="{00000000-0005-0000-0000-0000AF440000}"/>
    <cellStyle name="Note 5 2 3 3" xfId="13959" xr:uid="{00000000-0005-0000-0000-0000B0440000}"/>
    <cellStyle name="Note 5 2 3 3 2" xfId="28791" xr:uid="{00000000-0005-0000-0000-0000B1440000}"/>
    <cellStyle name="Note 5 2 3 4" xfId="10902" xr:uid="{00000000-0005-0000-0000-0000B2440000}"/>
    <cellStyle name="Note 5 2 3 4 2" xfId="25734" xr:uid="{00000000-0005-0000-0000-0000B3440000}"/>
    <cellStyle name="Note 5 2 3 5" xfId="21257" xr:uid="{00000000-0005-0000-0000-0000B4440000}"/>
    <cellStyle name="Note 5 2 4" xfId="4407" xr:uid="{00000000-0005-0000-0000-0000B5440000}"/>
    <cellStyle name="Note 5 2 4 2" xfId="8446" xr:uid="{00000000-0005-0000-0000-0000B6440000}"/>
    <cellStyle name="Note 5 2 4 2 2" xfId="17667" xr:uid="{00000000-0005-0000-0000-0000B7440000}"/>
    <cellStyle name="Note 5 2 4 2 2 2" xfId="32499" xr:uid="{00000000-0005-0000-0000-0000B8440000}"/>
    <cellStyle name="Note 5 2 4 2 3" xfId="24104" xr:uid="{00000000-0005-0000-0000-0000B9440000}"/>
    <cellStyle name="Note 5 2 4 3" xfId="14736" xr:uid="{00000000-0005-0000-0000-0000BA440000}"/>
    <cellStyle name="Note 5 2 4 3 2" xfId="29568" xr:uid="{00000000-0005-0000-0000-0000BB440000}"/>
    <cellStyle name="Note 5 2 4 4" xfId="11275" xr:uid="{00000000-0005-0000-0000-0000BC440000}"/>
    <cellStyle name="Note 5 2 4 4 2" xfId="26107" xr:uid="{00000000-0005-0000-0000-0000BD440000}"/>
    <cellStyle name="Note 5 2 4 5" xfId="21672" xr:uid="{00000000-0005-0000-0000-0000BE440000}"/>
    <cellStyle name="Note 5 2 5" xfId="2397" xr:uid="{00000000-0005-0000-0000-0000BF440000}"/>
    <cellStyle name="Note 5 2 5 2" xfId="6509" xr:uid="{00000000-0005-0000-0000-0000C0440000}"/>
    <cellStyle name="Note 5 2 5 2 2" xfId="16565" xr:uid="{00000000-0005-0000-0000-0000C1440000}"/>
    <cellStyle name="Note 5 2 5 2 2 2" xfId="31397" xr:uid="{00000000-0005-0000-0000-0000C2440000}"/>
    <cellStyle name="Note 5 2 5 2 3" xfId="22879" xr:uid="{00000000-0005-0000-0000-0000C3440000}"/>
    <cellStyle name="Note 5 2 5 3" xfId="12736" xr:uid="{00000000-0005-0000-0000-0000C4440000}"/>
    <cellStyle name="Note 5 2 5 3 2" xfId="27568" xr:uid="{00000000-0005-0000-0000-0000C5440000}"/>
    <cellStyle name="Note 5 2 5 4" xfId="10215" xr:uid="{00000000-0005-0000-0000-0000C6440000}"/>
    <cellStyle name="Note 5 2 5 4 2" xfId="25047" xr:uid="{00000000-0005-0000-0000-0000C7440000}"/>
    <cellStyle name="Note 5 2 5 5" xfId="20521" xr:uid="{00000000-0005-0000-0000-0000C8440000}"/>
    <cellStyle name="Note 5 2 6" xfId="5522" xr:uid="{00000000-0005-0000-0000-0000C9440000}"/>
    <cellStyle name="Note 5 2 6 2" xfId="15757" xr:uid="{00000000-0005-0000-0000-0000CA440000}"/>
    <cellStyle name="Note 5 2 6 2 2" xfId="30589" xr:uid="{00000000-0005-0000-0000-0000CB440000}"/>
    <cellStyle name="Note 5 2 6 3" xfId="22250" xr:uid="{00000000-0005-0000-0000-0000CC440000}"/>
    <cellStyle name="Note 5 2 7" xfId="11772" xr:uid="{00000000-0005-0000-0000-0000CD440000}"/>
    <cellStyle name="Note 5 2 7 2" xfId="26604" xr:uid="{00000000-0005-0000-0000-0000CE440000}"/>
    <cellStyle name="Note 5 2 8" xfId="9443" xr:uid="{00000000-0005-0000-0000-0000CF440000}"/>
    <cellStyle name="Note 5 2 8 2" xfId="19747" xr:uid="{00000000-0005-0000-0000-0000D0440000}"/>
    <cellStyle name="Note 5 3" xfId="1515" xr:uid="{00000000-0005-0000-0000-0000D1440000}"/>
    <cellStyle name="Note 5 3 2" xfId="2012" xr:uid="{00000000-0005-0000-0000-0000D2440000}"/>
    <cellStyle name="Note 5 3 2 2" xfId="3926" xr:uid="{00000000-0005-0000-0000-0000D3440000}"/>
    <cellStyle name="Note 5 3 2 2 2" xfId="7976" xr:uid="{00000000-0005-0000-0000-0000D4440000}"/>
    <cellStyle name="Note 5 3 2 2 2 2" xfId="17434" xr:uid="{00000000-0005-0000-0000-0000D5440000}"/>
    <cellStyle name="Note 5 3 2 2 2 2 2" xfId="32266" xr:uid="{00000000-0005-0000-0000-0000D6440000}"/>
    <cellStyle name="Note 5 3 2 2 2 3" xfId="23783" xr:uid="{00000000-0005-0000-0000-0000D7440000}"/>
    <cellStyle name="Note 5 3 2 2 3" xfId="14259" xr:uid="{00000000-0005-0000-0000-0000D8440000}"/>
    <cellStyle name="Note 5 3 2 2 3 2" xfId="29091" xr:uid="{00000000-0005-0000-0000-0000D9440000}"/>
    <cellStyle name="Note 5 3 2 2 4" xfId="11049" xr:uid="{00000000-0005-0000-0000-0000DA440000}"/>
    <cellStyle name="Note 5 3 2 2 4 2" xfId="25881" xr:uid="{00000000-0005-0000-0000-0000DB440000}"/>
    <cellStyle name="Note 5 3 2 2 5" xfId="21425" xr:uid="{00000000-0005-0000-0000-0000DC440000}"/>
    <cellStyle name="Note 5 3 2 3" xfId="4980" xr:uid="{00000000-0005-0000-0000-0000DD440000}"/>
    <cellStyle name="Note 5 3 2 3 2" xfId="9019" xr:uid="{00000000-0005-0000-0000-0000DE440000}"/>
    <cellStyle name="Note 5 3 2 3 2 2" xfId="17957" xr:uid="{00000000-0005-0000-0000-0000DF440000}"/>
    <cellStyle name="Note 5 3 2 3 2 2 2" xfId="32789" xr:uid="{00000000-0005-0000-0000-0000E0440000}"/>
    <cellStyle name="Note 5 3 2 3 2 3" xfId="24485" xr:uid="{00000000-0005-0000-0000-0000E1440000}"/>
    <cellStyle name="Note 5 3 2 3 3" xfId="15302" xr:uid="{00000000-0005-0000-0000-0000E2440000}"/>
    <cellStyle name="Note 5 3 2 3 3 2" xfId="30134" xr:uid="{00000000-0005-0000-0000-0000E3440000}"/>
    <cellStyle name="Note 5 3 2 3 4" xfId="11558" xr:uid="{00000000-0005-0000-0000-0000E4440000}"/>
    <cellStyle name="Note 5 3 2 3 4 2" xfId="26390" xr:uid="{00000000-0005-0000-0000-0000E5440000}"/>
    <cellStyle name="Note 5 3 2 3 5" xfId="22011" xr:uid="{00000000-0005-0000-0000-0000E6440000}"/>
    <cellStyle name="Note 5 3 2 4" xfId="2970" xr:uid="{00000000-0005-0000-0000-0000E7440000}"/>
    <cellStyle name="Note 5 3 2 4 2" xfId="7050" xr:uid="{00000000-0005-0000-0000-0000E8440000}"/>
    <cellStyle name="Note 5 3 2 4 2 2" xfId="16849" xr:uid="{00000000-0005-0000-0000-0000E9440000}"/>
    <cellStyle name="Note 5 3 2 4 2 2 2" xfId="31681" xr:uid="{00000000-0005-0000-0000-0000EA440000}"/>
    <cellStyle name="Note 5 3 2 4 2 3" xfId="23224" xr:uid="{00000000-0005-0000-0000-0000EB440000}"/>
    <cellStyle name="Note 5 3 2 4 3" xfId="13308" xr:uid="{00000000-0005-0000-0000-0000EC440000}"/>
    <cellStyle name="Note 5 3 2 4 3 2" xfId="28140" xr:uid="{00000000-0005-0000-0000-0000ED440000}"/>
    <cellStyle name="Note 5 3 2 4 4" xfId="10504" xr:uid="{00000000-0005-0000-0000-0000EE440000}"/>
    <cellStyle name="Note 5 3 2 4 4 2" xfId="25336" xr:uid="{00000000-0005-0000-0000-0000EF440000}"/>
    <cellStyle name="Note 5 3 2 4 5" xfId="20896" xr:uid="{00000000-0005-0000-0000-0000F0440000}"/>
    <cellStyle name="Note 5 3 2 5" xfId="6142" xr:uid="{00000000-0005-0000-0000-0000F1440000}"/>
    <cellStyle name="Note 5 3 2 5 2" xfId="16329" xr:uid="{00000000-0005-0000-0000-0000F2440000}"/>
    <cellStyle name="Note 5 3 2 5 2 2" xfId="31161" xr:uid="{00000000-0005-0000-0000-0000F3440000}"/>
    <cellStyle name="Note 5 3 2 5 3" xfId="22675" xr:uid="{00000000-0005-0000-0000-0000F4440000}"/>
    <cellStyle name="Note 5 3 2 6" xfId="12399" xr:uid="{00000000-0005-0000-0000-0000F5440000}"/>
    <cellStyle name="Note 5 3 2 6 2" xfId="27231" xr:uid="{00000000-0005-0000-0000-0000F6440000}"/>
    <cellStyle name="Note 5 3 2 7" xfId="9981" xr:uid="{00000000-0005-0000-0000-0000F7440000}"/>
    <cellStyle name="Note 5 3 2 7 2" xfId="24813" xr:uid="{00000000-0005-0000-0000-0000F8440000}"/>
    <cellStyle name="Note 5 3 2 8" xfId="20354" xr:uid="{00000000-0005-0000-0000-0000F9440000}"/>
    <cellStyle name="Note 5 3 3" xfId="3226" xr:uid="{00000000-0005-0000-0000-0000FA440000}"/>
    <cellStyle name="Note 5 3 3 2" xfId="7290" xr:uid="{00000000-0005-0000-0000-0000FB440000}"/>
    <cellStyle name="Note 5 3 3 2 2" xfId="17050" xr:uid="{00000000-0005-0000-0000-0000FC440000}"/>
    <cellStyle name="Note 5 3 3 2 2 2" xfId="31882" xr:uid="{00000000-0005-0000-0000-0000FD440000}"/>
    <cellStyle name="Note 5 3 3 2 3" xfId="23333" xr:uid="{00000000-0005-0000-0000-0000FE440000}"/>
    <cellStyle name="Note 5 3 3 3" xfId="13564" xr:uid="{00000000-0005-0000-0000-0000FF440000}"/>
    <cellStyle name="Note 5 3 3 3 2" xfId="28396" xr:uid="{00000000-0005-0000-0000-000000450000}"/>
    <cellStyle name="Note 5 3 3 4" xfId="10690" xr:uid="{00000000-0005-0000-0000-000001450000}"/>
    <cellStyle name="Note 5 3 3 4 2" xfId="25522" xr:uid="{00000000-0005-0000-0000-000002450000}"/>
    <cellStyle name="Note 5 3 3 5" xfId="21022" xr:uid="{00000000-0005-0000-0000-000003450000}"/>
    <cellStyle name="Note 5 3 4" xfId="4560" xr:uid="{00000000-0005-0000-0000-000004450000}"/>
    <cellStyle name="Note 5 3 4 2" xfId="8599" xr:uid="{00000000-0005-0000-0000-000005450000}"/>
    <cellStyle name="Note 5 3 4 2 2" xfId="17717" xr:uid="{00000000-0005-0000-0000-000006450000}"/>
    <cellStyle name="Note 5 3 4 2 2 2" xfId="32549" xr:uid="{00000000-0005-0000-0000-000007450000}"/>
    <cellStyle name="Note 5 3 4 2 3" xfId="24225" xr:uid="{00000000-0005-0000-0000-000008450000}"/>
    <cellStyle name="Note 5 3 4 3" xfId="14887" xr:uid="{00000000-0005-0000-0000-000009450000}"/>
    <cellStyle name="Note 5 3 4 3 2" xfId="29719" xr:uid="{00000000-0005-0000-0000-00000A450000}"/>
    <cellStyle name="Note 5 3 4 4" xfId="11323" xr:uid="{00000000-0005-0000-0000-00000B450000}"/>
    <cellStyle name="Note 5 3 4 4 2" xfId="26155" xr:uid="{00000000-0005-0000-0000-00000C450000}"/>
    <cellStyle name="Note 5 3 4 5" xfId="21781" xr:uid="{00000000-0005-0000-0000-00000D450000}"/>
    <cellStyle name="Note 5 3 5" xfId="2550" xr:uid="{00000000-0005-0000-0000-00000E450000}"/>
    <cellStyle name="Note 5 3 5 2" xfId="6656" xr:uid="{00000000-0005-0000-0000-00000F450000}"/>
    <cellStyle name="Note 5 3 5 2 2" xfId="16614" xr:uid="{00000000-0005-0000-0000-000010450000}"/>
    <cellStyle name="Note 5 3 5 2 2 2" xfId="31446" xr:uid="{00000000-0005-0000-0000-000011450000}"/>
    <cellStyle name="Note 5 3 5 2 3" xfId="22994" xr:uid="{00000000-0005-0000-0000-000012450000}"/>
    <cellStyle name="Note 5 3 5 3" xfId="12888" xr:uid="{00000000-0005-0000-0000-000013450000}"/>
    <cellStyle name="Note 5 3 5 3 2" xfId="27720" xr:uid="{00000000-0005-0000-0000-000014450000}"/>
    <cellStyle name="Note 5 3 5 4" xfId="10264" xr:uid="{00000000-0005-0000-0000-000015450000}"/>
    <cellStyle name="Note 5 3 5 4 2" xfId="25096" xr:uid="{00000000-0005-0000-0000-000016450000}"/>
    <cellStyle name="Note 5 3 5 5" xfId="20636" xr:uid="{00000000-0005-0000-0000-000017450000}"/>
    <cellStyle name="Note 5 3 6" xfId="5673" xr:uid="{00000000-0005-0000-0000-000018450000}"/>
    <cellStyle name="Note 5 3 6 2" xfId="15908" xr:uid="{00000000-0005-0000-0000-000019450000}"/>
    <cellStyle name="Note 5 3 6 2 2" xfId="30740" xr:uid="{00000000-0005-0000-0000-00001A450000}"/>
    <cellStyle name="Note 5 3 6 3" xfId="22369" xr:uid="{00000000-0005-0000-0000-00001B450000}"/>
    <cellStyle name="Note 5 3 7" xfId="11928" xr:uid="{00000000-0005-0000-0000-00001C450000}"/>
    <cellStyle name="Note 5 3 7 2" xfId="26760" xr:uid="{00000000-0005-0000-0000-00001D450000}"/>
    <cellStyle name="Note 5 3 8" xfId="9586" xr:uid="{00000000-0005-0000-0000-00001E450000}"/>
    <cellStyle name="Note 5 3 8 2" xfId="19888" xr:uid="{00000000-0005-0000-0000-00001F450000}"/>
    <cellStyle name="Note 5 4" xfId="1570" xr:uid="{00000000-0005-0000-0000-000020450000}"/>
    <cellStyle name="Note 5 4 2" xfId="2067" xr:uid="{00000000-0005-0000-0000-000021450000}"/>
    <cellStyle name="Note 5 4 2 2" xfId="3408" xr:uid="{00000000-0005-0000-0000-000022450000}"/>
    <cellStyle name="Note 5 4 2 2 2" xfId="7471" xr:uid="{00000000-0005-0000-0000-000023450000}"/>
    <cellStyle name="Note 5 4 2 2 2 2" xfId="17170" xr:uid="{00000000-0005-0000-0000-000024450000}"/>
    <cellStyle name="Note 5 4 2 2 2 2 2" xfId="32002" xr:uid="{00000000-0005-0000-0000-000025450000}"/>
    <cellStyle name="Note 5 4 2 2 2 3" xfId="23459" xr:uid="{00000000-0005-0000-0000-000026450000}"/>
    <cellStyle name="Note 5 4 2 2 3" xfId="13745" xr:uid="{00000000-0005-0000-0000-000027450000}"/>
    <cellStyle name="Note 5 4 2 2 3 2" xfId="28577" xr:uid="{00000000-0005-0000-0000-000028450000}"/>
    <cellStyle name="Note 5 4 2 2 4" xfId="10789" xr:uid="{00000000-0005-0000-0000-000029450000}"/>
    <cellStyle name="Note 5 4 2 2 4 2" xfId="25621" xr:uid="{00000000-0005-0000-0000-00002A450000}"/>
    <cellStyle name="Note 5 4 2 2 5" xfId="21137" xr:uid="{00000000-0005-0000-0000-00002B450000}"/>
    <cellStyle name="Note 5 4 2 3" xfId="5035" xr:uid="{00000000-0005-0000-0000-00002C450000}"/>
    <cellStyle name="Note 5 4 2 3 2" xfId="9074" xr:uid="{00000000-0005-0000-0000-00002D450000}"/>
    <cellStyle name="Note 5 4 2 3 2 2" xfId="18007" xr:uid="{00000000-0005-0000-0000-00002E450000}"/>
    <cellStyle name="Note 5 4 2 3 2 2 2" xfId="32839" xr:uid="{00000000-0005-0000-0000-00002F450000}"/>
    <cellStyle name="Note 5 4 2 3 2 3" xfId="24508" xr:uid="{00000000-0005-0000-0000-000030450000}"/>
    <cellStyle name="Note 5 4 2 3 3" xfId="15356" xr:uid="{00000000-0005-0000-0000-000031450000}"/>
    <cellStyle name="Note 5 4 2 3 3 2" xfId="30188" xr:uid="{00000000-0005-0000-0000-000032450000}"/>
    <cellStyle name="Note 5 4 2 3 4" xfId="11607" xr:uid="{00000000-0005-0000-0000-000033450000}"/>
    <cellStyle name="Note 5 4 2 3 4 2" xfId="26439" xr:uid="{00000000-0005-0000-0000-000034450000}"/>
    <cellStyle name="Note 5 4 2 3 5" xfId="22028" xr:uid="{00000000-0005-0000-0000-000035450000}"/>
    <cellStyle name="Note 5 4 2 4" xfId="3025" xr:uid="{00000000-0005-0000-0000-000036450000}"/>
    <cellStyle name="Note 5 4 2 4 2" xfId="7100" xr:uid="{00000000-0005-0000-0000-000037450000}"/>
    <cellStyle name="Note 5 4 2 4 2 2" xfId="16898" xr:uid="{00000000-0005-0000-0000-000038450000}"/>
    <cellStyle name="Note 5 4 2 4 2 2 2" xfId="31730" xr:uid="{00000000-0005-0000-0000-000039450000}"/>
    <cellStyle name="Note 5 4 2 4 2 3" xfId="23241" xr:uid="{00000000-0005-0000-0000-00003A450000}"/>
    <cellStyle name="Note 5 4 2 4 3" xfId="13363" xr:uid="{00000000-0005-0000-0000-00003B450000}"/>
    <cellStyle name="Note 5 4 2 4 3 2" xfId="28195" xr:uid="{00000000-0005-0000-0000-00003C450000}"/>
    <cellStyle name="Note 5 4 2 4 4" xfId="10554" xr:uid="{00000000-0005-0000-0000-00003D450000}"/>
    <cellStyle name="Note 5 4 2 4 4 2" xfId="25386" xr:uid="{00000000-0005-0000-0000-00003E450000}"/>
    <cellStyle name="Note 5 4 2 4 5" xfId="20919" xr:uid="{00000000-0005-0000-0000-00003F450000}"/>
    <cellStyle name="Note 5 4 2 5" xfId="6192" xr:uid="{00000000-0005-0000-0000-000040450000}"/>
    <cellStyle name="Note 5 4 2 5 2" xfId="16378" xr:uid="{00000000-0005-0000-0000-000041450000}"/>
    <cellStyle name="Note 5 4 2 5 2 2" xfId="31210" xr:uid="{00000000-0005-0000-0000-000042450000}"/>
    <cellStyle name="Note 5 4 2 5 3" xfId="22692" xr:uid="{00000000-0005-0000-0000-000043450000}"/>
    <cellStyle name="Note 5 4 2 6" xfId="12448" xr:uid="{00000000-0005-0000-0000-000044450000}"/>
    <cellStyle name="Note 5 4 2 6 2" xfId="27280" xr:uid="{00000000-0005-0000-0000-000045450000}"/>
    <cellStyle name="Note 5 4 2 7" xfId="10030" xr:uid="{00000000-0005-0000-0000-000046450000}"/>
    <cellStyle name="Note 5 4 2 7 2" xfId="24862" xr:uid="{00000000-0005-0000-0000-000047450000}"/>
    <cellStyle name="Note 5 4 2 8" xfId="20371" xr:uid="{00000000-0005-0000-0000-000048450000}"/>
    <cellStyle name="Note 5 4 3" xfId="3274" xr:uid="{00000000-0005-0000-0000-000049450000}"/>
    <cellStyle name="Note 5 4 3 2" xfId="7338" xr:uid="{00000000-0005-0000-0000-00004A450000}"/>
    <cellStyle name="Note 5 4 3 2 2" xfId="17082" xr:uid="{00000000-0005-0000-0000-00004B450000}"/>
    <cellStyle name="Note 5 4 3 2 2 2" xfId="31914" xr:uid="{00000000-0005-0000-0000-00004C450000}"/>
    <cellStyle name="Note 5 4 3 2 3" xfId="23369" xr:uid="{00000000-0005-0000-0000-00004D450000}"/>
    <cellStyle name="Note 5 4 3 3" xfId="13611" xr:uid="{00000000-0005-0000-0000-00004E450000}"/>
    <cellStyle name="Note 5 4 3 3 2" xfId="28443" xr:uid="{00000000-0005-0000-0000-00004F450000}"/>
    <cellStyle name="Note 5 4 3 4" xfId="10710" xr:uid="{00000000-0005-0000-0000-000050450000}"/>
    <cellStyle name="Note 5 4 3 4 2" xfId="25542" xr:uid="{00000000-0005-0000-0000-000051450000}"/>
    <cellStyle name="Note 5 4 3 5" xfId="21056" xr:uid="{00000000-0005-0000-0000-000052450000}"/>
    <cellStyle name="Note 5 4 4" xfId="4615" xr:uid="{00000000-0005-0000-0000-000053450000}"/>
    <cellStyle name="Note 5 4 4 2" xfId="8654" xr:uid="{00000000-0005-0000-0000-000054450000}"/>
    <cellStyle name="Note 5 4 4 2 2" xfId="17767" xr:uid="{00000000-0005-0000-0000-000055450000}"/>
    <cellStyle name="Note 5 4 4 2 2 2" xfId="32599" xr:uid="{00000000-0005-0000-0000-000056450000}"/>
    <cellStyle name="Note 5 4 4 2 3" xfId="24248" xr:uid="{00000000-0005-0000-0000-000057450000}"/>
    <cellStyle name="Note 5 4 4 3" xfId="14941" xr:uid="{00000000-0005-0000-0000-000058450000}"/>
    <cellStyle name="Note 5 4 4 3 2" xfId="29773" xr:uid="{00000000-0005-0000-0000-000059450000}"/>
    <cellStyle name="Note 5 4 4 4" xfId="11372" xr:uid="{00000000-0005-0000-0000-00005A450000}"/>
    <cellStyle name="Note 5 4 4 4 2" xfId="26204" xr:uid="{00000000-0005-0000-0000-00005B450000}"/>
    <cellStyle name="Note 5 4 4 5" xfId="21798" xr:uid="{00000000-0005-0000-0000-00005C450000}"/>
    <cellStyle name="Note 5 4 5" xfId="2605" xr:uid="{00000000-0005-0000-0000-00005D450000}"/>
    <cellStyle name="Note 5 4 5 2" xfId="6706" xr:uid="{00000000-0005-0000-0000-00005E450000}"/>
    <cellStyle name="Note 5 4 5 2 2" xfId="16663" xr:uid="{00000000-0005-0000-0000-00005F450000}"/>
    <cellStyle name="Note 5 4 5 2 2 2" xfId="31495" xr:uid="{00000000-0005-0000-0000-000060450000}"/>
    <cellStyle name="Note 5 4 5 2 3" xfId="23011" xr:uid="{00000000-0005-0000-0000-000061450000}"/>
    <cellStyle name="Note 5 4 5 3" xfId="12943" xr:uid="{00000000-0005-0000-0000-000062450000}"/>
    <cellStyle name="Note 5 4 5 3 2" xfId="27775" xr:uid="{00000000-0005-0000-0000-000063450000}"/>
    <cellStyle name="Note 5 4 5 4" xfId="10314" xr:uid="{00000000-0005-0000-0000-000064450000}"/>
    <cellStyle name="Note 5 4 5 4 2" xfId="25146" xr:uid="{00000000-0005-0000-0000-000065450000}"/>
    <cellStyle name="Note 5 4 5 5" xfId="20659" xr:uid="{00000000-0005-0000-0000-000066450000}"/>
    <cellStyle name="Note 5 4 6" xfId="5722" xr:uid="{00000000-0005-0000-0000-000067450000}"/>
    <cellStyle name="Note 5 4 6 2" xfId="15957" xr:uid="{00000000-0005-0000-0000-000068450000}"/>
    <cellStyle name="Note 5 4 6 2 2" xfId="30789" xr:uid="{00000000-0005-0000-0000-000069450000}"/>
    <cellStyle name="Note 5 4 6 3" xfId="22386" xr:uid="{00000000-0005-0000-0000-00006A450000}"/>
    <cellStyle name="Note 5 4 7" xfId="11977" xr:uid="{00000000-0005-0000-0000-00006B450000}"/>
    <cellStyle name="Note 5 4 7 2" xfId="26809" xr:uid="{00000000-0005-0000-0000-00006C450000}"/>
    <cellStyle name="Note 5 4 8" xfId="9636" xr:uid="{00000000-0005-0000-0000-00006D450000}"/>
    <cellStyle name="Note 5 4 8 2" xfId="19937" xr:uid="{00000000-0005-0000-0000-00006E450000}"/>
    <cellStyle name="Note 5 5" xfId="1620" xr:uid="{00000000-0005-0000-0000-00006F450000}"/>
    <cellStyle name="Note 5 5 2" xfId="2117" xr:uid="{00000000-0005-0000-0000-000070450000}"/>
    <cellStyle name="Note 5 5 2 2" xfId="3491" xr:uid="{00000000-0005-0000-0000-000071450000}"/>
    <cellStyle name="Note 5 5 2 2 2" xfId="7553" xr:uid="{00000000-0005-0000-0000-000072450000}"/>
    <cellStyle name="Note 5 5 2 2 2 2" xfId="17214" xr:uid="{00000000-0005-0000-0000-000073450000}"/>
    <cellStyle name="Note 5 5 2 2 2 2 2" xfId="32046" xr:uid="{00000000-0005-0000-0000-000074450000}"/>
    <cellStyle name="Note 5 5 2 2 2 3" xfId="23513" xr:uid="{00000000-0005-0000-0000-000075450000}"/>
    <cellStyle name="Note 5 5 2 2 3" xfId="13828" xr:uid="{00000000-0005-0000-0000-000076450000}"/>
    <cellStyle name="Note 5 5 2 2 3 2" xfId="28660" xr:uid="{00000000-0005-0000-0000-000077450000}"/>
    <cellStyle name="Note 5 5 2 2 4" xfId="10832" xr:uid="{00000000-0005-0000-0000-000078450000}"/>
    <cellStyle name="Note 5 5 2 2 4 2" xfId="25664" xr:uid="{00000000-0005-0000-0000-000079450000}"/>
    <cellStyle name="Note 5 5 2 2 5" xfId="21188" xr:uid="{00000000-0005-0000-0000-00007A450000}"/>
    <cellStyle name="Note 5 5 2 3" xfId="5085" xr:uid="{00000000-0005-0000-0000-00007B450000}"/>
    <cellStyle name="Note 5 5 2 3 2" xfId="9124" xr:uid="{00000000-0005-0000-0000-00007C450000}"/>
    <cellStyle name="Note 5 5 2 3 2 2" xfId="18052" xr:uid="{00000000-0005-0000-0000-00007D450000}"/>
    <cellStyle name="Note 5 5 2 3 2 2 2" xfId="32884" xr:uid="{00000000-0005-0000-0000-00007E450000}"/>
    <cellStyle name="Note 5 5 2 3 2 3" xfId="24526" xr:uid="{00000000-0005-0000-0000-00007F450000}"/>
    <cellStyle name="Note 5 5 2 3 3" xfId="15405" xr:uid="{00000000-0005-0000-0000-000080450000}"/>
    <cellStyle name="Note 5 5 2 3 3 2" xfId="30237" xr:uid="{00000000-0005-0000-0000-000081450000}"/>
    <cellStyle name="Note 5 5 2 3 4" xfId="11651" xr:uid="{00000000-0005-0000-0000-000082450000}"/>
    <cellStyle name="Note 5 5 2 3 4 2" xfId="26483" xr:uid="{00000000-0005-0000-0000-000083450000}"/>
    <cellStyle name="Note 5 5 2 3 5" xfId="22040" xr:uid="{00000000-0005-0000-0000-000084450000}"/>
    <cellStyle name="Note 5 5 2 4" xfId="3075" xr:uid="{00000000-0005-0000-0000-000085450000}"/>
    <cellStyle name="Note 5 5 2 4 2" xfId="7145" xr:uid="{00000000-0005-0000-0000-000086450000}"/>
    <cellStyle name="Note 5 5 2 4 2 2" xfId="16942" xr:uid="{00000000-0005-0000-0000-000087450000}"/>
    <cellStyle name="Note 5 5 2 4 2 2 2" xfId="31774" xr:uid="{00000000-0005-0000-0000-000088450000}"/>
    <cellStyle name="Note 5 5 2 4 2 3" xfId="23253" xr:uid="{00000000-0005-0000-0000-000089450000}"/>
    <cellStyle name="Note 5 5 2 4 3" xfId="13413" xr:uid="{00000000-0005-0000-0000-00008A450000}"/>
    <cellStyle name="Note 5 5 2 4 3 2" xfId="28245" xr:uid="{00000000-0005-0000-0000-00008B450000}"/>
    <cellStyle name="Note 5 5 2 4 4" xfId="10599" xr:uid="{00000000-0005-0000-0000-00008C450000}"/>
    <cellStyle name="Note 5 5 2 4 4 2" xfId="25431" xr:uid="{00000000-0005-0000-0000-00008D450000}"/>
    <cellStyle name="Note 5 5 2 4 5" xfId="20937" xr:uid="{00000000-0005-0000-0000-00008E450000}"/>
    <cellStyle name="Note 5 5 2 5" xfId="6237" xr:uid="{00000000-0005-0000-0000-00008F450000}"/>
    <cellStyle name="Note 5 5 2 5 2" xfId="16422" xr:uid="{00000000-0005-0000-0000-000090450000}"/>
    <cellStyle name="Note 5 5 2 5 2 2" xfId="31254" xr:uid="{00000000-0005-0000-0000-000091450000}"/>
    <cellStyle name="Note 5 5 2 5 3" xfId="22704" xr:uid="{00000000-0005-0000-0000-000092450000}"/>
    <cellStyle name="Note 5 5 2 6" xfId="12492" xr:uid="{00000000-0005-0000-0000-000093450000}"/>
    <cellStyle name="Note 5 5 2 6 2" xfId="27324" xr:uid="{00000000-0005-0000-0000-000094450000}"/>
    <cellStyle name="Note 5 5 2 7" xfId="10074" xr:uid="{00000000-0005-0000-0000-000095450000}"/>
    <cellStyle name="Note 5 5 2 7 2" xfId="24906" xr:uid="{00000000-0005-0000-0000-000096450000}"/>
    <cellStyle name="Note 5 5 2 8" xfId="20383" xr:uid="{00000000-0005-0000-0000-000097450000}"/>
    <cellStyle name="Note 5 5 3" xfId="3960" xr:uid="{00000000-0005-0000-0000-000098450000}"/>
    <cellStyle name="Note 5 5 3 2" xfId="8010" xr:uid="{00000000-0005-0000-0000-000099450000}"/>
    <cellStyle name="Note 5 5 3 2 2" xfId="17451" xr:uid="{00000000-0005-0000-0000-00009A450000}"/>
    <cellStyle name="Note 5 5 3 2 2 2" xfId="32283" xr:uid="{00000000-0005-0000-0000-00009B450000}"/>
    <cellStyle name="Note 5 5 3 2 3" xfId="23804" xr:uid="{00000000-0005-0000-0000-00009C450000}"/>
    <cellStyle name="Note 5 5 3 3" xfId="14293" xr:uid="{00000000-0005-0000-0000-00009D450000}"/>
    <cellStyle name="Note 5 5 3 3 2" xfId="29125" xr:uid="{00000000-0005-0000-0000-00009E450000}"/>
    <cellStyle name="Note 5 5 3 4" xfId="11066" xr:uid="{00000000-0005-0000-0000-00009F450000}"/>
    <cellStyle name="Note 5 5 3 4 2" xfId="25898" xr:uid="{00000000-0005-0000-0000-0000A0450000}"/>
    <cellStyle name="Note 5 5 3 5" xfId="21446" xr:uid="{00000000-0005-0000-0000-0000A1450000}"/>
    <cellStyle name="Note 5 5 4" xfId="4665" xr:uid="{00000000-0005-0000-0000-0000A2450000}"/>
    <cellStyle name="Note 5 5 4 2" xfId="8704" xr:uid="{00000000-0005-0000-0000-0000A3450000}"/>
    <cellStyle name="Note 5 5 4 2 2" xfId="17812" xr:uid="{00000000-0005-0000-0000-0000A4450000}"/>
    <cellStyle name="Note 5 5 4 2 2 2" xfId="32644" xr:uid="{00000000-0005-0000-0000-0000A5450000}"/>
    <cellStyle name="Note 5 5 4 2 3" xfId="24266" xr:uid="{00000000-0005-0000-0000-0000A6450000}"/>
    <cellStyle name="Note 5 5 4 3" xfId="14990" xr:uid="{00000000-0005-0000-0000-0000A7450000}"/>
    <cellStyle name="Note 5 5 4 3 2" xfId="29822" xr:uid="{00000000-0005-0000-0000-0000A8450000}"/>
    <cellStyle name="Note 5 5 4 4" xfId="11416" xr:uid="{00000000-0005-0000-0000-0000A9450000}"/>
    <cellStyle name="Note 5 5 4 4 2" xfId="26248" xr:uid="{00000000-0005-0000-0000-0000AA450000}"/>
    <cellStyle name="Note 5 5 4 5" xfId="21810" xr:uid="{00000000-0005-0000-0000-0000AB450000}"/>
    <cellStyle name="Note 5 5 5" xfId="2655" xr:uid="{00000000-0005-0000-0000-0000AC450000}"/>
    <cellStyle name="Note 5 5 5 2" xfId="6751" xr:uid="{00000000-0005-0000-0000-0000AD450000}"/>
    <cellStyle name="Note 5 5 5 2 2" xfId="16707" xr:uid="{00000000-0005-0000-0000-0000AE450000}"/>
    <cellStyle name="Note 5 5 5 2 2 2" xfId="31539" xr:uid="{00000000-0005-0000-0000-0000AF450000}"/>
    <cellStyle name="Note 5 5 5 2 3" xfId="23023" xr:uid="{00000000-0005-0000-0000-0000B0450000}"/>
    <cellStyle name="Note 5 5 5 3" xfId="12993" xr:uid="{00000000-0005-0000-0000-0000B1450000}"/>
    <cellStyle name="Note 5 5 5 3 2" xfId="27825" xr:uid="{00000000-0005-0000-0000-0000B2450000}"/>
    <cellStyle name="Note 5 5 5 4" xfId="10359" xr:uid="{00000000-0005-0000-0000-0000B3450000}"/>
    <cellStyle name="Note 5 5 5 4 2" xfId="25191" xr:uid="{00000000-0005-0000-0000-0000B4450000}"/>
    <cellStyle name="Note 5 5 5 5" xfId="20677" xr:uid="{00000000-0005-0000-0000-0000B5450000}"/>
    <cellStyle name="Note 5 5 6" xfId="5767" xr:uid="{00000000-0005-0000-0000-0000B6450000}"/>
    <cellStyle name="Note 5 5 6 2" xfId="16001" xr:uid="{00000000-0005-0000-0000-0000B7450000}"/>
    <cellStyle name="Note 5 5 6 2 2" xfId="30833" xr:uid="{00000000-0005-0000-0000-0000B8450000}"/>
    <cellStyle name="Note 5 5 6 3" xfId="22398" xr:uid="{00000000-0005-0000-0000-0000B9450000}"/>
    <cellStyle name="Note 5 5 7" xfId="12021" xr:uid="{00000000-0005-0000-0000-0000BA450000}"/>
    <cellStyle name="Note 5 5 7 2" xfId="26853" xr:uid="{00000000-0005-0000-0000-0000BB450000}"/>
    <cellStyle name="Note 5 5 8" xfId="9681" xr:uid="{00000000-0005-0000-0000-0000BC450000}"/>
    <cellStyle name="Note 5 5 8 2" xfId="19981" xr:uid="{00000000-0005-0000-0000-0000BD450000}"/>
    <cellStyle name="Note 5 6" xfId="1771" xr:uid="{00000000-0005-0000-0000-0000BE450000}"/>
    <cellStyle name="Note 5 6 2" xfId="4134" xr:uid="{00000000-0005-0000-0000-0000BF450000}"/>
    <cellStyle name="Note 5 6 2 2" xfId="8178" xr:uid="{00000000-0005-0000-0000-0000C0450000}"/>
    <cellStyle name="Note 5 6 2 2 2" xfId="17536" xr:uid="{00000000-0005-0000-0000-0000C1450000}"/>
    <cellStyle name="Note 5 6 2 2 2 2" xfId="32368" xr:uid="{00000000-0005-0000-0000-0000C2450000}"/>
    <cellStyle name="Note 5 6 2 2 3" xfId="23909" xr:uid="{00000000-0005-0000-0000-0000C3450000}"/>
    <cellStyle name="Note 5 6 2 3" xfId="14466" xr:uid="{00000000-0005-0000-0000-0000C4450000}"/>
    <cellStyle name="Note 5 6 2 3 2" xfId="29298" xr:uid="{00000000-0005-0000-0000-0000C5450000}"/>
    <cellStyle name="Note 5 6 2 4" xfId="11154" xr:uid="{00000000-0005-0000-0000-0000C6450000}"/>
    <cellStyle name="Note 5 6 2 4 2" xfId="25986" xr:uid="{00000000-0005-0000-0000-0000C7450000}"/>
    <cellStyle name="Note 5 6 2 5" xfId="21536" xr:uid="{00000000-0005-0000-0000-0000C8450000}"/>
    <cellStyle name="Note 5 6 3" xfId="4749" xr:uid="{00000000-0005-0000-0000-0000C9450000}"/>
    <cellStyle name="Note 5 6 3 2" xfId="8788" xr:uid="{00000000-0005-0000-0000-0000CA450000}"/>
    <cellStyle name="Note 5 6 3 2 2" xfId="17860" xr:uid="{00000000-0005-0000-0000-0000CB450000}"/>
    <cellStyle name="Note 5 6 3 2 2 2" xfId="32692" xr:uid="{00000000-0005-0000-0000-0000CC450000}"/>
    <cellStyle name="Note 5 6 3 2 3" xfId="24318" xr:uid="{00000000-0005-0000-0000-0000CD450000}"/>
    <cellStyle name="Note 5 6 3 3" xfId="15073" xr:uid="{00000000-0005-0000-0000-0000CE450000}"/>
    <cellStyle name="Note 5 6 3 3 2" xfId="29905" xr:uid="{00000000-0005-0000-0000-0000CF450000}"/>
    <cellStyle name="Note 5 6 3 4" xfId="11463" xr:uid="{00000000-0005-0000-0000-0000D0450000}"/>
    <cellStyle name="Note 5 6 3 4 2" xfId="26295" xr:uid="{00000000-0005-0000-0000-0000D1450000}"/>
    <cellStyle name="Note 5 6 3 5" xfId="21856" xr:uid="{00000000-0005-0000-0000-0000D2450000}"/>
    <cellStyle name="Note 5 6 4" xfId="2739" xr:uid="{00000000-0005-0000-0000-0000D3450000}"/>
    <cellStyle name="Note 5 6 4 2" xfId="6830" xr:uid="{00000000-0005-0000-0000-0000D4450000}"/>
    <cellStyle name="Note 5 6 4 2 2" xfId="16754" xr:uid="{00000000-0005-0000-0000-0000D5450000}"/>
    <cellStyle name="Note 5 6 4 2 2 2" xfId="31586" xr:uid="{00000000-0005-0000-0000-0000D6450000}"/>
    <cellStyle name="Note 5 6 4 2 3" xfId="23069" xr:uid="{00000000-0005-0000-0000-0000D7450000}"/>
    <cellStyle name="Note 5 6 4 3" xfId="13077" xr:uid="{00000000-0005-0000-0000-0000D8450000}"/>
    <cellStyle name="Note 5 6 4 3 2" xfId="27909" xr:uid="{00000000-0005-0000-0000-0000D9450000}"/>
    <cellStyle name="Note 5 6 4 4" xfId="10407" xr:uid="{00000000-0005-0000-0000-0000DA450000}"/>
    <cellStyle name="Note 5 6 4 4 2" xfId="25239" xr:uid="{00000000-0005-0000-0000-0000DB450000}"/>
    <cellStyle name="Note 5 6 4 5" xfId="20729" xr:uid="{00000000-0005-0000-0000-0000DC450000}"/>
    <cellStyle name="Note 5 6 5" xfId="5903" xr:uid="{00000000-0005-0000-0000-0000DD450000}"/>
    <cellStyle name="Note 5 6 5 2" xfId="16095" xr:uid="{00000000-0005-0000-0000-0000DE450000}"/>
    <cellStyle name="Note 5 6 5 2 2" xfId="30927" xr:uid="{00000000-0005-0000-0000-0000DF450000}"/>
    <cellStyle name="Note 5 6 5 3" xfId="22500" xr:uid="{00000000-0005-0000-0000-0000E0450000}"/>
    <cellStyle name="Note 5 6 6" xfId="12165" xr:uid="{00000000-0005-0000-0000-0000E1450000}"/>
    <cellStyle name="Note 5 6 6 2" xfId="26997" xr:uid="{00000000-0005-0000-0000-0000E2450000}"/>
    <cellStyle name="Note 5 6 7" xfId="9761" xr:uid="{00000000-0005-0000-0000-0000E3450000}"/>
    <cellStyle name="Note 5 6 7 2" xfId="24718" xr:uid="{00000000-0005-0000-0000-0000E4450000}"/>
    <cellStyle name="Note 5 6 8" xfId="20308" xr:uid="{00000000-0005-0000-0000-0000E5450000}"/>
    <cellStyle name="Note 5 7" xfId="2195" xr:uid="{00000000-0005-0000-0000-0000E6450000}"/>
    <cellStyle name="Note 5 7 2" xfId="3806" xr:uid="{00000000-0005-0000-0000-0000E7450000}"/>
    <cellStyle name="Note 5 7 2 2" xfId="7861" xr:uid="{00000000-0005-0000-0000-0000E8450000}"/>
    <cellStyle name="Note 5 7 2 2 2" xfId="17374" xr:uid="{00000000-0005-0000-0000-0000E9450000}"/>
    <cellStyle name="Note 5 7 2 2 2 2" xfId="32206" xr:uid="{00000000-0005-0000-0000-0000EA450000}"/>
    <cellStyle name="Note 5 7 2 2 3" xfId="23712" xr:uid="{00000000-0005-0000-0000-0000EB450000}"/>
    <cellStyle name="Note 5 7 2 3" xfId="14141" xr:uid="{00000000-0005-0000-0000-0000EC450000}"/>
    <cellStyle name="Note 5 7 2 3 2" xfId="28973" xr:uid="{00000000-0005-0000-0000-0000ED450000}"/>
    <cellStyle name="Note 5 7 2 4" xfId="10991" xr:uid="{00000000-0005-0000-0000-0000EE450000}"/>
    <cellStyle name="Note 5 7 2 4 2" xfId="25823" xr:uid="{00000000-0005-0000-0000-0000EF450000}"/>
    <cellStyle name="Note 5 7 2 5" xfId="21363" xr:uid="{00000000-0005-0000-0000-0000F0450000}"/>
    <cellStyle name="Note 5 7 3" xfId="5163" xr:uid="{00000000-0005-0000-0000-0000F1450000}"/>
    <cellStyle name="Note 5 7 3 2" xfId="9202" xr:uid="{00000000-0005-0000-0000-0000F2450000}"/>
    <cellStyle name="Note 5 7 3 2 2" xfId="18125" xr:uid="{00000000-0005-0000-0000-0000F3450000}"/>
    <cellStyle name="Note 5 7 3 2 2 2" xfId="32957" xr:uid="{00000000-0005-0000-0000-0000F4450000}"/>
    <cellStyle name="Note 5 7 3 2 3" xfId="24540" xr:uid="{00000000-0005-0000-0000-0000F5450000}"/>
    <cellStyle name="Note 5 7 3 3" xfId="15481" xr:uid="{00000000-0005-0000-0000-0000F6450000}"/>
    <cellStyle name="Note 5 7 3 3 2" xfId="30313" xr:uid="{00000000-0005-0000-0000-0000F7450000}"/>
    <cellStyle name="Note 5 7 3 4" xfId="11722" xr:uid="{00000000-0005-0000-0000-0000F8450000}"/>
    <cellStyle name="Note 5 7 3 4 2" xfId="26554" xr:uid="{00000000-0005-0000-0000-0000F9450000}"/>
    <cellStyle name="Note 5 7 3 5" xfId="22047" xr:uid="{00000000-0005-0000-0000-0000FA450000}"/>
    <cellStyle name="Note 5 7 4" xfId="4193" xr:uid="{00000000-0005-0000-0000-0000FB450000}"/>
    <cellStyle name="Note 5 7 4 2" xfId="8234" xr:uid="{00000000-0005-0000-0000-0000FC450000}"/>
    <cellStyle name="Note 5 7 4 2 2" xfId="17581" xr:uid="{00000000-0005-0000-0000-0000FD450000}"/>
    <cellStyle name="Note 5 7 4 2 2 2" xfId="32413" xr:uid="{00000000-0005-0000-0000-0000FE450000}"/>
    <cellStyle name="Note 5 7 4 2 3" xfId="23929" xr:uid="{00000000-0005-0000-0000-0000FF450000}"/>
    <cellStyle name="Note 5 7 4 3" xfId="14525" xr:uid="{00000000-0005-0000-0000-000000460000}"/>
    <cellStyle name="Note 5 7 4 3 2" xfId="29357" xr:uid="{00000000-0005-0000-0000-000001460000}"/>
    <cellStyle name="Note 5 7 4 4" xfId="11201" xr:uid="{00000000-0005-0000-0000-000002460000}"/>
    <cellStyle name="Note 5 7 4 4 2" xfId="26033" xr:uid="{00000000-0005-0000-0000-000003460000}"/>
    <cellStyle name="Note 5 7 4 5" xfId="21554" xr:uid="{00000000-0005-0000-0000-000004460000}"/>
    <cellStyle name="Note 5 7 5" xfId="6309" xr:uid="{00000000-0005-0000-0000-000005460000}"/>
    <cellStyle name="Note 5 7 5 2" xfId="16493" xr:uid="{00000000-0005-0000-0000-000006460000}"/>
    <cellStyle name="Note 5 7 5 2 2" xfId="31325" xr:uid="{00000000-0005-0000-0000-000007460000}"/>
    <cellStyle name="Note 5 7 5 3" xfId="22711" xr:uid="{00000000-0005-0000-0000-000008460000}"/>
    <cellStyle name="Note 5 7 6" xfId="12563" xr:uid="{00000000-0005-0000-0000-000009460000}"/>
    <cellStyle name="Note 5 7 6 2" xfId="27395" xr:uid="{00000000-0005-0000-0000-00000A460000}"/>
    <cellStyle name="Note 5 7 7" xfId="10145" xr:uid="{00000000-0005-0000-0000-00000B460000}"/>
    <cellStyle name="Note 5 7 7 2" xfId="24977" xr:uid="{00000000-0005-0000-0000-00000C460000}"/>
    <cellStyle name="Note 5 7 8" xfId="20390" xr:uid="{00000000-0005-0000-0000-00000D460000}"/>
    <cellStyle name="Note 5 8" xfId="3276" xr:uid="{00000000-0005-0000-0000-00000E460000}"/>
    <cellStyle name="Note 5 8 2" xfId="7340" xr:uid="{00000000-0005-0000-0000-00000F460000}"/>
    <cellStyle name="Note 5 8 2 2" xfId="17084" xr:uid="{00000000-0005-0000-0000-000010460000}"/>
    <cellStyle name="Note 5 8 2 2 2" xfId="31916" xr:uid="{00000000-0005-0000-0000-000011460000}"/>
    <cellStyle name="Note 5 8 2 3" xfId="23371" xr:uid="{00000000-0005-0000-0000-000012460000}"/>
    <cellStyle name="Note 5 8 3" xfId="13613" xr:uid="{00000000-0005-0000-0000-000013460000}"/>
    <cellStyle name="Note 5 8 3 2" xfId="28445" xr:uid="{00000000-0005-0000-0000-000014460000}"/>
    <cellStyle name="Note 5 8 4" xfId="10712" xr:uid="{00000000-0005-0000-0000-000015460000}"/>
    <cellStyle name="Note 5 8 4 2" xfId="25544" xr:uid="{00000000-0005-0000-0000-000016460000}"/>
    <cellStyle name="Note 5 8 5" xfId="21058" xr:uid="{00000000-0005-0000-0000-000017460000}"/>
    <cellStyle name="Note 5 9" xfId="3247" xr:uid="{00000000-0005-0000-0000-000018460000}"/>
    <cellStyle name="Note 5 9 2" xfId="7311" xr:uid="{00000000-0005-0000-0000-000019460000}"/>
    <cellStyle name="Note 5 9 2 2" xfId="17066" xr:uid="{00000000-0005-0000-0000-00001A460000}"/>
    <cellStyle name="Note 5 9 2 2 2" xfId="31898" xr:uid="{00000000-0005-0000-0000-00001B460000}"/>
    <cellStyle name="Note 5 9 2 3" xfId="23350" xr:uid="{00000000-0005-0000-0000-00001C460000}"/>
    <cellStyle name="Note 5 9 3" xfId="13584" xr:uid="{00000000-0005-0000-0000-00001D460000}"/>
    <cellStyle name="Note 5 9 3 2" xfId="28416" xr:uid="{00000000-0005-0000-0000-00001E460000}"/>
    <cellStyle name="Note 5 9 4" xfId="10698" xr:uid="{00000000-0005-0000-0000-00001F460000}"/>
    <cellStyle name="Note 5 9 4 2" xfId="25530" xr:uid="{00000000-0005-0000-0000-000020460000}"/>
    <cellStyle name="Note 5 9 5" xfId="21037" xr:uid="{00000000-0005-0000-0000-000021460000}"/>
    <cellStyle name="Note 6" xfId="1227" xr:uid="{00000000-0005-0000-0000-000022460000}"/>
    <cellStyle name="Note 6 10" xfId="2313" xr:uid="{00000000-0005-0000-0000-000023460000}"/>
    <cellStyle name="Note 6 10 2" xfId="6425" xr:uid="{00000000-0005-0000-0000-000024460000}"/>
    <cellStyle name="Note 6 10 2 2" xfId="16518" xr:uid="{00000000-0005-0000-0000-000025460000}"/>
    <cellStyle name="Note 6 10 2 2 2" xfId="31350" xr:uid="{00000000-0005-0000-0000-000026460000}"/>
    <cellStyle name="Note 6 10 2 3" xfId="22827" xr:uid="{00000000-0005-0000-0000-000027460000}"/>
    <cellStyle name="Note 6 10 3" xfId="12653" xr:uid="{00000000-0005-0000-0000-000028460000}"/>
    <cellStyle name="Note 6 10 3 2" xfId="27485" xr:uid="{00000000-0005-0000-0000-000029460000}"/>
    <cellStyle name="Note 6 10 4" xfId="10169" xr:uid="{00000000-0005-0000-0000-00002A460000}"/>
    <cellStyle name="Note 6 10 4 2" xfId="25001" xr:uid="{00000000-0005-0000-0000-00002B460000}"/>
    <cellStyle name="Note 6 10 5" xfId="20476" xr:uid="{00000000-0005-0000-0000-00002C460000}"/>
    <cellStyle name="Note 6 11" xfId="5276" xr:uid="{00000000-0005-0000-0000-00002D460000}"/>
    <cellStyle name="Note 6 11 2" xfId="9284" xr:uid="{00000000-0005-0000-0000-00002E460000}"/>
    <cellStyle name="Note 6 11 2 2" xfId="18151" xr:uid="{00000000-0005-0000-0000-00002F460000}"/>
    <cellStyle name="Note 6 11 2 2 2" xfId="32983" xr:uid="{00000000-0005-0000-0000-000030460000}"/>
    <cellStyle name="Note 6 11 2 3" xfId="24622" xr:uid="{00000000-0005-0000-0000-000031460000}"/>
    <cellStyle name="Note 6 11 3" xfId="15592" xr:uid="{00000000-0005-0000-0000-000032460000}"/>
    <cellStyle name="Note 6 11 3 2" xfId="30424" xr:uid="{00000000-0005-0000-0000-000033460000}"/>
    <cellStyle name="Note 6 11 4" xfId="22133" xr:uid="{00000000-0005-0000-0000-000034460000}"/>
    <cellStyle name="Note 6 12" xfId="5434" xr:uid="{00000000-0005-0000-0000-000035460000}"/>
    <cellStyle name="Note 6 12 2" xfId="15670" xr:uid="{00000000-0005-0000-0000-000036460000}"/>
    <cellStyle name="Note 6 12 2 2" xfId="30502" xr:uid="{00000000-0005-0000-0000-000037460000}"/>
    <cellStyle name="Note 6 12 3" xfId="22195" xr:uid="{00000000-0005-0000-0000-000038460000}"/>
    <cellStyle name="Note 6 13" xfId="9357" xr:uid="{00000000-0005-0000-0000-000039460000}"/>
    <cellStyle name="Note 6 13 2" xfId="24663" xr:uid="{00000000-0005-0000-0000-00003A460000}"/>
    <cellStyle name="Note 6 14" xfId="5346" xr:uid="{00000000-0005-0000-0000-00003B460000}"/>
    <cellStyle name="Note 6 14 2" xfId="18220" xr:uid="{00000000-0005-0000-0000-00003C460000}"/>
    <cellStyle name="Note 6 2" xfId="1346" xr:uid="{00000000-0005-0000-0000-00003D460000}"/>
    <cellStyle name="Note 6 2 2" xfId="1850" xr:uid="{00000000-0005-0000-0000-00003E460000}"/>
    <cellStyle name="Note 6 2 2 2" xfId="4099" xr:uid="{00000000-0005-0000-0000-00003F460000}"/>
    <cellStyle name="Note 6 2 2 2 2" xfId="8145" xr:uid="{00000000-0005-0000-0000-000040460000}"/>
    <cellStyle name="Note 6 2 2 2 2 2" xfId="17517" xr:uid="{00000000-0005-0000-0000-000041460000}"/>
    <cellStyle name="Note 6 2 2 2 2 2 2" xfId="32349" xr:uid="{00000000-0005-0000-0000-000042460000}"/>
    <cellStyle name="Note 6 2 2 2 2 3" xfId="23890" xr:uid="{00000000-0005-0000-0000-000043460000}"/>
    <cellStyle name="Note 6 2 2 2 3" xfId="14431" xr:uid="{00000000-0005-0000-0000-000044460000}"/>
    <cellStyle name="Note 6 2 2 2 3 2" xfId="29263" xr:uid="{00000000-0005-0000-0000-000045460000}"/>
    <cellStyle name="Note 6 2 2 2 4" xfId="11134" xr:uid="{00000000-0005-0000-0000-000046460000}"/>
    <cellStyle name="Note 6 2 2 2 4 2" xfId="25966" xr:uid="{00000000-0005-0000-0000-000047460000}"/>
    <cellStyle name="Note 6 2 2 2 5" xfId="21520" xr:uid="{00000000-0005-0000-0000-000048460000}"/>
    <cellStyle name="Note 6 2 2 3" xfId="4828" xr:uid="{00000000-0005-0000-0000-000049460000}"/>
    <cellStyle name="Note 6 2 2 3 2" xfId="8867" xr:uid="{00000000-0005-0000-0000-00004A460000}"/>
    <cellStyle name="Note 6 2 2 3 2 2" xfId="17908" xr:uid="{00000000-0005-0000-0000-00004B460000}"/>
    <cellStyle name="Note 6 2 2 3 2 2 2" xfId="32740" xr:uid="{00000000-0005-0000-0000-00004C460000}"/>
    <cellStyle name="Note 6 2 2 3 2 3" xfId="24365" xr:uid="{00000000-0005-0000-0000-00004D460000}"/>
    <cellStyle name="Note 6 2 2 3 3" xfId="15152" xr:uid="{00000000-0005-0000-0000-00004E460000}"/>
    <cellStyle name="Note 6 2 2 3 3 2" xfId="29984" xr:uid="{00000000-0005-0000-0000-00004F460000}"/>
    <cellStyle name="Note 6 2 2 3 4" xfId="11511" xr:uid="{00000000-0005-0000-0000-000050460000}"/>
    <cellStyle name="Note 6 2 2 3 4 2" xfId="26343" xr:uid="{00000000-0005-0000-0000-000051460000}"/>
    <cellStyle name="Note 6 2 2 3 5" xfId="21903" xr:uid="{00000000-0005-0000-0000-000052460000}"/>
    <cellStyle name="Note 6 2 2 4" xfId="2818" xr:uid="{00000000-0005-0000-0000-000053460000}"/>
    <cellStyle name="Note 6 2 2 4 2" xfId="6909" xr:uid="{00000000-0005-0000-0000-000054460000}"/>
    <cellStyle name="Note 6 2 2 4 2 2" xfId="16802" xr:uid="{00000000-0005-0000-0000-000055460000}"/>
    <cellStyle name="Note 6 2 2 4 2 2 2" xfId="31634" xr:uid="{00000000-0005-0000-0000-000056460000}"/>
    <cellStyle name="Note 6 2 2 4 2 3" xfId="23116" xr:uid="{00000000-0005-0000-0000-000057460000}"/>
    <cellStyle name="Note 6 2 2 4 3" xfId="13156" xr:uid="{00000000-0005-0000-0000-000058460000}"/>
    <cellStyle name="Note 6 2 2 4 3 2" xfId="27988" xr:uid="{00000000-0005-0000-0000-000059460000}"/>
    <cellStyle name="Note 6 2 2 4 4" xfId="10455" xr:uid="{00000000-0005-0000-0000-00005A460000}"/>
    <cellStyle name="Note 6 2 2 4 4 2" xfId="25287" xr:uid="{00000000-0005-0000-0000-00005B460000}"/>
    <cellStyle name="Note 6 2 2 4 5" xfId="20776" xr:uid="{00000000-0005-0000-0000-00005C460000}"/>
    <cellStyle name="Note 6 2 2 5" xfId="5982" xr:uid="{00000000-0005-0000-0000-00005D460000}"/>
    <cellStyle name="Note 6 2 2 5 2" xfId="16174" xr:uid="{00000000-0005-0000-0000-00005E460000}"/>
    <cellStyle name="Note 6 2 2 5 2 2" xfId="31006" xr:uid="{00000000-0005-0000-0000-00005F460000}"/>
    <cellStyle name="Note 6 2 2 5 3" xfId="22547" xr:uid="{00000000-0005-0000-0000-000060460000}"/>
    <cellStyle name="Note 6 2 2 6" xfId="12244" xr:uid="{00000000-0005-0000-0000-000061460000}"/>
    <cellStyle name="Note 6 2 2 6 2" xfId="27076" xr:uid="{00000000-0005-0000-0000-000062460000}"/>
    <cellStyle name="Note 6 2 2 7" xfId="9840" xr:uid="{00000000-0005-0000-0000-000063460000}"/>
    <cellStyle name="Note 6 2 2 7 2" xfId="24766" xr:uid="{00000000-0005-0000-0000-000064460000}"/>
    <cellStyle name="Note 6 2 2 8" xfId="20324" xr:uid="{00000000-0005-0000-0000-000065460000}"/>
    <cellStyle name="Note 6 2 3" xfId="3793" xr:uid="{00000000-0005-0000-0000-000066460000}"/>
    <cellStyle name="Note 6 2 3 2" xfId="7848" xr:uid="{00000000-0005-0000-0000-000067460000}"/>
    <cellStyle name="Note 6 2 3 2 2" xfId="17367" xr:uid="{00000000-0005-0000-0000-000068460000}"/>
    <cellStyle name="Note 6 2 3 2 2 2" xfId="32199" xr:uid="{00000000-0005-0000-0000-000069460000}"/>
    <cellStyle name="Note 6 2 3 2 3" xfId="23703" xr:uid="{00000000-0005-0000-0000-00006A460000}"/>
    <cellStyle name="Note 6 2 3 3" xfId="14128" xr:uid="{00000000-0005-0000-0000-00006B460000}"/>
    <cellStyle name="Note 6 2 3 3 2" xfId="28960" xr:uid="{00000000-0005-0000-0000-00006C460000}"/>
    <cellStyle name="Note 6 2 3 4" xfId="10984" xr:uid="{00000000-0005-0000-0000-00006D460000}"/>
    <cellStyle name="Note 6 2 3 4 2" xfId="25816" xr:uid="{00000000-0005-0000-0000-00006E460000}"/>
    <cellStyle name="Note 6 2 3 5" xfId="21355" xr:uid="{00000000-0005-0000-0000-00006F460000}"/>
    <cellStyle name="Note 6 2 4" xfId="4408" xr:uid="{00000000-0005-0000-0000-000070460000}"/>
    <cellStyle name="Note 6 2 4 2" xfId="8447" xr:uid="{00000000-0005-0000-0000-000071460000}"/>
    <cellStyle name="Note 6 2 4 2 2" xfId="17668" xr:uid="{00000000-0005-0000-0000-000072460000}"/>
    <cellStyle name="Note 6 2 4 2 2 2" xfId="32500" xr:uid="{00000000-0005-0000-0000-000073460000}"/>
    <cellStyle name="Note 6 2 4 2 3" xfId="24105" xr:uid="{00000000-0005-0000-0000-000074460000}"/>
    <cellStyle name="Note 6 2 4 3" xfId="14737" xr:uid="{00000000-0005-0000-0000-000075460000}"/>
    <cellStyle name="Note 6 2 4 3 2" xfId="29569" xr:uid="{00000000-0005-0000-0000-000076460000}"/>
    <cellStyle name="Note 6 2 4 4" xfId="11276" xr:uid="{00000000-0005-0000-0000-000077460000}"/>
    <cellStyle name="Note 6 2 4 4 2" xfId="26108" xr:uid="{00000000-0005-0000-0000-000078460000}"/>
    <cellStyle name="Note 6 2 4 5" xfId="21673" xr:uid="{00000000-0005-0000-0000-000079460000}"/>
    <cellStyle name="Note 6 2 5" xfId="2398" xr:uid="{00000000-0005-0000-0000-00007A460000}"/>
    <cellStyle name="Note 6 2 5 2" xfId="6510" xr:uid="{00000000-0005-0000-0000-00007B460000}"/>
    <cellStyle name="Note 6 2 5 2 2" xfId="16566" xr:uid="{00000000-0005-0000-0000-00007C460000}"/>
    <cellStyle name="Note 6 2 5 2 2 2" xfId="31398" xr:uid="{00000000-0005-0000-0000-00007D460000}"/>
    <cellStyle name="Note 6 2 5 2 3" xfId="22880" xr:uid="{00000000-0005-0000-0000-00007E460000}"/>
    <cellStyle name="Note 6 2 5 3" xfId="12737" xr:uid="{00000000-0005-0000-0000-00007F460000}"/>
    <cellStyle name="Note 6 2 5 3 2" xfId="27569" xr:uid="{00000000-0005-0000-0000-000080460000}"/>
    <cellStyle name="Note 6 2 5 4" xfId="10216" xr:uid="{00000000-0005-0000-0000-000081460000}"/>
    <cellStyle name="Note 6 2 5 4 2" xfId="25048" xr:uid="{00000000-0005-0000-0000-000082460000}"/>
    <cellStyle name="Note 6 2 5 5" xfId="20522" xr:uid="{00000000-0005-0000-0000-000083460000}"/>
    <cellStyle name="Note 6 2 6" xfId="5523" xr:uid="{00000000-0005-0000-0000-000084460000}"/>
    <cellStyle name="Note 6 2 6 2" xfId="15758" xr:uid="{00000000-0005-0000-0000-000085460000}"/>
    <cellStyle name="Note 6 2 6 2 2" xfId="30590" xr:uid="{00000000-0005-0000-0000-000086460000}"/>
    <cellStyle name="Note 6 2 6 3" xfId="22251" xr:uid="{00000000-0005-0000-0000-000087460000}"/>
    <cellStyle name="Note 6 2 7" xfId="11773" xr:uid="{00000000-0005-0000-0000-000088460000}"/>
    <cellStyle name="Note 6 2 7 2" xfId="26605" xr:uid="{00000000-0005-0000-0000-000089460000}"/>
    <cellStyle name="Note 6 2 8" xfId="9444" xr:uid="{00000000-0005-0000-0000-00008A460000}"/>
    <cellStyle name="Note 6 2 8 2" xfId="19748" xr:uid="{00000000-0005-0000-0000-00008B460000}"/>
    <cellStyle name="Note 6 3" xfId="1516" xr:uid="{00000000-0005-0000-0000-00008C460000}"/>
    <cellStyle name="Note 6 3 2" xfId="2013" xr:uid="{00000000-0005-0000-0000-00008D460000}"/>
    <cellStyle name="Note 6 3 2 2" xfId="4136" xr:uid="{00000000-0005-0000-0000-00008E460000}"/>
    <cellStyle name="Note 6 3 2 2 2" xfId="8180" xr:uid="{00000000-0005-0000-0000-00008F460000}"/>
    <cellStyle name="Note 6 3 2 2 2 2" xfId="17537" xr:uid="{00000000-0005-0000-0000-000090460000}"/>
    <cellStyle name="Note 6 3 2 2 2 2 2" xfId="32369" xr:uid="{00000000-0005-0000-0000-000091460000}"/>
    <cellStyle name="Note 6 3 2 2 2 3" xfId="23911" xr:uid="{00000000-0005-0000-0000-000092460000}"/>
    <cellStyle name="Note 6 3 2 2 3" xfId="14468" xr:uid="{00000000-0005-0000-0000-000093460000}"/>
    <cellStyle name="Note 6 3 2 2 3 2" xfId="29300" xr:uid="{00000000-0005-0000-0000-000094460000}"/>
    <cellStyle name="Note 6 3 2 2 4" xfId="11155" xr:uid="{00000000-0005-0000-0000-000095460000}"/>
    <cellStyle name="Note 6 3 2 2 4 2" xfId="25987" xr:uid="{00000000-0005-0000-0000-000096460000}"/>
    <cellStyle name="Note 6 3 2 2 5" xfId="21538" xr:uid="{00000000-0005-0000-0000-000097460000}"/>
    <cellStyle name="Note 6 3 2 3" xfId="4981" xr:uid="{00000000-0005-0000-0000-000098460000}"/>
    <cellStyle name="Note 6 3 2 3 2" xfId="9020" xr:uid="{00000000-0005-0000-0000-000099460000}"/>
    <cellStyle name="Note 6 3 2 3 2 2" xfId="17958" xr:uid="{00000000-0005-0000-0000-00009A460000}"/>
    <cellStyle name="Note 6 3 2 3 2 2 2" xfId="32790" xr:uid="{00000000-0005-0000-0000-00009B460000}"/>
    <cellStyle name="Note 6 3 2 3 2 3" xfId="24486" xr:uid="{00000000-0005-0000-0000-00009C460000}"/>
    <cellStyle name="Note 6 3 2 3 3" xfId="15303" xr:uid="{00000000-0005-0000-0000-00009D460000}"/>
    <cellStyle name="Note 6 3 2 3 3 2" xfId="30135" xr:uid="{00000000-0005-0000-0000-00009E460000}"/>
    <cellStyle name="Note 6 3 2 3 4" xfId="11559" xr:uid="{00000000-0005-0000-0000-00009F460000}"/>
    <cellStyle name="Note 6 3 2 3 4 2" xfId="26391" xr:uid="{00000000-0005-0000-0000-0000A0460000}"/>
    <cellStyle name="Note 6 3 2 3 5" xfId="22012" xr:uid="{00000000-0005-0000-0000-0000A1460000}"/>
    <cellStyle name="Note 6 3 2 4" xfId="2971" xr:uid="{00000000-0005-0000-0000-0000A2460000}"/>
    <cellStyle name="Note 6 3 2 4 2" xfId="7051" xr:uid="{00000000-0005-0000-0000-0000A3460000}"/>
    <cellStyle name="Note 6 3 2 4 2 2" xfId="16850" xr:uid="{00000000-0005-0000-0000-0000A4460000}"/>
    <cellStyle name="Note 6 3 2 4 2 2 2" xfId="31682" xr:uid="{00000000-0005-0000-0000-0000A5460000}"/>
    <cellStyle name="Note 6 3 2 4 2 3" xfId="23225" xr:uid="{00000000-0005-0000-0000-0000A6460000}"/>
    <cellStyle name="Note 6 3 2 4 3" xfId="13309" xr:uid="{00000000-0005-0000-0000-0000A7460000}"/>
    <cellStyle name="Note 6 3 2 4 3 2" xfId="28141" xr:uid="{00000000-0005-0000-0000-0000A8460000}"/>
    <cellStyle name="Note 6 3 2 4 4" xfId="10505" xr:uid="{00000000-0005-0000-0000-0000A9460000}"/>
    <cellStyle name="Note 6 3 2 4 4 2" xfId="25337" xr:uid="{00000000-0005-0000-0000-0000AA460000}"/>
    <cellStyle name="Note 6 3 2 4 5" xfId="20897" xr:uid="{00000000-0005-0000-0000-0000AB460000}"/>
    <cellStyle name="Note 6 3 2 5" xfId="6143" xr:uid="{00000000-0005-0000-0000-0000AC460000}"/>
    <cellStyle name="Note 6 3 2 5 2" xfId="16330" xr:uid="{00000000-0005-0000-0000-0000AD460000}"/>
    <cellStyle name="Note 6 3 2 5 2 2" xfId="31162" xr:uid="{00000000-0005-0000-0000-0000AE460000}"/>
    <cellStyle name="Note 6 3 2 5 3" xfId="22676" xr:uid="{00000000-0005-0000-0000-0000AF460000}"/>
    <cellStyle name="Note 6 3 2 6" xfId="12400" xr:uid="{00000000-0005-0000-0000-0000B0460000}"/>
    <cellStyle name="Note 6 3 2 6 2" xfId="27232" xr:uid="{00000000-0005-0000-0000-0000B1460000}"/>
    <cellStyle name="Note 6 3 2 7" xfId="9982" xr:uid="{00000000-0005-0000-0000-0000B2460000}"/>
    <cellStyle name="Note 6 3 2 7 2" xfId="24814" xr:uid="{00000000-0005-0000-0000-0000B3460000}"/>
    <cellStyle name="Note 6 3 2 8" xfId="20355" xr:uid="{00000000-0005-0000-0000-0000B4460000}"/>
    <cellStyle name="Note 6 3 3" xfId="3165" xr:uid="{00000000-0005-0000-0000-0000B5460000}"/>
    <cellStyle name="Note 6 3 3 2" xfId="7229" xr:uid="{00000000-0005-0000-0000-0000B6460000}"/>
    <cellStyle name="Note 6 3 3 2 2" xfId="17005" xr:uid="{00000000-0005-0000-0000-0000B7460000}"/>
    <cellStyle name="Note 6 3 3 2 2 2" xfId="31837" xr:uid="{00000000-0005-0000-0000-0000B8460000}"/>
    <cellStyle name="Note 6 3 3 2 3" xfId="23292" xr:uid="{00000000-0005-0000-0000-0000B9460000}"/>
    <cellStyle name="Note 6 3 3 3" xfId="13503" xr:uid="{00000000-0005-0000-0000-0000BA460000}"/>
    <cellStyle name="Note 6 3 3 3 2" xfId="28335" xr:uid="{00000000-0005-0000-0000-0000BB460000}"/>
    <cellStyle name="Note 6 3 3 4" xfId="10656" xr:uid="{00000000-0005-0000-0000-0000BC460000}"/>
    <cellStyle name="Note 6 3 3 4 2" xfId="25488" xr:uid="{00000000-0005-0000-0000-0000BD460000}"/>
    <cellStyle name="Note 6 3 3 5" xfId="20983" xr:uid="{00000000-0005-0000-0000-0000BE460000}"/>
    <cellStyle name="Note 6 3 4" xfId="4561" xr:uid="{00000000-0005-0000-0000-0000BF460000}"/>
    <cellStyle name="Note 6 3 4 2" xfId="8600" xr:uid="{00000000-0005-0000-0000-0000C0460000}"/>
    <cellStyle name="Note 6 3 4 2 2" xfId="17718" xr:uid="{00000000-0005-0000-0000-0000C1460000}"/>
    <cellStyle name="Note 6 3 4 2 2 2" xfId="32550" xr:uid="{00000000-0005-0000-0000-0000C2460000}"/>
    <cellStyle name="Note 6 3 4 2 3" xfId="24226" xr:uid="{00000000-0005-0000-0000-0000C3460000}"/>
    <cellStyle name="Note 6 3 4 3" xfId="14888" xr:uid="{00000000-0005-0000-0000-0000C4460000}"/>
    <cellStyle name="Note 6 3 4 3 2" xfId="29720" xr:uid="{00000000-0005-0000-0000-0000C5460000}"/>
    <cellStyle name="Note 6 3 4 4" xfId="11324" xr:uid="{00000000-0005-0000-0000-0000C6460000}"/>
    <cellStyle name="Note 6 3 4 4 2" xfId="26156" xr:uid="{00000000-0005-0000-0000-0000C7460000}"/>
    <cellStyle name="Note 6 3 4 5" xfId="21782" xr:uid="{00000000-0005-0000-0000-0000C8460000}"/>
    <cellStyle name="Note 6 3 5" xfId="2551" xr:uid="{00000000-0005-0000-0000-0000C9460000}"/>
    <cellStyle name="Note 6 3 5 2" xfId="6657" xr:uid="{00000000-0005-0000-0000-0000CA460000}"/>
    <cellStyle name="Note 6 3 5 2 2" xfId="16615" xr:uid="{00000000-0005-0000-0000-0000CB460000}"/>
    <cellStyle name="Note 6 3 5 2 2 2" xfId="31447" xr:uid="{00000000-0005-0000-0000-0000CC460000}"/>
    <cellStyle name="Note 6 3 5 2 3" xfId="22995" xr:uid="{00000000-0005-0000-0000-0000CD460000}"/>
    <cellStyle name="Note 6 3 5 3" xfId="12889" xr:uid="{00000000-0005-0000-0000-0000CE460000}"/>
    <cellStyle name="Note 6 3 5 3 2" xfId="27721" xr:uid="{00000000-0005-0000-0000-0000CF460000}"/>
    <cellStyle name="Note 6 3 5 4" xfId="10265" xr:uid="{00000000-0005-0000-0000-0000D0460000}"/>
    <cellStyle name="Note 6 3 5 4 2" xfId="25097" xr:uid="{00000000-0005-0000-0000-0000D1460000}"/>
    <cellStyle name="Note 6 3 5 5" xfId="20637" xr:uid="{00000000-0005-0000-0000-0000D2460000}"/>
    <cellStyle name="Note 6 3 6" xfId="5674" xr:uid="{00000000-0005-0000-0000-0000D3460000}"/>
    <cellStyle name="Note 6 3 6 2" xfId="15909" xr:uid="{00000000-0005-0000-0000-0000D4460000}"/>
    <cellStyle name="Note 6 3 6 2 2" xfId="30741" xr:uid="{00000000-0005-0000-0000-0000D5460000}"/>
    <cellStyle name="Note 6 3 6 3" xfId="22370" xr:uid="{00000000-0005-0000-0000-0000D6460000}"/>
    <cellStyle name="Note 6 3 7" xfId="11929" xr:uid="{00000000-0005-0000-0000-0000D7460000}"/>
    <cellStyle name="Note 6 3 7 2" xfId="26761" xr:uid="{00000000-0005-0000-0000-0000D8460000}"/>
    <cellStyle name="Note 6 3 8" xfId="9587" xr:uid="{00000000-0005-0000-0000-0000D9460000}"/>
    <cellStyle name="Note 6 3 8 2" xfId="19889" xr:uid="{00000000-0005-0000-0000-0000DA460000}"/>
    <cellStyle name="Note 6 4" xfId="1571" xr:uid="{00000000-0005-0000-0000-0000DB460000}"/>
    <cellStyle name="Note 6 4 2" xfId="2068" xr:uid="{00000000-0005-0000-0000-0000DC460000}"/>
    <cellStyle name="Note 6 4 2 2" xfId="3409" xr:uid="{00000000-0005-0000-0000-0000DD460000}"/>
    <cellStyle name="Note 6 4 2 2 2" xfId="7472" xr:uid="{00000000-0005-0000-0000-0000DE460000}"/>
    <cellStyle name="Note 6 4 2 2 2 2" xfId="17171" xr:uid="{00000000-0005-0000-0000-0000DF460000}"/>
    <cellStyle name="Note 6 4 2 2 2 2 2" xfId="32003" xr:uid="{00000000-0005-0000-0000-0000E0460000}"/>
    <cellStyle name="Note 6 4 2 2 2 3" xfId="23460" xr:uid="{00000000-0005-0000-0000-0000E1460000}"/>
    <cellStyle name="Note 6 4 2 2 3" xfId="13746" xr:uid="{00000000-0005-0000-0000-0000E2460000}"/>
    <cellStyle name="Note 6 4 2 2 3 2" xfId="28578" xr:uid="{00000000-0005-0000-0000-0000E3460000}"/>
    <cellStyle name="Note 6 4 2 2 4" xfId="10790" xr:uid="{00000000-0005-0000-0000-0000E4460000}"/>
    <cellStyle name="Note 6 4 2 2 4 2" xfId="25622" xr:uid="{00000000-0005-0000-0000-0000E5460000}"/>
    <cellStyle name="Note 6 4 2 2 5" xfId="21138" xr:uid="{00000000-0005-0000-0000-0000E6460000}"/>
    <cellStyle name="Note 6 4 2 3" xfId="5036" xr:uid="{00000000-0005-0000-0000-0000E7460000}"/>
    <cellStyle name="Note 6 4 2 3 2" xfId="9075" xr:uid="{00000000-0005-0000-0000-0000E8460000}"/>
    <cellStyle name="Note 6 4 2 3 2 2" xfId="18008" xr:uid="{00000000-0005-0000-0000-0000E9460000}"/>
    <cellStyle name="Note 6 4 2 3 2 2 2" xfId="32840" xr:uid="{00000000-0005-0000-0000-0000EA460000}"/>
    <cellStyle name="Note 6 4 2 3 2 3" xfId="24509" xr:uid="{00000000-0005-0000-0000-0000EB460000}"/>
    <cellStyle name="Note 6 4 2 3 3" xfId="15357" xr:uid="{00000000-0005-0000-0000-0000EC460000}"/>
    <cellStyle name="Note 6 4 2 3 3 2" xfId="30189" xr:uid="{00000000-0005-0000-0000-0000ED460000}"/>
    <cellStyle name="Note 6 4 2 3 4" xfId="11608" xr:uid="{00000000-0005-0000-0000-0000EE460000}"/>
    <cellStyle name="Note 6 4 2 3 4 2" xfId="26440" xr:uid="{00000000-0005-0000-0000-0000EF460000}"/>
    <cellStyle name="Note 6 4 2 3 5" xfId="22029" xr:uid="{00000000-0005-0000-0000-0000F0460000}"/>
    <cellStyle name="Note 6 4 2 4" xfId="3026" xr:uid="{00000000-0005-0000-0000-0000F1460000}"/>
    <cellStyle name="Note 6 4 2 4 2" xfId="7101" xr:uid="{00000000-0005-0000-0000-0000F2460000}"/>
    <cellStyle name="Note 6 4 2 4 2 2" xfId="16899" xr:uid="{00000000-0005-0000-0000-0000F3460000}"/>
    <cellStyle name="Note 6 4 2 4 2 2 2" xfId="31731" xr:uid="{00000000-0005-0000-0000-0000F4460000}"/>
    <cellStyle name="Note 6 4 2 4 2 3" xfId="23242" xr:uid="{00000000-0005-0000-0000-0000F5460000}"/>
    <cellStyle name="Note 6 4 2 4 3" xfId="13364" xr:uid="{00000000-0005-0000-0000-0000F6460000}"/>
    <cellStyle name="Note 6 4 2 4 3 2" xfId="28196" xr:uid="{00000000-0005-0000-0000-0000F7460000}"/>
    <cellStyle name="Note 6 4 2 4 4" xfId="10555" xr:uid="{00000000-0005-0000-0000-0000F8460000}"/>
    <cellStyle name="Note 6 4 2 4 4 2" xfId="25387" xr:uid="{00000000-0005-0000-0000-0000F9460000}"/>
    <cellStyle name="Note 6 4 2 4 5" xfId="20920" xr:uid="{00000000-0005-0000-0000-0000FA460000}"/>
    <cellStyle name="Note 6 4 2 5" xfId="6193" xr:uid="{00000000-0005-0000-0000-0000FB460000}"/>
    <cellStyle name="Note 6 4 2 5 2" xfId="16379" xr:uid="{00000000-0005-0000-0000-0000FC460000}"/>
    <cellStyle name="Note 6 4 2 5 2 2" xfId="31211" xr:uid="{00000000-0005-0000-0000-0000FD460000}"/>
    <cellStyle name="Note 6 4 2 5 3" xfId="22693" xr:uid="{00000000-0005-0000-0000-0000FE460000}"/>
    <cellStyle name="Note 6 4 2 6" xfId="12449" xr:uid="{00000000-0005-0000-0000-0000FF460000}"/>
    <cellStyle name="Note 6 4 2 6 2" xfId="27281" xr:uid="{00000000-0005-0000-0000-000000470000}"/>
    <cellStyle name="Note 6 4 2 7" xfId="10031" xr:uid="{00000000-0005-0000-0000-000001470000}"/>
    <cellStyle name="Note 6 4 2 7 2" xfId="24863" xr:uid="{00000000-0005-0000-0000-000002470000}"/>
    <cellStyle name="Note 6 4 2 8" xfId="20372" xr:uid="{00000000-0005-0000-0000-000003470000}"/>
    <cellStyle name="Note 6 4 3" xfId="3621" xr:uid="{00000000-0005-0000-0000-000004470000}"/>
    <cellStyle name="Note 6 4 3 2" xfId="7681" xr:uid="{00000000-0005-0000-0000-000005470000}"/>
    <cellStyle name="Note 6 4 3 2 2" xfId="17284" xr:uid="{00000000-0005-0000-0000-000006470000}"/>
    <cellStyle name="Note 6 4 3 2 2 2" xfId="32116" xr:uid="{00000000-0005-0000-0000-000007470000}"/>
    <cellStyle name="Note 6 4 3 2 3" xfId="23590" xr:uid="{00000000-0005-0000-0000-000008470000}"/>
    <cellStyle name="Note 6 4 3 3" xfId="13956" xr:uid="{00000000-0005-0000-0000-000009470000}"/>
    <cellStyle name="Note 6 4 3 3 2" xfId="28788" xr:uid="{00000000-0005-0000-0000-00000A470000}"/>
    <cellStyle name="Note 6 4 3 4" xfId="10901" xr:uid="{00000000-0005-0000-0000-00000B470000}"/>
    <cellStyle name="Note 6 4 3 4 2" xfId="25733" xr:uid="{00000000-0005-0000-0000-00000C470000}"/>
    <cellStyle name="Note 6 4 3 5" xfId="21254" xr:uid="{00000000-0005-0000-0000-00000D470000}"/>
    <cellStyle name="Note 6 4 4" xfId="4616" xr:uid="{00000000-0005-0000-0000-00000E470000}"/>
    <cellStyle name="Note 6 4 4 2" xfId="8655" xr:uid="{00000000-0005-0000-0000-00000F470000}"/>
    <cellStyle name="Note 6 4 4 2 2" xfId="17768" xr:uid="{00000000-0005-0000-0000-000010470000}"/>
    <cellStyle name="Note 6 4 4 2 2 2" xfId="32600" xr:uid="{00000000-0005-0000-0000-000011470000}"/>
    <cellStyle name="Note 6 4 4 2 3" xfId="24249" xr:uid="{00000000-0005-0000-0000-000012470000}"/>
    <cellStyle name="Note 6 4 4 3" xfId="14942" xr:uid="{00000000-0005-0000-0000-000013470000}"/>
    <cellStyle name="Note 6 4 4 3 2" xfId="29774" xr:uid="{00000000-0005-0000-0000-000014470000}"/>
    <cellStyle name="Note 6 4 4 4" xfId="11373" xr:uid="{00000000-0005-0000-0000-000015470000}"/>
    <cellStyle name="Note 6 4 4 4 2" xfId="26205" xr:uid="{00000000-0005-0000-0000-000016470000}"/>
    <cellStyle name="Note 6 4 4 5" xfId="21799" xr:uid="{00000000-0005-0000-0000-000017470000}"/>
    <cellStyle name="Note 6 4 5" xfId="2606" xr:uid="{00000000-0005-0000-0000-000018470000}"/>
    <cellStyle name="Note 6 4 5 2" xfId="6707" xr:uid="{00000000-0005-0000-0000-000019470000}"/>
    <cellStyle name="Note 6 4 5 2 2" xfId="16664" xr:uid="{00000000-0005-0000-0000-00001A470000}"/>
    <cellStyle name="Note 6 4 5 2 2 2" xfId="31496" xr:uid="{00000000-0005-0000-0000-00001B470000}"/>
    <cellStyle name="Note 6 4 5 2 3" xfId="23012" xr:uid="{00000000-0005-0000-0000-00001C470000}"/>
    <cellStyle name="Note 6 4 5 3" xfId="12944" xr:uid="{00000000-0005-0000-0000-00001D470000}"/>
    <cellStyle name="Note 6 4 5 3 2" xfId="27776" xr:uid="{00000000-0005-0000-0000-00001E470000}"/>
    <cellStyle name="Note 6 4 5 4" xfId="10315" xr:uid="{00000000-0005-0000-0000-00001F470000}"/>
    <cellStyle name="Note 6 4 5 4 2" xfId="25147" xr:uid="{00000000-0005-0000-0000-000020470000}"/>
    <cellStyle name="Note 6 4 5 5" xfId="20660" xr:uid="{00000000-0005-0000-0000-000021470000}"/>
    <cellStyle name="Note 6 4 6" xfId="5723" xr:uid="{00000000-0005-0000-0000-000022470000}"/>
    <cellStyle name="Note 6 4 6 2" xfId="15958" xr:uid="{00000000-0005-0000-0000-000023470000}"/>
    <cellStyle name="Note 6 4 6 2 2" xfId="30790" xr:uid="{00000000-0005-0000-0000-000024470000}"/>
    <cellStyle name="Note 6 4 6 3" xfId="22387" xr:uid="{00000000-0005-0000-0000-000025470000}"/>
    <cellStyle name="Note 6 4 7" xfId="11978" xr:uid="{00000000-0005-0000-0000-000026470000}"/>
    <cellStyle name="Note 6 4 7 2" xfId="26810" xr:uid="{00000000-0005-0000-0000-000027470000}"/>
    <cellStyle name="Note 6 4 8" xfId="9637" xr:uid="{00000000-0005-0000-0000-000028470000}"/>
    <cellStyle name="Note 6 4 8 2" xfId="19938" xr:uid="{00000000-0005-0000-0000-000029470000}"/>
    <cellStyle name="Note 6 5" xfId="1621" xr:uid="{00000000-0005-0000-0000-00002A470000}"/>
    <cellStyle name="Note 6 5 2" xfId="2118" xr:uid="{00000000-0005-0000-0000-00002B470000}"/>
    <cellStyle name="Note 6 5 2 2" xfId="4140" xr:uid="{00000000-0005-0000-0000-00002C470000}"/>
    <cellStyle name="Note 6 5 2 2 2" xfId="8184" xr:uid="{00000000-0005-0000-0000-00002D470000}"/>
    <cellStyle name="Note 6 5 2 2 2 2" xfId="17540" xr:uid="{00000000-0005-0000-0000-00002E470000}"/>
    <cellStyle name="Note 6 5 2 2 2 2 2" xfId="32372" xr:uid="{00000000-0005-0000-0000-00002F470000}"/>
    <cellStyle name="Note 6 5 2 2 2 3" xfId="23913" xr:uid="{00000000-0005-0000-0000-000030470000}"/>
    <cellStyle name="Note 6 5 2 2 3" xfId="14472" xr:uid="{00000000-0005-0000-0000-000031470000}"/>
    <cellStyle name="Note 6 5 2 2 3 2" xfId="29304" xr:uid="{00000000-0005-0000-0000-000032470000}"/>
    <cellStyle name="Note 6 5 2 2 4" xfId="11158" xr:uid="{00000000-0005-0000-0000-000033470000}"/>
    <cellStyle name="Note 6 5 2 2 4 2" xfId="25990" xr:uid="{00000000-0005-0000-0000-000034470000}"/>
    <cellStyle name="Note 6 5 2 2 5" xfId="21540" xr:uid="{00000000-0005-0000-0000-000035470000}"/>
    <cellStyle name="Note 6 5 2 3" xfId="5086" xr:uid="{00000000-0005-0000-0000-000036470000}"/>
    <cellStyle name="Note 6 5 2 3 2" xfId="9125" xr:uid="{00000000-0005-0000-0000-000037470000}"/>
    <cellStyle name="Note 6 5 2 3 2 2" xfId="18053" xr:uid="{00000000-0005-0000-0000-000038470000}"/>
    <cellStyle name="Note 6 5 2 3 2 2 2" xfId="32885" xr:uid="{00000000-0005-0000-0000-000039470000}"/>
    <cellStyle name="Note 6 5 2 3 2 3" xfId="24527" xr:uid="{00000000-0005-0000-0000-00003A470000}"/>
    <cellStyle name="Note 6 5 2 3 3" xfId="15406" xr:uid="{00000000-0005-0000-0000-00003B470000}"/>
    <cellStyle name="Note 6 5 2 3 3 2" xfId="30238" xr:uid="{00000000-0005-0000-0000-00003C470000}"/>
    <cellStyle name="Note 6 5 2 3 4" xfId="11652" xr:uid="{00000000-0005-0000-0000-00003D470000}"/>
    <cellStyle name="Note 6 5 2 3 4 2" xfId="26484" xr:uid="{00000000-0005-0000-0000-00003E470000}"/>
    <cellStyle name="Note 6 5 2 3 5" xfId="22041" xr:uid="{00000000-0005-0000-0000-00003F470000}"/>
    <cellStyle name="Note 6 5 2 4" xfId="3076" xr:uid="{00000000-0005-0000-0000-000040470000}"/>
    <cellStyle name="Note 6 5 2 4 2" xfId="7146" xr:uid="{00000000-0005-0000-0000-000041470000}"/>
    <cellStyle name="Note 6 5 2 4 2 2" xfId="16943" xr:uid="{00000000-0005-0000-0000-000042470000}"/>
    <cellStyle name="Note 6 5 2 4 2 2 2" xfId="31775" xr:uid="{00000000-0005-0000-0000-000043470000}"/>
    <cellStyle name="Note 6 5 2 4 2 3" xfId="23254" xr:uid="{00000000-0005-0000-0000-000044470000}"/>
    <cellStyle name="Note 6 5 2 4 3" xfId="13414" xr:uid="{00000000-0005-0000-0000-000045470000}"/>
    <cellStyle name="Note 6 5 2 4 3 2" xfId="28246" xr:uid="{00000000-0005-0000-0000-000046470000}"/>
    <cellStyle name="Note 6 5 2 4 4" xfId="10600" xr:uid="{00000000-0005-0000-0000-000047470000}"/>
    <cellStyle name="Note 6 5 2 4 4 2" xfId="25432" xr:uid="{00000000-0005-0000-0000-000048470000}"/>
    <cellStyle name="Note 6 5 2 4 5" xfId="20938" xr:uid="{00000000-0005-0000-0000-000049470000}"/>
    <cellStyle name="Note 6 5 2 5" xfId="6238" xr:uid="{00000000-0005-0000-0000-00004A470000}"/>
    <cellStyle name="Note 6 5 2 5 2" xfId="16423" xr:uid="{00000000-0005-0000-0000-00004B470000}"/>
    <cellStyle name="Note 6 5 2 5 2 2" xfId="31255" xr:uid="{00000000-0005-0000-0000-00004C470000}"/>
    <cellStyle name="Note 6 5 2 5 3" xfId="22705" xr:uid="{00000000-0005-0000-0000-00004D470000}"/>
    <cellStyle name="Note 6 5 2 6" xfId="12493" xr:uid="{00000000-0005-0000-0000-00004E470000}"/>
    <cellStyle name="Note 6 5 2 6 2" xfId="27325" xr:uid="{00000000-0005-0000-0000-00004F470000}"/>
    <cellStyle name="Note 6 5 2 7" xfId="10075" xr:uid="{00000000-0005-0000-0000-000050470000}"/>
    <cellStyle name="Note 6 5 2 7 2" xfId="24907" xr:uid="{00000000-0005-0000-0000-000051470000}"/>
    <cellStyle name="Note 6 5 2 8" xfId="20384" xr:uid="{00000000-0005-0000-0000-000052470000}"/>
    <cellStyle name="Note 6 5 3" xfId="4324" xr:uid="{00000000-0005-0000-0000-000053470000}"/>
    <cellStyle name="Note 6 5 3 2" xfId="8363" xr:uid="{00000000-0005-0000-0000-000054470000}"/>
    <cellStyle name="Note 6 5 3 2 2" xfId="17641" xr:uid="{00000000-0005-0000-0000-000055470000}"/>
    <cellStyle name="Note 6 5 3 2 2 2" xfId="32473" xr:uid="{00000000-0005-0000-0000-000056470000}"/>
    <cellStyle name="Note 6 5 3 2 3" xfId="24031" xr:uid="{00000000-0005-0000-0000-000057470000}"/>
    <cellStyle name="Note 6 5 3 3" xfId="14655" xr:uid="{00000000-0005-0000-0000-000058470000}"/>
    <cellStyle name="Note 6 5 3 3 2" xfId="29487" xr:uid="{00000000-0005-0000-0000-000059470000}"/>
    <cellStyle name="Note 6 5 3 4" xfId="11251" xr:uid="{00000000-0005-0000-0000-00005A470000}"/>
    <cellStyle name="Note 6 5 3 4 2" xfId="26083" xr:uid="{00000000-0005-0000-0000-00005B470000}"/>
    <cellStyle name="Note 6 5 3 5" xfId="21627" xr:uid="{00000000-0005-0000-0000-00005C470000}"/>
    <cellStyle name="Note 6 5 4" xfId="4666" xr:uid="{00000000-0005-0000-0000-00005D470000}"/>
    <cellStyle name="Note 6 5 4 2" xfId="8705" xr:uid="{00000000-0005-0000-0000-00005E470000}"/>
    <cellStyle name="Note 6 5 4 2 2" xfId="17813" xr:uid="{00000000-0005-0000-0000-00005F470000}"/>
    <cellStyle name="Note 6 5 4 2 2 2" xfId="32645" xr:uid="{00000000-0005-0000-0000-000060470000}"/>
    <cellStyle name="Note 6 5 4 2 3" xfId="24267" xr:uid="{00000000-0005-0000-0000-000061470000}"/>
    <cellStyle name="Note 6 5 4 3" xfId="14991" xr:uid="{00000000-0005-0000-0000-000062470000}"/>
    <cellStyle name="Note 6 5 4 3 2" xfId="29823" xr:uid="{00000000-0005-0000-0000-000063470000}"/>
    <cellStyle name="Note 6 5 4 4" xfId="11417" xr:uid="{00000000-0005-0000-0000-000064470000}"/>
    <cellStyle name="Note 6 5 4 4 2" xfId="26249" xr:uid="{00000000-0005-0000-0000-000065470000}"/>
    <cellStyle name="Note 6 5 4 5" xfId="21811" xr:uid="{00000000-0005-0000-0000-000066470000}"/>
    <cellStyle name="Note 6 5 5" xfId="2656" xr:uid="{00000000-0005-0000-0000-000067470000}"/>
    <cellStyle name="Note 6 5 5 2" xfId="6752" xr:uid="{00000000-0005-0000-0000-000068470000}"/>
    <cellStyle name="Note 6 5 5 2 2" xfId="16708" xr:uid="{00000000-0005-0000-0000-000069470000}"/>
    <cellStyle name="Note 6 5 5 2 2 2" xfId="31540" xr:uid="{00000000-0005-0000-0000-00006A470000}"/>
    <cellStyle name="Note 6 5 5 2 3" xfId="23024" xr:uid="{00000000-0005-0000-0000-00006B470000}"/>
    <cellStyle name="Note 6 5 5 3" xfId="12994" xr:uid="{00000000-0005-0000-0000-00006C470000}"/>
    <cellStyle name="Note 6 5 5 3 2" xfId="27826" xr:uid="{00000000-0005-0000-0000-00006D470000}"/>
    <cellStyle name="Note 6 5 5 4" xfId="10360" xr:uid="{00000000-0005-0000-0000-00006E470000}"/>
    <cellStyle name="Note 6 5 5 4 2" xfId="25192" xr:uid="{00000000-0005-0000-0000-00006F470000}"/>
    <cellStyle name="Note 6 5 5 5" xfId="20678" xr:uid="{00000000-0005-0000-0000-000070470000}"/>
    <cellStyle name="Note 6 5 6" xfId="5768" xr:uid="{00000000-0005-0000-0000-000071470000}"/>
    <cellStyle name="Note 6 5 6 2" xfId="16002" xr:uid="{00000000-0005-0000-0000-000072470000}"/>
    <cellStyle name="Note 6 5 6 2 2" xfId="30834" xr:uid="{00000000-0005-0000-0000-000073470000}"/>
    <cellStyle name="Note 6 5 6 3" xfId="22399" xr:uid="{00000000-0005-0000-0000-000074470000}"/>
    <cellStyle name="Note 6 5 7" xfId="12022" xr:uid="{00000000-0005-0000-0000-000075470000}"/>
    <cellStyle name="Note 6 5 7 2" xfId="26854" xr:uid="{00000000-0005-0000-0000-000076470000}"/>
    <cellStyle name="Note 6 5 8" xfId="9682" xr:uid="{00000000-0005-0000-0000-000077470000}"/>
    <cellStyle name="Note 6 5 8 2" xfId="19982" xr:uid="{00000000-0005-0000-0000-000078470000}"/>
    <cellStyle name="Note 6 6" xfId="1772" xr:uid="{00000000-0005-0000-0000-000079470000}"/>
    <cellStyle name="Note 6 6 2" xfId="3732" xr:uid="{00000000-0005-0000-0000-00007A470000}"/>
    <cellStyle name="Note 6 6 2 2" xfId="7788" xr:uid="{00000000-0005-0000-0000-00007B470000}"/>
    <cellStyle name="Note 6 6 2 2 2" xfId="17341" xr:uid="{00000000-0005-0000-0000-00007C470000}"/>
    <cellStyle name="Note 6 6 2 2 2 2" xfId="32173" xr:uid="{00000000-0005-0000-0000-00007D470000}"/>
    <cellStyle name="Note 6 6 2 2 3" xfId="23662" xr:uid="{00000000-0005-0000-0000-00007E470000}"/>
    <cellStyle name="Note 6 6 2 3" xfId="14067" xr:uid="{00000000-0005-0000-0000-00007F470000}"/>
    <cellStyle name="Note 6 6 2 3 2" xfId="28899" xr:uid="{00000000-0005-0000-0000-000080470000}"/>
    <cellStyle name="Note 6 6 2 4" xfId="10957" xr:uid="{00000000-0005-0000-0000-000081470000}"/>
    <cellStyle name="Note 6 6 2 4 2" xfId="25789" xr:uid="{00000000-0005-0000-0000-000082470000}"/>
    <cellStyle name="Note 6 6 2 5" xfId="21322" xr:uid="{00000000-0005-0000-0000-000083470000}"/>
    <cellStyle name="Note 6 6 3" xfId="4750" xr:uid="{00000000-0005-0000-0000-000084470000}"/>
    <cellStyle name="Note 6 6 3 2" xfId="8789" xr:uid="{00000000-0005-0000-0000-000085470000}"/>
    <cellStyle name="Note 6 6 3 2 2" xfId="17861" xr:uid="{00000000-0005-0000-0000-000086470000}"/>
    <cellStyle name="Note 6 6 3 2 2 2" xfId="32693" xr:uid="{00000000-0005-0000-0000-000087470000}"/>
    <cellStyle name="Note 6 6 3 2 3" xfId="24319" xr:uid="{00000000-0005-0000-0000-000088470000}"/>
    <cellStyle name="Note 6 6 3 3" xfId="15074" xr:uid="{00000000-0005-0000-0000-000089470000}"/>
    <cellStyle name="Note 6 6 3 3 2" xfId="29906" xr:uid="{00000000-0005-0000-0000-00008A470000}"/>
    <cellStyle name="Note 6 6 3 4" xfId="11464" xr:uid="{00000000-0005-0000-0000-00008B470000}"/>
    <cellStyle name="Note 6 6 3 4 2" xfId="26296" xr:uid="{00000000-0005-0000-0000-00008C470000}"/>
    <cellStyle name="Note 6 6 3 5" xfId="21857" xr:uid="{00000000-0005-0000-0000-00008D470000}"/>
    <cellStyle name="Note 6 6 4" xfId="2740" xr:uid="{00000000-0005-0000-0000-00008E470000}"/>
    <cellStyle name="Note 6 6 4 2" xfId="6831" xr:uid="{00000000-0005-0000-0000-00008F470000}"/>
    <cellStyle name="Note 6 6 4 2 2" xfId="16755" xr:uid="{00000000-0005-0000-0000-000090470000}"/>
    <cellStyle name="Note 6 6 4 2 2 2" xfId="31587" xr:uid="{00000000-0005-0000-0000-000091470000}"/>
    <cellStyle name="Note 6 6 4 2 3" xfId="23070" xr:uid="{00000000-0005-0000-0000-000092470000}"/>
    <cellStyle name="Note 6 6 4 3" xfId="13078" xr:uid="{00000000-0005-0000-0000-000093470000}"/>
    <cellStyle name="Note 6 6 4 3 2" xfId="27910" xr:uid="{00000000-0005-0000-0000-000094470000}"/>
    <cellStyle name="Note 6 6 4 4" xfId="10408" xr:uid="{00000000-0005-0000-0000-000095470000}"/>
    <cellStyle name="Note 6 6 4 4 2" xfId="25240" xr:uid="{00000000-0005-0000-0000-000096470000}"/>
    <cellStyle name="Note 6 6 4 5" xfId="20730" xr:uid="{00000000-0005-0000-0000-000097470000}"/>
    <cellStyle name="Note 6 6 5" xfId="5904" xr:uid="{00000000-0005-0000-0000-000098470000}"/>
    <cellStyle name="Note 6 6 5 2" xfId="16096" xr:uid="{00000000-0005-0000-0000-000099470000}"/>
    <cellStyle name="Note 6 6 5 2 2" xfId="30928" xr:uid="{00000000-0005-0000-0000-00009A470000}"/>
    <cellStyle name="Note 6 6 5 3" xfId="22501" xr:uid="{00000000-0005-0000-0000-00009B470000}"/>
    <cellStyle name="Note 6 6 6" xfId="12166" xr:uid="{00000000-0005-0000-0000-00009C470000}"/>
    <cellStyle name="Note 6 6 6 2" xfId="26998" xr:uid="{00000000-0005-0000-0000-00009D470000}"/>
    <cellStyle name="Note 6 6 7" xfId="9762" xr:uid="{00000000-0005-0000-0000-00009E470000}"/>
    <cellStyle name="Note 6 6 7 2" xfId="24719" xr:uid="{00000000-0005-0000-0000-00009F470000}"/>
    <cellStyle name="Note 6 6 8" xfId="20309" xr:uid="{00000000-0005-0000-0000-0000A0470000}"/>
    <cellStyle name="Note 6 7" xfId="2194" xr:uid="{00000000-0005-0000-0000-0000A1470000}"/>
    <cellStyle name="Note 6 7 2" xfId="3541" xr:uid="{00000000-0005-0000-0000-0000A2470000}"/>
    <cellStyle name="Note 6 7 2 2" xfId="7603" xr:uid="{00000000-0005-0000-0000-0000A3470000}"/>
    <cellStyle name="Note 6 7 2 2 2" xfId="17247" xr:uid="{00000000-0005-0000-0000-0000A4470000}"/>
    <cellStyle name="Note 6 7 2 2 2 2" xfId="32079" xr:uid="{00000000-0005-0000-0000-0000A5470000}"/>
    <cellStyle name="Note 6 7 2 2 3" xfId="23541" xr:uid="{00000000-0005-0000-0000-0000A6470000}"/>
    <cellStyle name="Note 6 7 2 3" xfId="13877" xr:uid="{00000000-0005-0000-0000-0000A7470000}"/>
    <cellStyle name="Note 6 7 2 3 2" xfId="28709" xr:uid="{00000000-0005-0000-0000-0000A8470000}"/>
    <cellStyle name="Note 6 7 2 4" xfId="10864" xr:uid="{00000000-0005-0000-0000-0000A9470000}"/>
    <cellStyle name="Note 6 7 2 4 2" xfId="25696" xr:uid="{00000000-0005-0000-0000-0000AA470000}"/>
    <cellStyle name="Note 6 7 2 5" xfId="21214" xr:uid="{00000000-0005-0000-0000-0000AB470000}"/>
    <cellStyle name="Note 6 7 3" xfId="5162" xr:uid="{00000000-0005-0000-0000-0000AC470000}"/>
    <cellStyle name="Note 6 7 3 2" xfId="9201" xr:uid="{00000000-0005-0000-0000-0000AD470000}"/>
    <cellStyle name="Note 6 7 3 2 2" xfId="18124" xr:uid="{00000000-0005-0000-0000-0000AE470000}"/>
    <cellStyle name="Note 6 7 3 2 2 2" xfId="32956" xr:uid="{00000000-0005-0000-0000-0000AF470000}"/>
    <cellStyle name="Note 6 7 3 2 3" xfId="24539" xr:uid="{00000000-0005-0000-0000-0000B0470000}"/>
    <cellStyle name="Note 6 7 3 3" xfId="15480" xr:uid="{00000000-0005-0000-0000-0000B1470000}"/>
    <cellStyle name="Note 6 7 3 3 2" xfId="30312" xr:uid="{00000000-0005-0000-0000-0000B2470000}"/>
    <cellStyle name="Note 6 7 3 4" xfId="11721" xr:uid="{00000000-0005-0000-0000-0000B3470000}"/>
    <cellStyle name="Note 6 7 3 4 2" xfId="26553" xr:uid="{00000000-0005-0000-0000-0000B4470000}"/>
    <cellStyle name="Note 6 7 3 5" xfId="22046" xr:uid="{00000000-0005-0000-0000-0000B5470000}"/>
    <cellStyle name="Note 6 7 4" xfId="4192" xr:uid="{00000000-0005-0000-0000-0000B6470000}"/>
    <cellStyle name="Note 6 7 4 2" xfId="8233" xr:uid="{00000000-0005-0000-0000-0000B7470000}"/>
    <cellStyle name="Note 6 7 4 2 2" xfId="17580" xr:uid="{00000000-0005-0000-0000-0000B8470000}"/>
    <cellStyle name="Note 6 7 4 2 2 2" xfId="32412" xr:uid="{00000000-0005-0000-0000-0000B9470000}"/>
    <cellStyle name="Note 6 7 4 2 3" xfId="23928" xr:uid="{00000000-0005-0000-0000-0000BA470000}"/>
    <cellStyle name="Note 6 7 4 3" xfId="14524" xr:uid="{00000000-0005-0000-0000-0000BB470000}"/>
    <cellStyle name="Note 6 7 4 3 2" xfId="29356" xr:uid="{00000000-0005-0000-0000-0000BC470000}"/>
    <cellStyle name="Note 6 7 4 4" xfId="11200" xr:uid="{00000000-0005-0000-0000-0000BD470000}"/>
    <cellStyle name="Note 6 7 4 4 2" xfId="26032" xr:uid="{00000000-0005-0000-0000-0000BE470000}"/>
    <cellStyle name="Note 6 7 4 5" xfId="21553" xr:uid="{00000000-0005-0000-0000-0000BF470000}"/>
    <cellStyle name="Note 6 7 5" xfId="6308" xr:uid="{00000000-0005-0000-0000-0000C0470000}"/>
    <cellStyle name="Note 6 7 5 2" xfId="16492" xr:uid="{00000000-0005-0000-0000-0000C1470000}"/>
    <cellStyle name="Note 6 7 5 2 2" xfId="31324" xr:uid="{00000000-0005-0000-0000-0000C2470000}"/>
    <cellStyle name="Note 6 7 5 3" xfId="22710" xr:uid="{00000000-0005-0000-0000-0000C3470000}"/>
    <cellStyle name="Note 6 7 6" xfId="12562" xr:uid="{00000000-0005-0000-0000-0000C4470000}"/>
    <cellStyle name="Note 6 7 6 2" xfId="27394" xr:uid="{00000000-0005-0000-0000-0000C5470000}"/>
    <cellStyle name="Note 6 7 7" xfId="10144" xr:uid="{00000000-0005-0000-0000-0000C6470000}"/>
    <cellStyle name="Note 6 7 7 2" xfId="24976" xr:uid="{00000000-0005-0000-0000-0000C7470000}"/>
    <cellStyle name="Note 6 7 8" xfId="20389" xr:uid="{00000000-0005-0000-0000-0000C8470000}"/>
    <cellStyle name="Note 6 8" xfId="3182" xr:uid="{00000000-0005-0000-0000-0000C9470000}"/>
    <cellStyle name="Note 6 8 2" xfId="7246" xr:uid="{00000000-0005-0000-0000-0000CA470000}"/>
    <cellStyle name="Note 6 8 2 2" xfId="17018" xr:uid="{00000000-0005-0000-0000-0000CB470000}"/>
    <cellStyle name="Note 6 8 2 2 2" xfId="31850" xr:uid="{00000000-0005-0000-0000-0000CC470000}"/>
    <cellStyle name="Note 6 8 2 3" xfId="23304" xr:uid="{00000000-0005-0000-0000-0000CD470000}"/>
    <cellStyle name="Note 6 8 3" xfId="13520" xr:uid="{00000000-0005-0000-0000-0000CE470000}"/>
    <cellStyle name="Note 6 8 3 2" xfId="28352" xr:uid="{00000000-0005-0000-0000-0000CF470000}"/>
    <cellStyle name="Note 6 8 4" xfId="10666" xr:uid="{00000000-0005-0000-0000-0000D0470000}"/>
    <cellStyle name="Note 6 8 4 2" xfId="25498" xr:uid="{00000000-0005-0000-0000-0000D1470000}"/>
    <cellStyle name="Note 6 8 5" xfId="20994" xr:uid="{00000000-0005-0000-0000-0000D2470000}"/>
    <cellStyle name="Note 6 9" xfId="3132" xr:uid="{00000000-0005-0000-0000-0000D3470000}"/>
    <cellStyle name="Note 6 9 2" xfId="7196" xr:uid="{00000000-0005-0000-0000-0000D4470000}"/>
    <cellStyle name="Note 6 9 2 2" xfId="16985" xr:uid="{00000000-0005-0000-0000-0000D5470000}"/>
    <cellStyle name="Note 6 9 2 2 2" xfId="31817" xr:uid="{00000000-0005-0000-0000-0000D6470000}"/>
    <cellStyle name="Note 6 9 2 3" xfId="23268" xr:uid="{00000000-0005-0000-0000-0000D7470000}"/>
    <cellStyle name="Note 6 9 3" xfId="13470" xr:uid="{00000000-0005-0000-0000-0000D8470000}"/>
    <cellStyle name="Note 6 9 3 2" xfId="28302" xr:uid="{00000000-0005-0000-0000-0000D9470000}"/>
    <cellStyle name="Note 6 9 4" xfId="10641" xr:uid="{00000000-0005-0000-0000-0000DA470000}"/>
    <cellStyle name="Note 6 9 4 2" xfId="25473" xr:uid="{00000000-0005-0000-0000-0000DB470000}"/>
    <cellStyle name="Note 6 9 5" xfId="20959" xr:uid="{00000000-0005-0000-0000-0000DC470000}"/>
    <cellStyle name="Note 7" xfId="1228" xr:uid="{00000000-0005-0000-0000-0000DD470000}"/>
    <cellStyle name="Note 7 10" xfId="2314" xr:uid="{00000000-0005-0000-0000-0000DE470000}"/>
    <cellStyle name="Note 7 10 2" xfId="6426" xr:uid="{00000000-0005-0000-0000-0000DF470000}"/>
    <cellStyle name="Note 7 10 2 2" xfId="16519" xr:uid="{00000000-0005-0000-0000-0000E0470000}"/>
    <cellStyle name="Note 7 10 2 2 2" xfId="31351" xr:uid="{00000000-0005-0000-0000-0000E1470000}"/>
    <cellStyle name="Note 7 10 2 3" xfId="22828" xr:uid="{00000000-0005-0000-0000-0000E2470000}"/>
    <cellStyle name="Note 7 10 3" xfId="12654" xr:uid="{00000000-0005-0000-0000-0000E3470000}"/>
    <cellStyle name="Note 7 10 3 2" xfId="27486" xr:uid="{00000000-0005-0000-0000-0000E4470000}"/>
    <cellStyle name="Note 7 10 4" xfId="10170" xr:uid="{00000000-0005-0000-0000-0000E5470000}"/>
    <cellStyle name="Note 7 10 4 2" xfId="25002" xr:uid="{00000000-0005-0000-0000-0000E6470000}"/>
    <cellStyle name="Note 7 10 5" xfId="20477" xr:uid="{00000000-0005-0000-0000-0000E7470000}"/>
    <cellStyle name="Note 7 11" xfId="5277" xr:uid="{00000000-0005-0000-0000-0000E8470000}"/>
    <cellStyle name="Note 7 11 2" xfId="9285" xr:uid="{00000000-0005-0000-0000-0000E9470000}"/>
    <cellStyle name="Note 7 11 2 2" xfId="18152" xr:uid="{00000000-0005-0000-0000-0000EA470000}"/>
    <cellStyle name="Note 7 11 2 2 2" xfId="32984" xr:uid="{00000000-0005-0000-0000-0000EB470000}"/>
    <cellStyle name="Note 7 11 2 3" xfId="24623" xr:uid="{00000000-0005-0000-0000-0000EC470000}"/>
    <cellStyle name="Note 7 11 3" xfId="15593" xr:uid="{00000000-0005-0000-0000-0000ED470000}"/>
    <cellStyle name="Note 7 11 3 2" xfId="30425" xr:uid="{00000000-0005-0000-0000-0000EE470000}"/>
    <cellStyle name="Note 7 11 4" xfId="22134" xr:uid="{00000000-0005-0000-0000-0000EF470000}"/>
    <cellStyle name="Note 7 12" xfId="5435" xr:uid="{00000000-0005-0000-0000-0000F0470000}"/>
    <cellStyle name="Note 7 12 2" xfId="15671" xr:uid="{00000000-0005-0000-0000-0000F1470000}"/>
    <cellStyle name="Note 7 12 2 2" xfId="30503" xr:uid="{00000000-0005-0000-0000-0000F2470000}"/>
    <cellStyle name="Note 7 12 3" xfId="22196" xr:uid="{00000000-0005-0000-0000-0000F3470000}"/>
    <cellStyle name="Note 7 13" xfId="9356" xr:uid="{00000000-0005-0000-0000-0000F4470000}"/>
    <cellStyle name="Note 7 13 2" xfId="24662" xr:uid="{00000000-0005-0000-0000-0000F5470000}"/>
    <cellStyle name="Note 7 14" xfId="5345" xr:uid="{00000000-0005-0000-0000-0000F6470000}"/>
    <cellStyle name="Note 7 14 2" xfId="18219" xr:uid="{00000000-0005-0000-0000-0000F7470000}"/>
    <cellStyle name="Note 7 2" xfId="1347" xr:uid="{00000000-0005-0000-0000-0000F8470000}"/>
    <cellStyle name="Note 7 2 2" xfId="1851" xr:uid="{00000000-0005-0000-0000-0000F9470000}"/>
    <cellStyle name="Note 7 2 2 2" xfId="3516" xr:uid="{00000000-0005-0000-0000-0000FA470000}"/>
    <cellStyle name="Note 7 2 2 2 2" xfId="7578" xr:uid="{00000000-0005-0000-0000-0000FB470000}"/>
    <cellStyle name="Note 7 2 2 2 2 2" xfId="17231" xr:uid="{00000000-0005-0000-0000-0000FC470000}"/>
    <cellStyle name="Note 7 2 2 2 2 2 2" xfId="32063" xr:uid="{00000000-0005-0000-0000-0000FD470000}"/>
    <cellStyle name="Note 7 2 2 2 2 3" xfId="23528" xr:uid="{00000000-0005-0000-0000-0000FE470000}"/>
    <cellStyle name="Note 7 2 2 2 3" xfId="13853" xr:uid="{00000000-0005-0000-0000-0000FF470000}"/>
    <cellStyle name="Note 7 2 2 2 3 2" xfId="28685" xr:uid="{00000000-0005-0000-0000-000000480000}"/>
    <cellStyle name="Note 7 2 2 2 4" xfId="10849" xr:uid="{00000000-0005-0000-0000-000001480000}"/>
    <cellStyle name="Note 7 2 2 2 4 2" xfId="25681" xr:uid="{00000000-0005-0000-0000-000002480000}"/>
    <cellStyle name="Note 7 2 2 2 5" xfId="21203" xr:uid="{00000000-0005-0000-0000-000003480000}"/>
    <cellStyle name="Note 7 2 2 3" xfId="4829" xr:uid="{00000000-0005-0000-0000-000004480000}"/>
    <cellStyle name="Note 7 2 2 3 2" xfId="8868" xr:uid="{00000000-0005-0000-0000-000005480000}"/>
    <cellStyle name="Note 7 2 2 3 2 2" xfId="17909" xr:uid="{00000000-0005-0000-0000-000006480000}"/>
    <cellStyle name="Note 7 2 2 3 2 2 2" xfId="32741" xr:uid="{00000000-0005-0000-0000-000007480000}"/>
    <cellStyle name="Note 7 2 2 3 2 3" xfId="24366" xr:uid="{00000000-0005-0000-0000-000008480000}"/>
    <cellStyle name="Note 7 2 2 3 3" xfId="15153" xr:uid="{00000000-0005-0000-0000-000009480000}"/>
    <cellStyle name="Note 7 2 2 3 3 2" xfId="29985" xr:uid="{00000000-0005-0000-0000-00000A480000}"/>
    <cellStyle name="Note 7 2 2 3 4" xfId="11512" xr:uid="{00000000-0005-0000-0000-00000B480000}"/>
    <cellStyle name="Note 7 2 2 3 4 2" xfId="26344" xr:uid="{00000000-0005-0000-0000-00000C480000}"/>
    <cellStyle name="Note 7 2 2 3 5" xfId="21904" xr:uid="{00000000-0005-0000-0000-00000D480000}"/>
    <cellStyle name="Note 7 2 2 4" xfId="2819" xr:uid="{00000000-0005-0000-0000-00000E480000}"/>
    <cellStyle name="Note 7 2 2 4 2" xfId="6910" xr:uid="{00000000-0005-0000-0000-00000F480000}"/>
    <cellStyle name="Note 7 2 2 4 2 2" xfId="16803" xr:uid="{00000000-0005-0000-0000-000010480000}"/>
    <cellStyle name="Note 7 2 2 4 2 2 2" xfId="31635" xr:uid="{00000000-0005-0000-0000-000011480000}"/>
    <cellStyle name="Note 7 2 2 4 2 3" xfId="23117" xr:uid="{00000000-0005-0000-0000-000012480000}"/>
    <cellStyle name="Note 7 2 2 4 3" xfId="13157" xr:uid="{00000000-0005-0000-0000-000013480000}"/>
    <cellStyle name="Note 7 2 2 4 3 2" xfId="27989" xr:uid="{00000000-0005-0000-0000-000014480000}"/>
    <cellStyle name="Note 7 2 2 4 4" xfId="10456" xr:uid="{00000000-0005-0000-0000-000015480000}"/>
    <cellStyle name="Note 7 2 2 4 4 2" xfId="25288" xr:uid="{00000000-0005-0000-0000-000016480000}"/>
    <cellStyle name="Note 7 2 2 4 5" xfId="20777" xr:uid="{00000000-0005-0000-0000-000017480000}"/>
    <cellStyle name="Note 7 2 2 5" xfId="5983" xr:uid="{00000000-0005-0000-0000-000018480000}"/>
    <cellStyle name="Note 7 2 2 5 2" xfId="16175" xr:uid="{00000000-0005-0000-0000-000019480000}"/>
    <cellStyle name="Note 7 2 2 5 2 2" xfId="31007" xr:uid="{00000000-0005-0000-0000-00001A480000}"/>
    <cellStyle name="Note 7 2 2 5 3" xfId="22548" xr:uid="{00000000-0005-0000-0000-00001B480000}"/>
    <cellStyle name="Note 7 2 2 6" xfId="12245" xr:uid="{00000000-0005-0000-0000-00001C480000}"/>
    <cellStyle name="Note 7 2 2 6 2" xfId="27077" xr:uid="{00000000-0005-0000-0000-00001D480000}"/>
    <cellStyle name="Note 7 2 2 7" xfId="9841" xr:uid="{00000000-0005-0000-0000-00001E480000}"/>
    <cellStyle name="Note 7 2 2 7 2" xfId="24767" xr:uid="{00000000-0005-0000-0000-00001F480000}"/>
    <cellStyle name="Note 7 2 2 8" xfId="20325" xr:uid="{00000000-0005-0000-0000-000020480000}"/>
    <cellStyle name="Note 7 2 3" xfId="3458" xr:uid="{00000000-0005-0000-0000-000021480000}"/>
    <cellStyle name="Note 7 2 3 2" xfId="7521" xr:uid="{00000000-0005-0000-0000-000022480000}"/>
    <cellStyle name="Note 7 2 3 2 2" xfId="17199" xr:uid="{00000000-0005-0000-0000-000023480000}"/>
    <cellStyle name="Note 7 2 3 2 2 2" xfId="32031" xr:uid="{00000000-0005-0000-0000-000024480000}"/>
    <cellStyle name="Note 7 2 3 2 3" xfId="23490" xr:uid="{00000000-0005-0000-0000-000025480000}"/>
    <cellStyle name="Note 7 2 3 3" xfId="13795" xr:uid="{00000000-0005-0000-0000-000026480000}"/>
    <cellStyle name="Note 7 2 3 3 2" xfId="28627" xr:uid="{00000000-0005-0000-0000-000027480000}"/>
    <cellStyle name="Note 7 2 3 4" xfId="10818" xr:uid="{00000000-0005-0000-0000-000028480000}"/>
    <cellStyle name="Note 7 2 3 4 2" xfId="25650" xr:uid="{00000000-0005-0000-0000-000029480000}"/>
    <cellStyle name="Note 7 2 3 5" xfId="21165" xr:uid="{00000000-0005-0000-0000-00002A480000}"/>
    <cellStyle name="Note 7 2 4" xfId="4409" xr:uid="{00000000-0005-0000-0000-00002B480000}"/>
    <cellStyle name="Note 7 2 4 2" xfId="8448" xr:uid="{00000000-0005-0000-0000-00002C480000}"/>
    <cellStyle name="Note 7 2 4 2 2" xfId="17669" xr:uid="{00000000-0005-0000-0000-00002D480000}"/>
    <cellStyle name="Note 7 2 4 2 2 2" xfId="32501" xr:uid="{00000000-0005-0000-0000-00002E480000}"/>
    <cellStyle name="Note 7 2 4 2 3" xfId="24106" xr:uid="{00000000-0005-0000-0000-00002F480000}"/>
    <cellStyle name="Note 7 2 4 3" xfId="14738" xr:uid="{00000000-0005-0000-0000-000030480000}"/>
    <cellStyle name="Note 7 2 4 3 2" xfId="29570" xr:uid="{00000000-0005-0000-0000-000031480000}"/>
    <cellStyle name="Note 7 2 4 4" xfId="11277" xr:uid="{00000000-0005-0000-0000-000032480000}"/>
    <cellStyle name="Note 7 2 4 4 2" xfId="26109" xr:uid="{00000000-0005-0000-0000-000033480000}"/>
    <cellStyle name="Note 7 2 4 5" xfId="21674" xr:uid="{00000000-0005-0000-0000-000034480000}"/>
    <cellStyle name="Note 7 2 5" xfId="2399" xr:uid="{00000000-0005-0000-0000-000035480000}"/>
    <cellStyle name="Note 7 2 5 2" xfId="6511" xr:uid="{00000000-0005-0000-0000-000036480000}"/>
    <cellStyle name="Note 7 2 5 2 2" xfId="16567" xr:uid="{00000000-0005-0000-0000-000037480000}"/>
    <cellStyle name="Note 7 2 5 2 2 2" xfId="31399" xr:uid="{00000000-0005-0000-0000-000038480000}"/>
    <cellStyle name="Note 7 2 5 2 3" xfId="22881" xr:uid="{00000000-0005-0000-0000-000039480000}"/>
    <cellStyle name="Note 7 2 5 3" xfId="12738" xr:uid="{00000000-0005-0000-0000-00003A480000}"/>
    <cellStyle name="Note 7 2 5 3 2" xfId="27570" xr:uid="{00000000-0005-0000-0000-00003B480000}"/>
    <cellStyle name="Note 7 2 5 4" xfId="10217" xr:uid="{00000000-0005-0000-0000-00003C480000}"/>
    <cellStyle name="Note 7 2 5 4 2" xfId="25049" xr:uid="{00000000-0005-0000-0000-00003D480000}"/>
    <cellStyle name="Note 7 2 5 5" xfId="20523" xr:uid="{00000000-0005-0000-0000-00003E480000}"/>
    <cellStyle name="Note 7 2 6" xfId="5524" xr:uid="{00000000-0005-0000-0000-00003F480000}"/>
    <cellStyle name="Note 7 2 6 2" xfId="15759" xr:uid="{00000000-0005-0000-0000-000040480000}"/>
    <cellStyle name="Note 7 2 6 2 2" xfId="30591" xr:uid="{00000000-0005-0000-0000-000041480000}"/>
    <cellStyle name="Note 7 2 6 3" xfId="22252" xr:uid="{00000000-0005-0000-0000-000042480000}"/>
    <cellStyle name="Note 7 2 7" xfId="11774" xr:uid="{00000000-0005-0000-0000-000043480000}"/>
    <cellStyle name="Note 7 2 7 2" xfId="26606" xr:uid="{00000000-0005-0000-0000-000044480000}"/>
    <cellStyle name="Note 7 2 8" xfId="9445" xr:uid="{00000000-0005-0000-0000-000045480000}"/>
    <cellStyle name="Note 7 2 8 2" xfId="19749" xr:uid="{00000000-0005-0000-0000-000046480000}"/>
    <cellStyle name="Note 7 3" xfId="1517" xr:uid="{00000000-0005-0000-0000-000047480000}"/>
    <cellStyle name="Note 7 3 2" xfId="2014" xr:uid="{00000000-0005-0000-0000-000048480000}"/>
    <cellStyle name="Note 7 3 2 2" xfId="3485" xr:uid="{00000000-0005-0000-0000-000049480000}"/>
    <cellStyle name="Note 7 3 2 2 2" xfId="7547" xr:uid="{00000000-0005-0000-0000-00004A480000}"/>
    <cellStyle name="Note 7 3 2 2 2 2" xfId="17209" xr:uid="{00000000-0005-0000-0000-00004B480000}"/>
    <cellStyle name="Note 7 3 2 2 2 2 2" xfId="32041" xr:uid="{00000000-0005-0000-0000-00004C480000}"/>
    <cellStyle name="Note 7 3 2 2 2 3" xfId="23511" xr:uid="{00000000-0005-0000-0000-00004D480000}"/>
    <cellStyle name="Note 7 3 2 2 3" xfId="13822" xr:uid="{00000000-0005-0000-0000-00004E480000}"/>
    <cellStyle name="Note 7 3 2 2 3 2" xfId="28654" xr:uid="{00000000-0005-0000-0000-00004F480000}"/>
    <cellStyle name="Note 7 3 2 2 4" xfId="10827" xr:uid="{00000000-0005-0000-0000-000050480000}"/>
    <cellStyle name="Note 7 3 2 2 4 2" xfId="25659" xr:uid="{00000000-0005-0000-0000-000051480000}"/>
    <cellStyle name="Note 7 3 2 2 5" xfId="21187" xr:uid="{00000000-0005-0000-0000-000052480000}"/>
    <cellStyle name="Note 7 3 2 3" xfId="4982" xr:uid="{00000000-0005-0000-0000-000053480000}"/>
    <cellStyle name="Note 7 3 2 3 2" xfId="9021" xr:uid="{00000000-0005-0000-0000-000054480000}"/>
    <cellStyle name="Note 7 3 2 3 2 2" xfId="17959" xr:uid="{00000000-0005-0000-0000-000055480000}"/>
    <cellStyle name="Note 7 3 2 3 2 2 2" xfId="32791" xr:uid="{00000000-0005-0000-0000-000056480000}"/>
    <cellStyle name="Note 7 3 2 3 2 3" xfId="24487" xr:uid="{00000000-0005-0000-0000-000057480000}"/>
    <cellStyle name="Note 7 3 2 3 3" xfId="15304" xr:uid="{00000000-0005-0000-0000-000058480000}"/>
    <cellStyle name="Note 7 3 2 3 3 2" xfId="30136" xr:uid="{00000000-0005-0000-0000-000059480000}"/>
    <cellStyle name="Note 7 3 2 3 4" xfId="11560" xr:uid="{00000000-0005-0000-0000-00005A480000}"/>
    <cellStyle name="Note 7 3 2 3 4 2" xfId="26392" xr:uid="{00000000-0005-0000-0000-00005B480000}"/>
    <cellStyle name="Note 7 3 2 3 5" xfId="22013" xr:uid="{00000000-0005-0000-0000-00005C480000}"/>
    <cellStyle name="Note 7 3 2 4" xfId="2972" xr:uid="{00000000-0005-0000-0000-00005D480000}"/>
    <cellStyle name="Note 7 3 2 4 2" xfId="7052" xr:uid="{00000000-0005-0000-0000-00005E480000}"/>
    <cellStyle name="Note 7 3 2 4 2 2" xfId="16851" xr:uid="{00000000-0005-0000-0000-00005F480000}"/>
    <cellStyle name="Note 7 3 2 4 2 2 2" xfId="31683" xr:uid="{00000000-0005-0000-0000-000060480000}"/>
    <cellStyle name="Note 7 3 2 4 2 3" xfId="23226" xr:uid="{00000000-0005-0000-0000-000061480000}"/>
    <cellStyle name="Note 7 3 2 4 3" xfId="13310" xr:uid="{00000000-0005-0000-0000-000062480000}"/>
    <cellStyle name="Note 7 3 2 4 3 2" xfId="28142" xr:uid="{00000000-0005-0000-0000-000063480000}"/>
    <cellStyle name="Note 7 3 2 4 4" xfId="10506" xr:uid="{00000000-0005-0000-0000-000064480000}"/>
    <cellStyle name="Note 7 3 2 4 4 2" xfId="25338" xr:uid="{00000000-0005-0000-0000-000065480000}"/>
    <cellStyle name="Note 7 3 2 4 5" xfId="20898" xr:uid="{00000000-0005-0000-0000-000066480000}"/>
    <cellStyle name="Note 7 3 2 5" xfId="6144" xr:uid="{00000000-0005-0000-0000-000067480000}"/>
    <cellStyle name="Note 7 3 2 5 2" xfId="16331" xr:uid="{00000000-0005-0000-0000-000068480000}"/>
    <cellStyle name="Note 7 3 2 5 2 2" xfId="31163" xr:uid="{00000000-0005-0000-0000-000069480000}"/>
    <cellStyle name="Note 7 3 2 5 3" xfId="22677" xr:uid="{00000000-0005-0000-0000-00006A480000}"/>
    <cellStyle name="Note 7 3 2 6" xfId="12401" xr:uid="{00000000-0005-0000-0000-00006B480000}"/>
    <cellStyle name="Note 7 3 2 6 2" xfId="27233" xr:uid="{00000000-0005-0000-0000-00006C480000}"/>
    <cellStyle name="Note 7 3 2 7" xfId="9983" xr:uid="{00000000-0005-0000-0000-00006D480000}"/>
    <cellStyle name="Note 7 3 2 7 2" xfId="24815" xr:uid="{00000000-0005-0000-0000-00006E480000}"/>
    <cellStyle name="Note 7 3 2 8" xfId="20356" xr:uid="{00000000-0005-0000-0000-00006F480000}"/>
    <cellStyle name="Note 7 3 3" xfId="3281" xr:uid="{00000000-0005-0000-0000-000070480000}"/>
    <cellStyle name="Note 7 3 3 2" xfId="7345" xr:uid="{00000000-0005-0000-0000-000071480000}"/>
    <cellStyle name="Note 7 3 3 2 2" xfId="17088" xr:uid="{00000000-0005-0000-0000-000072480000}"/>
    <cellStyle name="Note 7 3 3 2 2 2" xfId="31920" xr:uid="{00000000-0005-0000-0000-000073480000}"/>
    <cellStyle name="Note 7 3 3 2 3" xfId="23374" xr:uid="{00000000-0005-0000-0000-000074480000}"/>
    <cellStyle name="Note 7 3 3 3" xfId="13618" xr:uid="{00000000-0005-0000-0000-000075480000}"/>
    <cellStyle name="Note 7 3 3 3 2" xfId="28450" xr:uid="{00000000-0005-0000-0000-000076480000}"/>
    <cellStyle name="Note 7 3 3 4" xfId="10715" xr:uid="{00000000-0005-0000-0000-000077480000}"/>
    <cellStyle name="Note 7 3 3 4 2" xfId="25547" xr:uid="{00000000-0005-0000-0000-000078480000}"/>
    <cellStyle name="Note 7 3 3 5" xfId="21061" xr:uid="{00000000-0005-0000-0000-000079480000}"/>
    <cellStyle name="Note 7 3 4" xfId="4562" xr:uid="{00000000-0005-0000-0000-00007A480000}"/>
    <cellStyle name="Note 7 3 4 2" xfId="8601" xr:uid="{00000000-0005-0000-0000-00007B480000}"/>
    <cellStyle name="Note 7 3 4 2 2" xfId="17719" xr:uid="{00000000-0005-0000-0000-00007C480000}"/>
    <cellStyle name="Note 7 3 4 2 2 2" xfId="32551" xr:uid="{00000000-0005-0000-0000-00007D480000}"/>
    <cellStyle name="Note 7 3 4 2 3" xfId="24227" xr:uid="{00000000-0005-0000-0000-00007E480000}"/>
    <cellStyle name="Note 7 3 4 3" xfId="14889" xr:uid="{00000000-0005-0000-0000-00007F480000}"/>
    <cellStyle name="Note 7 3 4 3 2" xfId="29721" xr:uid="{00000000-0005-0000-0000-000080480000}"/>
    <cellStyle name="Note 7 3 4 4" xfId="11325" xr:uid="{00000000-0005-0000-0000-000081480000}"/>
    <cellStyle name="Note 7 3 4 4 2" xfId="26157" xr:uid="{00000000-0005-0000-0000-000082480000}"/>
    <cellStyle name="Note 7 3 4 5" xfId="21783" xr:uid="{00000000-0005-0000-0000-000083480000}"/>
    <cellStyle name="Note 7 3 5" xfId="2552" xr:uid="{00000000-0005-0000-0000-000084480000}"/>
    <cellStyle name="Note 7 3 5 2" xfId="6658" xr:uid="{00000000-0005-0000-0000-000085480000}"/>
    <cellStyle name="Note 7 3 5 2 2" xfId="16616" xr:uid="{00000000-0005-0000-0000-000086480000}"/>
    <cellStyle name="Note 7 3 5 2 2 2" xfId="31448" xr:uid="{00000000-0005-0000-0000-000087480000}"/>
    <cellStyle name="Note 7 3 5 2 3" xfId="22996" xr:uid="{00000000-0005-0000-0000-000088480000}"/>
    <cellStyle name="Note 7 3 5 3" xfId="12890" xr:uid="{00000000-0005-0000-0000-000089480000}"/>
    <cellStyle name="Note 7 3 5 3 2" xfId="27722" xr:uid="{00000000-0005-0000-0000-00008A480000}"/>
    <cellStyle name="Note 7 3 5 4" xfId="10266" xr:uid="{00000000-0005-0000-0000-00008B480000}"/>
    <cellStyle name="Note 7 3 5 4 2" xfId="25098" xr:uid="{00000000-0005-0000-0000-00008C480000}"/>
    <cellStyle name="Note 7 3 5 5" xfId="20638" xr:uid="{00000000-0005-0000-0000-00008D480000}"/>
    <cellStyle name="Note 7 3 6" xfId="5675" xr:uid="{00000000-0005-0000-0000-00008E480000}"/>
    <cellStyle name="Note 7 3 6 2" xfId="15910" xr:uid="{00000000-0005-0000-0000-00008F480000}"/>
    <cellStyle name="Note 7 3 6 2 2" xfId="30742" xr:uid="{00000000-0005-0000-0000-000090480000}"/>
    <cellStyle name="Note 7 3 6 3" xfId="22371" xr:uid="{00000000-0005-0000-0000-000091480000}"/>
    <cellStyle name="Note 7 3 7" xfId="11930" xr:uid="{00000000-0005-0000-0000-000092480000}"/>
    <cellStyle name="Note 7 3 7 2" xfId="26762" xr:uid="{00000000-0005-0000-0000-000093480000}"/>
    <cellStyle name="Note 7 3 8" xfId="9588" xr:uid="{00000000-0005-0000-0000-000094480000}"/>
    <cellStyle name="Note 7 3 8 2" xfId="19890" xr:uid="{00000000-0005-0000-0000-000095480000}"/>
    <cellStyle name="Note 7 4" xfId="1572" xr:uid="{00000000-0005-0000-0000-000096480000}"/>
    <cellStyle name="Note 7 4 2" xfId="2069" xr:uid="{00000000-0005-0000-0000-000097480000}"/>
    <cellStyle name="Note 7 4 2 2" xfId="3388" xr:uid="{00000000-0005-0000-0000-000098480000}"/>
    <cellStyle name="Note 7 4 2 2 2" xfId="7451" xr:uid="{00000000-0005-0000-0000-000099480000}"/>
    <cellStyle name="Note 7 4 2 2 2 2" xfId="17155" xr:uid="{00000000-0005-0000-0000-00009A480000}"/>
    <cellStyle name="Note 7 4 2 2 2 2 2" xfId="31987" xr:uid="{00000000-0005-0000-0000-00009B480000}"/>
    <cellStyle name="Note 7 4 2 2 2 3" xfId="23443" xr:uid="{00000000-0005-0000-0000-00009C480000}"/>
    <cellStyle name="Note 7 4 2 2 3" xfId="13725" xr:uid="{00000000-0005-0000-0000-00009D480000}"/>
    <cellStyle name="Note 7 4 2 2 3 2" xfId="28557" xr:uid="{00000000-0005-0000-0000-00009E480000}"/>
    <cellStyle name="Note 7 4 2 2 4" xfId="10774" xr:uid="{00000000-0005-0000-0000-00009F480000}"/>
    <cellStyle name="Note 7 4 2 2 4 2" xfId="25606" xr:uid="{00000000-0005-0000-0000-0000A0480000}"/>
    <cellStyle name="Note 7 4 2 2 5" xfId="21125" xr:uid="{00000000-0005-0000-0000-0000A1480000}"/>
    <cellStyle name="Note 7 4 2 3" xfId="5037" xr:uid="{00000000-0005-0000-0000-0000A2480000}"/>
    <cellStyle name="Note 7 4 2 3 2" xfId="9076" xr:uid="{00000000-0005-0000-0000-0000A3480000}"/>
    <cellStyle name="Note 7 4 2 3 2 2" xfId="18009" xr:uid="{00000000-0005-0000-0000-0000A4480000}"/>
    <cellStyle name="Note 7 4 2 3 2 2 2" xfId="32841" xr:uid="{00000000-0005-0000-0000-0000A5480000}"/>
    <cellStyle name="Note 7 4 2 3 2 3" xfId="24510" xr:uid="{00000000-0005-0000-0000-0000A6480000}"/>
    <cellStyle name="Note 7 4 2 3 3" xfId="15358" xr:uid="{00000000-0005-0000-0000-0000A7480000}"/>
    <cellStyle name="Note 7 4 2 3 3 2" xfId="30190" xr:uid="{00000000-0005-0000-0000-0000A8480000}"/>
    <cellStyle name="Note 7 4 2 3 4" xfId="11609" xr:uid="{00000000-0005-0000-0000-0000A9480000}"/>
    <cellStyle name="Note 7 4 2 3 4 2" xfId="26441" xr:uid="{00000000-0005-0000-0000-0000AA480000}"/>
    <cellStyle name="Note 7 4 2 3 5" xfId="22030" xr:uid="{00000000-0005-0000-0000-0000AB480000}"/>
    <cellStyle name="Note 7 4 2 4" xfId="3027" xr:uid="{00000000-0005-0000-0000-0000AC480000}"/>
    <cellStyle name="Note 7 4 2 4 2" xfId="7102" xr:uid="{00000000-0005-0000-0000-0000AD480000}"/>
    <cellStyle name="Note 7 4 2 4 2 2" xfId="16900" xr:uid="{00000000-0005-0000-0000-0000AE480000}"/>
    <cellStyle name="Note 7 4 2 4 2 2 2" xfId="31732" xr:uid="{00000000-0005-0000-0000-0000AF480000}"/>
    <cellStyle name="Note 7 4 2 4 2 3" xfId="23243" xr:uid="{00000000-0005-0000-0000-0000B0480000}"/>
    <cellStyle name="Note 7 4 2 4 3" xfId="13365" xr:uid="{00000000-0005-0000-0000-0000B1480000}"/>
    <cellStyle name="Note 7 4 2 4 3 2" xfId="28197" xr:uid="{00000000-0005-0000-0000-0000B2480000}"/>
    <cellStyle name="Note 7 4 2 4 4" xfId="10556" xr:uid="{00000000-0005-0000-0000-0000B3480000}"/>
    <cellStyle name="Note 7 4 2 4 4 2" xfId="25388" xr:uid="{00000000-0005-0000-0000-0000B4480000}"/>
    <cellStyle name="Note 7 4 2 4 5" xfId="20921" xr:uid="{00000000-0005-0000-0000-0000B5480000}"/>
    <cellStyle name="Note 7 4 2 5" xfId="6194" xr:uid="{00000000-0005-0000-0000-0000B6480000}"/>
    <cellStyle name="Note 7 4 2 5 2" xfId="16380" xr:uid="{00000000-0005-0000-0000-0000B7480000}"/>
    <cellStyle name="Note 7 4 2 5 2 2" xfId="31212" xr:uid="{00000000-0005-0000-0000-0000B8480000}"/>
    <cellStyle name="Note 7 4 2 5 3" xfId="22694" xr:uid="{00000000-0005-0000-0000-0000B9480000}"/>
    <cellStyle name="Note 7 4 2 6" xfId="12450" xr:uid="{00000000-0005-0000-0000-0000BA480000}"/>
    <cellStyle name="Note 7 4 2 6 2" xfId="27282" xr:uid="{00000000-0005-0000-0000-0000BB480000}"/>
    <cellStyle name="Note 7 4 2 7" xfId="10032" xr:uid="{00000000-0005-0000-0000-0000BC480000}"/>
    <cellStyle name="Note 7 4 2 7 2" xfId="24864" xr:uid="{00000000-0005-0000-0000-0000BD480000}"/>
    <cellStyle name="Note 7 4 2 8" xfId="20373" xr:uid="{00000000-0005-0000-0000-0000BE480000}"/>
    <cellStyle name="Note 7 4 3" xfId="3698" xr:uid="{00000000-0005-0000-0000-0000BF480000}"/>
    <cellStyle name="Note 7 4 3 2" xfId="7754" xr:uid="{00000000-0005-0000-0000-0000C0480000}"/>
    <cellStyle name="Note 7 4 3 2 2" xfId="17322" xr:uid="{00000000-0005-0000-0000-0000C1480000}"/>
    <cellStyle name="Note 7 4 3 2 2 2" xfId="32154" xr:uid="{00000000-0005-0000-0000-0000C2480000}"/>
    <cellStyle name="Note 7 4 3 2 3" xfId="23638" xr:uid="{00000000-0005-0000-0000-0000C3480000}"/>
    <cellStyle name="Note 7 4 3 3" xfId="14033" xr:uid="{00000000-0005-0000-0000-0000C4480000}"/>
    <cellStyle name="Note 7 4 3 3 2" xfId="28865" xr:uid="{00000000-0005-0000-0000-0000C5480000}"/>
    <cellStyle name="Note 7 4 3 4" xfId="10940" xr:uid="{00000000-0005-0000-0000-0000C6480000}"/>
    <cellStyle name="Note 7 4 3 4 2" xfId="25772" xr:uid="{00000000-0005-0000-0000-0000C7480000}"/>
    <cellStyle name="Note 7 4 3 5" xfId="21299" xr:uid="{00000000-0005-0000-0000-0000C8480000}"/>
    <cellStyle name="Note 7 4 4" xfId="4617" xr:uid="{00000000-0005-0000-0000-0000C9480000}"/>
    <cellStyle name="Note 7 4 4 2" xfId="8656" xr:uid="{00000000-0005-0000-0000-0000CA480000}"/>
    <cellStyle name="Note 7 4 4 2 2" xfId="17769" xr:uid="{00000000-0005-0000-0000-0000CB480000}"/>
    <cellStyle name="Note 7 4 4 2 2 2" xfId="32601" xr:uid="{00000000-0005-0000-0000-0000CC480000}"/>
    <cellStyle name="Note 7 4 4 2 3" xfId="24250" xr:uid="{00000000-0005-0000-0000-0000CD480000}"/>
    <cellStyle name="Note 7 4 4 3" xfId="14943" xr:uid="{00000000-0005-0000-0000-0000CE480000}"/>
    <cellStyle name="Note 7 4 4 3 2" xfId="29775" xr:uid="{00000000-0005-0000-0000-0000CF480000}"/>
    <cellStyle name="Note 7 4 4 4" xfId="11374" xr:uid="{00000000-0005-0000-0000-0000D0480000}"/>
    <cellStyle name="Note 7 4 4 4 2" xfId="26206" xr:uid="{00000000-0005-0000-0000-0000D1480000}"/>
    <cellStyle name="Note 7 4 4 5" xfId="21800" xr:uid="{00000000-0005-0000-0000-0000D2480000}"/>
    <cellStyle name="Note 7 4 5" xfId="2607" xr:uid="{00000000-0005-0000-0000-0000D3480000}"/>
    <cellStyle name="Note 7 4 5 2" xfId="6708" xr:uid="{00000000-0005-0000-0000-0000D4480000}"/>
    <cellStyle name="Note 7 4 5 2 2" xfId="16665" xr:uid="{00000000-0005-0000-0000-0000D5480000}"/>
    <cellStyle name="Note 7 4 5 2 2 2" xfId="31497" xr:uid="{00000000-0005-0000-0000-0000D6480000}"/>
    <cellStyle name="Note 7 4 5 2 3" xfId="23013" xr:uid="{00000000-0005-0000-0000-0000D7480000}"/>
    <cellStyle name="Note 7 4 5 3" xfId="12945" xr:uid="{00000000-0005-0000-0000-0000D8480000}"/>
    <cellStyle name="Note 7 4 5 3 2" xfId="27777" xr:uid="{00000000-0005-0000-0000-0000D9480000}"/>
    <cellStyle name="Note 7 4 5 4" xfId="10316" xr:uid="{00000000-0005-0000-0000-0000DA480000}"/>
    <cellStyle name="Note 7 4 5 4 2" xfId="25148" xr:uid="{00000000-0005-0000-0000-0000DB480000}"/>
    <cellStyle name="Note 7 4 5 5" xfId="20661" xr:uid="{00000000-0005-0000-0000-0000DC480000}"/>
    <cellStyle name="Note 7 4 6" xfId="5724" xr:uid="{00000000-0005-0000-0000-0000DD480000}"/>
    <cellStyle name="Note 7 4 6 2" xfId="15959" xr:uid="{00000000-0005-0000-0000-0000DE480000}"/>
    <cellStyle name="Note 7 4 6 2 2" xfId="30791" xr:uid="{00000000-0005-0000-0000-0000DF480000}"/>
    <cellStyle name="Note 7 4 6 3" xfId="22388" xr:uid="{00000000-0005-0000-0000-0000E0480000}"/>
    <cellStyle name="Note 7 4 7" xfId="11979" xr:uid="{00000000-0005-0000-0000-0000E1480000}"/>
    <cellStyle name="Note 7 4 7 2" xfId="26811" xr:uid="{00000000-0005-0000-0000-0000E2480000}"/>
    <cellStyle name="Note 7 4 8" xfId="9638" xr:uid="{00000000-0005-0000-0000-0000E3480000}"/>
    <cellStyle name="Note 7 4 8 2" xfId="19939" xr:uid="{00000000-0005-0000-0000-0000E4480000}"/>
    <cellStyle name="Note 7 5" xfId="1622" xr:uid="{00000000-0005-0000-0000-0000E5480000}"/>
    <cellStyle name="Note 7 5 2" xfId="2119" xr:uid="{00000000-0005-0000-0000-0000E6480000}"/>
    <cellStyle name="Note 7 5 2 2" xfId="3534" xr:uid="{00000000-0005-0000-0000-0000E7480000}"/>
    <cellStyle name="Note 7 5 2 2 2" xfId="7596" xr:uid="{00000000-0005-0000-0000-0000E8480000}"/>
    <cellStyle name="Note 7 5 2 2 2 2" xfId="17240" xr:uid="{00000000-0005-0000-0000-0000E9480000}"/>
    <cellStyle name="Note 7 5 2 2 2 2 2" xfId="32072" xr:uid="{00000000-0005-0000-0000-0000EA480000}"/>
    <cellStyle name="Note 7 5 2 2 2 3" xfId="23539" xr:uid="{00000000-0005-0000-0000-0000EB480000}"/>
    <cellStyle name="Note 7 5 2 2 3" xfId="13871" xr:uid="{00000000-0005-0000-0000-0000EC480000}"/>
    <cellStyle name="Note 7 5 2 2 3 2" xfId="28703" xr:uid="{00000000-0005-0000-0000-0000ED480000}"/>
    <cellStyle name="Note 7 5 2 2 4" xfId="10858" xr:uid="{00000000-0005-0000-0000-0000EE480000}"/>
    <cellStyle name="Note 7 5 2 2 4 2" xfId="25690" xr:uid="{00000000-0005-0000-0000-0000EF480000}"/>
    <cellStyle name="Note 7 5 2 2 5" xfId="21213" xr:uid="{00000000-0005-0000-0000-0000F0480000}"/>
    <cellStyle name="Note 7 5 2 3" xfId="5087" xr:uid="{00000000-0005-0000-0000-0000F1480000}"/>
    <cellStyle name="Note 7 5 2 3 2" xfId="9126" xr:uid="{00000000-0005-0000-0000-0000F2480000}"/>
    <cellStyle name="Note 7 5 2 3 2 2" xfId="18054" xr:uid="{00000000-0005-0000-0000-0000F3480000}"/>
    <cellStyle name="Note 7 5 2 3 2 2 2" xfId="32886" xr:uid="{00000000-0005-0000-0000-0000F4480000}"/>
    <cellStyle name="Note 7 5 2 3 2 3" xfId="24528" xr:uid="{00000000-0005-0000-0000-0000F5480000}"/>
    <cellStyle name="Note 7 5 2 3 3" xfId="15407" xr:uid="{00000000-0005-0000-0000-0000F6480000}"/>
    <cellStyle name="Note 7 5 2 3 3 2" xfId="30239" xr:uid="{00000000-0005-0000-0000-0000F7480000}"/>
    <cellStyle name="Note 7 5 2 3 4" xfId="11653" xr:uid="{00000000-0005-0000-0000-0000F8480000}"/>
    <cellStyle name="Note 7 5 2 3 4 2" xfId="26485" xr:uid="{00000000-0005-0000-0000-0000F9480000}"/>
    <cellStyle name="Note 7 5 2 3 5" xfId="22042" xr:uid="{00000000-0005-0000-0000-0000FA480000}"/>
    <cellStyle name="Note 7 5 2 4" xfId="3077" xr:uid="{00000000-0005-0000-0000-0000FB480000}"/>
    <cellStyle name="Note 7 5 2 4 2" xfId="7147" xr:uid="{00000000-0005-0000-0000-0000FC480000}"/>
    <cellStyle name="Note 7 5 2 4 2 2" xfId="16944" xr:uid="{00000000-0005-0000-0000-0000FD480000}"/>
    <cellStyle name="Note 7 5 2 4 2 2 2" xfId="31776" xr:uid="{00000000-0005-0000-0000-0000FE480000}"/>
    <cellStyle name="Note 7 5 2 4 2 3" xfId="23255" xr:uid="{00000000-0005-0000-0000-0000FF480000}"/>
    <cellStyle name="Note 7 5 2 4 3" xfId="13415" xr:uid="{00000000-0005-0000-0000-000000490000}"/>
    <cellStyle name="Note 7 5 2 4 3 2" xfId="28247" xr:uid="{00000000-0005-0000-0000-000001490000}"/>
    <cellStyle name="Note 7 5 2 4 4" xfId="10601" xr:uid="{00000000-0005-0000-0000-000002490000}"/>
    <cellStyle name="Note 7 5 2 4 4 2" xfId="25433" xr:uid="{00000000-0005-0000-0000-000003490000}"/>
    <cellStyle name="Note 7 5 2 4 5" xfId="20939" xr:uid="{00000000-0005-0000-0000-000004490000}"/>
    <cellStyle name="Note 7 5 2 5" xfId="6239" xr:uid="{00000000-0005-0000-0000-000005490000}"/>
    <cellStyle name="Note 7 5 2 5 2" xfId="16424" xr:uid="{00000000-0005-0000-0000-000006490000}"/>
    <cellStyle name="Note 7 5 2 5 2 2" xfId="31256" xr:uid="{00000000-0005-0000-0000-000007490000}"/>
    <cellStyle name="Note 7 5 2 5 3" xfId="22706" xr:uid="{00000000-0005-0000-0000-000008490000}"/>
    <cellStyle name="Note 7 5 2 6" xfId="12494" xr:uid="{00000000-0005-0000-0000-000009490000}"/>
    <cellStyle name="Note 7 5 2 6 2" xfId="27326" xr:uid="{00000000-0005-0000-0000-00000A490000}"/>
    <cellStyle name="Note 7 5 2 7" xfId="10076" xr:uid="{00000000-0005-0000-0000-00000B490000}"/>
    <cellStyle name="Note 7 5 2 7 2" xfId="24908" xr:uid="{00000000-0005-0000-0000-00000C490000}"/>
    <cellStyle name="Note 7 5 2 8" xfId="20385" xr:uid="{00000000-0005-0000-0000-00000D490000}"/>
    <cellStyle name="Note 7 5 3" xfId="3794" xr:uid="{00000000-0005-0000-0000-00000E490000}"/>
    <cellStyle name="Note 7 5 3 2" xfId="7849" xr:uid="{00000000-0005-0000-0000-00000F490000}"/>
    <cellStyle name="Note 7 5 3 2 2" xfId="17368" xr:uid="{00000000-0005-0000-0000-000010490000}"/>
    <cellStyle name="Note 7 5 3 2 2 2" xfId="32200" xr:uid="{00000000-0005-0000-0000-000011490000}"/>
    <cellStyle name="Note 7 5 3 2 3" xfId="23704" xr:uid="{00000000-0005-0000-0000-000012490000}"/>
    <cellStyle name="Note 7 5 3 3" xfId="14129" xr:uid="{00000000-0005-0000-0000-000013490000}"/>
    <cellStyle name="Note 7 5 3 3 2" xfId="28961" xr:uid="{00000000-0005-0000-0000-000014490000}"/>
    <cellStyle name="Note 7 5 3 4" xfId="10985" xr:uid="{00000000-0005-0000-0000-000015490000}"/>
    <cellStyle name="Note 7 5 3 4 2" xfId="25817" xr:uid="{00000000-0005-0000-0000-000016490000}"/>
    <cellStyle name="Note 7 5 3 5" xfId="21356" xr:uid="{00000000-0005-0000-0000-000017490000}"/>
    <cellStyle name="Note 7 5 4" xfId="4667" xr:uid="{00000000-0005-0000-0000-000018490000}"/>
    <cellStyle name="Note 7 5 4 2" xfId="8706" xr:uid="{00000000-0005-0000-0000-000019490000}"/>
    <cellStyle name="Note 7 5 4 2 2" xfId="17814" xr:uid="{00000000-0005-0000-0000-00001A490000}"/>
    <cellStyle name="Note 7 5 4 2 2 2" xfId="32646" xr:uid="{00000000-0005-0000-0000-00001B490000}"/>
    <cellStyle name="Note 7 5 4 2 3" xfId="24268" xr:uid="{00000000-0005-0000-0000-00001C490000}"/>
    <cellStyle name="Note 7 5 4 3" xfId="14992" xr:uid="{00000000-0005-0000-0000-00001D490000}"/>
    <cellStyle name="Note 7 5 4 3 2" xfId="29824" xr:uid="{00000000-0005-0000-0000-00001E490000}"/>
    <cellStyle name="Note 7 5 4 4" xfId="11418" xr:uid="{00000000-0005-0000-0000-00001F490000}"/>
    <cellStyle name="Note 7 5 4 4 2" xfId="26250" xr:uid="{00000000-0005-0000-0000-000020490000}"/>
    <cellStyle name="Note 7 5 4 5" xfId="21812" xr:uid="{00000000-0005-0000-0000-000021490000}"/>
    <cellStyle name="Note 7 5 5" xfId="2657" xr:uid="{00000000-0005-0000-0000-000022490000}"/>
    <cellStyle name="Note 7 5 5 2" xfId="6753" xr:uid="{00000000-0005-0000-0000-000023490000}"/>
    <cellStyle name="Note 7 5 5 2 2" xfId="16709" xr:uid="{00000000-0005-0000-0000-000024490000}"/>
    <cellStyle name="Note 7 5 5 2 2 2" xfId="31541" xr:uid="{00000000-0005-0000-0000-000025490000}"/>
    <cellStyle name="Note 7 5 5 2 3" xfId="23025" xr:uid="{00000000-0005-0000-0000-000026490000}"/>
    <cellStyle name="Note 7 5 5 3" xfId="12995" xr:uid="{00000000-0005-0000-0000-000027490000}"/>
    <cellStyle name="Note 7 5 5 3 2" xfId="27827" xr:uid="{00000000-0005-0000-0000-000028490000}"/>
    <cellStyle name="Note 7 5 5 4" xfId="10361" xr:uid="{00000000-0005-0000-0000-000029490000}"/>
    <cellStyle name="Note 7 5 5 4 2" xfId="25193" xr:uid="{00000000-0005-0000-0000-00002A490000}"/>
    <cellStyle name="Note 7 5 5 5" xfId="20679" xr:uid="{00000000-0005-0000-0000-00002B490000}"/>
    <cellStyle name="Note 7 5 6" xfId="5769" xr:uid="{00000000-0005-0000-0000-00002C490000}"/>
    <cellStyle name="Note 7 5 6 2" xfId="16003" xr:uid="{00000000-0005-0000-0000-00002D490000}"/>
    <cellStyle name="Note 7 5 6 2 2" xfId="30835" xr:uid="{00000000-0005-0000-0000-00002E490000}"/>
    <cellStyle name="Note 7 5 6 3" xfId="22400" xr:uid="{00000000-0005-0000-0000-00002F490000}"/>
    <cellStyle name="Note 7 5 7" xfId="12023" xr:uid="{00000000-0005-0000-0000-000030490000}"/>
    <cellStyle name="Note 7 5 7 2" xfId="26855" xr:uid="{00000000-0005-0000-0000-000031490000}"/>
    <cellStyle name="Note 7 5 8" xfId="9683" xr:uid="{00000000-0005-0000-0000-000032490000}"/>
    <cellStyle name="Note 7 5 8 2" xfId="19983" xr:uid="{00000000-0005-0000-0000-000033490000}"/>
    <cellStyle name="Note 7 6" xfId="1773" xr:uid="{00000000-0005-0000-0000-000034490000}"/>
    <cellStyle name="Note 7 6 2" xfId="3592" xr:uid="{00000000-0005-0000-0000-000035490000}"/>
    <cellStyle name="Note 7 6 2 2" xfId="7654" xr:uid="{00000000-0005-0000-0000-000036490000}"/>
    <cellStyle name="Note 7 6 2 2 2" xfId="17275" xr:uid="{00000000-0005-0000-0000-000037490000}"/>
    <cellStyle name="Note 7 6 2 2 2 2" xfId="32107" xr:uid="{00000000-0005-0000-0000-000038490000}"/>
    <cellStyle name="Note 7 6 2 2 3" xfId="23570" xr:uid="{00000000-0005-0000-0000-000039490000}"/>
    <cellStyle name="Note 7 6 2 3" xfId="13928" xr:uid="{00000000-0005-0000-0000-00003A490000}"/>
    <cellStyle name="Note 7 6 2 3 2" xfId="28760" xr:uid="{00000000-0005-0000-0000-00003B490000}"/>
    <cellStyle name="Note 7 6 2 4" xfId="10892" xr:uid="{00000000-0005-0000-0000-00003C490000}"/>
    <cellStyle name="Note 7 6 2 4 2" xfId="25724" xr:uid="{00000000-0005-0000-0000-00003D490000}"/>
    <cellStyle name="Note 7 6 2 5" xfId="21239" xr:uid="{00000000-0005-0000-0000-00003E490000}"/>
    <cellStyle name="Note 7 6 3" xfId="4751" xr:uid="{00000000-0005-0000-0000-00003F490000}"/>
    <cellStyle name="Note 7 6 3 2" xfId="8790" xr:uid="{00000000-0005-0000-0000-000040490000}"/>
    <cellStyle name="Note 7 6 3 2 2" xfId="17862" xr:uid="{00000000-0005-0000-0000-000041490000}"/>
    <cellStyle name="Note 7 6 3 2 2 2" xfId="32694" xr:uid="{00000000-0005-0000-0000-000042490000}"/>
    <cellStyle name="Note 7 6 3 2 3" xfId="24320" xr:uid="{00000000-0005-0000-0000-000043490000}"/>
    <cellStyle name="Note 7 6 3 3" xfId="15075" xr:uid="{00000000-0005-0000-0000-000044490000}"/>
    <cellStyle name="Note 7 6 3 3 2" xfId="29907" xr:uid="{00000000-0005-0000-0000-000045490000}"/>
    <cellStyle name="Note 7 6 3 4" xfId="11465" xr:uid="{00000000-0005-0000-0000-000046490000}"/>
    <cellStyle name="Note 7 6 3 4 2" xfId="26297" xr:uid="{00000000-0005-0000-0000-000047490000}"/>
    <cellStyle name="Note 7 6 3 5" xfId="21858" xr:uid="{00000000-0005-0000-0000-000048490000}"/>
    <cellStyle name="Note 7 6 4" xfId="2741" xr:uid="{00000000-0005-0000-0000-000049490000}"/>
    <cellStyle name="Note 7 6 4 2" xfId="6832" xr:uid="{00000000-0005-0000-0000-00004A490000}"/>
    <cellStyle name="Note 7 6 4 2 2" xfId="16756" xr:uid="{00000000-0005-0000-0000-00004B490000}"/>
    <cellStyle name="Note 7 6 4 2 2 2" xfId="31588" xr:uid="{00000000-0005-0000-0000-00004C490000}"/>
    <cellStyle name="Note 7 6 4 2 3" xfId="23071" xr:uid="{00000000-0005-0000-0000-00004D490000}"/>
    <cellStyle name="Note 7 6 4 3" xfId="13079" xr:uid="{00000000-0005-0000-0000-00004E490000}"/>
    <cellStyle name="Note 7 6 4 3 2" xfId="27911" xr:uid="{00000000-0005-0000-0000-00004F490000}"/>
    <cellStyle name="Note 7 6 4 4" xfId="10409" xr:uid="{00000000-0005-0000-0000-000050490000}"/>
    <cellStyle name="Note 7 6 4 4 2" xfId="25241" xr:uid="{00000000-0005-0000-0000-000051490000}"/>
    <cellStyle name="Note 7 6 4 5" xfId="20731" xr:uid="{00000000-0005-0000-0000-000052490000}"/>
    <cellStyle name="Note 7 6 5" xfId="5905" xr:uid="{00000000-0005-0000-0000-000053490000}"/>
    <cellStyle name="Note 7 6 5 2" xfId="16097" xr:uid="{00000000-0005-0000-0000-000054490000}"/>
    <cellStyle name="Note 7 6 5 2 2" xfId="30929" xr:uid="{00000000-0005-0000-0000-000055490000}"/>
    <cellStyle name="Note 7 6 5 3" xfId="22502" xr:uid="{00000000-0005-0000-0000-000056490000}"/>
    <cellStyle name="Note 7 6 6" xfId="12167" xr:uid="{00000000-0005-0000-0000-000057490000}"/>
    <cellStyle name="Note 7 6 6 2" xfId="26999" xr:uid="{00000000-0005-0000-0000-000058490000}"/>
    <cellStyle name="Note 7 6 7" xfId="9763" xr:uid="{00000000-0005-0000-0000-000059490000}"/>
    <cellStyle name="Note 7 6 7 2" xfId="24720" xr:uid="{00000000-0005-0000-0000-00005A490000}"/>
    <cellStyle name="Note 7 6 8" xfId="20310" xr:uid="{00000000-0005-0000-0000-00005B490000}"/>
    <cellStyle name="Note 7 7" xfId="2193" xr:uid="{00000000-0005-0000-0000-00005C490000}"/>
    <cellStyle name="Note 7 7 2" xfId="3801" xr:uid="{00000000-0005-0000-0000-00005D490000}"/>
    <cellStyle name="Note 7 7 2 2" xfId="7856" xr:uid="{00000000-0005-0000-0000-00005E490000}"/>
    <cellStyle name="Note 7 7 2 2 2" xfId="17371" xr:uid="{00000000-0005-0000-0000-00005F490000}"/>
    <cellStyle name="Note 7 7 2 2 2 2" xfId="32203" xr:uid="{00000000-0005-0000-0000-000060490000}"/>
    <cellStyle name="Note 7 7 2 2 3" xfId="23709" xr:uid="{00000000-0005-0000-0000-000061490000}"/>
    <cellStyle name="Note 7 7 2 3" xfId="14136" xr:uid="{00000000-0005-0000-0000-000062490000}"/>
    <cellStyle name="Note 7 7 2 3 2" xfId="28968" xr:uid="{00000000-0005-0000-0000-000063490000}"/>
    <cellStyle name="Note 7 7 2 4" xfId="10988" xr:uid="{00000000-0005-0000-0000-000064490000}"/>
    <cellStyle name="Note 7 7 2 4 2" xfId="25820" xr:uid="{00000000-0005-0000-0000-000065490000}"/>
    <cellStyle name="Note 7 7 2 5" xfId="21360" xr:uid="{00000000-0005-0000-0000-000066490000}"/>
    <cellStyle name="Note 7 7 3" xfId="5161" xr:uid="{00000000-0005-0000-0000-000067490000}"/>
    <cellStyle name="Note 7 7 3 2" xfId="9200" xr:uid="{00000000-0005-0000-0000-000068490000}"/>
    <cellStyle name="Note 7 7 3 2 2" xfId="18123" xr:uid="{00000000-0005-0000-0000-000069490000}"/>
    <cellStyle name="Note 7 7 3 2 2 2" xfId="32955" xr:uid="{00000000-0005-0000-0000-00006A490000}"/>
    <cellStyle name="Note 7 7 3 2 3" xfId="24538" xr:uid="{00000000-0005-0000-0000-00006B490000}"/>
    <cellStyle name="Note 7 7 3 3" xfId="15479" xr:uid="{00000000-0005-0000-0000-00006C490000}"/>
    <cellStyle name="Note 7 7 3 3 2" xfId="30311" xr:uid="{00000000-0005-0000-0000-00006D490000}"/>
    <cellStyle name="Note 7 7 3 4" xfId="11720" xr:uid="{00000000-0005-0000-0000-00006E490000}"/>
    <cellStyle name="Note 7 7 3 4 2" xfId="26552" xr:uid="{00000000-0005-0000-0000-00006F490000}"/>
    <cellStyle name="Note 7 7 3 5" xfId="22045" xr:uid="{00000000-0005-0000-0000-000070490000}"/>
    <cellStyle name="Note 7 7 4" xfId="4191" xr:uid="{00000000-0005-0000-0000-000071490000}"/>
    <cellStyle name="Note 7 7 4 2" xfId="8232" xr:uid="{00000000-0005-0000-0000-000072490000}"/>
    <cellStyle name="Note 7 7 4 2 2" xfId="17579" xr:uid="{00000000-0005-0000-0000-000073490000}"/>
    <cellStyle name="Note 7 7 4 2 2 2" xfId="32411" xr:uid="{00000000-0005-0000-0000-000074490000}"/>
    <cellStyle name="Note 7 7 4 2 3" xfId="23927" xr:uid="{00000000-0005-0000-0000-000075490000}"/>
    <cellStyle name="Note 7 7 4 3" xfId="14523" xr:uid="{00000000-0005-0000-0000-000076490000}"/>
    <cellStyle name="Note 7 7 4 3 2" xfId="29355" xr:uid="{00000000-0005-0000-0000-000077490000}"/>
    <cellStyle name="Note 7 7 4 4" xfId="11199" xr:uid="{00000000-0005-0000-0000-000078490000}"/>
    <cellStyle name="Note 7 7 4 4 2" xfId="26031" xr:uid="{00000000-0005-0000-0000-000079490000}"/>
    <cellStyle name="Note 7 7 4 5" xfId="21552" xr:uid="{00000000-0005-0000-0000-00007A490000}"/>
    <cellStyle name="Note 7 7 5" xfId="6307" xr:uid="{00000000-0005-0000-0000-00007B490000}"/>
    <cellStyle name="Note 7 7 5 2" xfId="16491" xr:uid="{00000000-0005-0000-0000-00007C490000}"/>
    <cellStyle name="Note 7 7 5 2 2" xfId="31323" xr:uid="{00000000-0005-0000-0000-00007D490000}"/>
    <cellStyle name="Note 7 7 5 3" xfId="22709" xr:uid="{00000000-0005-0000-0000-00007E490000}"/>
    <cellStyle name="Note 7 7 6" xfId="12561" xr:uid="{00000000-0005-0000-0000-00007F490000}"/>
    <cellStyle name="Note 7 7 6 2" xfId="27393" xr:uid="{00000000-0005-0000-0000-000080490000}"/>
    <cellStyle name="Note 7 7 7" xfId="10143" xr:uid="{00000000-0005-0000-0000-000081490000}"/>
    <cellStyle name="Note 7 7 7 2" xfId="24975" xr:uid="{00000000-0005-0000-0000-000082490000}"/>
    <cellStyle name="Note 7 7 8" xfId="20388" xr:uid="{00000000-0005-0000-0000-000083490000}"/>
    <cellStyle name="Note 7 8" xfId="3298" xr:uid="{00000000-0005-0000-0000-000084490000}"/>
    <cellStyle name="Note 7 8 2" xfId="7362" xr:uid="{00000000-0005-0000-0000-000085490000}"/>
    <cellStyle name="Note 7 8 2 2" xfId="17103" xr:uid="{00000000-0005-0000-0000-000086490000}"/>
    <cellStyle name="Note 7 8 2 2 2" xfId="31935" xr:uid="{00000000-0005-0000-0000-000087490000}"/>
    <cellStyle name="Note 7 8 2 3" xfId="23385" xr:uid="{00000000-0005-0000-0000-000088490000}"/>
    <cellStyle name="Note 7 8 3" xfId="13635" xr:uid="{00000000-0005-0000-0000-000089490000}"/>
    <cellStyle name="Note 7 8 3 2" xfId="28467" xr:uid="{00000000-0005-0000-0000-00008A490000}"/>
    <cellStyle name="Note 7 8 4" xfId="10727" xr:uid="{00000000-0005-0000-0000-00008B490000}"/>
    <cellStyle name="Note 7 8 4 2" xfId="25559" xr:uid="{00000000-0005-0000-0000-00008C490000}"/>
    <cellStyle name="Note 7 8 5" xfId="21072" xr:uid="{00000000-0005-0000-0000-00008D490000}"/>
    <cellStyle name="Note 7 9" xfId="3344" xr:uid="{00000000-0005-0000-0000-00008E490000}"/>
    <cellStyle name="Note 7 9 2" xfId="7407" xr:uid="{00000000-0005-0000-0000-00008F490000}"/>
    <cellStyle name="Note 7 9 2 2" xfId="17135" xr:uid="{00000000-0005-0000-0000-000090490000}"/>
    <cellStyle name="Note 7 9 2 2 2" xfId="31967" xr:uid="{00000000-0005-0000-0000-000091490000}"/>
    <cellStyle name="Note 7 9 2 3" xfId="23412" xr:uid="{00000000-0005-0000-0000-000092490000}"/>
    <cellStyle name="Note 7 9 3" xfId="13681" xr:uid="{00000000-0005-0000-0000-000093490000}"/>
    <cellStyle name="Note 7 9 3 2" xfId="28513" xr:uid="{00000000-0005-0000-0000-000094490000}"/>
    <cellStyle name="Note 7 9 4" xfId="10754" xr:uid="{00000000-0005-0000-0000-000095490000}"/>
    <cellStyle name="Note 7 9 4 2" xfId="25586" xr:uid="{00000000-0005-0000-0000-000096490000}"/>
    <cellStyle name="Note 7 9 5" xfId="21099" xr:uid="{00000000-0005-0000-0000-000097490000}"/>
    <cellStyle name="Note 8" xfId="1229" xr:uid="{00000000-0005-0000-0000-000098490000}"/>
    <cellStyle name="Note 8 10" xfId="2315" xr:uid="{00000000-0005-0000-0000-000099490000}"/>
    <cellStyle name="Note 8 10 2" xfId="6427" xr:uid="{00000000-0005-0000-0000-00009A490000}"/>
    <cellStyle name="Note 8 10 2 2" xfId="16520" xr:uid="{00000000-0005-0000-0000-00009B490000}"/>
    <cellStyle name="Note 8 10 2 2 2" xfId="31352" xr:uid="{00000000-0005-0000-0000-00009C490000}"/>
    <cellStyle name="Note 8 10 2 3" xfId="22829" xr:uid="{00000000-0005-0000-0000-00009D490000}"/>
    <cellStyle name="Note 8 10 3" xfId="12655" xr:uid="{00000000-0005-0000-0000-00009E490000}"/>
    <cellStyle name="Note 8 10 3 2" xfId="27487" xr:uid="{00000000-0005-0000-0000-00009F490000}"/>
    <cellStyle name="Note 8 10 4" xfId="10171" xr:uid="{00000000-0005-0000-0000-0000A0490000}"/>
    <cellStyle name="Note 8 10 4 2" xfId="25003" xr:uid="{00000000-0005-0000-0000-0000A1490000}"/>
    <cellStyle name="Note 8 10 5" xfId="20478" xr:uid="{00000000-0005-0000-0000-0000A2490000}"/>
    <cellStyle name="Note 8 11" xfId="5278" xr:uid="{00000000-0005-0000-0000-0000A3490000}"/>
    <cellStyle name="Note 8 11 2" xfId="9286" xr:uid="{00000000-0005-0000-0000-0000A4490000}"/>
    <cellStyle name="Note 8 11 2 2" xfId="18153" xr:uid="{00000000-0005-0000-0000-0000A5490000}"/>
    <cellStyle name="Note 8 11 2 2 2" xfId="32985" xr:uid="{00000000-0005-0000-0000-0000A6490000}"/>
    <cellStyle name="Note 8 11 2 3" xfId="24624" xr:uid="{00000000-0005-0000-0000-0000A7490000}"/>
    <cellStyle name="Note 8 11 3" xfId="15594" xr:uid="{00000000-0005-0000-0000-0000A8490000}"/>
    <cellStyle name="Note 8 11 3 2" xfId="30426" xr:uid="{00000000-0005-0000-0000-0000A9490000}"/>
    <cellStyle name="Note 8 11 4" xfId="22135" xr:uid="{00000000-0005-0000-0000-0000AA490000}"/>
    <cellStyle name="Note 8 12" xfId="5436" xr:uid="{00000000-0005-0000-0000-0000AB490000}"/>
    <cellStyle name="Note 8 12 2" xfId="15672" xr:uid="{00000000-0005-0000-0000-0000AC490000}"/>
    <cellStyle name="Note 8 12 2 2" xfId="30504" xr:uid="{00000000-0005-0000-0000-0000AD490000}"/>
    <cellStyle name="Note 8 12 3" xfId="22197" xr:uid="{00000000-0005-0000-0000-0000AE490000}"/>
    <cellStyle name="Note 8 13" xfId="9355" xr:uid="{00000000-0005-0000-0000-0000AF490000}"/>
    <cellStyle name="Note 8 13 2" xfId="24661" xr:uid="{00000000-0005-0000-0000-0000B0490000}"/>
    <cellStyle name="Note 8 14" xfId="5344" xr:uid="{00000000-0005-0000-0000-0000B1490000}"/>
    <cellStyle name="Note 8 14 2" xfId="18218" xr:uid="{00000000-0005-0000-0000-0000B2490000}"/>
    <cellStyle name="Note 8 2" xfId="1348" xr:uid="{00000000-0005-0000-0000-0000B3490000}"/>
    <cellStyle name="Note 8 2 2" xfId="1852" xr:uid="{00000000-0005-0000-0000-0000B4490000}"/>
    <cellStyle name="Note 8 2 2 2" xfId="4142" xr:uid="{00000000-0005-0000-0000-0000B5490000}"/>
    <cellStyle name="Note 8 2 2 2 2" xfId="8186" xr:uid="{00000000-0005-0000-0000-0000B6490000}"/>
    <cellStyle name="Note 8 2 2 2 2 2" xfId="17541" xr:uid="{00000000-0005-0000-0000-0000B7490000}"/>
    <cellStyle name="Note 8 2 2 2 2 2 2" xfId="32373" xr:uid="{00000000-0005-0000-0000-0000B8490000}"/>
    <cellStyle name="Note 8 2 2 2 2 3" xfId="23915" xr:uid="{00000000-0005-0000-0000-0000B9490000}"/>
    <cellStyle name="Note 8 2 2 2 3" xfId="14474" xr:uid="{00000000-0005-0000-0000-0000BA490000}"/>
    <cellStyle name="Note 8 2 2 2 3 2" xfId="29306" xr:uid="{00000000-0005-0000-0000-0000BB490000}"/>
    <cellStyle name="Note 8 2 2 2 4" xfId="11159" xr:uid="{00000000-0005-0000-0000-0000BC490000}"/>
    <cellStyle name="Note 8 2 2 2 4 2" xfId="25991" xr:uid="{00000000-0005-0000-0000-0000BD490000}"/>
    <cellStyle name="Note 8 2 2 2 5" xfId="21542" xr:uid="{00000000-0005-0000-0000-0000BE490000}"/>
    <cellStyle name="Note 8 2 2 3" xfId="4830" xr:uid="{00000000-0005-0000-0000-0000BF490000}"/>
    <cellStyle name="Note 8 2 2 3 2" xfId="8869" xr:uid="{00000000-0005-0000-0000-0000C0490000}"/>
    <cellStyle name="Note 8 2 2 3 2 2" xfId="17910" xr:uid="{00000000-0005-0000-0000-0000C1490000}"/>
    <cellStyle name="Note 8 2 2 3 2 2 2" xfId="32742" xr:uid="{00000000-0005-0000-0000-0000C2490000}"/>
    <cellStyle name="Note 8 2 2 3 2 3" xfId="24367" xr:uid="{00000000-0005-0000-0000-0000C3490000}"/>
    <cellStyle name="Note 8 2 2 3 3" xfId="15154" xr:uid="{00000000-0005-0000-0000-0000C4490000}"/>
    <cellStyle name="Note 8 2 2 3 3 2" xfId="29986" xr:uid="{00000000-0005-0000-0000-0000C5490000}"/>
    <cellStyle name="Note 8 2 2 3 4" xfId="11513" xr:uid="{00000000-0005-0000-0000-0000C6490000}"/>
    <cellStyle name="Note 8 2 2 3 4 2" xfId="26345" xr:uid="{00000000-0005-0000-0000-0000C7490000}"/>
    <cellStyle name="Note 8 2 2 3 5" xfId="21905" xr:uid="{00000000-0005-0000-0000-0000C8490000}"/>
    <cellStyle name="Note 8 2 2 4" xfId="2820" xr:uid="{00000000-0005-0000-0000-0000C9490000}"/>
    <cellStyle name="Note 8 2 2 4 2" xfId="6911" xr:uid="{00000000-0005-0000-0000-0000CA490000}"/>
    <cellStyle name="Note 8 2 2 4 2 2" xfId="16804" xr:uid="{00000000-0005-0000-0000-0000CB490000}"/>
    <cellStyle name="Note 8 2 2 4 2 2 2" xfId="31636" xr:uid="{00000000-0005-0000-0000-0000CC490000}"/>
    <cellStyle name="Note 8 2 2 4 2 3" xfId="23118" xr:uid="{00000000-0005-0000-0000-0000CD490000}"/>
    <cellStyle name="Note 8 2 2 4 3" xfId="13158" xr:uid="{00000000-0005-0000-0000-0000CE490000}"/>
    <cellStyle name="Note 8 2 2 4 3 2" xfId="27990" xr:uid="{00000000-0005-0000-0000-0000CF490000}"/>
    <cellStyle name="Note 8 2 2 4 4" xfId="10457" xr:uid="{00000000-0005-0000-0000-0000D0490000}"/>
    <cellStyle name="Note 8 2 2 4 4 2" xfId="25289" xr:uid="{00000000-0005-0000-0000-0000D1490000}"/>
    <cellStyle name="Note 8 2 2 4 5" xfId="20778" xr:uid="{00000000-0005-0000-0000-0000D2490000}"/>
    <cellStyle name="Note 8 2 2 5" xfId="5984" xr:uid="{00000000-0005-0000-0000-0000D3490000}"/>
    <cellStyle name="Note 8 2 2 5 2" xfId="16176" xr:uid="{00000000-0005-0000-0000-0000D4490000}"/>
    <cellStyle name="Note 8 2 2 5 2 2" xfId="31008" xr:uid="{00000000-0005-0000-0000-0000D5490000}"/>
    <cellStyle name="Note 8 2 2 5 3" xfId="22549" xr:uid="{00000000-0005-0000-0000-0000D6490000}"/>
    <cellStyle name="Note 8 2 2 6" xfId="12246" xr:uid="{00000000-0005-0000-0000-0000D7490000}"/>
    <cellStyle name="Note 8 2 2 6 2" xfId="27078" xr:uid="{00000000-0005-0000-0000-0000D8490000}"/>
    <cellStyle name="Note 8 2 2 7" xfId="9842" xr:uid="{00000000-0005-0000-0000-0000D9490000}"/>
    <cellStyle name="Note 8 2 2 7 2" xfId="24768" xr:uid="{00000000-0005-0000-0000-0000DA490000}"/>
    <cellStyle name="Note 8 2 2 8" xfId="20326" xr:uid="{00000000-0005-0000-0000-0000DB490000}"/>
    <cellStyle name="Note 8 2 3" xfId="3791" xr:uid="{00000000-0005-0000-0000-0000DC490000}"/>
    <cellStyle name="Note 8 2 3 2" xfId="7846" xr:uid="{00000000-0005-0000-0000-0000DD490000}"/>
    <cellStyle name="Note 8 2 3 2 2" xfId="17366" xr:uid="{00000000-0005-0000-0000-0000DE490000}"/>
    <cellStyle name="Note 8 2 3 2 2 2" xfId="32198" xr:uid="{00000000-0005-0000-0000-0000DF490000}"/>
    <cellStyle name="Note 8 2 3 2 3" xfId="23701" xr:uid="{00000000-0005-0000-0000-0000E0490000}"/>
    <cellStyle name="Note 8 2 3 3" xfId="14126" xr:uid="{00000000-0005-0000-0000-0000E1490000}"/>
    <cellStyle name="Note 8 2 3 3 2" xfId="28958" xr:uid="{00000000-0005-0000-0000-0000E2490000}"/>
    <cellStyle name="Note 8 2 3 4" xfId="10983" xr:uid="{00000000-0005-0000-0000-0000E3490000}"/>
    <cellStyle name="Note 8 2 3 4 2" xfId="25815" xr:uid="{00000000-0005-0000-0000-0000E4490000}"/>
    <cellStyle name="Note 8 2 3 5" xfId="21353" xr:uid="{00000000-0005-0000-0000-0000E5490000}"/>
    <cellStyle name="Note 8 2 4" xfId="4410" xr:uid="{00000000-0005-0000-0000-0000E6490000}"/>
    <cellStyle name="Note 8 2 4 2" xfId="8449" xr:uid="{00000000-0005-0000-0000-0000E7490000}"/>
    <cellStyle name="Note 8 2 4 2 2" xfId="17670" xr:uid="{00000000-0005-0000-0000-0000E8490000}"/>
    <cellStyle name="Note 8 2 4 2 2 2" xfId="32502" xr:uid="{00000000-0005-0000-0000-0000E9490000}"/>
    <cellStyle name="Note 8 2 4 2 3" xfId="24107" xr:uid="{00000000-0005-0000-0000-0000EA490000}"/>
    <cellStyle name="Note 8 2 4 3" xfId="14739" xr:uid="{00000000-0005-0000-0000-0000EB490000}"/>
    <cellStyle name="Note 8 2 4 3 2" xfId="29571" xr:uid="{00000000-0005-0000-0000-0000EC490000}"/>
    <cellStyle name="Note 8 2 4 4" xfId="11278" xr:uid="{00000000-0005-0000-0000-0000ED490000}"/>
    <cellStyle name="Note 8 2 4 4 2" xfId="26110" xr:uid="{00000000-0005-0000-0000-0000EE490000}"/>
    <cellStyle name="Note 8 2 4 5" xfId="21675" xr:uid="{00000000-0005-0000-0000-0000EF490000}"/>
    <cellStyle name="Note 8 2 5" xfId="2400" xr:uid="{00000000-0005-0000-0000-0000F0490000}"/>
    <cellStyle name="Note 8 2 5 2" xfId="6512" xr:uid="{00000000-0005-0000-0000-0000F1490000}"/>
    <cellStyle name="Note 8 2 5 2 2" xfId="16568" xr:uid="{00000000-0005-0000-0000-0000F2490000}"/>
    <cellStyle name="Note 8 2 5 2 2 2" xfId="31400" xr:uid="{00000000-0005-0000-0000-0000F3490000}"/>
    <cellStyle name="Note 8 2 5 2 3" xfId="22882" xr:uid="{00000000-0005-0000-0000-0000F4490000}"/>
    <cellStyle name="Note 8 2 5 3" xfId="12739" xr:uid="{00000000-0005-0000-0000-0000F5490000}"/>
    <cellStyle name="Note 8 2 5 3 2" xfId="27571" xr:uid="{00000000-0005-0000-0000-0000F6490000}"/>
    <cellStyle name="Note 8 2 5 4" xfId="10218" xr:uid="{00000000-0005-0000-0000-0000F7490000}"/>
    <cellStyle name="Note 8 2 5 4 2" xfId="25050" xr:uid="{00000000-0005-0000-0000-0000F8490000}"/>
    <cellStyle name="Note 8 2 5 5" xfId="20524" xr:uid="{00000000-0005-0000-0000-0000F9490000}"/>
    <cellStyle name="Note 8 2 6" xfId="5525" xr:uid="{00000000-0005-0000-0000-0000FA490000}"/>
    <cellStyle name="Note 8 2 6 2" xfId="15760" xr:uid="{00000000-0005-0000-0000-0000FB490000}"/>
    <cellStyle name="Note 8 2 6 2 2" xfId="30592" xr:uid="{00000000-0005-0000-0000-0000FC490000}"/>
    <cellStyle name="Note 8 2 6 3" xfId="22253" xr:uid="{00000000-0005-0000-0000-0000FD490000}"/>
    <cellStyle name="Note 8 2 7" xfId="11775" xr:uid="{00000000-0005-0000-0000-0000FE490000}"/>
    <cellStyle name="Note 8 2 7 2" xfId="26607" xr:uid="{00000000-0005-0000-0000-0000FF490000}"/>
    <cellStyle name="Note 8 2 8" xfId="9446" xr:uid="{00000000-0005-0000-0000-0000004A0000}"/>
    <cellStyle name="Note 8 2 8 2" xfId="19750" xr:uid="{00000000-0005-0000-0000-0000014A0000}"/>
    <cellStyle name="Note 8 3" xfId="1518" xr:uid="{00000000-0005-0000-0000-0000024A0000}"/>
    <cellStyle name="Note 8 3 2" xfId="2015" xr:uid="{00000000-0005-0000-0000-0000034A0000}"/>
    <cellStyle name="Note 8 3 2 2" xfId="3954" xr:uid="{00000000-0005-0000-0000-0000044A0000}"/>
    <cellStyle name="Note 8 3 2 2 2" xfId="8004" xr:uid="{00000000-0005-0000-0000-0000054A0000}"/>
    <cellStyle name="Note 8 3 2 2 2 2" xfId="17446" xr:uid="{00000000-0005-0000-0000-0000064A0000}"/>
    <cellStyle name="Note 8 3 2 2 2 2 2" xfId="32278" xr:uid="{00000000-0005-0000-0000-0000074A0000}"/>
    <cellStyle name="Note 8 3 2 2 2 3" xfId="23802" xr:uid="{00000000-0005-0000-0000-0000084A0000}"/>
    <cellStyle name="Note 8 3 2 2 3" xfId="14287" xr:uid="{00000000-0005-0000-0000-0000094A0000}"/>
    <cellStyle name="Note 8 3 2 2 3 2" xfId="29119" xr:uid="{00000000-0005-0000-0000-00000A4A0000}"/>
    <cellStyle name="Note 8 3 2 2 4" xfId="11061" xr:uid="{00000000-0005-0000-0000-00000B4A0000}"/>
    <cellStyle name="Note 8 3 2 2 4 2" xfId="25893" xr:uid="{00000000-0005-0000-0000-00000C4A0000}"/>
    <cellStyle name="Note 8 3 2 2 5" xfId="21444" xr:uid="{00000000-0005-0000-0000-00000D4A0000}"/>
    <cellStyle name="Note 8 3 2 3" xfId="4983" xr:uid="{00000000-0005-0000-0000-00000E4A0000}"/>
    <cellStyle name="Note 8 3 2 3 2" xfId="9022" xr:uid="{00000000-0005-0000-0000-00000F4A0000}"/>
    <cellStyle name="Note 8 3 2 3 2 2" xfId="17960" xr:uid="{00000000-0005-0000-0000-0000104A0000}"/>
    <cellStyle name="Note 8 3 2 3 2 2 2" xfId="32792" xr:uid="{00000000-0005-0000-0000-0000114A0000}"/>
    <cellStyle name="Note 8 3 2 3 2 3" xfId="24488" xr:uid="{00000000-0005-0000-0000-0000124A0000}"/>
    <cellStyle name="Note 8 3 2 3 3" xfId="15305" xr:uid="{00000000-0005-0000-0000-0000134A0000}"/>
    <cellStyle name="Note 8 3 2 3 3 2" xfId="30137" xr:uid="{00000000-0005-0000-0000-0000144A0000}"/>
    <cellStyle name="Note 8 3 2 3 4" xfId="11561" xr:uid="{00000000-0005-0000-0000-0000154A0000}"/>
    <cellStyle name="Note 8 3 2 3 4 2" xfId="26393" xr:uid="{00000000-0005-0000-0000-0000164A0000}"/>
    <cellStyle name="Note 8 3 2 3 5" xfId="22014" xr:uid="{00000000-0005-0000-0000-0000174A0000}"/>
    <cellStyle name="Note 8 3 2 4" xfId="2973" xr:uid="{00000000-0005-0000-0000-0000184A0000}"/>
    <cellStyle name="Note 8 3 2 4 2" xfId="7053" xr:uid="{00000000-0005-0000-0000-0000194A0000}"/>
    <cellStyle name="Note 8 3 2 4 2 2" xfId="16852" xr:uid="{00000000-0005-0000-0000-00001A4A0000}"/>
    <cellStyle name="Note 8 3 2 4 2 2 2" xfId="31684" xr:uid="{00000000-0005-0000-0000-00001B4A0000}"/>
    <cellStyle name="Note 8 3 2 4 2 3" xfId="23227" xr:uid="{00000000-0005-0000-0000-00001C4A0000}"/>
    <cellStyle name="Note 8 3 2 4 3" xfId="13311" xr:uid="{00000000-0005-0000-0000-00001D4A0000}"/>
    <cellStyle name="Note 8 3 2 4 3 2" xfId="28143" xr:uid="{00000000-0005-0000-0000-00001E4A0000}"/>
    <cellStyle name="Note 8 3 2 4 4" xfId="10507" xr:uid="{00000000-0005-0000-0000-00001F4A0000}"/>
    <cellStyle name="Note 8 3 2 4 4 2" xfId="25339" xr:uid="{00000000-0005-0000-0000-0000204A0000}"/>
    <cellStyle name="Note 8 3 2 4 5" xfId="20899" xr:uid="{00000000-0005-0000-0000-0000214A0000}"/>
    <cellStyle name="Note 8 3 2 5" xfId="6145" xr:uid="{00000000-0005-0000-0000-0000224A0000}"/>
    <cellStyle name="Note 8 3 2 5 2" xfId="16332" xr:uid="{00000000-0005-0000-0000-0000234A0000}"/>
    <cellStyle name="Note 8 3 2 5 2 2" xfId="31164" xr:uid="{00000000-0005-0000-0000-0000244A0000}"/>
    <cellStyle name="Note 8 3 2 5 3" xfId="22678" xr:uid="{00000000-0005-0000-0000-0000254A0000}"/>
    <cellStyle name="Note 8 3 2 6" xfId="12402" xr:uid="{00000000-0005-0000-0000-0000264A0000}"/>
    <cellStyle name="Note 8 3 2 6 2" xfId="27234" xr:uid="{00000000-0005-0000-0000-0000274A0000}"/>
    <cellStyle name="Note 8 3 2 7" xfId="9984" xr:uid="{00000000-0005-0000-0000-0000284A0000}"/>
    <cellStyle name="Note 8 3 2 7 2" xfId="24816" xr:uid="{00000000-0005-0000-0000-0000294A0000}"/>
    <cellStyle name="Note 8 3 2 8" xfId="20357" xr:uid="{00000000-0005-0000-0000-00002A4A0000}"/>
    <cellStyle name="Note 8 3 3" xfId="3177" xr:uid="{00000000-0005-0000-0000-00002B4A0000}"/>
    <cellStyle name="Note 8 3 3 2" xfId="7241" xr:uid="{00000000-0005-0000-0000-00002C4A0000}"/>
    <cellStyle name="Note 8 3 3 2 2" xfId="17015" xr:uid="{00000000-0005-0000-0000-00002D4A0000}"/>
    <cellStyle name="Note 8 3 3 2 2 2" xfId="31847" xr:uid="{00000000-0005-0000-0000-00002E4A0000}"/>
    <cellStyle name="Note 8 3 3 2 3" xfId="23299" xr:uid="{00000000-0005-0000-0000-00002F4A0000}"/>
    <cellStyle name="Note 8 3 3 3" xfId="13515" xr:uid="{00000000-0005-0000-0000-0000304A0000}"/>
    <cellStyle name="Note 8 3 3 3 2" xfId="28347" xr:uid="{00000000-0005-0000-0000-0000314A0000}"/>
    <cellStyle name="Note 8 3 3 4" xfId="10665" xr:uid="{00000000-0005-0000-0000-0000324A0000}"/>
    <cellStyle name="Note 8 3 3 4 2" xfId="25497" xr:uid="{00000000-0005-0000-0000-0000334A0000}"/>
    <cellStyle name="Note 8 3 3 5" xfId="20989" xr:uid="{00000000-0005-0000-0000-0000344A0000}"/>
    <cellStyle name="Note 8 3 4" xfId="4563" xr:uid="{00000000-0005-0000-0000-0000354A0000}"/>
    <cellStyle name="Note 8 3 4 2" xfId="8602" xr:uid="{00000000-0005-0000-0000-0000364A0000}"/>
    <cellStyle name="Note 8 3 4 2 2" xfId="17720" xr:uid="{00000000-0005-0000-0000-0000374A0000}"/>
    <cellStyle name="Note 8 3 4 2 2 2" xfId="32552" xr:uid="{00000000-0005-0000-0000-0000384A0000}"/>
    <cellStyle name="Note 8 3 4 2 3" xfId="24228" xr:uid="{00000000-0005-0000-0000-0000394A0000}"/>
    <cellStyle name="Note 8 3 4 3" xfId="14890" xr:uid="{00000000-0005-0000-0000-00003A4A0000}"/>
    <cellStyle name="Note 8 3 4 3 2" xfId="29722" xr:uid="{00000000-0005-0000-0000-00003B4A0000}"/>
    <cellStyle name="Note 8 3 4 4" xfId="11326" xr:uid="{00000000-0005-0000-0000-00003C4A0000}"/>
    <cellStyle name="Note 8 3 4 4 2" xfId="26158" xr:uid="{00000000-0005-0000-0000-00003D4A0000}"/>
    <cellStyle name="Note 8 3 4 5" xfId="21784" xr:uid="{00000000-0005-0000-0000-00003E4A0000}"/>
    <cellStyle name="Note 8 3 5" xfId="2553" xr:uid="{00000000-0005-0000-0000-00003F4A0000}"/>
    <cellStyle name="Note 8 3 5 2" xfId="6659" xr:uid="{00000000-0005-0000-0000-0000404A0000}"/>
    <cellStyle name="Note 8 3 5 2 2" xfId="16617" xr:uid="{00000000-0005-0000-0000-0000414A0000}"/>
    <cellStyle name="Note 8 3 5 2 2 2" xfId="31449" xr:uid="{00000000-0005-0000-0000-0000424A0000}"/>
    <cellStyle name="Note 8 3 5 2 3" xfId="22997" xr:uid="{00000000-0005-0000-0000-0000434A0000}"/>
    <cellStyle name="Note 8 3 5 3" xfId="12891" xr:uid="{00000000-0005-0000-0000-0000444A0000}"/>
    <cellStyle name="Note 8 3 5 3 2" xfId="27723" xr:uid="{00000000-0005-0000-0000-0000454A0000}"/>
    <cellStyle name="Note 8 3 5 4" xfId="10267" xr:uid="{00000000-0005-0000-0000-0000464A0000}"/>
    <cellStyle name="Note 8 3 5 4 2" xfId="25099" xr:uid="{00000000-0005-0000-0000-0000474A0000}"/>
    <cellStyle name="Note 8 3 5 5" xfId="20639" xr:uid="{00000000-0005-0000-0000-0000484A0000}"/>
    <cellStyle name="Note 8 3 6" xfId="5676" xr:uid="{00000000-0005-0000-0000-0000494A0000}"/>
    <cellStyle name="Note 8 3 6 2" xfId="15911" xr:uid="{00000000-0005-0000-0000-00004A4A0000}"/>
    <cellStyle name="Note 8 3 6 2 2" xfId="30743" xr:uid="{00000000-0005-0000-0000-00004B4A0000}"/>
    <cellStyle name="Note 8 3 6 3" xfId="22372" xr:uid="{00000000-0005-0000-0000-00004C4A0000}"/>
    <cellStyle name="Note 8 3 7" xfId="11931" xr:uid="{00000000-0005-0000-0000-00004D4A0000}"/>
    <cellStyle name="Note 8 3 7 2" xfId="26763" xr:uid="{00000000-0005-0000-0000-00004E4A0000}"/>
    <cellStyle name="Note 8 3 8" xfId="9589" xr:uid="{00000000-0005-0000-0000-00004F4A0000}"/>
    <cellStyle name="Note 8 3 8 2" xfId="19891" xr:uid="{00000000-0005-0000-0000-0000504A0000}"/>
    <cellStyle name="Note 8 4" xfId="1573" xr:uid="{00000000-0005-0000-0000-0000514A0000}"/>
    <cellStyle name="Note 8 4 2" xfId="2070" xr:uid="{00000000-0005-0000-0000-0000524A0000}"/>
    <cellStyle name="Note 8 4 2 2" xfId="3410" xr:uid="{00000000-0005-0000-0000-0000534A0000}"/>
    <cellStyle name="Note 8 4 2 2 2" xfId="7473" xr:uid="{00000000-0005-0000-0000-0000544A0000}"/>
    <cellStyle name="Note 8 4 2 2 2 2" xfId="17172" xr:uid="{00000000-0005-0000-0000-0000554A0000}"/>
    <cellStyle name="Note 8 4 2 2 2 2 2" xfId="32004" xr:uid="{00000000-0005-0000-0000-0000564A0000}"/>
    <cellStyle name="Note 8 4 2 2 2 3" xfId="23461" xr:uid="{00000000-0005-0000-0000-0000574A0000}"/>
    <cellStyle name="Note 8 4 2 2 3" xfId="13747" xr:uid="{00000000-0005-0000-0000-0000584A0000}"/>
    <cellStyle name="Note 8 4 2 2 3 2" xfId="28579" xr:uid="{00000000-0005-0000-0000-0000594A0000}"/>
    <cellStyle name="Note 8 4 2 2 4" xfId="10791" xr:uid="{00000000-0005-0000-0000-00005A4A0000}"/>
    <cellStyle name="Note 8 4 2 2 4 2" xfId="25623" xr:uid="{00000000-0005-0000-0000-00005B4A0000}"/>
    <cellStyle name="Note 8 4 2 2 5" xfId="21139" xr:uid="{00000000-0005-0000-0000-00005C4A0000}"/>
    <cellStyle name="Note 8 4 2 3" xfId="5038" xr:uid="{00000000-0005-0000-0000-00005D4A0000}"/>
    <cellStyle name="Note 8 4 2 3 2" xfId="9077" xr:uid="{00000000-0005-0000-0000-00005E4A0000}"/>
    <cellStyle name="Note 8 4 2 3 2 2" xfId="18010" xr:uid="{00000000-0005-0000-0000-00005F4A0000}"/>
    <cellStyle name="Note 8 4 2 3 2 2 2" xfId="32842" xr:uid="{00000000-0005-0000-0000-0000604A0000}"/>
    <cellStyle name="Note 8 4 2 3 2 3" xfId="24511" xr:uid="{00000000-0005-0000-0000-0000614A0000}"/>
    <cellStyle name="Note 8 4 2 3 3" xfId="15359" xr:uid="{00000000-0005-0000-0000-0000624A0000}"/>
    <cellStyle name="Note 8 4 2 3 3 2" xfId="30191" xr:uid="{00000000-0005-0000-0000-0000634A0000}"/>
    <cellStyle name="Note 8 4 2 3 4" xfId="11610" xr:uid="{00000000-0005-0000-0000-0000644A0000}"/>
    <cellStyle name="Note 8 4 2 3 4 2" xfId="26442" xr:uid="{00000000-0005-0000-0000-0000654A0000}"/>
    <cellStyle name="Note 8 4 2 3 5" xfId="22031" xr:uid="{00000000-0005-0000-0000-0000664A0000}"/>
    <cellStyle name="Note 8 4 2 4" xfId="3028" xr:uid="{00000000-0005-0000-0000-0000674A0000}"/>
    <cellStyle name="Note 8 4 2 4 2" xfId="7103" xr:uid="{00000000-0005-0000-0000-0000684A0000}"/>
    <cellStyle name="Note 8 4 2 4 2 2" xfId="16901" xr:uid="{00000000-0005-0000-0000-0000694A0000}"/>
    <cellStyle name="Note 8 4 2 4 2 2 2" xfId="31733" xr:uid="{00000000-0005-0000-0000-00006A4A0000}"/>
    <cellStyle name="Note 8 4 2 4 2 3" xfId="23244" xr:uid="{00000000-0005-0000-0000-00006B4A0000}"/>
    <cellStyle name="Note 8 4 2 4 3" xfId="13366" xr:uid="{00000000-0005-0000-0000-00006C4A0000}"/>
    <cellStyle name="Note 8 4 2 4 3 2" xfId="28198" xr:uid="{00000000-0005-0000-0000-00006D4A0000}"/>
    <cellStyle name="Note 8 4 2 4 4" xfId="10557" xr:uid="{00000000-0005-0000-0000-00006E4A0000}"/>
    <cellStyle name="Note 8 4 2 4 4 2" xfId="25389" xr:uid="{00000000-0005-0000-0000-00006F4A0000}"/>
    <cellStyle name="Note 8 4 2 4 5" xfId="20922" xr:uid="{00000000-0005-0000-0000-0000704A0000}"/>
    <cellStyle name="Note 8 4 2 5" xfId="6195" xr:uid="{00000000-0005-0000-0000-0000714A0000}"/>
    <cellStyle name="Note 8 4 2 5 2" xfId="16381" xr:uid="{00000000-0005-0000-0000-0000724A0000}"/>
    <cellStyle name="Note 8 4 2 5 2 2" xfId="31213" xr:uid="{00000000-0005-0000-0000-0000734A0000}"/>
    <cellStyle name="Note 8 4 2 5 3" xfId="22695" xr:uid="{00000000-0005-0000-0000-0000744A0000}"/>
    <cellStyle name="Note 8 4 2 6" xfId="12451" xr:uid="{00000000-0005-0000-0000-0000754A0000}"/>
    <cellStyle name="Note 8 4 2 6 2" xfId="27283" xr:uid="{00000000-0005-0000-0000-0000764A0000}"/>
    <cellStyle name="Note 8 4 2 7" xfId="10033" xr:uid="{00000000-0005-0000-0000-0000774A0000}"/>
    <cellStyle name="Note 8 4 2 7 2" xfId="24865" xr:uid="{00000000-0005-0000-0000-0000784A0000}"/>
    <cellStyle name="Note 8 4 2 8" xfId="20374" xr:uid="{00000000-0005-0000-0000-0000794A0000}"/>
    <cellStyle name="Note 8 4 3" xfId="3999" xr:uid="{00000000-0005-0000-0000-00007A4A0000}"/>
    <cellStyle name="Note 8 4 3 2" xfId="8046" xr:uid="{00000000-0005-0000-0000-00007B4A0000}"/>
    <cellStyle name="Note 8 4 3 2 2" xfId="17466" xr:uid="{00000000-0005-0000-0000-00007C4A0000}"/>
    <cellStyle name="Note 8 4 3 2 2 2" xfId="32298" xr:uid="{00000000-0005-0000-0000-00007D4A0000}"/>
    <cellStyle name="Note 8 4 3 2 3" xfId="23829" xr:uid="{00000000-0005-0000-0000-00007E4A0000}"/>
    <cellStyle name="Note 8 4 3 3" xfId="14331" xr:uid="{00000000-0005-0000-0000-00007F4A0000}"/>
    <cellStyle name="Note 8 4 3 3 2" xfId="29163" xr:uid="{00000000-0005-0000-0000-0000804A0000}"/>
    <cellStyle name="Note 8 4 3 4" xfId="11083" xr:uid="{00000000-0005-0000-0000-0000814A0000}"/>
    <cellStyle name="Note 8 4 3 4 2" xfId="25915" xr:uid="{00000000-0005-0000-0000-0000824A0000}"/>
    <cellStyle name="Note 8 4 3 5" xfId="21467" xr:uid="{00000000-0005-0000-0000-0000834A0000}"/>
    <cellStyle name="Note 8 4 4" xfId="4618" xr:uid="{00000000-0005-0000-0000-0000844A0000}"/>
    <cellStyle name="Note 8 4 4 2" xfId="8657" xr:uid="{00000000-0005-0000-0000-0000854A0000}"/>
    <cellStyle name="Note 8 4 4 2 2" xfId="17770" xr:uid="{00000000-0005-0000-0000-0000864A0000}"/>
    <cellStyle name="Note 8 4 4 2 2 2" xfId="32602" xr:uid="{00000000-0005-0000-0000-0000874A0000}"/>
    <cellStyle name="Note 8 4 4 2 3" xfId="24251" xr:uid="{00000000-0005-0000-0000-0000884A0000}"/>
    <cellStyle name="Note 8 4 4 3" xfId="14944" xr:uid="{00000000-0005-0000-0000-0000894A0000}"/>
    <cellStyle name="Note 8 4 4 3 2" xfId="29776" xr:uid="{00000000-0005-0000-0000-00008A4A0000}"/>
    <cellStyle name="Note 8 4 4 4" xfId="11375" xr:uid="{00000000-0005-0000-0000-00008B4A0000}"/>
    <cellStyle name="Note 8 4 4 4 2" xfId="26207" xr:uid="{00000000-0005-0000-0000-00008C4A0000}"/>
    <cellStyle name="Note 8 4 4 5" xfId="21801" xr:uid="{00000000-0005-0000-0000-00008D4A0000}"/>
    <cellStyle name="Note 8 4 5" xfId="2608" xr:uid="{00000000-0005-0000-0000-00008E4A0000}"/>
    <cellStyle name="Note 8 4 5 2" xfId="6709" xr:uid="{00000000-0005-0000-0000-00008F4A0000}"/>
    <cellStyle name="Note 8 4 5 2 2" xfId="16666" xr:uid="{00000000-0005-0000-0000-0000904A0000}"/>
    <cellStyle name="Note 8 4 5 2 2 2" xfId="31498" xr:uid="{00000000-0005-0000-0000-0000914A0000}"/>
    <cellStyle name="Note 8 4 5 2 3" xfId="23014" xr:uid="{00000000-0005-0000-0000-0000924A0000}"/>
    <cellStyle name="Note 8 4 5 3" xfId="12946" xr:uid="{00000000-0005-0000-0000-0000934A0000}"/>
    <cellStyle name="Note 8 4 5 3 2" xfId="27778" xr:uid="{00000000-0005-0000-0000-0000944A0000}"/>
    <cellStyle name="Note 8 4 5 4" xfId="10317" xr:uid="{00000000-0005-0000-0000-0000954A0000}"/>
    <cellStyle name="Note 8 4 5 4 2" xfId="25149" xr:uid="{00000000-0005-0000-0000-0000964A0000}"/>
    <cellStyle name="Note 8 4 5 5" xfId="20662" xr:uid="{00000000-0005-0000-0000-0000974A0000}"/>
    <cellStyle name="Note 8 4 6" xfId="5725" xr:uid="{00000000-0005-0000-0000-0000984A0000}"/>
    <cellStyle name="Note 8 4 6 2" xfId="15960" xr:uid="{00000000-0005-0000-0000-0000994A0000}"/>
    <cellStyle name="Note 8 4 6 2 2" xfId="30792" xr:uid="{00000000-0005-0000-0000-00009A4A0000}"/>
    <cellStyle name="Note 8 4 6 3" xfId="22389" xr:uid="{00000000-0005-0000-0000-00009B4A0000}"/>
    <cellStyle name="Note 8 4 7" xfId="11980" xr:uid="{00000000-0005-0000-0000-00009C4A0000}"/>
    <cellStyle name="Note 8 4 7 2" xfId="26812" xr:uid="{00000000-0005-0000-0000-00009D4A0000}"/>
    <cellStyle name="Note 8 4 8" xfId="9639" xr:uid="{00000000-0005-0000-0000-00009E4A0000}"/>
    <cellStyle name="Note 8 4 8 2" xfId="19940" xr:uid="{00000000-0005-0000-0000-00009F4A0000}"/>
    <cellStyle name="Note 8 5" xfId="1623" xr:uid="{00000000-0005-0000-0000-0000A04A0000}"/>
    <cellStyle name="Note 8 5 2" xfId="2120" xr:uid="{00000000-0005-0000-0000-0000A14A0000}"/>
    <cellStyle name="Note 8 5 2 2" xfId="4144" xr:uid="{00000000-0005-0000-0000-0000A24A0000}"/>
    <cellStyle name="Note 8 5 2 2 2" xfId="8188" xr:uid="{00000000-0005-0000-0000-0000A34A0000}"/>
    <cellStyle name="Note 8 5 2 2 2 2" xfId="17542" xr:uid="{00000000-0005-0000-0000-0000A44A0000}"/>
    <cellStyle name="Note 8 5 2 2 2 2 2" xfId="32374" xr:uid="{00000000-0005-0000-0000-0000A54A0000}"/>
    <cellStyle name="Note 8 5 2 2 2 3" xfId="23917" xr:uid="{00000000-0005-0000-0000-0000A64A0000}"/>
    <cellStyle name="Note 8 5 2 2 3" xfId="14476" xr:uid="{00000000-0005-0000-0000-0000A74A0000}"/>
    <cellStyle name="Note 8 5 2 2 3 2" xfId="29308" xr:uid="{00000000-0005-0000-0000-0000A84A0000}"/>
    <cellStyle name="Note 8 5 2 2 4" xfId="11160" xr:uid="{00000000-0005-0000-0000-0000A94A0000}"/>
    <cellStyle name="Note 8 5 2 2 4 2" xfId="25992" xr:uid="{00000000-0005-0000-0000-0000AA4A0000}"/>
    <cellStyle name="Note 8 5 2 2 5" xfId="21544" xr:uid="{00000000-0005-0000-0000-0000AB4A0000}"/>
    <cellStyle name="Note 8 5 2 3" xfId="5088" xr:uid="{00000000-0005-0000-0000-0000AC4A0000}"/>
    <cellStyle name="Note 8 5 2 3 2" xfId="9127" xr:uid="{00000000-0005-0000-0000-0000AD4A0000}"/>
    <cellStyle name="Note 8 5 2 3 2 2" xfId="18055" xr:uid="{00000000-0005-0000-0000-0000AE4A0000}"/>
    <cellStyle name="Note 8 5 2 3 2 2 2" xfId="32887" xr:uid="{00000000-0005-0000-0000-0000AF4A0000}"/>
    <cellStyle name="Note 8 5 2 3 2 3" xfId="24529" xr:uid="{00000000-0005-0000-0000-0000B04A0000}"/>
    <cellStyle name="Note 8 5 2 3 3" xfId="15408" xr:uid="{00000000-0005-0000-0000-0000B14A0000}"/>
    <cellStyle name="Note 8 5 2 3 3 2" xfId="30240" xr:uid="{00000000-0005-0000-0000-0000B24A0000}"/>
    <cellStyle name="Note 8 5 2 3 4" xfId="11654" xr:uid="{00000000-0005-0000-0000-0000B34A0000}"/>
    <cellStyle name="Note 8 5 2 3 4 2" xfId="26486" xr:uid="{00000000-0005-0000-0000-0000B44A0000}"/>
    <cellStyle name="Note 8 5 2 3 5" xfId="22043" xr:uid="{00000000-0005-0000-0000-0000B54A0000}"/>
    <cellStyle name="Note 8 5 2 4" xfId="3078" xr:uid="{00000000-0005-0000-0000-0000B64A0000}"/>
    <cellStyle name="Note 8 5 2 4 2" xfId="7148" xr:uid="{00000000-0005-0000-0000-0000B74A0000}"/>
    <cellStyle name="Note 8 5 2 4 2 2" xfId="16945" xr:uid="{00000000-0005-0000-0000-0000B84A0000}"/>
    <cellStyle name="Note 8 5 2 4 2 2 2" xfId="31777" xr:uid="{00000000-0005-0000-0000-0000B94A0000}"/>
    <cellStyle name="Note 8 5 2 4 2 3" xfId="23256" xr:uid="{00000000-0005-0000-0000-0000BA4A0000}"/>
    <cellStyle name="Note 8 5 2 4 3" xfId="13416" xr:uid="{00000000-0005-0000-0000-0000BB4A0000}"/>
    <cellStyle name="Note 8 5 2 4 3 2" xfId="28248" xr:uid="{00000000-0005-0000-0000-0000BC4A0000}"/>
    <cellStyle name="Note 8 5 2 4 4" xfId="10602" xr:uid="{00000000-0005-0000-0000-0000BD4A0000}"/>
    <cellStyle name="Note 8 5 2 4 4 2" xfId="25434" xr:uid="{00000000-0005-0000-0000-0000BE4A0000}"/>
    <cellStyle name="Note 8 5 2 4 5" xfId="20940" xr:uid="{00000000-0005-0000-0000-0000BF4A0000}"/>
    <cellStyle name="Note 8 5 2 5" xfId="6240" xr:uid="{00000000-0005-0000-0000-0000C04A0000}"/>
    <cellStyle name="Note 8 5 2 5 2" xfId="16425" xr:uid="{00000000-0005-0000-0000-0000C14A0000}"/>
    <cellStyle name="Note 8 5 2 5 2 2" xfId="31257" xr:uid="{00000000-0005-0000-0000-0000C24A0000}"/>
    <cellStyle name="Note 8 5 2 5 3" xfId="22707" xr:uid="{00000000-0005-0000-0000-0000C34A0000}"/>
    <cellStyle name="Note 8 5 2 6" xfId="12495" xr:uid="{00000000-0005-0000-0000-0000C44A0000}"/>
    <cellStyle name="Note 8 5 2 6 2" xfId="27327" xr:uid="{00000000-0005-0000-0000-0000C54A0000}"/>
    <cellStyle name="Note 8 5 2 7" xfId="10077" xr:uid="{00000000-0005-0000-0000-0000C64A0000}"/>
    <cellStyle name="Note 8 5 2 7 2" xfId="24909" xr:uid="{00000000-0005-0000-0000-0000C74A0000}"/>
    <cellStyle name="Note 8 5 2 8" xfId="20386" xr:uid="{00000000-0005-0000-0000-0000C84A0000}"/>
    <cellStyle name="Note 8 5 3" xfId="4327" xr:uid="{00000000-0005-0000-0000-0000C94A0000}"/>
    <cellStyle name="Note 8 5 3 2" xfId="8366" xr:uid="{00000000-0005-0000-0000-0000CA4A0000}"/>
    <cellStyle name="Note 8 5 3 2 2" xfId="17644" xr:uid="{00000000-0005-0000-0000-0000CB4A0000}"/>
    <cellStyle name="Note 8 5 3 2 2 2" xfId="32476" xr:uid="{00000000-0005-0000-0000-0000CC4A0000}"/>
    <cellStyle name="Note 8 5 3 2 3" xfId="24032" xr:uid="{00000000-0005-0000-0000-0000CD4A0000}"/>
    <cellStyle name="Note 8 5 3 3" xfId="14658" xr:uid="{00000000-0005-0000-0000-0000CE4A0000}"/>
    <cellStyle name="Note 8 5 3 3 2" xfId="29490" xr:uid="{00000000-0005-0000-0000-0000CF4A0000}"/>
    <cellStyle name="Note 8 5 3 4" xfId="11254" xr:uid="{00000000-0005-0000-0000-0000D04A0000}"/>
    <cellStyle name="Note 8 5 3 4 2" xfId="26086" xr:uid="{00000000-0005-0000-0000-0000D14A0000}"/>
    <cellStyle name="Note 8 5 3 5" xfId="21628" xr:uid="{00000000-0005-0000-0000-0000D24A0000}"/>
    <cellStyle name="Note 8 5 4" xfId="4668" xr:uid="{00000000-0005-0000-0000-0000D34A0000}"/>
    <cellStyle name="Note 8 5 4 2" xfId="8707" xr:uid="{00000000-0005-0000-0000-0000D44A0000}"/>
    <cellStyle name="Note 8 5 4 2 2" xfId="17815" xr:uid="{00000000-0005-0000-0000-0000D54A0000}"/>
    <cellStyle name="Note 8 5 4 2 2 2" xfId="32647" xr:uid="{00000000-0005-0000-0000-0000D64A0000}"/>
    <cellStyle name="Note 8 5 4 2 3" xfId="24269" xr:uid="{00000000-0005-0000-0000-0000D74A0000}"/>
    <cellStyle name="Note 8 5 4 3" xfId="14993" xr:uid="{00000000-0005-0000-0000-0000D84A0000}"/>
    <cellStyle name="Note 8 5 4 3 2" xfId="29825" xr:uid="{00000000-0005-0000-0000-0000D94A0000}"/>
    <cellStyle name="Note 8 5 4 4" xfId="11419" xr:uid="{00000000-0005-0000-0000-0000DA4A0000}"/>
    <cellStyle name="Note 8 5 4 4 2" xfId="26251" xr:uid="{00000000-0005-0000-0000-0000DB4A0000}"/>
    <cellStyle name="Note 8 5 4 5" xfId="21813" xr:uid="{00000000-0005-0000-0000-0000DC4A0000}"/>
    <cellStyle name="Note 8 5 5" xfId="2658" xr:uid="{00000000-0005-0000-0000-0000DD4A0000}"/>
    <cellStyle name="Note 8 5 5 2" xfId="6754" xr:uid="{00000000-0005-0000-0000-0000DE4A0000}"/>
    <cellStyle name="Note 8 5 5 2 2" xfId="16710" xr:uid="{00000000-0005-0000-0000-0000DF4A0000}"/>
    <cellStyle name="Note 8 5 5 2 2 2" xfId="31542" xr:uid="{00000000-0005-0000-0000-0000E04A0000}"/>
    <cellStyle name="Note 8 5 5 2 3" xfId="23026" xr:uid="{00000000-0005-0000-0000-0000E14A0000}"/>
    <cellStyle name="Note 8 5 5 3" xfId="12996" xr:uid="{00000000-0005-0000-0000-0000E24A0000}"/>
    <cellStyle name="Note 8 5 5 3 2" xfId="27828" xr:uid="{00000000-0005-0000-0000-0000E34A0000}"/>
    <cellStyle name="Note 8 5 5 4" xfId="10362" xr:uid="{00000000-0005-0000-0000-0000E44A0000}"/>
    <cellStyle name="Note 8 5 5 4 2" xfId="25194" xr:uid="{00000000-0005-0000-0000-0000E54A0000}"/>
    <cellStyle name="Note 8 5 5 5" xfId="20680" xr:uid="{00000000-0005-0000-0000-0000E64A0000}"/>
    <cellStyle name="Note 8 5 6" xfId="5770" xr:uid="{00000000-0005-0000-0000-0000E74A0000}"/>
    <cellStyle name="Note 8 5 6 2" xfId="16004" xr:uid="{00000000-0005-0000-0000-0000E84A0000}"/>
    <cellStyle name="Note 8 5 6 2 2" xfId="30836" xr:uid="{00000000-0005-0000-0000-0000E94A0000}"/>
    <cellStyle name="Note 8 5 6 3" xfId="22401" xr:uid="{00000000-0005-0000-0000-0000EA4A0000}"/>
    <cellStyle name="Note 8 5 7" xfId="12024" xr:uid="{00000000-0005-0000-0000-0000EB4A0000}"/>
    <cellStyle name="Note 8 5 7 2" xfId="26856" xr:uid="{00000000-0005-0000-0000-0000EC4A0000}"/>
    <cellStyle name="Note 8 5 8" xfId="9684" xr:uid="{00000000-0005-0000-0000-0000ED4A0000}"/>
    <cellStyle name="Note 8 5 8 2" xfId="19984" xr:uid="{00000000-0005-0000-0000-0000EE4A0000}"/>
    <cellStyle name="Note 8 6" xfId="1774" xr:uid="{00000000-0005-0000-0000-0000EF4A0000}"/>
    <cellStyle name="Note 8 6 2" xfId="3511" xr:uid="{00000000-0005-0000-0000-0000F04A0000}"/>
    <cellStyle name="Note 8 6 2 2" xfId="7573" xr:uid="{00000000-0005-0000-0000-0000F14A0000}"/>
    <cellStyle name="Note 8 6 2 2 2" xfId="17228" xr:uid="{00000000-0005-0000-0000-0000F24A0000}"/>
    <cellStyle name="Note 8 6 2 2 2 2" xfId="32060" xr:uid="{00000000-0005-0000-0000-0000F34A0000}"/>
    <cellStyle name="Note 8 6 2 2 3" xfId="23525" xr:uid="{00000000-0005-0000-0000-0000F44A0000}"/>
    <cellStyle name="Note 8 6 2 3" xfId="13848" xr:uid="{00000000-0005-0000-0000-0000F54A0000}"/>
    <cellStyle name="Note 8 6 2 3 2" xfId="28680" xr:uid="{00000000-0005-0000-0000-0000F64A0000}"/>
    <cellStyle name="Note 8 6 2 4" xfId="10846" xr:uid="{00000000-0005-0000-0000-0000F74A0000}"/>
    <cellStyle name="Note 8 6 2 4 2" xfId="25678" xr:uid="{00000000-0005-0000-0000-0000F84A0000}"/>
    <cellStyle name="Note 8 6 2 5" xfId="21200" xr:uid="{00000000-0005-0000-0000-0000F94A0000}"/>
    <cellStyle name="Note 8 6 3" xfId="4752" xr:uid="{00000000-0005-0000-0000-0000FA4A0000}"/>
    <cellStyle name="Note 8 6 3 2" xfId="8791" xr:uid="{00000000-0005-0000-0000-0000FB4A0000}"/>
    <cellStyle name="Note 8 6 3 2 2" xfId="17863" xr:uid="{00000000-0005-0000-0000-0000FC4A0000}"/>
    <cellStyle name="Note 8 6 3 2 2 2" xfId="32695" xr:uid="{00000000-0005-0000-0000-0000FD4A0000}"/>
    <cellStyle name="Note 8 6 3 2 3" xfId="24321" xr:uid="{00000000-0005-0000-0000-0000FE4A0000}"/>
    <cellStyle name="Note 8 6 3 3" xfId="15076" xr:uid="{00000000-0005-0000-0000-0000FF4A0000}"/>
    <cellStyle name="Note 8 6 3 3 2" xfId="29908" xr:uid="{00000000-0005-0000-0000-0000004B0000}"/>
    <cellStyle name="Note 8 6 3 4" xfId="11466" xr:uid="{00000000-0005-0000-0000-0000014B0000}"/>
    <cellStyle name="Note 8 6 3 4 2" xfId="26298" xr:uid="{00000000-0005-0000-0000-0000024B0000}"/>
    <cellStyle name="Note 8 6 3 5" xfId="21859" xr:uid="{00000000-0005-0000-0000-0000034B0000}"/>
    <cellStyle name="Note 8 6 4" xfId="2742" xr:uid="{00000000-0005-0000-0000-0000044B0000}"/>
    <cellStyle name="Note 8 6 4 2" xfId="6833" xr:uid="{00000000-0005-0000-0000-0000054B0000}"/>
    <cellStyle name="Note 8 6 4 2 2" xfId="16757" xr:uid="{00000000-0005-0000-0000-0000064B0000}"/>
    <cellStyle name="Note 8 6 4 2 2 2" xfId="31589" xr:uid="{00000000-0005-0000-0000-0000074B0000}"/>
    <cellStyle name="Note 8 6 4 2 3" xfId="23072" xr:uid="{00000000-0005-0000-0000-0000084B0000}"/>
    <cellStyle name="Note 8 6 4 3" xfId="13080" xr:uid="{00000000-0005-0000-0000-0000094B0000}"/>
    <cellStyle name="Note 8 6 4 3 2" xfId="27912" xr:uid="{00000000-0005-0000-0000-00000A4B0000}"/>
    <cellStyle name="Note 8 6 4 4" xfId="10410" xr:uid="{00000000-0005-0000-0000-00000B4B0000}"/>
    <cellStyle name="Note 8 6 4 4 2" xfId="25242" xr:uid="{00000000-0005-0000-0000-00000C4B0000}"/>
    <cellStyle name="Note 8 6 4 5" xfId="20732" xr:uid="{00000000-0005-0000-0000-00000D4B0000}"/>
    <cellStyle name="Note 8 6 5" xfId="5906" xr:uid="{00000000-0005-0000-0000-00000E4B0000}"/>
    <cellStyle name="Note 8 6 5 2" xfId="16098" xr:uid="{00000000-0005-0000-0000-00000F4B0000}"/>
    <cellStyle name="Note 8 6 5 2 2" xfId="30930" xr:uid="{00000000-0005-0000-0000-0000104B0000}"/>
    <cellStyle name="Note 8 6 5 3" xfId="22503" xr:uid="{00000000-0005-0000-0000-0000114B0000}"/>
    <cellStyle name="Note 8 6 6" xfId="12168" xr:uid="{00000000-0005-0000-0000-0000124B0000}"/>
    <cellStyle name="Note 8 6 6 2" xfId="27000" xr:uid="{00000000-0005-0000-0000-0000134B0000}"/>
    <cellStyle name="Note 8 6 7" xfId="9764" xr:uid="{00000000-0005-0000-0000-0000144B0000}"/>
    <cellStyle name="Note 8 6 7 2" xfId="24721" xr:uid="{00000000-0005-0000-0000-0000154B0000}"/>
    <cellStyle name="Note 8 6 8" xfId="20311" xr:uid="{00000000-0005-0000-0000-0000164B0000}"/>
    <cellStyle name="Note 8 7" xfId="2192" xr:uid="{00000000-0005-0000-0000-0000174B0000}"/>
    <cellStyle name="Note 8 7 2" xfId="3498" xr:uid="{00000000-0005-0000-0000-0000184B0000}"/>
    <cellStyle name="Note 8 7 2 2" xfId="7560" xr:uid="{00000000-0005-0000-0000-0000194B0000}"/>
    <cellStyle name="Note 8 7 2 2 2" xfId="17221" xr:uid="{00000000-0005-0000-0000-00001A4B0000}"/>
    <cellStyle name="Note 8 7 2 2 2 2" xfId="32053" xr:uid="{00000000-0005-0000-0000-00001B4B0000}"/>
    <cellStyle name="Note 8 7 2 2 3" xfId="23514" xr:uid="{00000000-0005-0000-0000-00001C4B0000}"/>
    <cellStyle name="Note 8 7 2 3" xfId="13835" xr:uid="{00000000-0005-0000-0000-00001D4B0000}"/>
    <cellStyle name="Note 8 7 2 3 2" xfId="28667" xr:uid="{00000000-0005-0000-0000-00001E4B0000}"/>
    <cellStyle name="Note 8 7 2 4" xfId="10839" xr:uid="{00000000-0005-0000-0000-00001F4B0000}"/>
    <cellStyle name="Note 8 7 2 4 2" xfId="25671" xr:uid="{00000000-0005-0000-0000-0000204B0000}"/>
    <cellStyle name="Note 8 7 2 5" xfId="21189" xr:uid="{00000000-0005-0000-0000-0000214B0000}"/>
    <cellStyle name="Note 8 7 3" xfId="5160" xr:uid="{00000000-0005-0000-0000-0000224B0000}"/>
    <cellStyle name="Note 8 7 3 2" xfId="9199" xr:uid="{00000000-0005-0000-0000-0000234B0000}"/>
    <cellStyle name="Note 8 7 3 2 2" xfId="18122" xr:uid="{00000000-0005-0000-0000-0000244B0000}"/>
    <cellStyle name="Note 8 7 3 2 2 2" xfId="32954" xr:uid="{00000000-0005-0000-0000-0000254B0000}"/>
    <cellStyle name="Note 8 7 3 2 3" xfId="24537" xr:uid="{00000000-0005-0000-0000-0000264B0000}"/>
    <cellStyle name="Note 8 7 3 3" xfId="15478" xr:uid="{00000000-0005-0000-0000-0000274B0000}"/>
    <cellStyle name="Note 8 7 3 3 2" xfId="30310" xr:uid="{00000000-0005-0000-0000-0000284B0000}"/>
    <cellStyle name="Note 8 7 3 4" xfId="11719" xr:uid="{00000000-0005-0000-0000-0000294B0000}"/>
    <cellStyle name="Note 8 7 3 4 2" xfId="26551" xr:uid="{00000000-0005-0000-0000-00002A4B0000}"/>
    <cellStyle name="Note 8 7 3 5" xfId="22044" xr:uid="{00000000-0005-0000-0000-00002B4B0000}"/>
    <cellStyle name="Note 8 7 4" xfId="4190" xr:uid="{00000000-0005-0000-0000-00002C4B0000}"/>
    <cellStyle name="Note 8 7 4 2" xfId="8231" xr:uid="{00000000-0005-0000-0000-00002D4B0000}"/>
    <cellStyle name="Note 8 7 4 2 2" xfId="17578" xr:uid="{00000000-0005-0000-0000-00002E4B0000}"/>
    <cellStyle name="Note 8 7 4 2 2 2" xfId="32410" xr:uid="{00000000-0005-0000-0000-00002F4B0000}"/>
    <cellStyle name="Note 8 7 4 2 3" xfId="23926" xr:uid="{00000000-0005-0000-0000-0000304B0000}"/>
    <cellStyle name="Note 8 7 4 3" xfId="14522" xr:uid="{00000000-0005-0000-0000-0000314B0000}"/>
    <cellStyle name="Note 8 7 4 3 2" xfId="29354" xr:uid="{00000000-0005-0000-0000-0000324B0000}"/>
    <cellStyle name="Note 8 7 4 4" xfId="11198" xr:uid="{00000000-0005-0000-0000-0000334B0000}"/>
    <cellStyle name="Note 8 7 4 4 2" xfId="26030" xr:uid="{00000000-0005-0000-0000-0000344B0000}"/>
    <cellStyle name="Note 8 7 4 5" xfId="21551" xr:uid="{00000000-0005-0000-0000-0000354B0000}"/>
    <cellStyle name="Note 8 7 5" xfId="6306" xr:uid="{00000000-0005-0000-0000-0000364B0000}"/>
    <cellStyle name="Note 8 7 5 2" xfId="16490" xr:uid="{00000000-0005-0000-0000-0000374B0000}"/>
    <cellStyle name="Note 8 7 5 2 2" xfId="31322" xr:uid="{00000000-0005-0000-0000-0000384B0000}"/>
    <cellStyle name="Note 8 7 5 3" xfId="22708" xr:uid="{00000000-0005-0000-0000-0000394B0000}"/>
    <cellStyle name="Note 8 7 6" xfId="12560" xr:uid="{00000000-0005-0000-0000-00003A4B0000}"/>
    <cellStyle name="Note 8 7 6 2" xfId="27392" xr:uid="{00000000-0005-0000-0000-00003B4B0000}"/>
    <cellStyle name="Note 8 7 7" xfId="10142" xr:uid="{00000000-0005-0000-0000-00003C4B0000}"/>
    <cellStyle name="Note 8 7 7 2" xfId="24974" xr:uid="{00000000-0005-0000-0000-00003D4B0000}"/>
    <cellStyle name="Note 8 7 8" xfId="20387" xr:uid="{00000000-0005-0000-0000-00003E4B0000}"/>
    <cellStyle name="Note 8 8" xfId="3148" xr:uid="{00000000-0005-0000-0000-00003F4B0000}"/>
    <cellStyle name="Note 8 8 2" xfId="7212" xr:uid="{00000000-0005-0000-0000-0000404B0000}"/>
    <cellStyle name="Note 8 8 2 2" xfId="16991" xr:uid="{00000000-0005-0000-0000-0000414B0000}"/>
    <cellStyle name="Note 8 8 2 2 2" xfId="31823" xr:uid="{00000000-0005-0000-0000-0000424B0000}"/>
    <cellStyle name="Note 8 8 2 3" xfId="23281" xr:uid="{00000000-0005-0000-0000-0000434B0000}"/>
    <cellStyle name="Note 8 8 3" xfId="13486" xr:uid="{00000000-0005-0000-0000-0000444B0000}"/>
    <cellStyle name="Note 8 8 3 2" xfId="28318" xr:uid="{00000000-0005-0000-0000-0000454B0000}"/>
    <cellStyle name="Note 8 8 4" xfId="10645" xr:uid="{00000000-0005-0000-0000-0000464B0000}"/>
    <cellStyle name="Note 8 8 4 2" xfId="25477" xr:uid="{00000000-0005-0000-0000-0000474B0000}"/>
    <cellStyle name="Note 8 8 5" xfId="20972" xr:uid="{00000000-0005-0000-0000-0000484B0000}"/>
    <cellStyle name="Note 8 9" xfId="4285" xr:uid="{00000000-0005-0000-0000-0000494B0000}"/>
    <cellStyle name="Note 8 9 2" xfId="8324" xr:uid="{00000000-0005-0000-0000-00004A4B0000}"/>
    <cellStyle name="Note 8 9 2 2" xfId="17606" xr:uid="{00000000-0005-0000-0000-00004B4B0000}"/>
    <cellStyle name="Note 8 9 2 2 2" xfId="32438" xr:uid="{00000000-0005-0000-0000-00004C4B0000}"/>
    <cellStyle name="Note 8 9 2 3" xfId="24014" xr:uid="{00000000-0005-0000-0000-00004D4B0000}"/>
    <cellStyle name="Note 8 9 3" xfId="14617" xr:uid="{00000000-0005-0000-0000-00004E4B0000}"/>
    <cellStyle name="Note 8 9 3 2" xfId="29449" xr:uid="{00000000-0005-0000-0000-00004F4B0000}"/>
    <cellStyle name="Note 8 9 4" xfId="11222" xr:uid="{00000000-0005-0000-0000-0000504B0000}"/>
    <cellStyle name="Note 8 9 4 2" xfId="26054" xr:uid="{00000000-0005-0000-0000-0000514B0000}"/>
    <cellStyle name="Note 8 9 5" xfId="21612" xr:uid="{00000000-0005-0000-0000-0000524B0000}"/>
    <cellStyle name="Note 9" xfId="1215" xr:uid="{00000000-0005-0000-0000-0000534B0000}"/>
    <cellStyle name="Note 9 10" xfId="2301" xr:uid="{00000000-0005-0000-0000-0000544B0000}"/>
    <cellStyle name="Note 9 10 2" xfId="6413" xr:uid="{00000000-0005-0000-0000-0000554B0000}"/>
    <cellStyle name="Note 9 10 2 2" xfId="16506" xr:uid="{00000000-0005-0000-0000-0000564B0000}"/>
    <cellStyle name="Note 9 10 2 2 2" xfId="31338" xr:uid="{00000000-0005-0000-0000-0000574B0000}"/>
    <cellStyle name="Note 9 10 2 3" xfId="22815" xr:uid="{00000000-0005-0000-0000-0000584B0000}"/>
    <cellStyle name="Note 9 10 3" xfId="12641" xr:uid="{00000000-0005-0000-0000-0000594B0000}"/>
    <cellStyle name="Note 9 10 3 2" xfId="27473" xr:uid="{00000000-0005-0000-0000-00005A4B0000}"/>
    <cellStyle name="Note 9 10 4" xfId="10157" xr:uid="{00000000-0005-0000-0000-00005B4B0000}"/>
    <cellStyle name="Note 9 10 4 2" xfId="24989" xr:uid="{00000000-0005-0000-0000-00005C4B0000}"/>
    <cellStyle name="Note 9 10 5" xfId="20464" xr:uid="{00000000-0005-0000-0000-00005D4B0000}"/>
    <cellStyle name="Note 9 11" xfId="5264" xr:uid="{00000000-0005-0000-0000-00005E4B0000}"/>
    <cellStyle name="Note 9 11 2" xfId="9272" xr:uid="{00000000-0005-0000-0000-00005F4B0000}"/>
    <cellStyle name="Note 9 11 2 2" xfId="18139" xr:uid="{00000000-0005-0000-0000-0000604B0000}"/>
    <cellStyle name="Note 9 11 2 2 2" xfId="32971" xr:uid="{00000000-0005-0000-0000-0000614B0000}"/>
    <cellStyle name="Note 9 11 2 3" xfId="24610" xr:uid="{00000000-0005-0000-0000-0000624B0000}"/>
    <cellStyle name="Note 9 11 3" xfId="15580" xr:uid="{00000000-0005-0000-0000-0000634B0000}"/>
    <cellStyle name="Note 9 11 3 2" xfId="30412" xr:uid="{00000000-0005-0000-0000-0000644B0000}"/>
    <cellStyle name="Note 9 11 4" xfId="22121" xr:uid="{00000000-0005-0000-0000-0000654B0000}"/>
    <cellStyle name="Note 9 12" xfId="5422" xr:uid="{00000000-0005-0000-0000-0000664B0000}"/>
    <cellStyle name="Note 9 12 2" xfId="15658" xr:uid="{00000000-0005-0000-0000-0000674B0000}"/>
    <cellStyle name="Note 9 12 2 2" xfId="30490" xr:uid="{00000000-0005-0000-0000-0000684B0000}"/>
    <cellStyle name="Note 9 12 3" xfId="22183" xr:uid="{00000000-0005-0000-0000-0000694B0000}"/>
    <cellStyle name="Note 9 13" xfId="9369" xr:uid="{00000000-0005-0000-0000-00006A4B0000}"/>
    <cellStyle name="Note 9 13 2" xfId="24675" xr:uid="{00000000-0005-0000-0000-00006B4B0000}"/>
    <cellStyle name="Note 9 14" xfId="5358" xr:uid="{00000000-0005-0000-0000-00006C4B0000}"/>
    <cellStyle name="Note 9 14 2" xfId="18232" xr:uid="{00000000-0005-0000-0000-00006D4B0000}"/>
    <cellStyle name="Note 9 2" xfId="1334" xr:uid="{00000000-0005-0000-0000-00006E4B0000}"/>
    <cellStyle name="Note 9 2 2" xfId="1838" xr:uid="{00000000-0005-0000-0000-00006F4B0000}"/>
    <cellStyle name="Note 9 2 2 2" xfId="4027" xr:uid="{00000000-0005-0000-0000-0000704B0000}"/>
    <cellStyle name="Note 9 2 2 2 2" xfId="8074" xr:uid="{00000000-0005-0000-0000-0000714B0000}"/>
    <cellStyle name="Note 9 2 2 2 2 2" xfId="17484" xr:uid="{00000000-0005-0000-0000-0000724B0000}"/>
    <cellStyle name="Note 9 2 2 2 2 2 2" xfId="32316" xr:uid="{00000000-0005-0000-0000-0000734B0000}"/>
    <cellStyle name="Note 9 2 2 2 2 3" xfId="23844" xr:uid="{00000000-0005-0000-0000-0000744B0000}"/>
    <cellStyle name="Note 9 2 2 2 3" xfId="14359" xr:uid="{00000000-0005-0000-0000-0000754B0000}"/>
    <cellStyle name="Note 9 2 2 2 3 2" xfId="29191" xr:uid="{00000000-0005-0000-0000-0000764B0000}"/>
    <cellStyle name="Note 9 2 2 2 4" xfId="11100" xr:uid="{00000000-0005-0000-0000-0000774B0000}"/>
    <cellStyle name="Note 9 2 2 2 4 2" xfId="25932" xr:uid="{00000000-0005-0000-0000-0000784B0000}"/>
    <cellStyle name="Note 9 2 2 2 5" xfId="21482" xr:uid="{00000000-0005-0000-0000-0000794B0000}"/>
    <cellStyle name="Note 9 2 2 3" xfId="4816" xr:uid="{00000000-0005-0000-0000-00007A4B0000}"/>
    <cellStyle name="Note 9 2 2 3 2" xfId="8855" xr:uid="{00000000-0005-0000-0000-00007B4B0000}"/>
    <cellStyle name="Note 9 2 2 3 2 2" xfId="17896" xr:uid="{00000000-0005-0000-0000-00007C4B0000}"/>
    <cellStyle name="Note 9 2 2 3 2 2 2" xfId="32728" xr:uid="{00000000-0005-0000-0000-00007D4B0000}"/>
    <cellStyle name="Note 9 2 2 3 2 3" xfId="24353" xr:uid="{00000000-0005-0000-0000-00007E4B0000}"/>
    <cellStyle name="Note 9 2 2 3 3" xfId="15140" xr:uid="{00000000-0005-0000-0000-00007F4B0000}"/>
    <cellStyle name="Note 9 2 2 3 3 2" xfId="29972" xr:uid="{00000000-0005-0000-0000-0000804B0000}"/>
    <cellStyle name="Note 9 2 2 3 4" xfId="11499" xr:uid="{00000000-0005-0000-0000-0000814B0000}"/>
    <cellStyle name="Note 9 2 2 3 4 2" xfId="26331" xr:uid="{00000000-0005-0000-0000-0000824B0000}"/>
    <cellStyle name="Note 9 2 2 3 5" xfId="21891" xr:uid="{00000000-0005-0000-0000-0000834B0000}"/>
    <cellStyle name="Note 9 2 2 4" xfId="2806" xr:uid="{00000000-0005-0000-0000-0000844B0000}"/>
    <cellStyle name="Note 9 2 2 4 2" xfId="6897" xr:uid="{00000000-0005-0000-0000-0000854B0000}"/>
    <cellStyle name="Note 9 2 2 4 2 2" xfId="16790" xr:uid="{00000000-0005-0000-0000-0000864B0000}"/>
    <cellStyle name="Note 9 2 2 4 2 2 2" xfId="31622" xr:uid="{00000000-0005-0000-0000-0000874B0000}"/>
    <cellStyle name="Note 9 2 2 4 2 3" xfId="23104" xr:uid="{00000000-0005-0000-0000-0000884B0000}"/>
    <cellStyle name="Note 9 2 2 4 3" xfId="13144" xr:uid="{00000000-0005-0000-0000-0000894B0000}"/>
    <cellStyle name="Note 9 2 2 4 3 2" xfId="27976" xr:uid="{00000000-0005-0000-0000-00008A4B0000}"/>
    <cellStyle name="Note 9 2 2 4 4" xfId="10443" xr:uid="{00000000-0005-0000-0000-00008B4B0000}"/>
    <cellStyle name="Note 9 2 2 4 4 2" xfId="25275" xr:uid="{00000000-0005-0000-0000-00008C4B0000}"/>
    <cellStyle name="Note 9 2 2 4 5" xfId="20764" xr:uid="{00000000-0005-0000-0000-00008D4B0000}"/>
    <cellStyle name="Note 9 2 2 5" xfId="5970" xr:uid="{00000000-0005-0000-0000-00008E4B0000}"/>
    <cellStyle name="Note 9 2 2 5 2" xfId="16162" xr:uid="{00000000-0005-0000-0000-00008F4B0000}"/>
    <cellStyle name="Note 9 2 2 5 2 2" xfId="30994" xr:uid="{00000000-0005-0000-0000-0000904B0000}"/>
    <cellStyle name="Note 9 2 2 5 3" xfId="22535" xr:uid="{00000000-0005-0000-0000-0000914B0000}"/>
    <cellStyle name="Note 9 2 2 6" xfId="12232" xr:uid="{00000000-0005-0000-0000-0000924B0000}"/>
    <cellStyle name="Note 9 2 2 6 2" xfId="27064" xr:uid="{00000000-0005-0000-0000-0000934B0000}"/>
    <cellStyle name="Note 9 2 2 7" xfId="9828" xr:uid="{00000000-0005-0000-0000-0000944B0000}"/>
    <cellStyle name="Note 9 2 2 7 2" xfId="24754" xr:uid="{00000000-0005-0000-0000-0000954B0000}"/>
    <cellStyle name="Note 9 2 2 8" xfId="20312" xr:uid="{00000000-0005-0000-0000-0000964B0000}"/>
    <cellStyle name="Note 9 2 3" xfId="3469" xr:uid="{00000000-0005-0000-0000-0000974B0000}"/>
    <cellStyle name="Note 9 2 3 2" xfId="7532" xr:uid="{00000000-0005-0000-0000-0000984B0000}"/>
    <cellStyle name="Note 9 2 3 2 2" xfId="17204" xr:uid="{00000000-0005-0000-0000-0000994B0000}"/>
    <cellStyle name="Note 9 2 3 2 2 2" xfId="32036" xr:uid="{00000000-0005-0000-0000-00009A4B0000}"/>
    <cellStyle name="Note 9 2 3 2 3" xfId="23499" xr:uid="{00000000-0005-0000-0000-00009B4B0000}"/>
    <cellStyle name="Note 9 2 3 3" xfId="13806" xr:uid="{00000000-0005-0000-0000-00009C4B0000}"/>
    <cellStyle name="Note 9 2 3 3 2" xfId="28638" xr:uid="{00000000-0005-0000-0000-00009D4B0000}"/>
    <cellStyle name="Note 9 2 3 4" xfId="10822" xr:uid="{00000000-0005-0000-0000-00009E4B0000}"/>
    <cellStyle name="Note 9 2 3 4 2" xfId="25654" xr:uid="{00000000-0005-0000-0000-00009F4B0000}"/>
    <cellStyle name="Note 9 2 3 5" xfId="21174" xr:uid="{00000000-0005-0000-0000-0000A04B0000}"/>
    <cellStyle name="Note 9 2 4" xfId="4396" xr:uid="{00000000-0005-0000-0000-0000A14B0000}"/>
    <cellStyle name="Note 9 2 4 2" xfId="8435" xr:uid="{00000000-0005-0000-0000-0000A24B0000}"/>
    <cellStyle name="Note 9 2 4 2 2" xfId="17656" xr:uid="{00000000-0005-0000-0000-0000A34B0000}"/>
    <cellStyle name="Note 9 2 4 2 2 2" xfId="32488" xr:uid="{00000000-0005-0000-0000-0000A44B0000}"/>
    <cellStyle name="Note 9 2 4 2 3" xfId="24093" xr:uid="{00000000-0005-0000-0000-0000A54B0000}"/>
    <cellStyle name="Note 9 2 4 3" xfId="14725" xr:uid="{00000000-0005-0000-0000-0000A64B0000}"/>
    <cellStyle name="Note 9 2 4 3 2" xfId="29557" xr:uid="{00000000-0005-0000-0000-0000A74B0000}"/>
    <cellStyle name="Note 9 2 4 4" xfId="11264" xr:uid="{00000000-0005-0000-0000-0000A84B0000}"/>
    <cellStyle name="Note 9 2 4 4 2" xfId="26096" xr:uid="{00000000-0005-0000-0000-0000A94B0000}"/>
    <cellStyle name="Note 9 2 4 5" xfId="21661" xr:uid="{00000000-0005-0000-0000-0000AA4B0000}"/>
    <cellStyle name="Note 9 2 5" xfId="2386" xr:uid="{00000000-0005-0000-0000-0000AB4B0000}"/>
    <cellStyle name="Note 9 2 5 2" xfId="6498" xr:uid="{00000000-0005-0000-0000-0000AC4B0000}"/>
    <cellStyle name="Note 9 2 5 2 2" xfId="16554" xr:uid="{00000000-0005-0000-0000-0000AD4B0000}"/>
    <cellStyle name="Note 9 2 5 2 2 2" xfId="31386" xr:uid="{00000000-0005-0000-0000-0000AE4B0000}"/>
    <cellStyle name="Note 9 2 5 2 3" xfId="22868" xr:uid="{00000000-0005-0000-0000-0000AF4B0000}"/>
    <cellStyle name="Note 9 2 5 3" xfId="12725" xr:uid="{00000000-0005-0000-0000-0000B04B0000}"/>
    <cellStyle name="Note 9 2 5 3 2" xfId="27557" xr:uid="{00000000-0005-0000-0000-0000B14B0000}"/>
    <cellStyle name="Note 9 2 5 4" xfId="10204" xr:uid="{00000000-0005-0000-0000-0000B24B0000}"/>
    <cellStyle name="Note 9 2 5 4 2" xfId="25036" xr:uid="{00000000-0005-0000-0000-0000B34B0000}"/>
    <cellStyle name="Note 9 2 5 5" xfId="20510" xr:uid="{00000000-0005-0000-0000-0000B44B0000}"/>
    <cellStyle name="Note 9 2 6" xfId="5511" xr:uid="{00000000-0005-0000-0000-0000B54B0000}"/>
    <cellStyle name="Note 9 2 6 2" xfId="15746" xr:uid="{00000000-0005-0000-0000-0000B64B0000}"/>
    <cellStyle name="Note 9 2 6 2 2" xfId="30578" xr:uid="{00000000-0005-0000-0000-0000B74B0000}"/>
    <cellStyle name="Note 9 2 6 3" xfId="22239" xr:uid="{00000000-0005-0000-0000-0000B84B0000}"/>
    <cellStyle name="Note 9 2 7" xfId="11761" xr:uid="{00000000-0005-0000-0000-0000B94B0000}"/>
    <cellStyle name="Note 9 2 7 2" xfId="26593" xr:uid="{00000000-0005-0000-0000-0000BA4B0000}"/>
    <cellStyle name="Note 9 2 8" xfId="9432" xr:uid="{00000000-0005-0000-0000-0000BB4B0000}"/>
    <cellStyle name="Note 9 2 8 2" xfId="19736" xr:uid="{00000000-0005-0000-0000-0000BC4B0000}"/>
    <cellStyle name="Note 9 3" xfId="1502" xr:uid="{00000000-0005-0000-0000-0000BD4B0000}"/>
    <cellStyle name="Note 9 3 2" xfId="1999" xr:uid="{00000000-0005-0000-0000-0000BE4B0000}"/>
    <cellStyle name="Note 9 3 2 2" xfId="4008" xr:uid="{00000000-0005-0000-0000-0000BF4B0000}"/>
    <cellStyle name="Note 9 3 2 2 2" xfId="8055" xr:uid="{00000000-0005-0000-0000-0000C04B0000}"/>
    <cellStyle name="Note 9 3 2 2 2 2" xfId="17471" xr:uid="{00000000-0005-0000-0000-0000C14B0000}"/>
    <cellStyle name="Note 9 3 2 2 2 2 2" xfId="32303" xr:uid="{00000000-0005-0000-0000-0000C24B0000}"/>
    <cellStyle name="Note 9 3 2 2 2 3" xfId="23834" xr:uid="{00000000-0005-0000-0000-0000C34B0000}"/>
    <cellStyle name="Note 9 3 2 2 3" xfId="14340" xr:uid="{00000000-0005-0000-0000-0000C44B0000}"/>
    <cellStyle name="Note 9 3 2 2 3 2" xfId="29172" xr:uid="{00000000-0005-0000-0000-0000C54B0000}"/>
    <cellStyle name="Note 9 3 2 2 4" xfId="11088" xr:uid="{00000000-0005-0000-0000-0000C64B0000}"/>
    <cellStyle name="Note 9 3 2 2 4 2" xfId="25920" xr:uid="{00000000-0005-0000-0000-0000C74B0000}"/>
    <cellStyle name="Note 9 3 2 2 5" xfId="21472" xr:uid="{00000000-0005-0000-0000-0000C84B0000}"/>
    <cellStyle name="Note 9 3 2 3" xfId="4967" xr:uid="{00000000-0005-0000-0000-0000C94B0000}"/>
    <cellStyle name="Note 9 3 2 3 2" xfId="9006" xr:uid="{00000000-0005-0000-0000-0000CA4B0000}"/>
    <cellStyle name="Note 9 3 2 3 2 2" xfId="17946" xr:uid="{00000000-0005-0000-0000-0000CB4B0000}"/>
    <cellStyle name="Note 9 3 2 3 2 2 2" xfId="32778" xr:uid="{00000000-0005-0000-0000-0000CC4B0000}"/>
    <cellStyle name="Note 9 3 2 3 2 3" xfId="24472" xr:uid="{00000000-0005-0000-0000-0000CD4B0000}"/>
    <cellStyle name="Note 9 3 2 3 3" xfId="15289" xr:uid="{00000000-0005-0000-0000-0000CE4B0000}"/>
    <cellStyle name="Note 9 3 2 3 3 2" xfId="30121" xr:uid="{00000000-0005-0000-0000-0000CF4B0000}"/>
    <cellStyle name="Note 9 3 2 3 4" xfId="11547" xr:uid="{00000000-0005-0000-0000-0000D04B0000}"/>
    <cellStyle name="Note 9 3 2 3 4 2" xfId="26379" xr:uid="{00000000-0005-0000-0000-0000D14B0000}"/>
    <cellStyle name="Note 9 3 2 3 5" xfId="21998" xr:uid="{00000000-0005-0000-0000-0000D24B0000}"/>
    <cellStyle name="Note 9 3 2 4" xfId="2957" xr:uid="{00000000-0005-0000-0000-0000D34B0000}"/>
    <cellStyle name="Note 9 3 2 4 2" xfId="7037" xr:uid="{00000000-0005-0000-0000-0000D44B0000}"/>
    <cellStyle name="Note 9 3 2 4 2 2" xfId="16838" xr:uid="{00000000-0005-0000-0000-0000D54B0000}"/>
    <cellStyle name="Note 9 3 2 4 2 2 2" xfId="31670" xr:uid="{00000000-0005-0000-0000-0000D64B0000}"/>
    <cellStyle name="Note 9 3 2 4 2 3" xfId="23211" xr:uid="{00000000-0005-0000-0000-0000D74B0000}"/>
    <cellStyle name="Note 9 3 2 4 3" xfId="13295" xr:uid="{00000000-0005-0000-0000-0000D84B0000}"/>
    <cellStyle name="Note 9 3 2 4 3 2" xfId="28127" xr:uid="{00000000-0005-0000-0000-0000D94B0000}"/>
    <cellStyle name="Note 9 3 2 4 4" xfId="10493" xr:uid="{00000000-0005-0000-0000-0000DA4B0000}"/>
    <cellStyle name="Note 9 3 2 4 4 2" xfId="25325" xr:uid="{00000000-0005-0000-0000-0000DB4B0000}"/>
    <cellStyle name="Note 9 3 2 4 5" xfId="20883" xr:uid="{00000000-0005-0000-0000-0000DC4B0000}"/>
    <cellStyle name="Note 9 3 2 5" xfId="6129" xr:uid="{00000000-0005-0000-0000-0000DD4B0000}"/>
    <cellStyle name="Note 9 3 2 5 2" xfId="16316" xr:uid="{00000000-0005-0000-0000-0000DE4B0000}"/>
    <cellStyle name="Note 9 3 2 5 2 2" xfId="31148" xr:uid="{00000000-0005-0000-0000-0000DF4B0000}"/>
    <cellStyle name="Note 9 3 2 5 3" xfId="22662" xr:uid="{00000000-0005-0000-0000-0000E04B0000}"/>
    <cellStyle name="Note 9 3 2 6" xfId="12386" xr:uid="{00000000-0005-0000-0000-0000E14B0000}"/>
    <cellStyle name="Note 9 3 2 6 2" xfId="27218" xr:uid="{00000000-0005-0000-0000-0000E24B0000}"/>
    <cellStyle name="Note 9 3 2 7" xfId="9968" xr:uid="{00000000-0005-0000-0000-0000E34B0000}"/>
    <cellStyle name="Note 9 3 2 7 2" xfId="24802" xr:uid="{00000000-0005-0000-0000-0000E44B0000}"/>
    <cellStyle name="Note 9 3 2 8" xfId="20343" xr:uid="{00000000-0005-0000-0000-0000E54B0000}"/>
    <cellStyle name="Note 9 3 3" xfId="3323" xr:uid="{00000000-0005-0000-0000-0000E64B0000}"/>
    <cellStyle name="Note 9 3 3 2" xfId="7386" xr:uid="{00000000-0005-0000-0000-0000E74B0000}"/>
    <cellStyle name="Note 9 3 3 2 2" xfId="17119" xr:uid="{00000000-0005-0000-0000-0000E84B0000}"/>
    <cellStyle name="Note 9 3 3 2 2 2" xfId="31951" xr:uid="{00000000-0005-0000-0000-0000E94B0000}"/>
    <cellStyle name="Note 9 3 3 2 3" xfId="23399" xr:uid="{00000000-0005-0000-0000-0000EA4B0000}"/>
    <cellStyle name="Note 9 3 3 3" xfId="13660" xr:uid="{00000000-0005-0000-0000-0000EB4B0000}"/>
    <cellStyle name="Note 9 3 3 3 2" xfId="28492" xr:uid="{00000000-0005-0000-0000-0000EC4B0000}"/>
    <cellStyle name="Note 9 3 3 4" xfId="10740" xr:uid="{00000000-0005-0000-0000-0000ED4B0000}"/>
    <cellStyle name="Note 9 3 3 4 2" xfId="25572" xr:uid="{00000000-0005-0000-0000-0000EE4B0000}"/>
    <cellStyle name="Note 9 3 3 5" xfId="21087" xr:uid="{00000000-0005-0000-0000-0000EF4B0000}"/>
    <cellStyle name="Note 9 3 4" xfId="4547" xr:uid="{00000000-0005-0000-0000-0000F04B0000}"/>
    <cellStyle name="Note 9 3 4 2" xfId="8586" xr:uid="{00000000-0005-0000-0000-0000F14B0000}"/>
    <cellStyle name="Note 9 3 4 2 2" xfId="17706" xr:uid="{00000000-0005-0000-0000-0000F24B0000}"/>
    <cellStyle name="Note 9 3 4 2 2 2" xfId="32538" xr:uid="{00000000-0005-0000-0000-0000F34B0000}"/>
    <cellStyle name="Note 9 3 4 2 3" xfId="24212" xr:uid="{00000000-0005-0000-0000-0000F44B0000}"/>
    <cellStyle name="Note 9 3 4 3" xfId="14874" xr:uid="{00000000-0005-0000-0000-0000F54B0000}"/>
    <cellStyle name="Note 9 3 4 3 2" xfId="29706" xr:uid="{00000000-0005-0000-0000-0000F64B0000}"/>
    <cellStyle name="Note 9 3 4 4" xfId="11312" xr:uid="{00000000-0005-0000-0000-0000F74B0000}"/>
    <cellStyle name="Note 9 3 4 4 2" xfId="26144" xr:uid="{00000000-0005-0000-0000-0000F84B0000}"/>
    <cellStyle name="Note 9 3 4 5" xfId="21768" xr:uid="{00000000-0005-0000-0000-0000F94B0000}"/>
    <cellStyle name="Note 9 3 5" xfId="2537" xr:uid="{00000000-0005-0000-0000-0000FA4B0000}"/>
    <cellStyle name="Note 9 3 5 2" xfId="6643" xr:uid="{00000000-0005-0000-0000-0000FB4B0000}"/>
    <cellStyle name="Note 9 3 5 2 2" xfId="16603" xr:uid="{00000000-0005-0000-0000-0000FC4B0000}"/>
    <cellStyle name="Note 9 3 5 2 2 2" xfId="31435" xr:uid="{00000000-0005-0000-0000-0000FD4B0000}"/>
    <cellStyle name="Note 9 3 5 2 3" xfId="22981" xr:uid="{00000000-0005-0000-0000-0000FE4B0000}"/>
    <cellStyle name="Note 9 3 5 3" xfId="12875" xr:uid="{00000000-0005-0000-0000-0000FF4B0000}"/>
    <cellStyle name="Note 9 3 5 3 2" xfId="27707" xr:uid="{00000000-0005-0000-0000-0000004C0000}"/>
    <cellStyle name="Note 9 3 5 4" xfId="10253" xr:uid="{00000000-0005-0000-0000-0000014C0000}"/>
    <cellStyle name="Note 9 3 5 4 2" xfId="25085" xr:uid="{00000000-0005-0000-0000-0000024C0000}"/>
    <cellStyle name="Note 9 3 5 5" xfId="20623" xr:uid="{00000000-0005-0000-0000-0000034C0000}"/>
    <cellStyle name="Note 9 3 6" xfId="5660" xr:uid="{00000000-0005-0000-0000-0000044C0000}"/>
    <cellStyle name="Note 9 3 6 2" xfId="15895" xr:uid="{00000000-0005-0000-0000-0000054C0000}"/>
    <cellStyle name="Note 9 3 6 2 2" xfId="30727" xr:uid="{00000000-0005-0000-0000-0000064C0000}"/>
    <cellStyle name="Note 9 3 6 3" xfId="22356" xr:uid="{00000000-0005-0000-0000-0000074C0000}"/>
    <cellStyle name="Note 9 3 7" xfId="11915" xr:uid="{00000000-0005-0000-0000-0000084C0000}"/>
    <cellStyle name="Note 9 3 7 2" xfId="26747" xr:uid="{00000000-0005-0000-0000-0000094C0000}"/>
    <cellStyle name="Note 9 3 8" xfId="9573" xr:uid="{00000000-0005-0000-0000-00000A4C0000}"/>
    <cellStyle name="Note 9 3 8 2" xfId="19875" xr:uid="{00000000-0005-0000-0000-00000B4C0000}"/>
    <cellStyle name="Note 9 4" xfId="1559" xr:uid="{00000000-0005-0000-0000-00000C4C0000}"/>
    <cellStyle name="Note 9 4 2" xfId="2056" xr:uid="{00000000-0005-0000-0000-00000D4C0000}"/>
    <cellStyle name="Note 9 4 2 2" xfId="3385" xr:uid="{00000000-0005-0000-0000-00000E4C0000}"/>
    <cellStyle name="Note 9 4 2 2 2" xfId="7448" xr:uid="{00000000-0005-0000-0000-00000F4C0000}"/>
    <cellStyle name="Note 9 4 2 2 2 2" xfId="17154" xr:uid="{00000000-0005-0000-0000-0000104C0000}"/>
    <cellStyle name="Note 9 4 2 2 2 2 2" xfId="31986" xr:uid="{00000000-0005-0000-0000-0000114C0000}"/>
    <cellStyle name="Note 9 4 2 2 2 3" xfId="23440" xr:uid="{00000000-0005-0000-0000-0000124C0000}"/>
    <cellStyle name="Note 9 4 2 2 3" xfId="13722" xr:uid="{00000000-0005-0000-0000-0000134C0000}"/>
    <cellStyle name="Note 9 4 2 2 3 2" xfId="28554" xr:uid="{00000000-0005-0000-0000-0000144C0000}"/>
    <cellStyle name="Note 9 4 2 2 4" xfId="10773" xr:uid="{00000000-0005-0000-0000-0000154C0000}"/>
    <cellStyle name="Note 9 4 2 2 4 2" xfId="25605" xr:uid="{00000000-0005-0000-0000-0000164C0000}"/>
    <cellStyle name="Note 9 4 2 2 5" xfId="21122" xr:uid="{00000000-0005-0000-0000-0000174C0000}"/>
    <cellStyle name="Note 9 4 2 3" xfId="5024" xr:uid="{00000000-0005-0000-0000-0000184C0000}"/>
    <cellStyle name="Note 9 4 2 3 2" xfId="9063" xr:uid="{00000000-0005-0000-0000-0000194C0000}"/>
    <cellStyle name="Note 9 4 2 3 2 2" xfId="17996" xr:uid="{00000000-0005-0000-0000-00001A4C0000}"/>
    <cellStyle name="Note 9 4 2 3 2 2 2" xfId="32828" xr:uid="{00000000-0005-0000-0000-00001B4C0000}"/>
    <cellStyle name="Note 9 4 2 3 2 3" xfId="24497" xr:uid="{00000000-0005-0000-0000-00001C4C0000}"/>
    <cellStyle name="Note 9 4 2 3 3" xfId="15345" xr:uid="{00000000-0005-0000-0000-00001D4C0000}"/>
    <cellStyle name="Note 9 4 2 3 3 2" xfId="30177" xr:uid="{00000000-0005-0000-0000-00001E4C0000}"/>
    <cellStyle name="Note 9 4 2 3 4" xfId="11596" xr:uid="{00000000-0005-0000-0000-00001F4C0000}"/>
    <cellStyle name="Note 9 4 2 3 4 2" xfId="26428" xr:uid="{00000000-0005-0000-0000-0000204C0000}"/>
    <cellStyle name="Note 9 4 2 3 5" xfId="22017" xr:uid="{00000000-0005-0000-0000-0000214C0000}"/>
    <cellStyle name="Note 9 4 2 4" xfId="3014" xr:uid="{00000000-0005-0000-0000-0000224C0000}"/>
    <cellStyle name="Note 9 4 2 4 2" xfId="7089" xr:uid="{00000000-0005-0000-0000-0000234C0000}"/>
    <cellStyle name="Note 9 4 2 4 2 2" xfId="16887" xr:uid="{00000000-0005-0000-0000-0000244C0000}"/>
    <cellStyle name="Note 9 4 2 4 2 2 2" xfId="31719" xr:uid="{00000000-0005-0000-0000-0000254C0000}"/>
    <cellStyle name="Note 9 4 2 4 2 3" xfId="23230" xr:uid="{00000000-0005-0000-0000-0000264C0000}"/>
    <cellStyle name="Note 9 4 2 4 3" xfId="13352" xr:uid="{00000000-0005-0000-0000-0000274C0000}"/>
    <cellStyle name="Note 9 4 2 4 3 2" xfId="28184" xr:uid="{00000000-0005-0000-0000-0000284C0000}"/>
    <cellStyle name="Note 9 4 2 4 4" xfId="10543" xr:uid="{00000000-0005-0000-0000-0000294C0000}"/>
    <cellStyle name="Note 9 4 2 4 4 2" xfId="25375" xr:uid="{00000000-0005-0000-0000-00002A4C0000}"/>
    <cellStyle name="Note 9 4 2 4 5" xfId="20908" xr:uid="{00000000-0005-0000-0000-00002B4C0000}"/>
    <cellStyle name="Note 9 4 2 5" xfId="6181" xr:uid="{00000000-0005-0000-0000-00002C4C0000}"/>
    <cellStyle name="Note 9 4 2 5 2" xfId="16367" xr:uid="{00000000-0005-0000-0000-00002D4C0000}"/>
    <cellStyle name="Note 9 4 2 5 2 2" xfId="31199" xr:uid="{00000000-0005-0000-0000-00002E4C0000}"/>
    <cellStyle name="Note 9 4 2 5 3" xfId="22681" xr:uid="{00000000-0005-0000-0000-00002F4C0000}"/>
    <cellStyle name="Note 9 4 2 6" xfId="12437" xr:uid="{00000000-0005-0000-0000-0000304C0000}"/>
    <cellStyle name="Note 9 4 2 6 2" xfId="27269" xr:uid="{00000000-0005-0000-0000-0000314C0000}"/>
    <cellStyle name="Note 9 4 2 7" xfId="10019" xr:uid="{00000000-0005-0000-0000-0000324C0000}"/>
    <cellStyle name="Note 9 4 2 7 2" xfId="24851" xr:uid="{00000000-0005-0000-0000-0000334C0000}"/>
    <cellStyle name="Note 9 4 2 8" xfId="20360" xr:uid="{00000000-0005-0000-0000-0000344C0000}"/>
    <cellStyle name="Note 9 4 3" xfId="3273" xr:uid="{00000000-0005-0000-0000-0000354C0000}"/>
    <cellStyle name="Note 9 4 3 2" xfId="7337" xr:uid="{00000000-0005-0000-0000-0000364C0000}"/>
    <cellStyle name="Note 9 4 3 2 2" xfId="17081" xr:uid="{00000000-0005-0000-0000-0000374C0000}"/>
    <cellStyle name="Note 9 4 3 2 2 2" xfId="31913" xr:uid="{00000000-0005-0000-0000-0000384C0000}"/>
    <cellStyle name="Note 9 4 3 2 3" xfId="23368" xr:uid="{00000000-0005-0000-0000-0000394C0000}"/>
    <cellStyle name="Note 9 4 3 3" xfId="13610" xr:uid="{00000000-0005-0000-0000-00003A4C0000}"/>
    <cellStyle name="Note 9 4 3 3 2" xfId="28442" xr:uid="{00000000-0005-0000-0000-00003B4C0000}"/>
    <cellStyle name="Note 9 4 3 4" xfId="10709" xr:uid="{00000000-0005-0000-0000-00003C4C0000}"/>
    <cellStyle name="Note 9 4 3 4 2" xfId="25541" xr:uid="{00000000-0005-0000-0000-00003D4C0000}"/>
    <cellStyle name="Note 9 4 3 5" xfId="21055" xr:uid="{00000000-0005-0000-0000-00003E4C0000}"/>
    <cellStyle name="Note 9 4 4" xfId="4604" xr:uid="{00000000-0005-0000-0000-00003F4C0000}"/>
    <cellStyle name="Note 9 4 4 2" xfId="8643" xr:uid="{00000000-0005-0000-0000-0000404C0000}"/>
    <cellStyle name="Note 9 4 4 2 2" xfId="17756" xr:uid="{00000000-0005-0000-0000-0000414C0000}"/>
    <cellStyle name="Note 9 4 4 2 2 2" xfId="32588" xr:uid="{00000000-0005-0000-0000-0000424C0000}"/>
    <cellStyle name="Note 9 4 4 2 3" xfId="24237" xr:uid="{00000000-0005-0000-0000-0000434C0000}"/>
    <cellStyle name="Note 9 4 4 3" xfId="14930" xr:uid="{00000000-0005-0000-0000-0000444C0000}"/>
    <cellStyle name="Note 9 4 4 3 2" xfId="29762" xr:uid="{00000000-0005-0000-0000-0000454C0000}"/>
    <cellStyle name="Note 9 4 4 4" xfId="11361" xr:uid="{00000000-0005-0000-0000-0000464C0000}"/>
    <cellStyle name="Note 9 4 4 4 2" xfId="26193" xr:uid="{00000000-0005-0000-0000-0000474C0000}"/>
    <cellStyle name="Note 9 4 4 5" xfId="21787" xr:uid="{00000000-0005-0000-0000-0000484C0000}"/>
    <cellStyle name="Note 9 4 5" xfId="2594" xr:uid="{00000000-0005-0000-0000-0000494C0000}"/>
    <cellStyle name="Note 9 4 5 2" xfId="6695" xr:uid="{00000000-0005-0000-0000-00004A4C0000}"/>
    <cellStyle name="Note 9 4 5 2 2" xfId="16652" xr:uid="{00000000-0005-0000-0000-00004B4C0000}"/>
    <cellStyle name="Note 9 4 5 2 2 2" xfId="31484" xr:uid="{00000000-0005-0000-0000-00004C4C0000}"/>
    <cellStyle name="Note 9 4 5 2 3" xfId="23000" xr:uid="{00000000-0005-0000-0000-00004D4C0000}"/>
    <cellStyle name="Note 9 4 5 3" xfId="12932" xr:uid="{00000000-0005-0000-0000-00004E4C0000}"/>
    <cellStyle name="Note 9 4 5 3 2" xfId="27764" xr:uid="{00000000-0005-0000-0000-00004F4C0000}"/>
    <cellStyle name="Note 9 4 5 4" xfId="10303" xr:uid="{00000000-0005-0000-0000-0000504C0000}"/>
    <cellStyle name="Note 9 4 5 4 2" xfId="25135" xr:uid="{00000000-0005-0000-0000-0000514C0000}"/>
    <cellStyle name="Note 9 4 5 5" xfId="20648" xr:uid="{00000000-0005-0000-0000-0000524C0000}"/>
    <cellStyle name="Note 9 4 6" xfId="5711" xr:uid="{00000000-0005-0000-0000-0000534C0000}"/>
    <cellStyle name="Note 9 4 6 2" xfId="15946" xr:uid="{00000000-0005-0000-0000-0000544C0000}"/>
    <cellStyle name="Note 9 4 6 2 2" xfId="30778" xr:uid="{00000000-0005-0000-0000-0000554C0000}"/>
    <cellStyle name="Note 9 4 6 3" xfId="22375" xr:uid="{00000000-0005-0000-0000-0000564C0000}"/>
    <cellStyle name="Note 9 4 7" xfId="11966" xr:uid="{00000000-0005-0000-0000-0000574C0000}"/>
    <cellStyle name="Note 9 4 7 2" xfId="26798" xr:uid="{00000000-0005-0000-0000-0000584C0000}"/>
    <cellStyle name="Note 9 4 8" xfId="9625" xr:uid="{00000000-0005-0000-0000-0000594C0000}"/>
    <cellStyle name="Note 9 4 8 2" xfId="19926" xr:uid="{00000000-0005-0000-0000-00005A4C0000}"/>
    <cellStyle name="Note 9 5" xfId="1536" xr:uid="{00000000-0005-0000-0000-00005B4C0000}"/>
    <cellStyle name="Note 9 5 2" xfId="2033" xr:uid="{00000000-0005-0000-0000-00005C4C0000}"/>
    <cellStyle name="Note 9 5 2 2" xfId="3449" xr:uid="{00000000-0005-0000-0000-00005D4C0000}"/>
    <cellStyle name="Note 9 5 2 2 2" xfId="7512" xr:uid="{00000000-0005-0000-0000-00005E4C0000}"/>
    <cellStyle name="Note 9 5 2 2 2 2" xfId="17196" xr:uid="{00000000-0005-0000-0000-00005F4C0000}"/>
    <cellStyle name="Note 9 5 2 2 2 2 2" xfId="32028" xr:uid="{00000000-0005-0000-0000-0000604C0000}"/>
    <cellStyle name="Note 9 5 2 2 2 3" xfId="23483" xr:uid="{00000000-0005-0000-0000-0000614C0000}"/>
    <cellStyle name="Note 9 5 2 2 3" xfId="13786" xr:uid="{00000000-0005-0000-0000-0000624C0000}"/>
    <cellStyle name="Note 9 5 2 2 3 2" xfId="28618" xr:uid="{00000000-0005-0000-0000-0000634C0000}"/>
    <cellStyle name="Note 9 5 2 2 4" xfId="10815" xr:uid="{00000000-0005-0000-0000-0000644C0000}"/>
    <cellStyle name="Note 9 5 2 2 4 2" xfId="25647" xr:uid="{00000000-0005-0000-0000-0000654C0000}"/>
    <cellStyle name="Note 9 5 2 2 5" xfId="21159" xr:uid="{00000000-0005-0000-0000-0000664C0000}"/>
    <cellStyle name="Note 9 5 2 3" xfId="5001" xr:uid="{00000000-0005-0000-0000-0000674C0000}"/>
    <cellStyle name="Note 9 5 2 3 2" xfId="9040" xr:uid="{00000000-0005-0000-0000-0000684C0000}"/>
    <cellStyle name="Note 9 5 2 3 2 2" xfId="17978" xr:uid="{00000000-0005-0000-0000-0000694C0000}"/>
    <cellStyle name="Note 9 5 2 3 2 2 2" xfId="32810" xr:uid="{00000000-0005-0000-0000-00006A4C0000}"/>
    <cellStyle name="Note 9 5 2 3 2 3" xfId="24490" xr:uid="{00000000-0005-0000-0000-00006B4C0000}"/>
    <cellStyle name="Note 9 5 2 3 3" xfId="15323" xr:uid="{00000000-0005-0000-0000-00006C4C0000}"/>
    <cellStyle name="Note 9 5 2 3 3 2" xfId="30155" xr:uid="{00000000-0005-0000-0000-00006D4C0000}"/>
    <cellStyle name="Note 9 5 2 3 4" xfId="11579" xr:uid="{00000000-0005-0000-0000-00006E4C0000}"/>
    <cellStyle name="Note 9 5 2 3 4 2" xfId="26411" xr:uid="{00000000-0005-0000-0000-00006F4C0000}"/>
    <cellStyle name="Note 9 5 2 3 5" xfId="22016" xr:uid="{00000000-0005-0000-0000-0000704C0000}"/>
    <cellStyle name="Note 9 5 2 4" xfId="2991" xr:uid="{00000000-0005-0000-0000-0000714C0000}"/>
    <cellStyle name="Note 9 5 2 4 2" xfId="7071" xr:uid="{00000000-0005-0000-0000-0000724C0000}"/>
    <cellStyle name="Note 9 5 2 4 2 2" xfId="16870" xr:uid="{00000000-0005-0000-0000-0000734C0000}"/>
    <cellStyle name="Note 9 5 2 4 2 2 2" xfId="31702" xr:uid="{00000000-0005-0000-0000-0000744C0000}"/>
    <cellStyle name="Note 9 5 2 4 2 3" xfId="23229" xr:uid="{00000000-0005-0000-0000-0000754C0000}"/>
    <cellStyle name="Note 9 5 2 4 3" xfId="13329" xr:uid="{00000000-0005-0000-0000-0000764C0000}"/>
    <cellStyle name="Note 9 5 2 4 3 2" xfId="28161" xr:uid="{00000000-0005-0000-0000-0000774C0000}"/>
    <cellStyle name="Note 9 5 2 4 4" xfId="10525" xr:uid="{00000000-0005-0000-0000-0000784C0000}"/>
    <cellStyle name="Note 9 5 2 4 4 2" xfId="25357" xr:uid="{00000000-0005-0000-0000-0000794C0000}"/>
    <cellStyle name="Note 9 5 2 4 5" xfId="20901" xr:uid="{00000000-0005-0000-0000-00007A4C0000}"/>
    <cellStyle name="Note 9 5 2 5" xfId="6163" xr:uid="{00000000-0005-0000-0000-00007B4C0000}"/>
    <cellStyle name="Note 9 5 2 5 2" xfId="16350" xr:uid="{00000000-0005-0000-0000-00007C4C0000}"/>
    <cellStyle name="Note 9 5 2 5 2 2" xfId="31182" xr:uid="{00000000-0005-0000-0000-00007D4C0000}"/>
    <cellStyle name="Note 9 5 2 5 3" xfId="22680" xr:uid="{00000000-0005-0000-0000-00007E4C0000}"/>
    <cellStyle name="Note 9 5 2 6" xfId="12420" xr:uid="{00000000-0005-0000-0000-00007F4C0000}"/>
    <cellStyle name="Note 9 5 2 6 2" xfId="27252" xr:uid="{00000000-0005-0000-0000-0000804C0000}"/>
    <cellStyle name="Note 9 5 2 7" xfId="10002" xr:uid="{00000000-0005-0000-0000-0000814C0000}"/>
    <cellStyle name="Note 9 5 2 7 2" xfId="24834" xr:uid="{00000000-0005-0000-0000-0000824C0000}"/>
    <cellStyle name="Note 9 5 2 8" xfId="20359" xr:uid="{00000000-0005-0000-0000-0000834C0000}"/>
    <cellStyle name="Note 9 5 3" xfId="3202" xr:uid="{00000000-0005-0000-0000-0000844C0000}"/>
    <cellStyle name="Note 9 5 3 2" xfId="7266" xr:uid="{00000000-0005-0000-0000-0000854C0000}"/>
    <cellStyle name="Note 9 5 3 2 2" xfId="17033" xr:uid="{00000000-0005-0000-0000-0000864C0000}"/>
    <cellStyle name="Note 9 5 3 2 2 2" xfId="31865" xr:uid="{00000000-0005-0000-0000-0000874C0000}"/>
    <cellStyle name="Note 9 5 3 2 3" xfId="23316" xr:uid="{00000000-0005-0000-0000-0000884C0000}"/>
    <cellStyle name="Note 9 5 3 3" xfId="13540" xr:uid="{00000000-0005-0000-0000-0000894C0000}"/>
    <cellStyle name="Note 9 5 3 3 2" xfId="28372" xr:uid="{00000000-0005-0000-0000-00008A4C0000}"/>
    <cellStyle name="Note 9 5 3 4" xfId="10677" xr:uid="{00000000-0005-0000-0000-00008B4C0000}"/>
    <cellStyle name="Note 9 5 3 4 2" xfId="25509" xr:uid="{00000000-0005-0000-0000-00008C4C0000}"/>
    <cellStyle name="Note 9 5 3 5" xfId="21006" xr:uid="{00000000-0005-0000-0000-00008D4C0000}"/>
    <cellStyle name="Note 9 5 4" xfId="4581" xr:uid="{00000000-0005-0000-0000-00008E4C0000}"/>
    <cellStyle name="Note 9 5 4 2" xfId="8620" xr:uid="{00000000-0005-0000-0000-00008F4C0000}"/>
    <cellStyle name="Note 9 5 4 2 2" xfId="17738" xr:uid="{00000000-0005-0000-0000-0000904C0000}"/>
    <cellStyle name="Note 9 5 4 2 2 2" xfId="32570" xr:uid="{00000000-0005-0000-0000-0000914C0000}"/>
    <cellStyle name="Note 9 5 4 2 3" xfId="24230" xr:uid="{00000000-0005-0000-0000-0000924C0000}"/>
    <cellStyle name="Note 9 5 4 3" xfId="14908" xr:uid="{00000000-0005-0000-0000-0000934C0000}"/>
    <cellStyle name="Note 9 5 4 3 2" xfId="29740" xr:uid="{00000000-0005-0000-0000-0000944C0000}"/>
    <cellStyle name="Note 9 5 4 4" xfId="11344" xr:uid="{00000000-0005-0000-0000-0000954C0000}"/>
    <cellStyle name="Note 9 5 4 4 2" xfId="26176" xr:uid="{00000000-0005-0000-0000-0000964C0000}"/>
    <cellStyle name="Note 9 5 4 5" xfId="21786" xr:uid="{00000000-0005-0000-0000-0000974C0000}"/>
    <cellStyle name="Note 9 5 5" xfId="2571" xr:uid="{00000000-0005-0000-0000-0000984C0000}"/>
    <cellStyle name="Note 9 5 5 2" xfId="6677" xr:uid="{00000000-0005-0000-0000-0000994C0000}"/>
    <cellStyle name="Note 9 5 5 2 2" xfId="16635" xr:uid="{00000000-0005-0000-0000-00009A4C0000}"/>
    <cellStyle name="Note 9 5 5 2 2 2" xfId="31467" xr:uid="{00000000-0005-0000-0000-00009B4C0000}"/>
    <cellStyle name="Note 9 5 5 2 3" xfId="22999" xr:uid="{00000000-0005-0000-0000-00009C4C0000}"/>
    <cellStyle name="Note 9 5 5 3" xfId="12909" xr:uid="{00000000-0005-0000-0000-00009D4C0000}"/>
    <cellStyle name="Note 9 5 5 3 2" xfId="27741" xr:uid="{00000000-0005-0000-0000-00009E4C0000}"/>
    <cellStyle name="Note 9 5 5 4" xfId="10285" xr:uid="{00000000-0005-0000-0000-00009F4C0000}"/>
    <cellStyle name="Note 9 5 5 4 2" xfId="25117" xr:uid="{00000000-0005-0000-0000-0000A04C0000}"/>
    <cellStyle name="Note 9 5 5 5" xfId="20641" xr:uid="{00000000-0005-0000-0000-0000A14C0000}"/>
    <cellStyle name="Note 9 5 6" xfId="5694" xr:uid="{00000000-0005-0000-0000-0000A24C0000}"/>
    <cellStyle name="Note 9 5 6 2" xfId="15929" xr:uid="{00000000-0005-0000-0000-0000A34C0000}"/>
    <cellStyle name="Note 9 5 6 2 2" xfId="30761" xr:uid="{00000000-0005-0000-0000-0000A44C0000}"/>
    <cellStyle name="Note 9 5 6 3" xfId="22374" xr:uid="{00000000-0005-0000-0000-0000A54C0000}"/>
    <cellStyle name="Note 9 5 7" xfId="11949" xr:uid="{00000000-0005-0000-0000-0000A64C0000}"/>
    <cellStyle name="Note 9 5 7 2" xfId="26781" xr:uid="{00000000-0005-0000-0000-0000A74C0000}"/>
    <cellStyle name="Note 9 5 8" xfId="9607" xr:uid="{00000000-0005-0000-0000-0000A84C0000}"/>
    <cellStyle name="Note 9 5 8 2" xfId="19909" xr:uid="{00000000-0005-0000-0000-0000A94C0000}"/>
    <cellStyle name="Note 9 6" xfId="1760" xr:uid="{00000000-0005-0000-0000-0000AA4C0000}"/>
    <cellStyle name="Note 9 6 2" xfId="3580" xr:uid="{00000000-0005-0000-0000-0000AB4C0000}"/>
    <cellStyle name="Note 9 6 2 2" xfId="7642" xr:uid="{00000000-0005-0000-0000-0000AC4C0000}"/>
    <cellStyle name="Note 9 6 2 2 2" xfId="17266" xr:uid="{00000000-0005-0000-0000-0000AD4C0000}"/>
    <cellStyle name="Note 9 6 2 2 2 2" xfId="32098" xr:uid="{00000000-0005-0000-0000-0000AE4C0000}"/>
    <cellStyle name="Note 9 6 2 2 3" xfId="23564" xr:uid="{00000000-0005-0000-0000-0000AF4C0000}"/>
    <cellStyle name="Note 9 6 2 3" xfId="13916" xr:uid="{00000000-0005-0000-0000-0000B04C0000}"/>
    <cellStyle name="Note 9 6 2 3 2" xfId="28748" xr:uid="{00000000-0005-0000-0000-0000B14C0000}"/>
    <cellStyle name="Note 9 6 2 4" xfId="10883" xr:uid="{00000000-0005-0000-0000-0000B24C0000}"/>
    <cellStyle name="Note 9 6 2 4 2" xfId="25715" xr:uid="{00000000-0005-0000-0000-0000B34C0000}"/>
    <cellStyle name="Note 9 6 2 5" xfId="21233" xr:uid="{00000000-0005-0000-0000-0000B44C0000}"/>
    <cellStyle name="Note 9 6 3" xfId="4738" xr:uid="{00000000-0005-0000-0000-0000B54C0000}"/>
    <cellStyle name="Note 9 6 3 2" xfId="8777" xr:uid="{00000000-0005-0000-0000-0000B64C0000}"/>
    <cellStyle name="Note 9 6 3 2 2" xfId="17849" xr:uid="{00000000-0005-0000-0000-0000B74C0000}"/>
    <cellStyle name="Note 9 6 3 2 2 2" xfId="32681" xr:uid="{00000000-0005-0000-0000-0000B84C0000}"/>
    <cellStyle name="Note 9 6 3 2 3" xfId="24307" xr:uid="{00000000-0005-0000-0000-0000B94C0000}"/>
    <cellStyle name="Note 9 6 3 3" xfId="15062" xr:uid="{00000000-0005-0000-0000-0000BA4C0000}"/>
    <cellStyle name="Note 9 6 3 3 2" xfId="29894" xr:uid="{00000000-0005-0000-0000-0000BB4C0000}"/>
    <cellStyle name="Note 9 6 3 4" xfId="11452" xr:uid="{00000000-0005-0000-0000-0000BC4C0000}"/>
    <cellStyle name="Note 9 6 3 4 2" xfId="26284" xr:uid="{00000000-0005-0000-0000-0000BD4C0000}"/>
    <cellStyle name="Note 9 6 3 5" xfId="21845" xr:uid="{00000000-0005-0000-0000-0000BE4C0000}"/>
    <cellStyle name="Note 9 6 4" xfId="2728" xr:uid="{00000000-0005-0000-0000-0000BF4C0000}"/>
    <cellStyle name="Note 9 6 4 2" xfId="6819" xr:uid="{00000000-0005-0000-0000-0000C04C0000}"/>
    <cellStyle name="Note 9 6 4 2 2" xfId="16743" xr:uid="{00000000-0005-0000-0000-0000C14C0000}"/>
    <cellStyle name="Note 9 6 4 2 2 2" xfId="31575" xr:uid="{00000000-0005-0000-0000-0000C24C0000}"/>
    <cellStyle name="Note 9 6 4 2 3" xfId="23058" xr:uid="{00000000-0005-0000-0000-0000C34C0000}"/>
    <cellStyle name="Note 9 6 4 3" xfId="13066" xr:uid="{00000000-0005-0000-0000-0000C44C0000}"/>
    <cellStyle name="Note 9 6 4 3 2" xfId="27898" xr:uid="{00000000-0005-0000-0000-0000C54C0000}"/>
    <cellStyle name="Note 9 6 4 4" xfId="10396" xr:uid="{00000000-0005-0000-0000-0000C64C0000}"/>
    <cellStyle name="Note 9 6 4 4 2" xfId="25228" xr:uid="{00000000-0005-0000-0000-0000C74C0000}"/>
    <cellStyle name="Note 9 6 4 5" xfId="20718" xr:uid="{00000000-0005-0000-0000-0000C84C0000}"/>
    <cellStyle name="Note 9 6 5" xfId="5892" xr:uid="{00000000-0005-0000-0000-0000C94C0000}"/>
    <cellStyle name="Note 9 6 5 2" xfId="16084" xr:uid="{00000000-0005-0000-0000-0000CA4C0000}"/>
    <cellStyle name="Note 9 6 5 2 2" xfId="30916" xr:uid="{00000000-0005-0000-0000-0000CB4C0000}"/>
    <cellStyle name="Note 9 6 5 3" xfId="22489" xr:uid="{00000000-0005-0000-0000-0000CC4C0000}"/>
    <cellStyle name="Note 9 6 6" xfId="12154" xr:uid="{00000000-0005-0000-0000-0000CD4C0000}"/>
    <cellStyle name="Note 9 6 6 2" xfId="26986" xr:uid="{00000000-0005-0000-0000-0000CE4C0000}"/>
    <cellStyle name="Note 9 6 7" xfId="9750" xr:uid="{00000000-0005-0000-0000-0000CF4C0000}"/>
    <cellStyle name="Note 9 6 7 2" xfId="24707" xr:uid="{00000000-0005-0000-0000-0000D04C0000}"/>
    <cellStyle name="Note 9 6 8" xfId="20297" xr:uid="{00000000-0005-0000-0000-0000D14C0000}"/>
    <cellStyle name="Note 9 7" xfId="2206" xr:uid="{00000000-0005-0000-0000-0000D24C0000}"/>
    <cellStyle name="Note 9 7 2" xfId="4106" xr:uid="{00000000-0005-0000-0000-0000D34C0000}"/>
    <cellStyle name="Note 9 7 2 2" xfId="8152" xr:uid="{00000000-0005-0000-0000-0000D44C0000}"/>
    <cellStyle name="Note 9 7 2 2 2" xfId="17522" xr:uid="{00000000-0005-0000-0000-0000D54C0000}"/>
    <cellStyle name="Note 9 7 2 2 2 2" xfId="32354" xr:uid="{00000000-0005-0000-0000-0000D64C0000}"/>
    <cellStyle name="Note 9 7 2 2 3" xfId="23894" xr:uid="{00000000-0005-0000-0000-0000D74C0000}"/>
    <cellStyle name="Note 9 7 2 3" xfId="14438" xr:uid="{00000000-0005-0000-0000-0000D84C0000}"/>
    <cellStyle name="Note 9 7 2 3 2" xfId="29270" xr:uid="{00000000-0005-0000-0000-0000D94C0000}"/>
    <cellStyle name="Note 9 7 2 4" xfId="11139" xr:uid="{00000000-0005-0000-0000-0000DA4C0000}"/>
    <cellStyle name="Note 9 7 2 4 2" xfId="25971" xr:uid="{00000000-0005-0000-0000-0000DB4C0000}"/>
    <cellStyle name="Note 9 7 2 5" xfId="21524" xr:uid="{00000000-0005-0000-0000-0000DC4C0000}"/>
    <cellStyle name="Note 9 7 3" xfId="5174" xr:uid="{00000000-0005-0000-0000-0000DD4C0000}"/>
    <cellStyle name="Note 9 7 3 2" xfId="9213" xr:uid="{00000000-0005-0000-0000-0000DE4C0000}"/>
    <cellStyle name="Note 9 7 3 2 2" xfId="18136" xr:uid="{00000000-0005-0000-0000-0000DF4C0000}"/>
    <cellStyle name="Note 9 7 3 2 2 2" xfId="32968" xr:uid="{00000000-0005-0000-0000-0000E04C0000}"/>
    <cellStyle name="Note 9 7 3 2 3" xfId="24551" xr:uid="{00000000-0005-0000-0000-0000E14C0000}"/>
    <cellStyle name="Note 9 7 3 3" xfId="15492" xr:uid="{00000000-0005-0000-0000-0000E24C0000}"/>
    <cellStyle name="Note 9 7 3 3 2" xfId="30324" xr:uid="{00000000-0005-0000-0000-0000E34C0000}"/>
    <cellStyle name="Note 9 7 3 4" xfId="11733" xr:uid="{00000000-0005-0000-0000-0000E44C0000}"/>
    <cellStyle name="Note 9 7 3 4 2" xfId="26565" xr:uid="{00000000-0005-0000-0000-0000E54C0000}"/>
    <cellStyle name="Note 9 7 3 5" xfId="22058" xr:uid="{00000000-0005-0000-0000-0000E64C0000}"/>
    <cellStyle name="Note 9 7 4" xfId="4204" xr:uid="{00000000-0005-0000-0000-0000E74C0000}"/>
    <cellStyle name="Note 9 7 4 2" xfId="8245" xr:uid="{00000000-0005-0000-0000-0000E84C0000}"/>
    <cellStyle name="Note 9 7 4 2 2" xfId="17592" xr:uid="{00000000-0005-0000-0000-0000E94C0000}"/>
    <cellStyle name="Note 9 7 4 2 2 2" xfId="32424" xr:uid="{00000000-0005-0000-0000-0000EA4C0000}"/>
    <cellStyle name="Note 9 7 4 2 3" xfId="23940" xr:uid="{00000000-0005-0000-0000-0000EB4C0000}"/>
    <cellStyle name="Note 9 7 4 3" xfId="14536" xr:uid="{00000000-0005-0000-0000-0000EC4C0000}"/>
    <cellStyle name="Note 9 7 4 3 2" xfId="29368" xr:uid="{00000000-0005-0000-0000-0000ED4C0000}"/>
    <cellStyle name="Note 9 7 4 4" xfId="11212" xr:uid="{00000000-0005-0000-0000-0000EE4C0000}"/>
    <cellStyle name="Note 9 7 4 4 2" xfId="26044" xr:uid="{00000000-0005-0000-0000-0000EF4C0000}"/>
    <cellStyle name="Note 9 7 4 5" xfId="21565" xr:uid="{00000000-0005-0000-0000-0000F04C0000}"/>
    <cellStyle name="Note 9 7 5" xfId="6320" xr:uid="{00000000-0005-0000-0000-0000F14C0000}"/>
    <cellStyle name="Note 9 7 5 2" xfId="16504" xr:uid="{00000000-0005-0000-0000-0000F24C0000}"/>
    <cellStyle name="Note 9 7 5 2 2" xfId="31336" xr:uid="{00000000-0005-0000-0000-0000F34C0000}"/>
    <cellStyle name="Note 9 7 5 3" xfId="22722" xr:uid="{00000000-0005-0000-0000-0000F44C0000}"/>
    <cellStyle name="Note 9 7 6" xfId="12574" xr:uid="{00000000-0005-0000-0000-0000F54C0000}"/>
    <cellStyle name="Note 9 7 6 2" xfId="27406" xr:uid="{00000000-0005-0000-0000-0000F64C0000}"/>
    <cellStyle name="Note 9 7 7" xfId="10156" xr:uid="{00000000-0005-0000-0000-0000F74C0000}"/>
    <cellStyle name="Note 9 7 7 2" xfId="24988" xr:uid="{00000000-0005-0000-0000-0000F84C0000}"/>
    <cellStyle name="Note 9 7 8" xfId="20401" xr:uid="{00000000-0005-0000-0000-0000F94C0000}"/>
    <cellStyle name="Note 9 8" xfId="3285" xr:uid="{00000000-0005-0000-0000-0000FA4C0000}"/>
    <cellStyle name="Note 9 8 2" xfId="7349" xr:uid="{00000000-0005-0000-0000-0000FB4C0000}"/>
    <cellStyle name="Note 9 8 2 2" xfId="17092" xr:uid="{00000000-0005-0000-0000-0000FC4C0000}"/>
    <cellStyle name="Note 9 8 2 2 2" xfId="31924" xr:uid="{00000000-0005-0000-0000-0000FD4C0000}"/>
    <cellStyle name="Note 9 8 2 3" xfId="23376" xr:uid="{00000000-0005-0000-0000-0000FE4C0000}"/>
    <cellStyle name="Note 9 8 3" xfId="13622" xr:uid="{00000000-0005-0000-0000-0000FF4C0000}"/>
    <cellStyle name="Note 9 8 3 2" xfId="28454" xr:uid="{00000000-0005-0000-0000-0000004D0000}"/>
    <cellStyle name="Note 9 8 4" xfId="10719" xr:uid="{00000000-0005-0000-0000-0000014D0000}"/>
    <cellStyle name="Note 9 8 4 2" xfId="25551" xr:uid="{00000000-0005-0000-0000-0000024D0000}"/>
    <cellStyle name="Note 9 8 5" xfId="21063" xr:uid="{00000000-0005-0000-0000-0000034D0000}"/>
    <cellStyle name="Note 9 9" xfId="4290" xr:uid="{00000000-0005-0000-0000-0000044D0000}"/>
    <cellStyle name="Note 9 9 2" xfId="8329" xr:uid="{00000000-0005-0000-0000-0000054D0000}"/>
    <cellStyle name="Note 9 9 2 2" xfId="17611" xr:uid="{00000000-0005-0000-0000-0000064D0000}"/>
    <cellStyle name="Note 9 9 2 2 2" xfId="32443" xr:uid="{00000000-0005-0000-0000-0000074D0000}"/>
    <cellStyle name="Note 9 9 2 3" xfId="24017" xr:uid="{00000000-0005-0000-0000-0000084D0000}"/>
    <cellStyle name="Note 9 9 3" xfId="14622" xr:uid="{00000000-0005-0000-0000-0000094D0000}"/>
    <cellStyle name="Note 9 9 3 2" xfId="29454" xr:uid="{00000000-0005-0000-0000-00000A4D0000}"/>
    <cellStyle name="Note 9 9 4" xfId="11225" xr:uid="{00000000-0005-0000-0000-00000B4D0000}"/>
    <cellStyle name="Note 9 9 4 2" xfId="26057" xr:uid="{00000000-0005-0000-0000-00000C4D0000}"/>
    <cellStyle name="Note 9 9 5" xfId="21615" xr:uid="{00000000-0005-0000-0000-00000D4D0000}"/>
    <cellStyle name="Output 10" xfId="1230" xr:uid="{00000000-0005-0000-0000-00000E4D0000}"/>
    <cellStyle name="Output 10 10" xfId="2316" xr:uid="{00000000-0005-0000-0000-00000F4D0000}"/>
    <cellStyle name="Output 10 10 2" xfId="6428" xr:uid="{00000000-0005-0000-0000-0000104D0000}"/>
    <cellStyle name="Output 10 10 2 2" xfId="16521" xr:uid="{00000000-0005-0000-0000-0000114D0000}"/>
    <cellStyle name="Output 10 10 2 2 2" xfId="31353" xr:uid="{00000000-0005-0000-0000-0000124D0000}"/>
    <cellStyle name="Output 10 10 2 3" xfId="18609" xr:uid="{00000000-0005-0000-0000-0000134D0000}"/>
    <cellStyle name="Output 10 10 3" xfId="12656" xr:uid="{00000000-0005-0000-0000-0000144D0000}"/>
    <cellStyle name="Output 10 10 3 2" xfId="27488" xr:uid="{00000000-0005-0000-0000-0000154D0000}"/>
    <cellStyle name="Output 10 10 4" xfId="10172" xr:uid="{00000000-0005-0000-0000-0000164D0000}"/>
    <cellStyle name="Output 10 10 4 2" xfId="25004" xr:uid="{00000000-0005-0000-0000-0000174D0000}"/>
    <cellStyle name="Output 10 11" xfId="5279" xr:uid="{00000000-0005-0000-0000-0000184D0000}"/>
    <cellStyle name="Output 10 11 2" xfId="9287" xr:uid="{00000000-0005-0000-0000-0000194D0000}"/>
    <cellStyle name="Output 10 11 2 2" xfId="18154" xr:uid="{00000000-0005-0000-0000-00001A4D0000}"/>
    <cellStyle name="Output 10 11 2 2 2" xfId="32986" xr:uid="{00000000-0005-0000-0000-00001B4D0000}"/>
    <cellStyle name="Output 10 11 2 3" xfId="19673" xr:uid="{00000000-0005-0000-0000-00001C4D0000}"/>
    <cellStyle name="Output 10 11 3" xfId="15595" xr:uid="{00000000-0005-0000-0000-00001D4D0000}"/>
    <cellStyle name="Output 10 11 3 2" xfId="30427" xr:uid="{00000000-0005-0000-0000-00001E4D0000}"/>
    <cellStyle name="Output 10 12" xfId="5437" xr:uid="{00000000-0005-0000-0000-00001F4D0000}"/>
    <cellStyle name="Output 10 12 2" xfId="15673" xr:uid="{00000000-0005-0000-0000-0000204D0000}"/>
    <cellStyle name="Output 10 12 2 2" xfId="30505" xr:uid="{00000000-0005-0000-0000-0000214D0000}"/>
    <cellStyle name="Output 10 12 3" xfId="18250" xr:uid="{00000000-0005-0000-0000-0000224D0000}"/>
    <cellStyle name="Output 10 13" xfId="9354" xr:uid="{00000000-0005-0000-0000-0000234D0000}"/>
    <cellStyle name="Output 10 13 2" xfId="24660" xr:uid="{00000000-0005-0000-0000-0000244D0000}"/>
    <cellStyle name="Output 10 14" xfId="5343" xr:uid="{00000000-0005-0000-0000-0000254D0000}"/>
    <cellStyle name="Output 10 14 2" xfId="18217" xr:uid="{00000000-0005-0000-0000-0000264D0000}"/>
    <cellStyle name="Output 10 2" xfId="1349" xr:uid="{00000000-0005-0000-0000-0000274D0000}"/>
    <cellStyle name="Output 10 2 2" xfId="1853" xr:uid="{00000000-0005-0000-0000-0000284D0000}"/>
    <cellStyle name="Output 10 2 2 2" xfId="4082" xr:uid="{00000000-0005-0000-0000-0000294D0000}"/>
    <cellStyle name="Output 10 2 2 2 2" xfId="8128" xr:uid="{00000000-0005-0000-0000-00002A4D0000}"/>
    <cellStyle name="Output 10 2 2 2 2 2" xfId="17509" xr:uid="{00000000-0005-0000-0000-00002B4D0000}"/>
    <cellStyle name="Output 10 2 2 2 2 2 2" xfId="32341" xr:uid="{00000000-0005-0000-0000-00002C4D0000}"/>
    <cellStyle name="Output 10 2 2 2 2 3" xfId="19260" xr:uid="{00000000-0005-0000-0000-00002D4D0000}"/>
    <cellStyle name="Output 10 2 2 2 3" xfId="14414" xr:uid="{00000000-0005-0000-0000-00002E4D0000}"/>
    <cellStyle name="Output 10 2 2 2 3 2" xfId="29246" xr:uid="{00000000-0005-0000-0000-00002F4D0000}"/>
    <cellStyle name="Output 10 2 2 2 4" xfId="11126" xr:uid="{00000000-0005-0000-0000-0000304D0000}"/>
    <cellStyle name="Output 10 2 2 2 4 2" xfId="25958" xr:uid="{00000000-0005-0000-0000-0000314D0000}"/>
    <cellStyle name="Output 10 2 2 3" xfId="4831" xr:uid="{00000000-0005-0000-0000-0000324D0000}"/>
    <cellStyle name="Output 10 2 2 3 2" xfId="8870" xr:uid="{00000000-0005-0000-0000-0000334D0000}"/>
    <cellStyle name="Output 10 2 2 3 2 2" xfId="17911" xr:uid="{00000000-0005-0000-0000-0000344D0000}"/>
    <cellStyle name="Output 10 2 2 3 2 2 2" xfId="32743" xr:uid="{00000000-0005-0000-0000-0000354D0000}"/>
    <cellStyle name="Output 10 2 2 3 2 3" xfId="19513" xr:uid="{00000000-0005-0000-0000-0000364D0000}"/>
    <cellStyle name="Output 10 2 2 3 3" xfId="15155" xr:uid="{00000000-0005-0000-0000-0000374D0000}"/>
    <cellStyle name="Output 10 2 2 3 3 2" xfId="29987" xr:uid="{00000000-0005-0000-0000-0000384D0000}"/>
    <cellStyle name="Output 10 2 2 3 4" xfId="11514" xr:uid="{00000000-0005-0000-0000-0000394D0000}"/>
    <cellStyle name="Output 10 2 2 3 4 2" xfId="26346" xr:uid="{00000000-0005-0000-0000-00003A4D0000}"/>
    <cellStyle name="Output 10 2 2 4" xfId="2821" xr:uid="{00000000-0005-0000-0000-00003B4D0000}"/>
    <cellStyle name="Output 10 2 2 4 2" xfId="6912" xr:uid="{00000000-0005-0000-0000-00003C4D0000}"/>
    <cellStyle name="Output 10 2 2 4 2 2" xfId="16805" xr:uid="{00000000-0005-0000-0000-00003D4D0000}"/>
    <cellStyle name="Output 10 2 2 4 2 2 2" xfId="31637" xr:uid="{00000000-0005-0000-0000-00003E4D0000}"/>
    <cellStyle name="Output 10 2 2 4 2 3" xfId="18804" xr:uid="{00000000-0005-0000-0000-00003F4D0000}"/>
    <cellStyle name="Output 10 2 2 4 3" xfId="13159" xr:uid="{00000000-0005-0000-0000-0000404D0000}"/>
    <cellStyle name="Output 10 2 2 4 3 2" xfId="27991" xr:uid="{00000000-0005-0000-0000-0000414D0000}"/>
    <cellStyle name="Output 10 2 2 4 4" xfId="10458" xr:uid="{00000000-0005-0000-0000-0000424D0000}"/>
    <cellStyle name="Output 10 2 2 4 4 2" xfId="25290" xr:uid="{00000000-0005-0000-0000-0000434D0000}"/>
    <cellStyle name="Output 10 2 2 5" xfId="5985" xr:uid="{00000000-0005-0000-0000-0000444D0000}"/>
    <cellStyle name="Output 10 2 2 5 2" xfId="16177" xr:uid="{00000000-0005-0000-0000-0000454D0000}"/>
    <cellStyle name="Output 10 2 2 5 2 2" xfId="31009" xr:uid="{00000000-0005-0000-0000-0000464D0000}"/>
    <cellStyle name="Output 10 2 2 5 3" xfId="18446" xr:uid="{00000000-0005-0000-0000-0000474D0000}"/>
    <cellStyle name="Output 10 2 2 6" xfId="12247" xr:uid="{00000000-0005-0000-0000-0000484D0000}"/>
    <cellStyle name="Output 10 2 2 6 2" xfId="27079" xr:uid="{00000000-0005-0000-0000-0000494D0000}"/>
    <cellStyle name="Output 10 2 2 7" xfId="9843" xr:uid="{00000000-0005-0000-0000-00004A4D0000}"/>
    <cellStyle name="Output 10 2 2 7 2" xfId="24769" xr:uid="{00000000-0005-0000-0000-00004B4D0000}"/>
    <cellStyle name="Output 10 2 3" xfId="3185" xr:uid="{00000000-0005-0000-0000-00004C4D0000}"/>
    <cellStyle name="Output 10 2 3 2" xfId="7249" xr:uid="{00000000-0005-0000-0000-00004D4D0000}"/>
    <cellStyle name="Output 10 2 3 2 2" xfId="17019" xr:uid="{00000000-0005-0000-0000-00004E4D0000}"/>
    <cellStyle name="Output 10 2 3 2 2 2" xfId="31851" xr:uid="{00000000-0005-0000-0000-00004F4D0000}"/>
    <cellStyle name="Output 10 2 3 2 3" xfId="18953" xr:uid="{00000000-0005-0000-0000-0000504D0000}"/>
    <cellStyle name="Output 10 2 3 3" xfId="13523" xr:uid="{00000000-0005-0000-0000-0000514D0000}"/>
    <cellStyle name="Output 10 2 3 3 2" xfId="28355" xr:uid="{00000000-0005-0000-0000-0000524D0000}"/>
    <cellStyle name="Output 10 2 3 4" xfId="10667" xr:uid="{00000000-0005-0000-0000-0000534D0000}"/>
    <cellStyle name="Output 10 2 3 4 2" xfId="25499" xr:uid="{00000000-0005-0000-0000-0000544D0000}"/>
    <cellStyle name="Output 10 2 4" xfId="4411" xr:uid="{00000000-0005-0000-0000-0000554D0000}"/>
    <cellStyle name="Output 10 2 4 2" xfId="8450" xr:uid="{00000000-0005-0000-0000-0000564D0000}"/>
    <cellStyle name="Output 10 2 4 2 2" xfId="17671" xr:uid="{00000000-0005-0000-0000-0000574D0000}"/>
    <cellStyle name="Output 10 2 4 2 2 2" xfId="32503" xr:uid="{00000000-0005-0000-0000-0000584D0000}"/>
    <cellStyle name="Output 10 2 4 2 3" xfId="19353" xr:uid="{00000000-0005-0000-0000-0000594D0000}"/>
    <cellStyle name="Output 10 2 4 3" xfId="14740" xr:uid="{00000000-0005-0000-0000-00005A4D0000}"/>
    <cellStyle name="Output 10 2 4 3 2" xfId="29572" xr:uid="{00000000-0005-0000-0000-00005B4D0000}"/>
    <cellStyle name="Output 10 2 4 4" xfId="11279" xr:uid="{00000000-0005-0000-0000-00005C4D0000}"/>
    <cellStyle name="Output 10 2 4 4 2" xfId="26111" xr:uid="{00000000-0005-0000-0000-00005D4D0000}"/>
    <cellStyle name="Output 10 2 5" xfId="2401" xr:uid="{00000000-0005-0000-0000-00005E4D0000}"/>
    <cellStyle name="Output 10 2 5 2" xfId="6513" xr:uid="{00000000-0005-0000-0000-00005F4D0000}"/>
    <cellStyle name="Output 10 2 5 2 2" xfId="16569" xr:uid="{00000000-0005-0000-0000-0000604D0000}"/>
    <cellStyle name="Output 10 2 5 2 2 2" xfId="31401" xr:uid="{00000000-0005-0000-0000-0000614D0000}"/>
    <cellStyle name="Output 10 2 5 2 3" xfId="18641" xr:uid="{00000000-0005-0000-0000-0000624D0000}"/>
    <cellStyle name="Output 10 2 5 3" xfId="12740" xr:uid="{00000000-0005-0000-0000-0000634D0000}"/>
    <cellStyle name="Output 10 2 5 3 2" xfId="27572" xr:uid="{00000000-0005-0000-0000-0000644D0000}"/>
    <cellStyle name="Output 10 2 5 4" xfId="10219" xr:uid="{00000000-0005-0000-0000-0000654D0000}"/>
    <cellStyle name="Output 10 2 5 4 2" xfId="25051" xr:uid="{00000000-0005-0000-0000-0000664D0000}"/>
    <cellStyle name="Output 10 2 6" xfId="5526" xr:uid="{00000000-0005-0000-0000-0000674D0000}"/>
    <cellStyle name="Output 10 2 6 2" xfId="15761" xr:uid="{00000000-0005-0000-0000-0000684D0000}"/>
    <cellStyle name="Output 10 2 6 2 2" xfId="30593" xr:uid="{00000000-0005-0000-0000-0000694D0000}"/>
    <cellStyle name="Output 10 2 6 3" xfId="18283" xr:uid="{00000000-0005-0000-0000-00006A4D0000}"/>
    <cellStyle name="Output 10 2 7" xfId="11776" xr:uid="{00000000-0005-0000-0000-00006B4D0000}"/>
    <cellStyle name="Output 10 2 7 2" xfId="26608" xr:uid="{00000000-0005-0000-0000-00006C4D0000}"/>
    <cellStyle name="Output 10 2 8" xfId="9447" xr:uid="{00000000-0005-0000-0000-00006D4D0000}"/>
    <cellStyle name="Output 10 2 8 2" xfId="19751" xr:uid="{00000000-0005-0000-0000-00006E4D0000}"/>
    <cellStyle name="Output 10 3" xfId="1519" xr:uid="{00000000-0005-0000-0000-00006F4D0000}"/>
    <cellStyle name="Output 10 3 2" xfId="2016" xr:uid="{00000000-0005-0000-0000-0000704D0000}"/>
    <cellStyle name="Output 10 3 2 2" xfId="3528" xr:uid="{00000000-0005-0000-0000-0000714D0000}"/>
    <cellStyle name="Output 10 3 2 2 2" xfId="7590" xr:uid="{00000000-0005-0000-0000-0000724D0000}"/>
    <cellStyle name="Output 10 3 2 2 2 2" xfId="17235" xr:uid="{00000000-0005-0000-0000-0000734D0000}"/>
    <cellStyle name="Output 10 3 2 2 2 2 2" xfId="32067" xr:uid="{00000000-0005-0000-0000-0000744D0000}"/>
    <cellStyle name="Output 10 3 2 2 2 3" xfId="19063" xr:uid="{00000000-0005-0000-0000-0000754D0000}"/>
    <cellStyle name="Output 10 3 2 2 3" xfId="13865" xr:uid="{00000000-0005-0000-0000-0000764D0000}"/>
    <cellStyle name="Output 10 3 2 2 3 2" xfId="28697" xr:uid="{00000000-0005-0000-0000-0000774D0000}"/>
    <cellStyle name="Output 10 3 2 2 4" xfId="10853" xr:uid="{00000000-0005-0000-0000-0000784D0000}"/>
    <cellStyle name="Output 10 3 2 2 4 2" xfId="25685" xr:uid="{00000000-0005-0000-0000-0000794D0000}"/>
    <cellStyle name="Output 10 3 2 3" xfId="4984" xr:uid="{00000000-0005-0000-0000-00007A4D0000}"/>
    <cellStyle name="Output 10 3 2 3 2" xfId="9023" xr:uid="{00000000-0005-0000-0000-00007B4D0000}"/>
    <cellStyle name="Output 10 3 2 3 2 2" xfId="17961" xr:uid="{00000000-0005-0000-0000-00007C4D0000}"/>
    <cellStyle name="Output 10 3 2 3 2 2 2" xfId="32793" xr:uid="{00000000-0005-0000-0000-00007D4D0000}"/>
    <cellStyle name="Output 10 3 2 3 2 3" xfId="19545" xr:uid="{00000000-0005-0000-0000-00007E4D0000}"/>
    <cellStyle name="Output 10 3 2 3 3" xfId="15306" xr:uid="{00000000-0005-0000-0000-00007F4D0000}"/>
    <cellStyle name="Output 10 3 2 3 3 2" xfId="30138" xr:uid="{00000000-0005-0000-0000-0000804D0000}"/>
    <cellStyle name="Output 10 3 2 3 4" xfId="11562" xr:uid="{00000000-0005-0000-0000-0000814D0000}"/>
    <cellStyle name="Output 10 3 2 3 4 2" xfId="26394" xr:uid="{00000000-0005-0000-0000-0000824D0000}"/>
    <cellStyle name="Output 10 3 2 4" xfId="2974" xr:uid="{00000000-0005-0000-0000-0000834D0000}"/>
    <cellStyle name="Output 10 3 2 4 2" xfId="7054" xr:uid="{00000000-0005-0000-0000-0000844D0000}"/>
    <cellStyle name="Output 10 3 2 4 2 2" xfId="16853" xr:uid="{00000000-0005-0000-0000-0000854D0000}"/>
    <cellStyle name="Output 10 3 2 4 2 2 2" xfId="31685" xr:uid="{00000000-0005-0000-0000-0000864D0000}"/>
    <cellStyle name="Output 10 3 2 4 2 3" xfId="18837" xr:uid="{00000000-0005-0000-0000-0000874D0000}"/>
    <cellStyle name="Output 10 3 2 4 3" xfId="13312" xr:uid="{00000000-0005-0000-0000-0000884D0000}"/>
    <cellStyle name="Output 10 3 2 4 3 2" xfId="28144" xr:uid="{00000000-0005-0000-0000-0000894D0000}"/>
    <cellStyle name="Output 10 3 2 4 4" xfId="10508" xr:uid="{00000000-0005-0000-0000-00008A4D0000}"/>
    <cellStyle name="Output 10 3 2 4 4 2" xfId="25340" xr:uid="{00000000-0005-0000-0000-00008B4D0000}"/>
    <cellStyle name="Output 10 3 2 5" xfId="6146" xr:uid="{00000000-0005-0000-0000-00008C4D0000}"/>
    <cellStyle name="Output 10 3 2 5 2" xfId="16333" xr:uid="{00000000-0005-0000-0000-00008D4D0000}"/>
    <cellStyle name="Output 10 3 2 5 2 2" xfId="31165" xr:uid="{00000000-0005-0000-0000-00008E4D0000}"/>
    <cellStyle name="Output 10 3 2 5 3" xfId="18478" xr:uid="{00000000-0005-0000-0000-00008F4D0000}"/>
    <cellStyle name="Output 10 3 2 6" xfId="12403" xr:uid="{00000000-0005-0000-0000-0000904D0000}"/>
    <cellStyle name="Output 10 3 2 6 2" xfId="27235" xr:uid="{00000000-0005-0000-0000-0000914D0000}"/>
    <cellStyle name="Output 10 3 2 7" xfId="9985" xr:uid="{00000000-0005-0000-0000-0000924D0000}"/>
    <cellStyle name="Output 10 3 2 7 2" xfId="24817" xr:uid="{00000000-0005-0000-0000-0000934D0000}"/>
    <cellStyle name="Output 10 3 3" xfId="3293" xr:uid="{00000000-0005-0000-0000-0000944D0000}"/>
    <cellStyle name="Output 10 3 3 2" xfId="7357" xr:uid="{00000000-0005-0000-0000-0000954D0000}"/>
    <cellStyle name="Output 10 3 3 2 2" xfId="17099" xr:uid="{00000000-0005-0000-0000-0000964D0000}"/>
    <cellStyle name="Output 10 3 3 2 2 2" xfId="31931" xr:uid="{00000000-0005-0000-0000-0000974D0000}"/>
    <cellStyle name="Output 10 3 3 2 3" xfId="18987" xr:uid="{00000000-0005-0000-0000-0000984D0000}"/>
    <cellStyle name="Output 10 3 3 3" xfId="13630" xr:uid="{00000000-0005-0000-0000-0000994D0000}"/>
    <cellStyle name="Output 10 3 3 3 2" xfId="28462" xr:uid="{00000000-0005-0000-0000-00009A4D0000}"/>
    <cellStyle name="Output 10 3 3 4" xfId="10725" xr:uid="{00000000-0005-0000-0000-00009B4D0000}"/>
    <cellStyle name="Output 10 3 3 4 2" xfId="25557" xr:uid="{00000000-0005-0000-0000-00009C4D0000}"/>
    <cellStyle name="Output 10 3 4" xfId="4564" xr:uid="{00000000-0005-0000-0000-00009D4D0000}"/>
    <cellStyle name="Output 10 3 4 2" xfId="8603" xr:uid="{00000000-0005-0000-0000-00009E4D0000}"/>
    <cellStyle name="Output 10 3 4 2 2" xfId="17721" xr:uid="{00000000-0005-0000-0000-00009F4D0000}"/>
    <cellStyle name="Output 10 3 4 2 2 2" xfId="32553" xr:uid="{00000000-0005-0000-0000-0000A04D0000}"/>
    <cellStyle name="Output 10 3 4 2 3" xfId="19385" xr:uid="{00000000-0005-0000-0000-0000A14D0000}"/>
    <cellStyle name="Output 10 3 4 3" xfId="14891" xr:uid="{00000000-0005-0000-0000-0000A24D0000}"/>
    <cellStyle name="Output 10 3 4 3 2" xfId="29723" xr:uid="{00000000-0005-0000-0000-0000A34D0000}"/>
    <cellStyle name="Output 10 3 4 4" xfId="11327" xr:uid="{00000000-0005-0000-0000-0000A44D0000}"/>
    <cellStyle name="Output 10 3 4 4 2" xfId="26159" xr:uid="{00000000-0005-0000-0000-0000A54D0000}"/>
    <cellStyle name="Output 10 3 5" xfId="2554" xr:uid="{00000000-0005-0000-0000-0000A64D0000}"/>
    <cellStyle name="Output 10 3 5 2" xfId="6660" xr:uid="{00000000-0005-0000-0000-0000A74D0000}"/>
    <cellStyle name="Output 10 3 5 2 2" xfId="16618" xr:uid="{00000000-0005-0000-0000-0000A84D0000}"/>
    <cellStyle name="Output 10 3 5 2 2 2" xfId="31450" xr:uid="{00000000-0005-0000-0000-0000A94D0000}"/>
    <cellStyle name="Output 10 3 5 2 3" xfId="18673" xr:uid="{00000000-0005-0000-0000-0000AA4D0000}"/>
    <cellStyle name="Output 10 3 5 3" xfId="12892" xr:uid="{00000000-0005-0000-0000-0000AB4D0000}"/>
    <cellStyle name="Output 10 3 5 3 2" xfId="27724" xr:uid="{00000000-0005-0000-0000-0000AC4D0000}"/>
    <cellStyle name="Output 10 3 5 4" xfId="10268" xr:uid="{00000000-0005-0000-0000-0000AD4D0000}"/>
    <cellStyle name="Output 10 3 5 4 2" xfId="25100" xr:uid="{00000000-0005-0000-0000-0000AE4D0000}"/>
    <cellStyle name="Output 10 3 6" xfId="5677" xr:uid="{00000000-0005-0000-0000-0000AF4D0000}"/>
    <cellStyle name="Output 10 3 6 2" xfId="15912" xr:uid="{00000000-0005-0000-0000-0000B04D0000}"/>
    <cellStyle name="Output 10 3 6 2 2" xfId="30744" xr:uid="{00000000-0005-0000-0000-0000B14D0000}"/>
    <cellStyle name="Output 10 3 6 3" xfId="18315" xr:uid="{00000000-0005-0000-0000-0000B24D0000}"/>
    <cellStyle name="Output 10 3 7" xfId="11932" xr:uid="{00000000-0005-0000-0000-0000B34D0000}"/>
    <cellStyle name="Output 10 3 7 2" xfId="26764" xr:uid="{00000000-0005-0000-0000-0000B44D0000}"/>
    <cellStyle name="Output 10 3 8" xfId="9590" xr:uid="{00000000-0005-0000-0000-0000B54D0000}"/>
    <cellStyle name="Output 10 3 8 2" xfId="19892" xr:uid="{00000000-0005-0000-0000-0000B64D0000}"/>
    <cellStyle name="Output 10 4" xfId="1574" xr:uid="{00000000-0005-0000-0000-0000B74D0000}"/>
    <cellStyle name="Output 10 4 2" xfId="2071" xr:uid="{00000000-0005-0000-0000-0000B84D0000}"/>
    <cellStyle name="Output 10 4 2 2" xfId="3712" xr:uid="{00000000-0005-0000-0000-0000B94D0000}"/>
    <cellStyle name="Output 10 4 2 2 2" xfId="7768" xr:uid="{00000000-0005-0000-0000-0000BA4D0000}"/>
    <cellStyle name="Output 10 4 2 2 2 2" xfId="17329" xr:uid="{00000000-0005-0000-0000-0000BB4D0000}"/>
    <cellStyle name="Output 10 4 2 2 2 2 2" xfId="32161" xr:uid="{00000000-0005-0000-0000-0000BC4D0000}"/>
    <cellStyle name="Output 10 4 2 2 2 3" xfId="19129" xr:uid="{00000000-0005-0000-0000-0000BD4D0000}"/>
    <cellStyle name="Output 10 4 2 2 3" xfId="14047" xr:uid="{00000000-0005-0000-0000-0000BE4D0000}"/>
    <cellStyle name="Output 10 4 2 2 3 2" xfId="28879" xr:uid="{00000000-0005-0000-0000-0000BF4D0000}"/>
    <cellStyle name="Output 10 4 2 2 4" xfId="10947" xr:uid="{00000000-0005-0000-0000-0000C04D0000}"/>
    <cellStyle name="Output 10 4 2 2 4 2" xfId="25779" xr:uid="{00000000-0005-0000-0000-0000C14D0000}"/>
    <cellStyle name="Output 10 4 2 3" xfId="5039" xr:uid="{00000000-0005-0000-0000-0000C24D0000}"/>
    <cellStyle name="Output 10 4 2 3 2" xfId="9078" xr:uid="{00000000-0005-0000-0000-0000C34D0000}"/>
    <cellStyle name="Output 10 4 2 3 2 2" xfId="18011" xr:uid="{00000000-0005-0000-0000-0000C44D0000}"/>
    <cellStyle name="Output 10 4 2 3 2 2 2" xfId="32843" xr:uid="{00000000-0005-0000-0000-0000C54D0000}"/>
    <cellStyle name="Output 10 4 2 3 2 3" xfId="19577" xr:uid="{00000000-0005-0000-0000-0000C64D0000}"/>
    <cellStyle name="Output 10 4 2 3 3" xfId="15360" xr:uid="{00000000-0005-0000-0000-0000C74D0000}"/>
    <cellStyle name="Output 10 4 2 3 3 2" xfId="30192" xr:uid="{00000000-0005-0000-0000-0000C84D0000}"/>
    <cellStyle name="Output 10 4 2 3 4" xfId="11611" xr:uid="{00000000-0005-0000-0000-0000C94D0000}"/>
    <cellStyle name="Output 10 4 2 3 4 2" xfId="26443" xr:uid="{00000000-0005-0000-0000-0000CA4D0000}"/>
    <cellStyle name="Output 10 4 2 4" xfId="3029" xr:uid="{00000000-0005-0000-0000-0000CB4D0000}"/>
    <cellStyle name="Output 10 4 2 4 2" xfId="7104" xr:uid="{00000000-0005-0000-0000-0000CC4D0000}"/>
    <cellStyle name="Output 10 4 2 4 2 2" xfId="16902" xr:uid="{00000000-0005-0000-0000-0000CD4D0000}"/>
    <cellStyle name="Output 10 4 2 4 2 2 2" xfId="31734" xr:uid="{00000000-0005-0000-0000-0000CE4D0000}"/>
    <cellStyle name="Output 10 4 2 4 2 3" xfId="18870" xr:uid="{00000000-0005-0000-0000-0000CF4D0000}"/>
    <cellStyle name="Output 10 4 2 4 3" xfId="13367" xr:uid="{00000000-0005-0000-0000-0000D04D0000}"/>
    <cellStyle name="Output 10 4 2 4 3 2" xfId="28199" xr:uid="{00000000-0005-0000-0000-0000D14D0000}"/>
    <cellStyle name="Output 10 4 2 4 4" xfId="10558" xr:uid="{00000000-0005-0000-0000-0000D24D0000}"/>
    <cellStyle name="Output 10 4 2 4 4 2" xfId="25390" xr:uid="{00000000-0005-0000-0000-0000D34D0000}"/>
    <cellStyle name="Output 10 4 2 5" xfId="6196" xr:uid="{00000000-0005-0000-0000-0000D44D0000}"/>
    <cellStyle name="Output 10 4 2 5 2" xfId="16382" xr:uid="{00000000-0005-0000-0000-0000D54D0000}"/>
    <cellStyle name="Output 10 4 2 5 2 2" xfId="31214" xr:uid="{00000000-0005-0000-0000-0000D64D0000}"/>
    <cellStyle name="Output 10 4 2 5 3" xfId="18511" xr:uid="{00000000-0005-0000-0000-0000D74D0000}"/>
    <cellStyle name="Output 10 4 2 6" xfId="12452" xr:uid="{00000000-0005-0000-0000-0000D84D0000}"/>
    <cellStyle name="Output 10 4 2 6 2" xfId="27284" xr:uid="{00000000-0005-0000-0000-0000D94D0000}"/>
    <cellStyle name="Output 10 4 2 7" xfId="10034" xr:uid="{00000000-0005-0000-0000-0000DA4D0000}"/>
    <cellStyle name="Output 10 4 2 7 2" xfId="24866" xr:uid="{00000000-0005-0000-0000-0000DB4D0000}"/>
    <cellStyle name="Output 10 4 3" xfId="3684" xr:uid="{00000000-0005-0000-0000-0000DC4D0000}"/>
    <cellStyle name="Output 10 4 3 2" xfId="7741" xr:uid="{00000000-0005-0000-0000-0000DD4D0000}"/>
    <cellStyle name="Output 10 4 3 2 2" xfId="17313" xr:uid="{00000000-0005-0000-0000-0000DE4D0000}"/>
    <cellStyle name="Output 10 4 3 2 2 2" xfId="32145" xr:uid="{00000000-0005-0000-0000-0000DF4D0000}"/>
    <cellStyle name="Output 10 4 3 2 3" xfId="19121" xr:uid="{00000000-0005-0000-0000-0000E04D0000}"/>
    <cellStyle name="Output 10 4 3 3" xfId="14019" xr:uid="{00000000-0005-0000-0000-0000E14D0000}"/>
    <cellStyle name="Output 10 4 3 3 2" xfId="28851" xr:uid="{00000000-0005-0000-0000-0000E24D0000}"/>
    <cellStyle name="Output 10 4 3 4" xfId="10930" xr:uid="{00000000-0005-0000-0000-0000E34D0000}"/>
    <cellStyle name="Output 10 4 3 4 2" xfId="25762" xr:uid="{00000000-0005-0000-0000-0000E44D0000}"/>
    <cellStyle name="Output 10 4 4" xfId="4619" xr:uid="{00000000-0005-0000-0000-0000E54D0000}"/>
    <cellStyle name="Output 10 4 4 2" xfId="8658" xr:uid="{00000000-0005-0000-0000-0000E64D0000}"/>
    <cellStyle name="Output 10 4 4 2 2" xfId="17771" xr:uid="{00000000-0005-0000-0000-0000E74D0000}"/>
    <cellStyle name="Output 10 4 4 2 2 2" xfId="32603" xr:uid="{00000000-0005-0000-0000-0000E84D0000}"/>
    <cellStyle name="Output 10 4 4 2 3" xfId="19417" xr:uid="{00000000-0005-0000-0000-0000E94D0000}"/>
    <cellStyle name="Output 10 4 4 3" xfId="14945" xr:uid="{00000000-0005-0000-0000-0000EA4D0000}"/>
    <cellStyle name="Output 10 4 4 3 2" xfId="29777" xr:uid="{00000000-0005-0000-0000-0000EB4D0000}"/>
    <cellStyle name="Output 10 4 4 4" xfId="11376" xr:uid="{00000000-0005-0000-0000-0000EC4D0000}"/>
    <cellStyle name="Output 10 4 4 4 2" xfId="26208" xr:uid="{00000000-0005-0000-0000-0000ED4D0000}"/>
    <cellStyle name="Output 10 4 5" xfId="2609" xr:uid="{00000000-0005-0000-0000-0000EE4D0000}"/>
    <cellStyle name="Output 10 4 5 2" xfId="6710" xr:uid="{00000000-0005-0000-0000-0000EF4D0000}"/>
    <cellStyle name="Output 10 4 5 2 2" xfId="16667" xr:uid="{00000000-0005-0000-0000-0000F04D0000}"/>
    <cellStyle name="Output 10 4 5 2 2 2" xfId="31499" xr:uid="{00000000-0005-0000-0000-0000F14D0000}"/>
    <cellStyle name="Output 10 4 5 2 3" xfId="18706" xr:uid="{00000000-0005-0000-0000-0000F24D0000}"/>
    <cellStyle name="Output 10 4 5 3" xfId="12947" xr:uid="{00000000-0005-0000-0000-0000F34D0000}"/>
    <cellStyle name="Output 10 4 5 3 2" xfId="27779" xr:uid="{00000000-0005-0000-0000-0000F44D0000}"/>
    <cellStyle name="Output 10 4 5 4" xfId="10318" xr:uid="{00000000-0005-0000-0000-0000F54D0000}"/>
    <cellStyle name="Output 10 4 5 4 2" xfId="25150" xr:uid="{00000000-0005-0000-0000-0000F64D0000}"/>
    <cellStyle name="Output 10 4 6" xfId="5726" xr:uid="{00000000-0005-0000-0000-0000F74D0000}"/>
    <cellStyle name="Output 10 4 6 2" xfId="15961" xr:uid="{00000000-0005-0000-0000-0000F84D0000}"/>
    <cellStyle name="Output 10 4 6 2 2" xfId="30793" xr:uid="{00000000-0005-0000-0000-0000F94D0000}"/>
    <cellStyle name="Output 10 4 6 3" xfId="18347" xr:uid="{00000000-0005-0000-0000-0000FA4D0000}"/>
    <cellStyle name="Output 10 4 7" xfId="11981" xr:uid="{00000000-0005-0000-0000-0000FB4D0000}"/>
    <cellStyle name="Output 10 4 7 2" xfId="26813" xr:uid="{00000000-0005-0000-0000-0000FC4D0000}"/>
    <cellStyle name="Output 10 4 8" xfId="9640" xr:uid="{00000000-0005-0000-0000-0000FD4D0000}"/>
    <cellStyle name="Output 10 4 8 2" xfId="19941" xr:uid="{00000000-0005-0000-0000-0000FE4D0000}"/>
    <cellStyle name="Output 10 5" xfId="1624" xr:uid="{00000000-0005-0000-0000-0000FF4D0000}"/>
    <cellStyle name="Output 10 5 2" xfId="2121" xr:uid="{00000000-0005-0000-0000-0000004E0000}"/>
    <cellStyle name="Output 10 5 2 2" xfId="4084" xr:uid="{00000000-0005-0000-0000-0000014E0000}"/>
    <cellStyle name="Output 10 5 2 2 2" xfId="8130" xr:uid="{00000000-0005-0000-0000-0000024E0000}"/>
    <cellStyle name="Output 10 5 2 2 2 2" xfId="17510" xr:uid="{00000000-0005-0000-0000-0000034E0000}"/>
    <cellStyle name="Output 10 5 2 2 2 2 2" xfId="32342" xr:uid="{00000000-0005-0000-0000-0000044E0000}"/>
    <cellStyle name="Output 10 5 2 2 2 3" xfId="19261" xr:uid="{00000000-0005-0000-0000-0000054E0000}"/>
    <cellStyle name="Output 10 5 2 2 3" xfId="14416" xr:uid="{00000000-0005-0000-0000-0000064E0000}"/>
    <cellStyle name="Output 10 5 2 2 3 2" xfId="29248" xr:uid="{00000000-0005-0000-0000-0000074E0000}"/>
    <cellStyle name="Output 10 5 2 2 4" xfId="11127" xr:uid="{00000000-0005-0000-0000-0000084E0000}"/>
    <cellStyle name="Output 10 5 2 2 4 2" xfId="25959" xr:uid="{00000000-0005-0000-0000-0000094E0000}"/>
    <cellStyle name="Output 10 5 2 3" xfId="5089" xr:uid="{00000000-0005-0000-0000-00000A4E0000}"/>
    <cellStyle name="Output 10 5 2 3 2" xfId="9128" xr:uid="{00000000-0005-0000-0000-00000B4E0000}"/>
    <cellStyle name="Output 10 5 2 3 2 2" xfId="18056" xr:uid="{00000000-0005-0000-0000-00000C4E0000}"/>
    <cellStyle name="Output 10 5 2 3 2 2 2" xfId="32888" xr:uid="{00000000-0005-0000-0000-00000D4E0000}"/>
    <cellStyle name="Output 10 5 2 3 2 3" xfId="19609" xr:uid="{00000000-0005-0000-0000-00000E4E0000}"/>
    <cellStyle name="Output 10 5 2 3 3" xfId="15409" xr:uid="{00000000-0005-0000-0000-00000F4E0000}"/>
    <cellStyle name="Output 10 5 2 3 3 2" xfId="30241" xr:uid="{00000000-0005-0000-0000-0000104E0000}"/>
    <cellStyle name="Output 10 5 2 3 4" xfId="11655" xr:uid="{00000000-0005-0000-0000-0000114E0000}"/>
    <cellStyle name="Output 10 5 2 3 4 2" xfId="26487" xr:uid="{00000000-0005-0000-0000-0000124E0000}"/>
    <cellStyle name="Output 10 5 2 4" xfId="3079" xr:uid="{00000000-0005-0000-0000-0000134E0000}"/>
    <cellStyle name="Output 10 5 2 4 2" xfId="7149" xr:uid="{00000000-0005-0000-0000-0000144E0000}"/>
    <cellStyle name="Output 10 5 2 4 2 2" xfId="16946" xr:uid="{00000000-0005-0000-0000-0000154E0000}"/>
    <cellStyle name="Output 10 5 2 4 2 2 2" xfId="31778" xr:uid="{00000000-0005-0000-0000-0000164E0000}"/>
    <cellStyle name="Output 10 5 2 4 2 3" xfId="18903" xr:uid="{00000000-0005-0000-0000-0000174E0000}"/>
    <cellStyle name="Output 10 5 2 4 3" xfId="13417" xr:uid="{00000000-0005-0000-0000-0000184E0000}"/>
    <cellStyle name="Output 10 5 2 4 3 2" xfId="28249" xr:uid="{00000000-0005-0000-0000-0000194E0000}"/>
    <cellStyle name="Output 10 5 2 4 4" xfId="10603" xr:uid="{00000000-0005-0000-0000-00001A4E0000}"/>
    <cellStyle name="Output 10 5 2 4 4 2" xfId="25435" xr:uid="{00000000-0005-0000-0000-00001B4E0000}"/>
    <cellStyle name="Output 10 5 2 5" xfId="6241" xr:uid="{00000000-0005-0000-0000-00001C4E0000}"/>
    <cellStyle name="Output 10 5 2 5 2" xfId="16426" xr:uid="{00000000-0005-0000-0000-00001D4E0000}"/>
    <cellStyle name="Output 10 5 2 5 2 2" xfId="31258" xr:uid="{00000000-0005-0000-0000-00001E4E0000}"/>
    <cellStyle name="Output 10 5 2 5 3" xfId="18544" xr:uid="{00000000-0005-0000-0000-00001F4E0000}"/>
    <cellStyle name="Output 10 5 2 6" xfId="12496" xr:uid="{00000000-0005-0000-0000-0000204E0000}"/>
    <cellStyle name="Output 10 5 2 6 2" xfId="27328" xr:uid="{00000000-0005-0000-0000-0000214E0000}"/>
    <cellStyle name="Output 10 5 2 7" xfId="10078" xr:uid="{00000000-0005-0000-0000-0000224E0000}"/>
    <cellStyle name="Output 10 5 2 7 2" xfId="24910" xr:uid="{00000000-0005-0000-0000-0000234E0000}"/>
    <cellStyle name="Output 10 5 3" xfId="4317" xr:uid="{00000000-0005-0000-0000-0000244E0000}"/>
    <cellStyle name="Output 10 5 3 2" xfId="8356" xr:uid="{00000000-0005-0000-0000-0000254E0000}"/>
    <cellStyle name="Output 10 5 3 2 2" xfId="17634" xr:uid="{00000000-0005-0000-0000-0000264E0000}"/>
    <cellStyle name="Output 10 5 3 2 2 2" xfId="32466" xr:uid="{00000000-0005-0000-0000-0000274E0000}"/>
    <cellStyle name="Output 10 5 3 2 3" xfId="19336" xr:uid="{00000000-0005-0000-0000-0000284E0000}"/>
    <cellStyle name="Output 10 5 3 3" xfId="14648" xr:uid="{00000000-0005-0000-0000-0000294E0000}"/>
    <cellStyle name="Output 10 5 3 3 2" xfId="29480" xr:uid="{00000000-0005-0000-0000-00002A4E0000}"/>
    <cellStyle name="Output 10 5 3 4" xfId="11244" xr:uid="{00000000-0005-0000-0000-00002B4E0000}"/>
    <cellStyle name="Output 10 5 3 4 2" xfId="26076" xr:uid="{00000000-0005-0000-0000-00002C4E0000}"/>
    <cellStyle name="Output 10 5 4" xfId="4669" xr:uid="{00000000-0005-0000-0000-00002D4E0000}"/>
    <cellStyle name="Output 10 5 4 2" xfId="8708" xr:uid="{00000000-0005-0000-0000-00002E4E0000}"/>
    <cellStyle name="Output 10 5 4 2 2" xfId="17816" xr:uid="{00000000-0005-0000-0000-00002F4E0000}"/>
    <cellStyle name="Output 10 5 4 2 2 2" xfId="32648" xr:uid="{00000000-0005-0000-0000-0000304E0000}"/>
    <cellStyle name="Output 10 5 4 2 3" xfId="19449" xr:uid="{00000000-0005-0000-0000-0000314E0000}"/>
    <cellStyle name="Output 10 5 4 3" xfId="14994" xr:uid="{00000000-0005-0000-0000-0000324E0000}"/>
    <cellStyle name="Output 10 5 4 3 2" xfId="29826" xr:uid="{00000000-0005-0000-0000-0000334E0000}"/>
    <cellStyle name="Output 10 5 4 4" xfId="11420" xr:uid="{00000000-0005-0000-0000-0000344E0000}"/>
    <cellStyle name="Output 10 5 4 4 2" xfId="26252" xr:uid="{00000000-0005-0000-0000-0000354E0000}"/>
    <cellStyle name="Output 10 5 5" xfId="2659" xr:uid="{00000000-0005-0000-0000-0000364E0000}"/>
    <cellStyle name="Output 10 5 5 2" xfId="6755" xr:uid="{00000000-0005-0000-0000-0000374E0000}"/>
    <cellStyle name="Output 10 5 5 2 2" xfId="16711" xr:uid="{00000000-0005-0000-0000-0000384E0000}"/>
    <cellStyle name="Output 10 5 5 2 2 2" xfId="31543" xr:uid="{00000000-0005-0000-0000-0000394E0000}"/>
    <cellStyle name="Output 10 5 5 2 3" xfId="18739" xr:uid="{00000000-0005-0000-0000-00003A4E0000}"/>
    <cellStyle name="Output 10 5 5 3" xfId="12997" xr:uid="{00000000-0005-0000-0000-00003B4E0000}"/>
    <cellStyle name="Output 10 5 5 3 2" xfId="27829" xr:uid="{00000000-0005-0000-0000-00003C4E0000}"/>
    <cellStyle name="Output 10 5 5 4" xfId="10363" xr:uid="{00000000-0005-0000-0000-00003D4E0000}"/>
    <cellStyle name="Output 10 5 5 4 2" xfId="25195" xr:uid="{00000000-0005-0000-0000-00003E4E0000}"/>
    <cellStyle name="Output 10 5 6" xfId="5771" xr:uid="{00000000-0005-0000-0000-00003F4E0000}"/>
    <cellStyle name="Output 10 5 6 2" xfId="16005" xr:uid="{00000000-0005-0000-0000-0000404E0000}"/>
    <cellStyle name="Output 10 5 6 2 2" xfId="30837" xr:uid="{00000000-0005-0000-0000-0000414E0000}"/>
    <cellStyle name="Output 10 5 6 3" xfId="18380" xr:uid="{00000000-0005-0000-0000-0000424E0000}"/>
    <cellStyle name="Output 10 5 7" xfId="12025" xr:uid="{00000000-0005-0000-0000-0000434E0000}"/>
    <cellStyle name="Output 10 5 7 2" xfId="26857" xr:uid="{00000000-0005-0000-0000-0000444E0000}"/>
    <cellStyle name="Output 10 5 8" xfId="9685" xr:uid="{00000000-0005-0000-0000-0000454E0000}"/>
    <cellStyle name="Output 10 5 8 2" xfId="19985" xr:uid="{00000000-0005-0000-0000-0000464E0000}"/>
    <cellStyle name="Output 10 6" xfId="1775" xr:uid="{00000000-0005-0000-0000-0000474E0000}"/>
    <cellStyle name="Output 10 6 2" xfId="3956" xr:uid="{00000000-0005-0000-0000-0000484E0000}"/>
    <cellStyle name="Output 10 6 2 2" xfId="8006" xr:uid="{00000000-0005-0000-0000-0000494E0000}"/>
    <cellStyle name="Output 10 6 2 2 2" xfId="17448" xr:uid="{00000000-0005-0000-0000-00004A4E0000}"/>
    <cellStyle name="Output 10 6 2 2 2 2" xfId="32280" xr:uid="{00000000-0005-0000-0000-00004B4E0000}"/>
    <cellStyle name="Output 10 6 2 2 3" xfId="19214" xr:uid="{00000000-0005-0000-0000-00004C4E0000}"/>
    <cellStyle name="Output 10 6 2 3" xfId="14289" xr:uid="{00000000-0005-0000-0000-00004D4E0000}"/>
    <cellStyle name="Output 10 6 2 3 2" xfId="29121" xr:uid="{00000000-0005-0000-0000-00004E4E0000}"/>
    <cellStyle name="Output 10 6 2 4" xfId="11063" xr:uid="{00000000-0005-0000-0000-00004F4E0000}"/>
    <cellStyle name="Output 10 6 2 4 2" xfId="25895" xr:uid="{00000000-0005-0000-0000-0000504E0000}"/>
    <cellStyle name="Output 10 6 3" xfId="4753" xr:uid="{00000000-0005-0000-0000-0000514E0000}"/>
    <cellStyle name="Output 10 6 3 2" xfId="8792" xr:uid="{00000000-0005-0000-0000-0000524E0000}"/>
    <cellStyle name="Output 10 6 3 2 2" xfId="17864" xr:uid="{00000000-0005-0000-0000-0000534E0000}"/>
    <cellStyle name="Output 10 6 3 2 2 2" xfId="32696" xr:uid="{00000000-0005-0000-0000-0000544E0000}"/>
    <cellStyle name="Output 10 6 3 2 3" xfId="19481" xr:uid="{00000000-0005-0000-0000-0000554E0000}"/>
    <cellStyle name="Output 10 6 3 3" xfId="15077" xr:uid="{00000000-0005-0000-0000-0000564E0000}"/>
    <cellStyle name="Output 10 6 3 3 2" xfId="29909" xr:uid="{00000000-0005-0000-0000-0000574E0000}"/>
    <cellStyle name="Output 10 6 3 4" xfId="11467" xr:uid="{00000000-0005-0000-0000-0000584E0000}"/>
    <cellStyle name="Output 10 6 3 4 2" xfId="26299" xr:uid="{00000000-0005-0000-0000-0000594E0000}"/>
    <cellStyle name="Output 10 6 4" xfId="2743" xr:uid="{00000000-0005-0000-0000-00005A4E0000}"/>
    <cellStyle name="Output 10 6 4 2" xfId="6834" xr:uid="{00000000-0005-0000-0000-00005B4E0000}"/>
    <cellStyle name="Output 10 6 4 2 2" xfId="16758" xr:uid="{00000000-0005-0000-0000-00005C4E0000}"/>
    <cellStyle name="Output 10 6 4 2 2 2" xfId="31590" xr:uid="{00000000-0005-0000-0000-00005D4E0000}"/>
    <cellStyle name="Output 10 6 4 2 3" xfId="18772" xr:uid="{00000000-0005-0000-0000-00005E4E0000}"/>
    <cellStyle name="Output 10 6 4 3" xfId="13081" xr:uid="{00000000-0005-0000-0000-00005F4E0000}"/>
    <cellStyle name="Output 10 6 4 3 2" xfId="27913" xr:uid="{00000000-0005-0000-0000-0000604E0000}"/>
    <cellStyle name="Output 10 6 4 4" xfId="10411" xr:uid="{00000000-0005-0000-0000-0000614E0000}"/>
    <cellStyle name="Output 10 6 4 4 2" xfId="25243" xr:uid="{00000000-0005-0000-0000-0000624E0000}"/>
    <cellStyle name="Output 10 6 5" xfId="5907" xr:uid="{00000000-0005-0000-0000-0000634E0000}"/>
    <cellStyle name="Output 10 6 5 2" xfId="16099" xr:uid="{00000000-0005-0000-0000-0000644E0000}"/>
    <cellStyle name="Output 10 6 5 2 2" xfId="30931" xr:uid="{00000000-0005-0000-0000-0000654E0000}"/>
    <cellStyle name="Output 10 6 5 3" xfId="18414" xr:uid="{00000000-0005-0000-0000-0000664E0000}"/>
    <cellStyle name="Output 10 6 6" xfId="12169" xr:uid="{00000000-0005-0000-0000-0000674E0000}"/>
    <cellStyle name="Output 10 6 6 2" xfId="27001" xr:uid="{00000000-0005-0000-0000-0000684E0000}"/>
    <cellStyle name="Output 10 6 7" xfId="9765" xr:uid="{00000000-0005-0000-0000-0000694E0000}"/>
    <cellStyle name="Output 10 6 7 2" xfId="24722" xr:uid="{00000000-0005-0000-0000-00006A4E0000}"/>
    <cellStyle name="Output 10 7" xfId="2191" xr:uid="{00000000-0005-0000-0000-00006B4E0000}"/>
    <cellStyle name="Output 10 7 2" xfId="3671" xr:uid="{00000000-0005-0000-0000-00006C4E0000}"/>
    <cellStyle name="Output 10 7 2 2" xfId="7729" xr:uid="{00000000-0005-0000-0000-00006D4E0000}"/>
    <cellStyle name="Output 10 7 2 2 2" xfId="17307" xr:uid="{00000000-0005-0000-0000-00006E4E0000}"/>
    <cellStyle name="Output 10 7 2 2 2 2" xfId="32139" xr:uid="{00000000-0005-0000-0000-00006F4E0000}"/>
    <cellStyle name="Output 10 7 2 2 3" xfId="19115" xr:uid="{00000000-0005-0000-0000-0000704E0000}"/>
    <cellStyle name="Output 10 7 2 3" xfId="14006" xr:uid="{00000000-0005-0000-0000-0000714E0000}"/>
    <cellStyle name="Output 10 7 2 3 2" xfId="28838" xr:uid="{00000000-0005-0000-0000-0000724E0000}"/>
    <cellStyle name="Output 10 7 2 4" xfId="10924" xr:uid="{00000000-0005-0000-0000-0000734E0000}"/>
    <cellStyle name="Output 10 7 2 4 2" xfId="25756" xr:uid="{00000000-0005-0000-0000-0000744E0000}"/>
    <cellStyle name="Output 10 7 3" xfId="5159" xr:uid="{00000000-0005-0000-0000-0000754E0000}"/>
    <cellStyle name="Output 10 7 3 2" xfId="9198" xr:uid="{00000000-0005-0000-0000-0000764E0000}"/>
    <cellStyle name="Output 10 7 3 2 2" xfId="18121" xr:uid="{00000000-0005-0000-0000-0000774E0000}"/>
    <cellStyle name="Output 10 7 3 2 2 2" xfId="32953" xr:uid="{00000000-0005-0000-0000-0000784E0000}"/>
    <cellStyle name="Output 10 7 3 2 3" xfId="19672" xr:uid="{00000000-0005-0000-0000-0000794E0000}"/>
    <cellStyle name="Output 10 7 3 3" xfId="15477" xr:uid="{00000000-0005-0000-0000-00007A4E0000}"/>
    <cellStyle name="Output 10 7 3 3 2" xfId="30309" xr:uid="{00000000-0005-0000-0000-00007B4E0000}"/>
    <cellStyle name="Output 10 7 3 4" xfId="11718" xr:uid="{00000000-0005-0000-0000-00007C4E0000}"/>
    <cellStyle name="Output 10 7 3 4 2" xfId="26550" xr:uid="{00000000-0005-0000-0000-00007D4E0000}"/>
    <cellStyle name="Output 10 7 4" xfId="4189" xr:uid="{00000000-0005-0000-0000-00007E4E0000}"/>
    <cellStyle name="Output 10 7 4 2" xfId="8230" xr:uid="{00000000-0005-0000-0000-00007F4E0000}"/>
    <cellStyle name="Output 10 7 4 2 2" xfId="17577" xr:uid="{00000000-0005-0000-0000-0000804E0000}"/>
    <cellStyle name="Output 10 7 4 2 2 2" xfId="32409" xr:uid="{00000000-0005-0000-0000-0000814E0000}"/>
    <cellStyle name="Output 10 7 4 2 3" xfId="19315" xr:uid="{00000000-0005-0000-0000-0000824E0000}"/>
    <cellStyle name="Output 10 7 4 3" xfId="14521" xr:uid="{00000000-0005-0000-0000-0000834E0000}"/>
    <cellStyle name="Output 10 7 4 3 2" xfId="29353" xr:uid="{00000000-0005-0000-0000-0000844E0000}"/>
    <cellStyle name="Output 10 7 4 4" xfId="11197" xr:uid="{00000000-0005-0000-0000-0000854E0000}"/>
    <cellStyle name="Output 10 7 4 4 2" xfId="26029" xr:uid="{00000000-0005-0000-0000-0000864E0000}"/>
    <cellStyle name="Output 10 7 5" xfId="6305" xr:uid="{00000000-0005-0000-0000-0000874E0000}"/>
    <cellStyle name="Output 10 7 5 2" xfId="16489" xr:uid="{00000000-0005-0000-0000-0000884E0000}"/>
    <cellStyle name="Output 10 7 5 2 2" xfId="31321" xr:uid="{00000000-0005-0000-0000-0000894E0000}"/>
    <cellStyle name="Output 10 7 5 3" xfId="18608" xr:uid="{00000000-0005-0000-0000-00008A4E0000}"/>
    <cellStyle name="Output 10 7 6" xfId="12559" xr:uid="{00000000-0005-0000-0000-00008B4E0000}"/>
    <cellStyle name="Output 10 7 6 2" xfId="27391" xr:uid="{00000000-0005-0000-0000-00008C4E0000}"/>
    <cellStyle name="Output 10 7 7" xfId="10141" xr:uid="{00000000-0005-0000-0000-00008D4E0000}"/>
    <cellStyle name="Output 10 7 7 2" xfId="24973" xr:uid="{00000000-0005-0000-0000-00008E4E0000}"/>
    <cellStyle name="Output 10 8" xfId="3264" xr:uid="{00000000-0005-0000-0000-00008F4E0000}"/>
    <cellStyle name="Output 10 8 2" xfId="7328" xr:uid="{00000000-0005-0000-0000-0000904E0000}"/>
    <cellStyle name="Output 10 8 2 2" xfId="17073" xr:uid="{00000000-0005-0000-0000-0000914E0000}"/>
    <cellStyle name="Output 10 8 2 2 2" xfId="31905" xr:uid="{00000000-0005-0000-0000-0000924E0000}"/>
    <cellStyle name="Output 10 8 2 3" xfId="18976" xr:uid="{00000000-0005-0000-0000-0000934E0000}"/>
    <cellStyle name="Output 10 8 3" xfId="13601" xr:uid="{00000000-0005-0000-0000-0000944E0000}"/>
    <cellStyle name="Output 10 8 3 2" xfId="28433" xr:uid="{00000000-0005-0000-0000-0000954E0000}"/>
    <cellStyle name="Output 10 8 4" xfId="10703" xr:uid="{00000000-0005-0000-0000-0000964E0000}"/>
    <cellStyle name="Output 10 8 4 2" xfId="25535" xr:uid="{00000000-0005-0000-0000-0000974E0000}"/>
    <cellStyle name="Output 10 9" xfId="3212" xr:uid="{00000000-0005-0000-0000-0000984E0000}"/>
    <cellStyle name="Output 10 9 2" xfId="7276" xr:uid="{00000000-0005-0000-0000-0000994E0000}"/>
    <cellStyle name="Output 10 9 2 2" xfId="17042" xr:uid="{00000000-0005-0000-0000-00009A4E0000}"/>
    <cellStyle name="Output 10 9 2 2 2" xfId="31874" xr:uid="{00000000-0005-0000-0000-00009B4E0000}"/>
    <cellStyle name="Output 10 9 2 3" xfId="18965" xr:uid="{00000000-0005-0000-0000-00009C4E0000}"/>
    <cellStyle name="Output 10 9 3" xfId="13550" xr:uid="{00000000-0005-0000-0000-00009D4E0000}"/>
    <cellStyle name="Output 10 9 3 2" xfId="28382" xr:uid="{00000000-0005-0000-0000-00009E4E0000}"/>
    <cellStyle name="Output 10 9 4" xfId="10685" xr:uid="{00000000-0005-0000-0000-00009F4E0000}"/>
    <cellStyle name="Output 10 9 4 2" xfId="25517" xr:uid="{00000000-0005-0000-0000-0000A04E0000}"/>
    <cellStyle name="Output 2" xfId="1231" xr:uid="{00000000-0005-0000-0000-0000A14E0000}"/>
    <cellStyle name="Output 2 10" xfId="1520" xr:uid="{00000000-0005-0000-0000-0000A24E0000}"/>
    <cellStyle name="Output 2 10 2" xfId="2017" xr:uid="{00000000-0005-0000-0000-0000A34E0000}"/>
    <cellStyle name="Output 2 10 2 2" xfId="3958" xr:uid="{00000000-0005-0000-0000-0000A44E0000}"/>
    <cellStyle name="Output 2 10 2 2 2" xfId="8008" xr:uid="{00000000-0005-0000-0000-0000A54E0000}"/>
    <cellStyle name="Output 2 10 2 2 2 2" xfId="17449" xr:uid="{00000000-0005-0000-0000-0000A64E0000}"/>
    <cellStyle name="Output 2 10 2 2 2 2 2" xfId="32281" xr:uid="{00000000-0005-0000-0000-0000A74E0000}"/>
    <cellStyle name="Output 2 10 2 2 2 3" xfId="19215" xr:uid="{00000000-0005-0000-0000-0000A84E0000}"/>
    <cellStyle name="Output 2 10 2 2 3" xfId="14291" xr:uid="{00000000-0005-0000-0000-0000A94E0000}"/>
    <cellStyle name="Output 2 10 2 2 3 2" xfId="29123" xr:uid="{00000000-0005-0000-0000-0000AA4E0000}"/>
    <cellStyle name="Output 2 10 2 2 4" xfId="11064" xr:uid="{00000000-0005-0000-0000-0000AB4E0000}"/>
    <cellStyle name="Output 2 10 2 2 4 2" xfId="25896" xr:uid="{00000000-0005-0000-0000-0000AC4E0000}"/>
    <cellStyle name="Output 2 10 2 3" xfId="4985" xr:uid="{00000000-0005-0000-0000-0000AD4E0000}"/>
    <cellStyle name="Output 2 10 2 3 2" xfId="9024" xr:uid="{00000000-0005-0000-0000-0000AE4E0000}"/>
    <cellStyle name="Output 2 10 2 3 2 2" xfId="17962" xr:uid="{00000000-0005-0000-0000-0000AF4E0000}"/>
    <cellStyle name="Output 2 10 2 3 2 2 2" xfId="32794" xr:uid="{00000000-0005-0000-0000-0000B04E0000}"/>
    <cellStyle name="Output 2 10 2 3 2 3" xfId="19546" xr:uid="{00000000-0005-0000-0000-0000B14E0000}"/>
    <cellStyle name="Output 2 10 2 3 3" xfId="15307" xr:uid="{00000000-0005-0000-0000-0000B24E0000}"/>
    <cellStyle name="Output 2 10 2 3 3 2" xfId="30139" xr:uid="{00000000-0005-0000-0000-0000B34E0000}"/>
    <cellStyle name="Output 2 10 2 3 4" xfId="11563" xr:uid="{00000000-0005-0000-0000-0000B44E0000}"/>
    <cellStyle name="Output 2 10 2 3 4 2" xfId="26395" xr:uid="{00000000-0005-0000-0000-0000B54E0000}"/>
    <cellStyle name="Output 2 10 2 4" xfId="2975" xr:uid="{00000000-0005-0000-0000-0000B64E0000}"/>
    <cellStyle name="Output 2 10 2 4 2" xfId="7055" xr:uid="{00000000-0005-0000-0000-0000B74E0000}"/>
    <cellStyle name="Output 2 10 2 4 2 2" xfId="16854" xr:uid="{00000000-0005-0000-0000-0000B84E0000}"/>
    <cellStyle name="Output 2 10 2 4 2 2 2" xfId="31686" xr:uid="{00000000-0005-0000-0000-0000B94E0000}"/>
    <cellStyle name="Output 2 10 2 4 2 3" xfId="18838" xr:uid="{00000000-0005-0000-0000-0000BA4E0000}"/>
    <cellStyle name="Output 2 10 2 4 3" xfId="13313" xr:uid="{00000000-0005-0000-0000-0000BB4E0000}"/>
    <cellStyle name="Output 2 10 2 4 3 2" xfId="28145" xr:uid="{00000000-0005-0000-0000-0000BC4E0000}"/>
    <cellStyle name="Output 2 10 2 4 4" xfId="10509" xr:uid="{00000000-0005-0000-0000-0000BD4E0000}"/>
    <cellStyle name="Output 2 10 2 4 4 2" xfId="25341" xr:uid="{00000000-0005-0000-0000-0000BE4E0000}"/>
    <cellStyle name="Output 2 10 2 5" xfId="6147" xr:uid="{00000000-0005-0000-0000-0000BF4E0000}"/>
    <cellStyle name="Output 2 10 2 5 2" xfId="16334" xr:uid="{00000000-0005-0000-0000-0000C04E0000}"/>
    <cellStyle name="Output 2 10 2 5 2 2" xfId="31166" xr:uid="{00000000-0005-0000-0000-0000C14E0000}"/>
    <cellStyle name="Output 2 10 2 5 3" xfId="18479" xr:uid="{00000000-0005-0000-0000-0000C24E0000}"/>
    <cellStyle name="Output 2 10 2 6" xfId="12404" xr:uid="{00000000-0005-0000-0000-0000C34E0000}"/>
    <cellStyle name="Output 2 10 2 6 2" xfId="27236" xr:uid="{00000000-0005-0000-0000-0000C44E0000}"/>
    <cellStyle name="Output 2 10 2 7" xfId="9986" xr:uid="{00000000-0005-0000-0000-0000C54E0000}"/>
    <cellStyle name="Output 2 10 2 7 2" xfId="24818" xr:uid="{00000000-0005-0000-0000-0000C64E0000}"/>
    <cellStyle name="Output 2 10 3" xfId="3169" xr:uid="{00000000-0005-0000-0000-0000C74E0000}"/>
    <cellStyle name="Output 2 10 3 2" xfId="7233" xr:uid="{00000000-0005-0000-0000-0000C84E0000}"/>
    <cellStyle name="Output 2 10 3 2 2" xfId="17009" xr:uid="{00000000-0005-0000-0000-0000C94E0000}"/>
    <cellStyle name="Output 2 10 3 2 2 2" xfId="31841" xr:uid="{00000000-0005-0000-0000-0000CA4E0000}"/>
    <cellStyle name="Output 2 10 3 2 3" xfId="18950" xr:uid="{00000000-0005-0000-0000-0000CB4E0000}"/>
    <cellStyle name="Output 2 10 3 3" xfId="13507" xr:uid="{00000000-0005-0000-0000-0000CC4E0000}"/>
    <cellStyle name="Output 2 10 3 3 2" xfId="28339" xr:uid="{00000000-0005-0000-0000-0000CD4E0000}"/>
    <cellStyle name="Output 2 10 3 4" xfId="10660" xr:uid="{00000000-0005-0000-0000-0000CE4E0000}"/>
    <cellStyle name="Output 2 10 3 4 2" xfId="25492" xr:uid="{00000000-0005-0000-0000-0000CF4E0000}"/>
    <cellStyle name="Output 2 10 4" xfId="4565" xr:uid="{00000000-0005-0000-0000-0000D04E0000}"/>
    <cellStyle name="Output 2 10 4 2" xfId="8604" xr:uid="{00000000-0005-0000-0000-0000D14E0000}"/>
    <cellStyle name="Output 2 10 4 2 2" xfId="17722" xr:uid="{00000000-0005-0000-0000-0000D24E0000}"/>
    <cellStyle name="Output 2 10 4 2 2 2" xfId="32554" xr:uid="{00000000-0005-0000-0000-0000D34E0000}"/>
    <cellStyle name="Output 2 10 4 2 3" xfId="19386" xr:uid="{00000000-0005-0000-0000-0000D44E0000}"/>
    <cellStyle name="Output 2 10 4 3" xfId="14892" xr:uid="{00000000-0005-0000-0000-0000D54E0000}"/>
    <cellStyle name="Output 2 10 4 3 2" xfId="29724" xr:uid="{00000000-0005-0000-0000-0000D64E0000}"/>
    <cellStyle name="Output 2 10 4 4" xfId="11328" xr:uid="{00000000-0005-0000-0000-0000D74E0000}"/>
    <cellStyle name="Output 2 10 4 4 2" xfId="26160" xr:uid="{00000000-0005-0000-0000-0000D84E0000}"/>
    <cellStyle name="Output 2 10 5" xfId="2555" xr:uid="{00000000-0005-0000-0000-0000D94E0000}"/>
    <cellStyle name="Output 2 10 5 2" xfId="6661" xr:uid="{00000000-0005-0000-0000-0000DA4E0000}"/>
    <cellStyle name="Output 2 10 5 2 2" xfId="16619" xr:uid="{00000000-0005-0000-0000-0000DB4E0000}"/>
    <cellStyle name="Output 2 10 5 2 2 2" xfId="31451" xr:uid="{00000000-0005-0000-0000-0000DC4E0000}"/>
    <cellStyle name="Output 2 10 5 2 3" xfId="18674" xr:uid="{00000000-0005-0000-0000-0000DD4E0000}"/>
    <cellStyle name="Output 2 10 5 3" xfId="12893" xr:uid="{00000000-0005-0000-0000-0000DE4E0000}"/>
    <cellStyle name="Output 2 10 5 3 2" xfId="27725" xr:uid="{00000000-0005-0000-0000-0000DF4E0000}"/>
    <cellStyle name="Output 2 10 5 4" xfId="10269" xr:uid="{00000000-0005-0000-0000-0000E04E0000}"/>
    <cellStyle name="Output 2 10 5 4 2" xfId="25101" xr:uid="{00000000-0005-0000-0000-0000E14E0000}"/>
    <cellStyle name="Output 2 10 6" xfId="5678" xr:uid="{00000000-0005-0000-0000-0000E24E0000}"/>
    <cellStyle name="Output 2 10 6 2" xfId="15913" xr:uid="{00000000-0005-0000-0000-0000E34E0000}"/>
    <cellStyle name="Output 2 10 6 2 2" xfId="30745" xr:uid="{00000000-0005-0000-0000-0000E44E0000}"/>
    <cellStyle name="Output 2 10 6 3" xfId="18316" xr:uid="{00000000-0005-0000-0000-0000E54E0000}"/>
    <cellStyle name="Output 2 10 7" xfId="11933" xr:uid="{00000000-0005-0000-0000-0000E64E0000}"/>
    <cellStyle name="Output 2 10 7 2" xfId="26765" xr:uid="{00000000-0005-0000-0000-0000E74E0000}"/>
    <cellStyle name="Output 2 10 8" xfId="9591" xr:uid="{00000000-0005-0000-0000-0000E84E0000}"/>
    <cellStyle name="Output 2 10 8 2" xfId="19893" xr:uid="{00000000-0005-0000-0000-0000E94E0000}"/>
    <cellStyle name="Output 2 11" xfId="1575" xr:uid="{00000000-0005-0000-0000-0000EA4E0000}"/>
    <cellStyle name="Output 2 11 2" xfId="2072" xr:uid="{00000000-0005-0000-0000-0000EB4E0000}"/>
    <cellStyle name="Output 2 11 2 2" xfId="4058" xr:uid="{00000000-0005-0000-0000-0000EC4E0000}"/>
    <cellStyle name="Output 2 11 2 2 2" xfId="8105" xr:uid="{00000000-0005-0000-0000-0000ED4E0000}"/>
    <cellStyle name="Output 2 11 2 2 2 2" xfId="17497" xr:uid="{00000000-0005-0000-0000-0000EE4E0000}"/>
    <cellStyle name="Output 2 11 2 2 2 2 2" xfId="32329" xr:uid="{00000000-0005-0000-0000-0000EF4E0000}"/>
    <cellStyle name="Output 2 11 2 2 2 3" xfId="19250" xr:uid="{00000000-0005-0000-0000-0000F04E0000}"/>
    <cellStyle name="Output 2 11 2 2 3" xfId="14390" xr:uid="{00000000-0005-0000-0000-0000F14E0000}"/>
    <cellStyle name="Output 2 11 2 2 3 2" xfId="29222" xr:uid="{00000000-0005-0000-0000-0000F24E0000}"/>
    <cellStyle name="Output 2 11 2 2 4" xfId="11113" xr:uid="{00000000-0005-0000-0000-0000F34E0000}"/>
    <cellStyle name="Output 2 11 2 2 4 2" xfId="25945" xr:uid="{00000000-0005-0000-0000-0000F44E0000}"/>
    <cellStyle name="Output 2 11 2 3" xfId="5040" xr:uid="{00000000-0005-0000-0000-0000F54E0000}"/>
    <cellStyle name="Output 2 11 2 3 2" xfId="9079" xr:uid="{00000000-0005-0000-0000-0000F64E0000}"/>
    <cellStyle name="Output 2 11 2 3 2 2" xfId="18012" xr:uid="{00000000-0005-0000-0000-0000F74E0000}"/>
    <cellStyle name="Output 2 11 2 3 2 2 2" xfId="32844" xr:uid="{00000000-0005-0000-0000-0000F84E0000}"/>
    <cellStyle name="Output 2 11 2 3 2 3" xfId="19578" xr:uid="{00000000-0005-0000-0000-0000F94E0000}"/>
    <cellStyle name="Output 2 11 2 3 3" xfId="15361" xr:uid="{00000000-0005-0000-0000-0000FA4E0000}"/>
    <cellStyle name="Output 2 11 2 3 3 2" xfId="30193" xr:uid="{00000000-0005-0000-0000-0000FB4E0000}"/>
    <cellStyle name="Output 2 11 2 3 4" xfId="11612" xr:uid="{00000000-0005-0000-0000-0000FC4E0000}"/>
    <cellStyle name="Output 2 11 2 3 4 2" xfId="26444" xr:uid="{00000000-0005-0000-0000-0000FD4E0000}"/>
    <cellStyle name="Output 2 11 2 4" xfId="3030" xr:uid="{00000000-0005-0000-0000-0000FE4E0000}"/>
    <cellStyle name="Output 2 11 2 4 2" xfId="7105" xr:uid="{00000000-0005-0000-0000-0000FF4E0000}"/>
    <cellStyle name="Output 2 11 2 4 2 2" xfId="16903" xr:uid="{00000000-0005-0000-0000-0000004F0000}"/>
    <cellStyle name="Output 2 11 2 4 2 2 2" xfId="31735" xr:uid="{00000000-0005-0000-0000-0000014F0000}"/>
    <cellStyle name="Output 2 11 2 4 2 3" xfId="18871" xr:uid="{00000000-0005-0000-0000-0000024F0000}"/>
    <cellStyle name="Output 2 11 2 4 3" xfId="13368" xr:uid="{00000000-0005-0000-0000-0000034F0000}"/>
    <cellStyle name="Output 2 11 2 4 3 2" xfId="28200" xr:uid="{00000000-0005-0000-0000-0000044F0000}"/>
    <cellStyle name="Output 2 11 2 4 4" xfId="10559" xr:uid="{00000000-0005-0000-0000-0000054F0000}"/>
    <cellStyle name="Output 2 11 2 4 4 2" xfId="25391" xr:uid="{00000000-0005-0000-0000-0000064F0000}"/>
    <cellStyle name="Output 2 11 2 5" xfId="6197" xr:uid="{00000000-0005-0000-0000-0000074F0000}"/>
    <cellStyle name="Output 2 11 2 5 2" xfId="16383" xr:uid="{00000000-0005-0000-0000-0000084F0000}"/>
    <cellStyle name="Output 2 11 2 5 2 2" xfId="31215" xr:uid="{00000000-0005-0000-0000-0000094F0000}"/>
    <cellStyle name="Output 2 11 2 5 3" xfId="18512" xr:uid="{00000000-0005-0000-0000-00000A4F0000}"/>
    <cellStyle name="Output 2 11 2 6" xfId="12453" xr:uid="{00000000-0005-0000-0000-00000B4F0000}"/>
    <cellStyle name="Output 2 11 2 6 2" xfId="27285" xr:uid="{00000000-0005-0000-0000-00000C4F0000}"/>
    <cellStyle name="Output 2 11 2 7" xfId="10035" xr:uid="{00000000-0005-0000-0000-00000D4F0000}"/>
    <cellStyle name="Output 2 11 2 7 2" xfId="24867" xr:uid="{00000000-0005-0000-0000-00000E4F0000}"/>
    <cellStyle name="Output 2 11 3" xfId="3984" xr:uid="{00000000-0005-0000-0000-00000F4F0000}"/>
    <cellStyle name="Output 2 11 3 2" xfId="8032" xr:uid="{00000000-0005-0000-0000-0000104F0000}"/>
    <cellStyle name="Output 2 11 3 2 2" xfId="17457" xr:uid="{00000000-0005-0000-0000-0000114F0000}"/>
    <cellStyle name="Output 2 11 3 2 2 2" xfId="32289" xr:uid="{00000000-0005-0000-0000-0000124F0000}"/>
    <cellStyle name="Output 2 11 3 2 3" xfId="19221" xr:uid="{00000000-0005-0000-0000-0000134F0000}"/>
    <cellStyle name="Output 2 11 3 3" xfId="14317" xr:uid="{00000000-0005-0000-0000-0000144F0000}"/>
    <cellStyle name="Output 2 11 3 3 2" xfId="29149" xr:uid="{00000000-0005-0000-0000-0000154F0000}"/>
    <cellStyle name="Output 2 11 3 4" xfId="11074" xr:uid="{00000000-0005-0000-0000-0000164F0000}"/>
    <cellStyle name="Output 2 11 3 4 2" xfId="25906" xr:uid="{00000000-0005-0000-0000-0000174F0000}"/>
    <cellStyle name="Output 2 11 4" xfId="4620" xr:uid="{00000000-0005-0000-0000-0000184F0000}"/>
    <cellStyle name="Output 2 11 4 2" xfId="8659" xr:uid="{00000000-0005-0000-0000-0000194F0000}"/>
    <cellStyle name="Output 2 11 4 2 2" xfId="17772" xr:uid="{00000000-0005-0000-0000-00001A4F0000}"/>
    <cellStyle name="Output 2 11 4 2 2 2" xfId="32604" xr:uid="{00000000-0005-0000-0000-00001B4F0000}"/>
    <cellStyle name="Output 2 11 4 2 3" xfId="19418" xr:uid="{00000000-0005-0000-0000-00001C4F0000}"/>
    <cellStyle name="Output 2 11 4 3" xfId="14946" xr:uid="{00000000-0005-0000-0000-00001D4F0000}"/>
    <cellStyle name="Output 2 11 4 3 2" xfId="29778" xr:uid="{00000000-0005-0000-0000-00001E4F0000}"/>
    <cellStyle name="Output 2 11 4 4" xfId="11377" xr:uid="{00000000-0005-0000-0000-00001F4F0000}"/>
    <cellStyle name="Output 2 11 4 4 2" xfId="26209" xr:uid="{00000000-0005-0000-0000-0000204F0000}"/>
    <cellStyle name="Output 2 11 5" xfId="2610" xr:uid="{00000000-0005-0000-0000-0000214F0000}"/>
    <cellStyle name="Output 2 11 5 2" xfId="6711" xr:uid="{00000000-0005-0000-0000-0000224F0000}"/>
    <cellStyle name="Output 2 11 5 2 2" xfId="16668" xr:uid="{00000000-0005-0000-0000-0000234F0000}"/>
    <cellStyle name="Output 2 11 5 2 2 2" xfId="31500" xr:uid="{00000000-0005-0000-0000-0000244F0000}"/>
    <cellStyle name="Output 2 11 5 2 3" xfId="18707" xr:uid="{00000000-0005-0000-0000-0000254F0000}"/>
    <cellStyle name="Output 2 11 5 3" xfId="12948" xr:uid="{00000000-0005-0000-0000-0000264F0000}"/>
    <cellStyle name="Output 2 11 5 3 2" xfId="27780" xr:uid="{00000000-0005-0000-0000-0000274F0000}"/>
    <cellStyle name="Output 2 11 5 4" xfId="10319" xr:uid="{00000000-0005-0000-0000-0000284F0000}"/>
    <cellStyle name="Output 2 11 5 4 2" xfId="25151" xr:uid="{00000000-0005-0000-0000-0000294F0000}"/>
    <cellStyle name="Output 2 11 6" xfId="5727" xr:uid="{00000000-0005-0000-0000-00002A4F0000}"/>
    <cellStyle name="Output 2 11 6 2" xfId="15962" xr:uid="{00000000-0005-0000-0000-00002B4F0000}"/>
    <cellStyle name="Output 2 11 6 2 2" xfId="30794" xr:uid="{00000000-0005-0000-0000-00002C4F0000}"/>
    <cellStyle name="Output 2 11 6 3" xfId="18348" xr:uid="{00000000-0005-0000-0000-00002D4F0000}"/>
    <cellStyle name="Output 2 11 7" xfId="11982" xr:uid="{00000000-0005-0000-0000-00002E4F0000}"/>
    <cellStyle name="Output 2 11 7 2" xfId="26814" xr:uid="{00000000-0005-0000-0000-00002F4F0000}"/>
    <cellStyle name="Output 2 11 8" xfId="9641" xr:uid="{00000000-0005-0000-0000-0000304F0000}"/>
    <cellStyle name="Output 2 11 8 2" xfId="19942" xr:uid="{00000000-0005-0000-0000-0000314F0000}"/>
    <cellStyle name="Output 2 12" xfId="1625" xr:uid="{00000000-0005-0000-0000-0000324F0000}"/>
    <cellStyle name="Output 2 12 2" xfId="2122" xr:uid="{00000000-0005-0000-0000-0000334F0000}"/>
    <cellStyle name="Output 2 12 2 2" xfId="3603" xr:uid="{00000000-0005-0000-0000-0000344F0000}"/>
    <cellStyle name="Output 2 12 2 2 2" xfId="7664" xr:uid="{00000000-0005-0000-0000-0000354F0000}"/>
    <cellStyle name="Output 2 12 2 2 2 2" xfId="17280" xr:uid="{00000000-0005-0000-0000-0000364F0000}"/>
    <cellStyle name="Output 2 12 2 2 2 2 2" xfId="32112" xr:uid="{00000000-0005-0000-0000-0000374F0000}"/>
    <cellStyle name="Output 2 12 2 2 2 3" xfId="19099" xr:uid="{00000000-0005-0000-0000-0000384F0000}"/>
    <cellStyle name="Output 2 12 2 2 3" xfId="13939" xr:uid="{00000000-0005-0000-0000-0000394F0000}"/>
    <cellStyle name="Output 2 12 2 2 3 2" xfId="28771" xr:uid="{00000000-0005-0000-0000-00003A4F0000}"/>
    <cellStyle name="Output 2 12 2 2 4" xfId="10897" xr:uid="{00000000-0005-0000-0000-00003B4F0000}"/>
    <cellStyle name="Output 2 12 2 2 4 2" xfId="25729" xr:uid="{00000000-0005-0000-0000-00003C4F0000}"/>
    <cellStyle name="Output 2 12 2 3" xfId="5090" xr:uid="{00000000-0005-0000-0000-00003D4F0000}"/>
    <cellStyle name="Output 2 12 2 3 2" xfId="9129" xr:uid="{00000000-0005-0000-0000-00003E4F0000}"/>
    <cellStyle name="Output 2 12 2 3 2 2" xfId="18057" xr:uid="{00000000-0005-0000-0000-00003F4F0000}"/>
    <cellStyle name="Output 2 12 2 3 2 2 2" xfId="32889" xr:uid="{00000000-0005-0000-0000-0000404F0000}"/>
    <cellStyle name="Output 2 12 2 3 2 3" xfId="19610" xr:uid="{00000000-0005-0000-0000-0000414F0000}"/>
    <cellStyle name="Output 2 12 2 3 3" xfId="15410" xr:uid="{00000000-0005-0000-0000-0000424F0000}"/>
    <cellStyle name="Output 2 12 2 3 3 2" xfId="30242" xr:uid="{00000000-0005-0000-0000-0000434F0000}"/>
    <cellStyle name="Output 2 12 2 3 4" xfId="11656" xr:uid="{00000000-0005-0000-0000-0000444F0000}"/>
    <cellStyle name="Output 2 12 2 3 4 2" xfId="26488" xr:uid="{00000000-0005-0000-0000-0000454F0000}"/>
    <cellStyle name="Output 2 12 2 4" xfId="3080" xr:uid="{00000000-0005-0000-0000-0000464F0000}"/>
    <cellStyle name="Output 2 12 2 4 2" xfId="7150" xr:uid="{00000000-0005-0000-0000-0000474F0000}"/>
    <cellStyle name="Output 2 12 2 4 2 2" xfId="16947" xr:uid="{00000000-0005-0000-0000-0000484F0000}"/>
    <cellStyle name="Output 2 12 2 4 2 2 2" xfId="31779" xr:uid="{00000000-0005-0000-0000-0000494F0000}"/>
    <cellStyle name="Output 2 12 2 4 2 3" xfId="18904" xr:uid="{00000000-0005-0000-0000-00004A4F0000}"/>
    <cellStyle name="Output 2 12 2 4 3" xfId="13418" xr:uid="{00000000-0005-0000-0000-00004B4F0000}"/>
    <cellStyle name="Output 2 12 2 4 3 2" xfId="28250" xr:uid="{00000000-0005-0000-0000-00004C4F0000}"/>
    <cellStyle name="Output 2 12 2 4 4" xfId="10604" xr:uid="{00000000-0005-0000-0000-00004D4F0000}"/>
    <cellStyle name="Output 2 12 2 4 4 2" xfId="25436" xr:uid="{00000000-0005-0000-0000-00004E4F0000}"/>
    <cellStyle name="Output 2 12 2 5" xfId="6242" xr:uid="{00000000-0005-0000-0000-00004F4F0000}"/>
    <cellStyle name="Output 2 12 2 5 2" xfId="16427" xr:uid="{00000000-0005-0000-0000-0000504F0000}"/>
    <cellStyle name="Output 2 12 2 5 2 2" xfId="31259" xr:uid="{00000000-0005-0000-0000-0000514F0000}"/>
    <cellStyle name="Output 2 12 2 5 3" xfId="18545" xr:uid="{00000000-0005-0000-0000-0000524F0000}"/>
    <cellStyle name="Output 2 12 2 6" xfId="12497" xr:uid="{00000000-0005-0000-0000-0000534F0000}"/>
    <cellStyle name="Output 2 12 2 6 2" xfId="27329" xr:uid="{00000000-0005-0000-0000-0000544F0000}"/>
    <cellStyle name="Output 2 12 2 7" xfId="10079" xr:uid="{00000000-0005-0000-0000-0000554F0000}"/>
    <cellStyle name="Output 2 12 2 7 2" xfId="24911" xr:uid="{00000000-0005-0000-0000-0000564F0000}"/>
    <cellStyle name="Output 2 12 3" xfId="4320" xr:uid="{00000000-0005-0000-0000-0000574F0000}"/>
    <cellStyle name="Output 2 12 3 2" xfId="8359" xr:uid="{00000000-0005-0000-0000-0000584F0000}"/>
    <cellStyle name="Output 2 12 3 2 2" xfId="17637" xr:uid="{00000000-0005-0000-0000-0000594F0000}"/>
    <cellStyle name="Output 2 12 3 2 2 2" xfId="32469" xr:uid="{00000000-0005-0000-0000-00005A4F0000}"/>
    <cellStyle name="Output 2 12 3 2 3" xfId="19339" xr:uid="{00000000-0005-0000-0000-00005B4F0000}"/>
    <cellStyle name="Output 2 12 3 3" xfId="14651" xr:uid="{00000000-0005-0000-0000-00005C4F0000}"/>
    <cellStyle name="Output 2 12 3 3 2" xfId="29483" xr:uid="{00000000-0005-0000-0000-00005D4F0000}"/>
    <cellStyle name="Output 2 12 3 4" xfId="11247" xr:uid="{00000000-0005-0000-0000-00005E4F0000}"/>
    <cellStyle name="Output 2 12 3 4 2" xfId="26079" xr:uid="{00000000-0005-0000-0000-00005F4F0000}"/>
    <cellStyle name="Output 2 12 4" xfId="4670" xr:uid="{00000000-0005-0000-0000-0000604F0000}"/>
    <cellStyle name="Output 2 12 4 2" xfId="8709" xr:uid="{00000000-0005-0000-0000-0000614F0000}"/>
    <cellStyle name="Output 2 12 4 2 2" xfId="17817" xr:uid="{00000000-0005-0000-0000-0000624F0000}"/>
    <cellStyle name="Output 2 12 4 2 2 2" xfId="32649" xr:uid="{00000000-0005-0000-0000-0000634F0000}"/>
    <cellStyle name="Output 2 12 4 2 3" xfId="19450" xr:uid="{00000000-0005-0000-0000-0000644F0000}"/>
    <cellStyle name="Output 2 12 4 3" xfId="14995" xr:uid="{00000000-0005-0000-0000-0000654F0000}"/>
    <cellStyle name="Output 2 12 4 3 2" xfId="29827" xr:uid="{00000000-0005-0000-0000-0000664F0000}"/>
    <cellStyle name="Output 2 12 4 4" xfId="11421" xr:uid="{00000000-0005-0000-0000-0000674F0000}"/>
    <cellStyle name="Output 2 12 4 4 2" xfId="26253" xr:uid="{00000000-0005-0000-0000-0000684F0000}"/>
    <cellStyle name="Output 2 12 5" xfId="2660" xr:uid="{00000000-0005-0000-0000-0000694F0000}"/>
    <cellStyle name="Output 2 12 5 2" xfId="6756" xr:uid="{00000000-0005-0000-0000-00006A4F0000}"/>
    <cellStyle name="Output 2 12 5 2 2" xfId="16712" xr:uid="{00000000-0005-0000-0000-00006B4F0000}"/>
    <cellStyle name="Output 2 12 5 2 2 2" xfId="31544" xr:uid="{00000000-0005-0000-0000-00006C4F0000}"/>
    <cellStyle name="Output 2 12 5 2 3" xfId="18740" xr:uid="{00000000-0005-0000-0000-00006D4F0000}"/>
    <cellStyle name="Output 2 12 5 3" xfId="12998" xr:uid="{00000000-0005-0000-0000-00006E4F0000}"/>
    <cellStyle name="Output 2 12 5 3 2" xfId="27830" xr:uid="{00000000-0005-0000-0000-00006F4F0000}"/>
    <cellStyle name="Output 2 12 5 4" xfId="10364" xr:uid="{00000000-0005-0000-0000-0000704F0000}"/>
    <cellStyle name="Output 2 12 5 4 2" xfId="25196" xr:uid="{00000000-0005-0000-0000-0000714F0000}"/>
    <cellStyle name="Output 2 12 6" xfId="5772" xr:uid="{00000000-0005-0000-0000-0000724F0000}"/>
    <cellStyle name="Output 2 12 6 2" xfId="16006" xr:uid="{00000000-0005-0000-0000-0000734F0000}"/>
    <cellStyle name="Output 2 12 6 2 2" xfId="30838" xr:uid="{00000000-0005-0000-0000-0000744F0000}"/>
    <cellStyle name="Output 2 12 6 3" xfId="18381" xr:uid="{00000000-0005-0000-0000-0000754F0000}"/>
    <cellStyle name="Output 2 12 7" xfId="12026" xr:uid="{00000000-0005-0000-0000-0000764F0000}"/>
    <cellStyle name="Output 2 12 7 2" xfId="26858" xr:uid="{00000000-0005-0000-0000-0000774F0000}"/>
    <cellStyle name="Output 2 12 8" xfId="9686" xr:uid="{00000000-0005-0000-0000-0000784F0000}"/>
    <cellStyle name="Output 2 12 8 2" xfId="19986" xr:uid="{00000000-0005-0000-0000-0000794F0000}"/>
    <cellStyle name="Output 2 13" xfId="1776" xr:uid="{00000000-0005-0000-0000-00007A4F0000}"/>
    <cellStyle name="Output 2 13 2" xfId="3556" xr:uid="{00000000-0005-0000-0000-00007B4F0000}"/>
    <cellStyle name="Output 2 13 2 2" xfId="7618" xr:uid="{00000000-0005-0000-0000-00007C4F0000}"/>
    <cellStyle name="Output 2 13 2 2 2" xfId="17255" xr:uid="{00000000-0005-0000-0000-00007D4F0000}"/>
    <cellStyle name="Output 2 13 2 2 2 2" xfId="32087" xr:uid="{00000000-0005-0000-0000-00007E4F0000}"/>
    <cellStyle name="Output 2 13 2 2 3" xfId="19078" xr:uid="{00000000-0005-0000-0000-00007F4F0000}"/>
    <cellStyle name="Output 2 13 2 3" xfId="13892" xr:uid="{00000000-0005-0000-0000-0000804F0000}"/>
    <cellStyle name="Output 2 13 2 3 2" xfId="28724" xr:uid="{00000000-0005-0000-0000-0000814F0000}"/>
    <cellStyle name="Output 2 13 2 4" xfId="10872" xr:uid="{00000000-0005-0000-0000-0000824F0000}"/>
    <cellStyle name="Output 2 13 2 4 2" xfId="25704" xr:uid="{00000000-0005-0000-0000-0000834F0000}"/>
    <cellStyle name="Output 2 13 3" xfId="4754" xr:uid="{00000000-0005-0000-0000-0000844F0000}"/>
    <cellStyle name="Output 2 13 3 2" xfId="8793" xr:uid="{00000000-0005-0000-0000-0000854F0000}"/>
    <cellStyle name="Output 2 13 3 2 2" xfId="17865" xr:uid="{00000000-0005-0000-0000-0000864F0000}"/>
    <cellStyle name="Output 2 13 3 2 2 2" xfId="32697" xr:uid="{00000000-0005-0000-0000-0000874F0000}"/>
    <cellStyle name="Output 2 13 3 2 3" xfId="19482" xr:uid="{00000000-0005-0000-0000-0000884F0000}"/>
    <cellStyle name="Output 2 13 3 3" xfId="15078" xr:uid="{00000000-0005-0000-0000-0000894F0000}"/>
    <cellStyle name="Output 2 13 3 3 2" xfId="29910" xr:uid="{00000000-0005-0000-0000-00008A4F0000}"/>
    <cellStyle name="Output 2 13 3 4" xfId="11468" xr:uid="{00000000-0005-0000-0000-00008B4F0000}"/>
    <cellStyle name="Output 2 13 3 4 2" xfId="26300" xr:uid="{00000000-0005-0000-0000-00008C4F0000}"/>
    <cellStyle name="Output 2 13 4" xfId="2744" xr:uid="{00000000-0005-0000-0000-00008D4F0000}"/>
    <cellStyle name="Output 2 13 4 2" xfId="6835" xr:uid="{00000000-0005-0000-0000-00008E4F0000}"/>
    <cellStyle name="Output 2 13 4 2 2" xfId="16759" xr:uid="{00000000-0005-0000-0000-00008F4F0000}"/>
    <cellStyle name="Output 2 13 4 2 2 2" xfId="31591" xr:uid="{00000000-0005-0000-0000-0000904F0000}"/>
    <cellStyle name="Output 2 13 4 2 3" xfId="18773" xr:uid="{00000000-0005-0000-0000-0000914F0000}"/>
    <cellStyle name="Output 2 13 4 3" xfId="13082" xr:uid="{00000000-0005-0000-0000-0000924F0000}"/>
    <cellStyle name="Output 2 13 4 3 2" xfId="27914" xr:uid="{00000000-0005-0000-0000-0000934F0000}"/>
    <cellStyle name="Output 2 13 4 4" xfId="10412" xr:uid="{00000000-0005-0000-0000-0000944F0000}"/>
    <cellStyle name="Output 2 13 4 4 2" xfId="25244" xr:uid="{00000000-0005-0000-0000-0000954F0000}"/>
    <cellStyle name="Output 2 13 5" xfId="5908" xr:uid="{00000000-0005-0000-0000-0000964F0000}"/>
    <cellStyle name="Output 2 13 5 2" xfId="16100" xr:uid="{00000000-0005-0000-0000-0000974F0000}"/>
    <cellStyle name="Output 2 13 5 2 2" xfId="30932" xr:uid="{00000000-0005-0000-0000-0000984F0000}"/>
    <cellStyle name="Output 2 13 5 3" xfId="18415" xr:uid="{00000000-0005-0000-0000-0000994F0000}"/>
    <cellStyle name="Output 2 13 6" xfId="12170" xr:uid="{00000000-0005-0000-0000-00009A4F0000}"/>
    <cellStyle name="Output 2 13 6 2" xfId="27002" xr:uid="{00000000-0005-0000-0000-00009B4F0000}"/>
    <cellStyle name="Output 2 13 7" xfId="9766" xr:uid="{00000000-0005-0000-0000-00009C4F0000}"/>
    <cellStyle name="Output 2 13 7 2" xfId="24723" xr:uid="{00000000-0005-0000-0000-00009D4F0000}"/>
    <cellStyle name="Output 2 14" xfId="2190" xr:uid="{00000000-0005-0000-0000-00009E4F0000}"/>
    <cellStyle name="Output 2 14 2" xfId="3730" xr:uid="{00000000-0005-0000-0000-00009F4F0000}"/>
    <cellStyle name="Output 2 14 2 2" xfId="7786" xr:uid="{00000000-0005-0000-0000-0000A04F0000}"/>
    <cellStyle name="Output 2 14 2 2 2" xfId="17339" xr:uid="{00000000-0005-0000-0000-0000A14F0000}"/>
    <cellStyle name="Output 2 14 2 2 2 2" xfId="32171" xr:uid="{00000000-0005-0000-0000-0000A24F0000}"/>
    <cellStyle name="Output 2 14 2 2 3" xfId="19135" xr:uid="{00000000-0005-0000-0000-0000A34F0000}"/>
    <cellStyle name="Output 2 14 2 3" xfId="14065" xr:uid="{00000000-0005-0000-0000-0000A44F0000}"/>
    <cellStyle name="Output 2 14 2 3 2" xfId="28897" xr:uid="{00000000-0005-0000-0000-0000A54F0000}"/>
    <cellStyle name="Output 2 14 2 4" xfId="10955" xr:uid="{00000000-0005-0000-0000-0000A64F0000}"/>
    <cellStyle name="Output 2 14 2 4 2" xfId="25787" xr:uid="{00000000-0005-0000-0000-0000A74F0000}"/>
    <cellStyle name="Output 2 14 3" xfId="5158" xr:uid="{00000000-0005-0000-0000-0000A84F0000}"/>
    <cellStyle name="Output 2 14 3 2" xfId="9197" xr:uid="{00000000-0005-0000-0000-0000A94F0000}"/>
    <cellStyle name="Output 2 14 3 2 2" xfId="18120" xr:uid="{00000000-0005-0000-0000-0000AA4F0000}"/>
    <cellStyle name="Output 2 14 3 2 2 2" xfId="32952" xr:uid="{00000000-0005-0000-0000-0000AB4F0000}"/>
    <cellStyle name="Output 2 14 3 2 3" xfId="19671" xr:uid="{00000000-0005-0000-0000-0000AC4F0000}"/>
    <cellStyle name="Output 2 14 3 3" xfId="15476" xr:uid="{00000000-0005-0000-0000-0000AD4F0000}"/>
    <cellStyle name="Output 2 14 3 3 2" xfId="30308" xr:uid="{00000000-0005-0000-0000-0000AE4F0000}"/>
    <cellStyle name="Output 2 14 3 4" xfId="11717" xr:uid="{00000000-0005-0000-0000-0000AF4F0000}"/>
    <cellStyle name="Output 2 14 3 4 2" xfId="26549" xr:uid="{00000000-0005-0000-0000-0000B04F0000}"/>
    <cellStyle name="Output 2 14 4" xfId="4188" xr:uid="{00000000-0005-0000-0000-0000B14F0000}"/>
    <cellStyle name="Output 2 14 4 2" xfId="8229" xr:uid="{00000000-0005-0000-0000-0000B24F0000}"/>
    <cellStyle name="Output 2 14 4 2 2" xfId="17576" xr:uid="{00000000-0005-0000-0000-0000B34F0000}"/>
    <cellStyle name="Output 2 14 4 2 2 2" xfId="32408" xr:uid="{00000000-0005-0000-0000-0000B44F0000}"/>
    <cellStyle name="Output 2 14 4 2 3" xfId="19314" xr:uid="{00000000-0005-0000-0000-0000B54F0000}"/>
    <cellStyle name="Output 2 14 4 3" xfId="14520" xr:uid="{00000000-0005-0000-0000-0000B64F0000}"/>
    <cellStyle name="Output 2 14 4 3 2" xfId="29352" xr:uid="{00000000-0005-0000-0000-0000B74F0000}"/>
    <cellStyle name="Output 2 14 4 4" xfId="11196" xr:uid="{00000000-0005-0000-0000-0000B84F0000}"/>
    <cellStyle name="Output 2 14 4 4 2" xfId="26028" xr:uid="{00000000-0005-0000-0000-0000B94F0000}"/>
    <cellStyle name="Output 2 14 5" xfId="6304" xr:uid="{00000000-0005-0000-0000-0000BA4F0000}"/>
    <cellStyle name="Output 2 14 5 2" xfId="16488" xr:uid="{00000000-0005-0000-0000-0000BB4F0000}"/>
    <cellStyle name="Output 2 14 5 2 2" xfId="31320" xr:uid="{00000000-0005-0000-0000-0000BC4F0000}"/>
    <cellStyle name="Output 2 14 5 3" xfId="18607" xr:uid="{00000000-0005-0000-0000-0000BD4F0000}"/>
    <cellStyle name="Output 2 14 6" xfId="12558" xr:uid="{00000000-0005-0000-0000-0000BE4F0000}"/>
    <cellStyle name="Output 2 14 6 2" xfId="27390" xr:uid="{00000000-0005-0000-0000-0000BF4F0000}"/>
    <cellStyle name="Output 2 14 7" xfId="10140" xr:uid="{00000000-0005-0000-0000-0000C04F0000}"/>
    <cellStyle name="Output 2 14 7 2" xfId="24972" xr:uid="{00000000-0005-0000-0000-0000C14F0000}"/>
    <cellStyle name="Output 2 15" xfId="3195" xr:uid="{00000000-0005-0000-0000-0000C24F0000}"/>
    <cellStyle name="Output 2 15 2" xfId="7259" xr:uid="{00000000-0005-0000-0000-0000C34F0000}"/>
    <cellStyle name="Output 2 15 2 2" xfId="17028" xr:uid="{00000000-0005-0000-0000-0000C44F0000}"/>
    <cellStyle name="Output 2 15 2 2 2" xfId="31860" xr:uid="{00000000-0005-0000-0000-0000C54F0000}"/>
    <cellStyle name="Output 2 15 2 3" xfId="18958" xr:uid="{00000000-0005-0000-0000-0000C64F0000}"/>
    <cellStyle name="Output 2 15 3" xfId="13533" xr:uid="{00000000-0005-0000-0000-0000C74F0000}"/>
    <cellStyle name="Output 2 15 3 2" xfId="28365" xr:uid="{00000000-0005-0000-0000-0000C84F0000}"/>
    <cellStyle name="Output 2 15 4" xfId="10673" xr:uid="{00000000-0005-0000-0000-0000C94F0000}"/>
    <cellStyle name="Output 2 15 4 2" xfId="25505" xr:uid="{00000000-0005-0000-0000-0000CA4F0000}"/>
    <cellStyle name="Output 2 16" xfId="3187" xr:uid="{00000000-0005-0000-0000-0000CB4F0000}"/>
    <cellStyle name="Output 2 16 2" xfId="7251" xr:uid="{00000000-0005-0000-0000-0000CC4F0000}"/>
    <cellStyle name="Output 2 16 2 2" xfId="17021" xr:uid="{00000000-0005-0000-0000-0000CD4F0000}"/>
    <cellStyle name="Output 2 16 2 2 2" xfId="31853" xr:uid="{00000000-0005-0000-0000-0000CE4F0000}"/>
    <cellStyle name="Output 2 16 2 3" xfId="18955" xr:uid="{00000000-0005-0000-0000-0000CF4F0000}"/>
    <cellStyle name="Output 2 16 3" xfId="13525" xr:uid="{00000000-0005-0000-0000-0000D04F0000}"/>
    <cellStyle name="Output 2 16 3 2" xfId="28357" xr:uid="{00000000-0005-0000-0000-0000D14F0000}"/>
    <cellStyle name="Output 2 16 4" xfId="10669" xr:uid="{00000000-0005-0000-0000-0000D24F0000}"/>
    <cellStyle name="Output 2 16 4 2" xfId="25501" xr:uid="{00000000-0005-0000-0000-0000D34F0000}"/>
    <cellStyle name="Output 2 17" xfId="2317" xr:uid="{00000000-0005-0000-0000-0000D44F0000}"/>
    <cellStyle name="Output 2 17 2" xfId="6429" xr:uid="{00000000-0005-0000-0000-0000D54F0000}"/>
    <cellStyle name="Output 2 17 2 2" xfId="16522" xr:uid="{00000000-0005-0000-0000-0000D64F0000}"/>
    <cellStyle name="Output 2 17 2 2 2" xfId="31354" xr:uid="{00000000-0005-0000-0000-0000D74F0000}"/>
    <cellStyle name="Output 2 17 2 3" xfId="18610" xr:uid="{00000000-0005-0000-0000-0000D84F0000}"/>
    <cellStyle name="Output 2 17 3" xfId="12657" xr:uid="{00000000-0005-0000-0000-0000D94F0000}"/>
    <cellStyle name="Output 2 17 3 2" xfId="27489" xr:uid="{00000000-0005-0000-0000-0000DA4F0000}"/>
    <cellStyle name="Output 2 17 4" xfId="10173" xr:uid="{00000000-0005-0000-0000-0000DB4F0000}"/>
    <cellStyle name="Output 2 17 4 2" xfId="25005" xr:uid="{00000000-0005-0000-0000-0000DC4F0000}"/>
    <cellStyle name="Output 2 18" xfId="5280" xr:uid="{00000000-0005-0000-0000-0000DD4F0000}"/>
    <cellStyle name="Output 2 18 2" xfId="9288" xr:uid="{00000000-0005-0000-0000-0000DE4F0000}"/>
    <cellStyle name="Output 2 18 2 2" xfId="18155" xr:uid="{00000000-0005-0000-0000-0000DF4F0000}"/>
    <cellStyle name="Output 2 18 2 2 2" xfId="32987" xr:uid="{00000000-0005-0000-0000-0000E04F0000}"/>
    <cellStyle name="Output 2 18 2 3" xfId="19674" xr:uid="{00000000-0005-0000-0000-0000E14F0000}"/>
    <cellStyle name="Output 2 18 3" xfId="15596" xr:uid="{00000000-0005-0000-0000-0000E24F0000}"/>
    <cellStyle name="Output 2 18 3 2" xfId="30428" xr:uid="{00000000-0005-0000-0000-0000E34F0000}"/>
    <cellStyle name="Output 2 19" xfId="5438" xr:uid="{00000000-0005-0000-0000-0000E44F0000}"/>
    <cellStyle name="Output 2 19 2" xfId="15674" xr:uid="{00000000-0005-0000-0000-0000E54F0000}"/>
    <cellStyle name="Output 2 19 2 2" xfId="30506" xr:uid="{00000000-0005-0000-0000-0000E64F0000}"/>
    <cellStyle name="Output 2 19 3" xfId="18251" xr:uid="{00000000-0005-0000-0000-0000E74F0000}"/>
    <cellStyle name="Output 2 2" xfId="1232" xr:uid="{00000000-0005-0000-0000-0000E84F0000}"/>
    <cellStyle name="Output 2 2 10" xfId="2318" xr:uid="{00000000-0005-0000-0000-0000E94F0000}"/>
    <cellStyle name="Output 2 2 10 2" xfId="6430" xr:uid="{00000000-0005-0000-0000-0000EA4F0000}"/>
    <cellStyle name="Output 2 2 10 2 2" xfId="16523" xr:uid="{00000000-0005-0000-0000-0000EB4F0000}"/>
    <cellStyle name="Output 2 2 10 2 2 2" xfId="31355" xr:uid="{00000000-0005-0000-0000-0000EC4F0000}"/>
    <cellStyle name="Output 2 2 10 2 3" xfId="18611" xr:uid="{00000000-0005-0000-0000-0000ED4F0000}"/>
    <cellStyle name="Output 2 2 10 3" xfId="12658" xr:uid="{00000000-0005-0000-0000-0000EE4F0000}"/>
    <cellStyle name="Output 2 2 10 3 2" xfId="27490" xr:uid="{00000000-0005-0000-0000-0000EF4F0000}"/>
    <cellStyle name="Output 2 2 10 4" xfId="10174" xr:uid="{00000000-0005-0000-0000-0000F04F0000}"/>
    <cellStyle name="Output 2 2 10 4 2" xfId="25006" xr:uid="{00000000-0005-0000-0000-0000F14F0000}"/>
    <cellStyle name="Output 2 2 11" xfId="5281" xr:uid="{00000000-0005-0000-0000-0000F24F0000}"/>
    <cellStyle name="Output 2 2 11 2" xfId="9289" xr:uid="{00000000-0005-0000-0000-0000F34F0000}"/>
    <cellStyle name="Output 2 2 11 2 2" xfId="18156" xr:uid="{00000000-0005-0000-0000-0000F44F0000}"/>
    <cellStyle name="Output 2 2 11 2 2 2" xfId="32988" xr:uid="{00000000-0005-0000-0000-0000F54F0000}"/>
    <cellStyle name="Output 2 2 11 2 3" xfId="19675" xr:uid="{00000000-0005-0000-0000-0000F64F0000}"/>
    <cellStyle name="Output 2 2 11 3" xfId="15597" xr:uid="{00000000-0005-0000-0000-0000F74F0000}"/>
    <cellStyle name="Output 2 2 11 3 2" xfId="30429" xr:uid="{00000000-0005-0000-0000-0000F84F0000}"/>
    <cellStyle name="Output 2 2 12" xfId="5439" xr:uid="{00000000-0005-0000-0000-0000F94F0000}"/>
    <cellStyle name="Output 2 2 12 2" xfId="15675" xr:uid="{00000000-0005-0000-0000-0000FA4F0000}"/>
    <cellStyle name="Output 2 2 12 2 2" xfId="30507" xr:uid="{00000000-0005-0000-0000-0000FB4F0000}"/>
    <cellStyle name="Output 2 2 12 3" xfId="18252" xr:uid="{00000000-0005-0000-0000-0000FC4F0000}"/>
    <cellStyle name="Output 2 2 13" xfId="9352" xr:uid="{00000000-0005-0000-0000-0000FD4F0000}"/>
    <cellStyle name="Output 2 2 13 2" xfId="24658" xr:uid="{00000000-0005-0000-0000-0000FE4F0000}"/>
    <cellStyle name="Output 2 2 14" xfId="5341" xr:uid="{00000000-0005-0000-0000-0000FF4F0000}"/>
    <cellStyle name="Output 2 2 14 2" xfId="18215" xr:uid="{00000000-0005-0000-0000-000000500000}"/>
    <cellStyle name="Output 2 2 2" xfId="1351" xr:uid="{00000000-0005-0000-0000-000001500000}"/>
    <cellStyle name="Output 2 2 2 2" xfId="1855" xr:uid="{00000000-0005-0000-0000-000002500000}"/>
    <cellStyle name="Output 2 2 2 2 2" xfId="3380" xr:uid="{00000000-0005-0000-0000-000003500000}"/>
    <cellStyle name="Output 2 2 2 2 2 2" xfId="7443" xr:uid="{00000000-0005-0000-0000-000004500000}"/>
    <cellStyle name="Output 2 2 2 2 2 2 2" xfId="17150" xr:uid="{00000000-0005-0000-0000-000005500000}"/>
    <cellStyle name="Output 2 2 2 2 2 2 2 2" xfId="31982" xr:uid="{00000000-0005-0000-0000-000006500000}"/>
    <cellStyle name="Output 2 2 2 2 2 2 3" xfId="19016" xr:uid="{00000000-0005-0000-0000-000007500000}"/>
    <cellStyle name="Output 2 2 2 2 2 3" xfId="13717" xr:uid="{00000000-0005-0000-0000-000008500000}"/>
    <cellStyle name="Output 2 2 2 2 2 3 2" xfId="28549" xr:uid="{00000000-0005-0000-0000-000009500000}"/>
    <cellStyle name="Output 2 2 2 2 2 4" xfId="10769" xr:uid="{00000000-0005-0000-0000-00000A500000}"/>
    <cellStyle name="Output 2 2 2 2 2 4 2" xfId="25601" xr:uid="{00000000-0005-0000-0000-00000B500000}"/>
    <cellStyle name="Output 2 2 2 2 3" xfId="4833" xr:uid="{00000000-0005-0000-0000-00000C500000}"/>
    <cellStyle name="Output 2 2 2 2 3 2" xfId="8872" xr:uid="{00000000-0005-0000-0000-00000D500000}"/>
    <cellStyle name="Output 2 2 2 2 3 2 2" xfId="17913" xr:uid="{00000000-0005-0000-0000-00000E500000}"/>
    <cellStyle name="Output 2 2 2 2 3 2 2 2" xfId="32745" xr:uid="{00000000-0005-0000-0000-00000F500000}"/>
    <cellStyle name="Output 2 2 2 2 3 2 3" xfId="19515" xr:uid="{00000000-0005-0000-0000-000010500000}"/>
    <cellStyle name="Output 2 2 2 2 3 3" xfId="15157" xr:uid="{00000000-0005-0000-0000-000011500000}"/>
    <cellStyle name="Output 2 2 2 2 3 3 2" xfId="29989" xr:uid="{00000000-0005-0000-0000-000012500000}"/>
    <cellStyle name="Output 2 2 2 2 3 4" xfId="11516" xr:uid="{00000000-0005-0000-0000-000013500000}"/>
    <cellStyle name="Output 2 2 2 2 3 4 2" xfId="26348" xr:uid="{00000000-0005-0000-0000-000014500000}"/>
    <cellStyle name="Output 2 2 2 2 4" xfId="2823" xr:uid="{00000000-0005-0000-0000-000015500000}"/>
    <cellStyle name="Output 2 2 2 2 4 2" xfId="6914" xr:uid="{00000000-0005-0000-0000-000016500000}"/>
    <cellStyle name="Output 2 2 2 2 4 2 2" xfId="16807" xr:uid="{00000000-0005-0000-0000-000017500000}"/>
    <cellStyle name="Output 2 2 2 2 4 2 2 2" xfId="31639" xr:uid="{00000000-0005-0000-0000-000018500000}"/>
    <cellStyle name="Output 2 2 2 2 4 2 3" xfId="18806" xr:uid="{00000000-0005-0000-0000-000019500000}"/>
    <cellStyle name="Output 2 2 2 2 4 3" xfId="13161" xr:uid="{00000000-0005-0000-0000-00001A500000}"/>
    <cellStyle name="Output 2 2 2 2 4 3 2" xfId="27993" xr:uid="{00000000-0005-0000-0000-00001B500000}"/>
    <cellStyle name="Output 2 2 2 2 4 4" xfId="10460" xr:uid="{00000000-0005-0000-0000-00001C500000}"/>
    <cellStyle name="Output 2 2 2 2 4 4 2" xfId="25292" xr:uid="{00000000-0005-0000-0000-00001D500000}"/>
    <cellStyle name="Output 2 2 2 2 5" xfId="5987" xr:uid="{00000000-0005-0000-0000-00001E500000}"/>
    <cellStyle name="Output 2 2 2 2 5 2" xfId="16179" xr:uid="{00000000-0005-0000-0000-00001F500000}"/>
    <cellStyle name="Output 2 2 2 2 5 2 2" xfId="31011" xr:uid="{00000000-0005-0000-0000-000020500000}"/>
    <cellStyle name="Output 2 2 2 2 5 3" xfId="18448" xr:uid="{00000000-0005-0000-0000-000021500000}"/>
    <cellStyle name="Output 2 2 2 2 6" xfId="12249" xr:uid="{00000000-0005-0000-0000-000022500000}"/>
    <cellStyle name="Output 2 2 2 2 6 2" xfId="27081" xr:uid="{00000000-0005-0000-0000-000023500000}"/>
    <cellStyle name="Output 2 2 2 2 7" xfId="9845" xr:uid="{00000000-0005-0000-0000-000024500000}"/>
    <cellStyle name="Output 2 2 2 2 7 2" xfId="24771" xr:uid="{00000000-0005-0000-0000-000025500000}"/>
    <cellStyle name="Output 2 2 2 3" xfId="3887" xr:uid="{00000000-0005-0000-0000-000026500000}"/>
    <cellStyle name="Output 2 2 2 3 2" xfId="7938" xr:uid="{00000000-0005-0000-0000-000027500000}"/>
    <cellStyle name="Output 2 2 2 3 2 2" xfId="17412" xr:uid="{00000000-0005-0000-0000-000028500000}"/>
    <cellStyle name="Output 2 2 2 3 2 2 2" xfId="32244" xr:uid="{00000000-0005-0000-0000-000029500000}"/>
    <cellStyle name="Output 2 2 2 3 2 3" xfId="19188" xr:uid="{00000000-0005-0000-0000-00002A500000}"/>
    <cellStyle name="Output 2 2 2 3 3" xfId="14221" xr:uid="{00000000-0005-0000-0000-00002B500000}"/>
    <cellStyle name="Output 2 2 2 3 3 2" xfId="29053" xr:uid="{00000000-0005-0000-0000-00002C500000}"/>
    <cellStyle name="Output 2 2 2 3 4" xfId="11029" xr:uid="{00000000-0005-0000-0000-00002D500000}"/>
    <cellStyle name="Output 2 2 2 3 4 2" xfId="25861" xr:uid="{00000000-0005-0000-0000-00002E500000}"/>
    <cellStyle name="Output 2 2 2 4" xfId="4413" xr:uid="{00000000-0005-0000-0000-00002F500000}"/>
    <cellStyle name="Output 2 2 2 4 2" xfId="8452" xr:uid="{00000000-0005-0000-0000-000030500000}"/>
    <cellStyle name="Output 2 2 2 4 2 2" xfId="17673" xr:uid="{00000000-0005-0000-0000-000031500000}"/>
    <cellStyle name="Output 2 2 2 4 2 2 2" xfId="32505" xr:uid="{00000000-0005-0000-0000-000032500000}"/>
    <cellStyle name="Output 2 2 2 4 2 3" xfId="19355" xr:uid="{00000000-0005-0000-0000-000033500000}"/>
    <cellStyle name="Output 2 2 2 4 3" xfId="14742" xr:uid="{00000000-0005-0000-0000-000034500000}"/>
    <cellStyle name="Output 2 2 2 4 3 2" xfId="29574" xr:uid="{00000000-0005-0000-0000-000035500000}"/>
    <cellStyle name="Output 2 2 2 4 4" xfId="11281" xr:uid="{00000000-0005-0000-0000-000036500000}"/>
    <cellStyle name="Output 2 2 2 4 4 2" xfId="26113" xr:uid="{00000000-0005-0000-0000-000037500000}"/>
    <cellStyle name="Output 2 2 2 5" xfId="2403" xr:uid="{00000000-0005-0000-0000-000038500000}"/>
    <cellStyle name="Output 2 2 2 5 2" xfId="6515" xr:uid="{00000000-0005-0000-0000-000039500000}"/>
    <cellStyle name="Output 2 2 2 5 2 2" xfId="16571" xr:uid="{00000000-0005-0000-0000-00003A500000}"/>
    <cellStyle name="Output 2 2 2 5 2 2 2" xfId="31403" xr:uid="{00000000-0005-0000-0000-00003B500000}"/>
    <cellStyle name="Output 2 2 2 5 2 3" xfId="18643" xr:uid="{00000000-0005-0000-0000-00003C500000}"/>
    <cellStyle name="Output 2 2 2 5 3" xfId="12742" xr:uid="{00000000-0005-0000-0000-00003D500000}"/>
    <cellStyle name="Output 2 2 2 5 3 2" xfId="27574" xr:uid="{00000000-0005-0000-0000-00003E500000}"/>
    <cellStyle name="Output 2 2 2 5 4" xfId="10221" xr:uid="{00000000-0005-0000-0000-00003F500000}"/>
    <cellStyle name="Output 2 2 2 5 4 2" xfId="25053" xr:uid="{00000000-0005-0000-0000-000040500000}"/>
    <cellStyle name="Output 2 2 2 6" xfId="5528" xr:uid="{00000000-0005-0000-0000-000041500000}"/>
    <cellStyle name="Output 2 2 2 6 2" xfId="15763" xr:uid="{00000000-0005-0000-0000-000042500000}"/>
    <cellStyle name="Output 2 2 2 6 2 2" xfId="30595" xr:uid="{00000000-0005-0000-0000-000043500000}"/>
    <cellStyle name="Output 2 2 2 6 3" xfId="18285" xr:uid="{00000000-0005-0000-0000-000044500000}"/>
    <cellStyle name="Output 2 2 2 7" xfId="11778" xr:uid="{00000000-0005-0000-0000-000045500000}"/>
    <cellStyle name="Output 2 2 2 7 2" xfId="26610" xr:uid="{00000000-0005-0000-0000-000046500000}"/>
    <cellStyle name="Output 2 2 2 8" xfId="9449" xr:uid="{00000000-0005-0000-0000-000047500000}"/>
    <cellStyle name="Output 2 2 2 8 2" xfId="19753" xr:uid="{00000000-0005-0000-0000-000048500000}"/>
    <cellStyle name="Output 2 2 3" xfId="1521" xr:uid="{00000000-0005-0000-0000-000049500000}"/>
    <cellStyle name="Output 2 2 3 2" xfId="2018" xr:uid="{00000000-0005-0000-0000-00004A500000}"/>
    <cellStyle name="Output 2 2 3 2 2" xfId="3558" xr:uid="{00000000-0005-0000-0000-00004B500000}"/>
    <cellStyle name="Output 2 2 3 2 2 2" xfId="7620" xr:uid="{00000000-0005-0000-0000-00004C500000}"/>
    <cellStyle name="Output 2 2 3 2 2 2 2" xfId="17256" xr:uid="{00000000-0005-0000-0000-00004D500000}"/>
    <cellStyle name="Output 2 2 3 2 2 2 2 2" xfId="32088" xr:uid="{00000000-0005-0000-0000-00004E500000}"/>
    <cellStyle name="Output 2 2 3 2 2 2 3" xfId="19079" xr:uid="{00000000-0005-0000-0000-00004F500000}"/>
    <cellStyle name="Output 2 2 3 2 2 3" xfId="13894" xr:uid="{00000000-0005-0000-0000-000050500000}"/>
    <cellStyle name="Output 2 2 3 2 2 3 2" xfId="28726" xr:uid="{00000000-0005-0000-0000-000051500000}"/>
    <cellStyle name="Output 2 2 3 2 2 4" xfId="10873" xr:uid="{00000000-0005-0000-0000-000052500000}"/>
    <cellStyle name="Output 2 2 3 2 2 4 2" xfId="25705" xr:uid="{00000000-0005-0000-0000-000053500000}"/>
    <cellStyle name="Output 2 2 3 2 3" xfId="4986" xr:uid="{00000000-0005-0000-0000-000054500000}"/>
    <cellStyle name="Output 2 2 3 2 3 2" xfId="9025" xr:uid="{00000000-0005-0000-0000-000055500000}"/>
    <cellStyle name="Output 2 2 3 2 3 2 2" xfId="17963" xr:uid="{00000000-0005-0000-0000-000056500000}"/>
    <cellStyle name="Output 2 2 3 2 3 2 2 2" xfId="32795" xr:uid="{00000000-0005-0000-0000-000057500000}"/>
    <cellStyle name="Output 2 2 3 2 3 2 3" xfId="19547" xr:uid="{00000000-0005-0000-0000-000058500000}"/>
    <cellStyle name="Output 2 2 3 2 3 3" xfId="15308" xr:uid="{00000000-0005-0000-0000-000059500000}"/>
    <cellStyle name="Output 2 2 3 2 3 3 2" xfId="30140" xr:uid="{00000000-0005-0000-0000-00005A500000}"/>
    <cellStyle name="Output 2 2 3 2 3 4" xfId="11564" xr:uid="{00000000-0005-0000-0000-00005B500000}"/>
    <cellStyle name="Output 2 2 3 2 3 4 2" xfId="26396" xr:uid="{00000000-0005-0000-0000-00005C500000}"/>
    <cellStyle name="Output 2 2 3 2 4" xfId="2976" xr:uid="{00000000-0005-0000-0000-00005D500000}"/>
    <cellStyle name="Output 2 2 3 2 4 2" xfId="7056" xr:uid="{00000000-0005-0000-0000-00005E500000}"/>
    <cellStyle name="Output 2 2 3 2 4 2 2" xfId="16855" xr:uid="{00000000-0005-0000-0000-00005F500000}"/>
    <cellStyle name="Output 2 2 3 2 4 2 2 2" xfId="31687" xr:uid="{00000000-0005-0000-0000-000060500000}"/>
    <cellStyle name="Output 2 2 3 2 4 2 3" xfId="18839" xr:uid="{00000000-0005-0000-0000-000061500000}"/>
    <cellStyle name="Output 2 2 3 2 4 3" xfId="13314" xr:uid="{00000000-0005-0000-0000-000062500000}"/>
    <cellStyle name="Output 2 2 3 2 4 3 2" xfId="28146" xr:uid="{00000000-0005-0000-0000-000063500000}"/>
    <cellStyle name="Output 2 2 3 2 4 4" xfId="10510" xr:uid="{00000000-0005-0000-0000-000064500000}"/>
    <cellStyle name="Output 2 2 3 2 4 4 2" xfId="25342" xr:uid="{00000000-0005-0000-0000-000065500000}"/>
    <cellStyle name="Output 2 2 3 2 5" xfId="6148" xr:uid="{00000000-0005-0000-0000-000066500000}"/>
    <cellStyle name="Output 2 2 3 2 5 2" xfId="16335" xr:uid="{00000000-0005-0000-0000-000067500000}"/>
    <cellStyle name="Output 2 2 3 2 5 2 2" xfId="31167" xr:uid="{00000000-0005-0000-0000-000068500000}"/>
    <cellStyle name="Output 2 2 3 2 5 3" xfId="18480" xr:uid="{00000000-0005-0000-0000-000069500000}"/>
    <cellStyle name="Output 2 2 3 2 6" xfId="12405" xr:uid="{00000000-0005-0000-0000-00006A500000}"/>
    <cellStyle name="Output 2 2 3 2 6 2" xfId="27237" xr:uid="{00000000-0005-0000-0000-00006B500000}"/>
    <cellStyle name="Output 2 2 3 2 7" xfId="9987" xr:uid="{00000000-0005-0000-0000-00006C500000}"/>
    <cellStyle name="Output 2 2 3 2 7 2" xfId="24819" xr:uid="{00000000-0005-0000-0000-00006D500000}"/>
    <cellStyle name="Output 2 2 3 3" xfId="3333" xr:uid="{00000000-0005-0000-0000-00006E500000}"/>
    <cellStyle name="Output 2 2 3 3 2" xfId="7396" xr:uid="{00000000-0005-0000-0000-00006F500000}"/>
    <cellStyle name="Output 2 2 3 3 2 2" xfId="17129" xr:uid="{00000000-0005-0000-0000-000070500000}"/>
    <cellStyle name="Output 2 2 3 3 2 2 2" xfId="31961" xr:uid="{00000000-0005-0000-0000-000071500000}"/>
    <cellStyle name="Output 2 2 3 3 2 3" xfId="19003" xr:uid="{00000000-0005-0000-0000-000072500000}"/>
    <cellStyle name="Output 2 2 3 3 3" xfId="13670" xr:uid="{00000000-0005-0000-0000-000073500000}"/>
    <cellStyle name="Output 2 2 3 3 3 2" xfId="28502" xr:uid="{00000000-0005-0000-0000-000074500000}"/>
    <cellStyle name="Output 2 2 3 3 4" xfId="10750" xr:uid="{00000000-0005-0000-0000-000075500000}"/>
    <cellStyle name="Output 2 2 3 3 4 2" xfId="25582" xr:uid="{00000000-0005-0000-0000-000076500000}"/>
    <cellStyle name="Output 2 2 3 4" xfId="4566" xr:uid="{00000000-0005-0000-0000-000077500000}"/>
    <cellStyle name="Output 2 2 3 4 2" xfId="8605" xr:uid="{00000000-0005-0000-0000-000078500000}"/>
    <cellStyle name="Output 2 2 3 4 2 2" xfId="17723" xr:uid="{00000000-0005-0000-0000-000079500000}"/>
    <cellStyle name="Output 2 2 3 4 2 2 2" xfId="32555" xr:uid="{00000000-0005-0000-0000-00007A500000}"/>
    <cellStyle name="Output 2 2 3 4 2 3" xfId="19387" xr:uid="{00000000-0005-0000-0000-00007B500000}"/>
    <cellStyle name="Output 2 2 3 4 3" xfId="14893" xr:uid="{00000000-0005-0000-0000-00007C500000}"/>
    <cellStyle name="Output 2 2 3 4 3 2" xfId="29725" xr:uid="{00000000-0005-0000-0000-00007D500000}"/>
    <cellStyle name="Output 2 2 3 4 4" xfId="11329" xr:uid="{00000000-0005-0000-0000-00007E500000}"/>
    <cellStyle name="Output 2 2 3 4 4 2" xfId="26161" xr:uid="{00000000-0005-0000-0000-00007F500000}"/>
    <cellStyle name="Output 2 2 3 5" xfId="2556" xr:uid="{00000000-0005-0000-0000-000080500000}"/>
    <cellStyle name="Output 2 2 3 5 2" xfId="6662" xr:uid="{00000000-0005-0000-0000-000081500000}"/>
    <cellStyle name="Output 2 2 3 5 2 2" xfId="16620" xr:uid="{00000000-0005-0000-0000-000082500000}"/>
    <cellStyle name="Output 2 2 3 5 2 2 2" xfId="31452" xr:uid="{00000000-0005-0000-0000-000083500000}"/>
    <cellStyle name="Output 2 2 3 5 2 3" xfId="18675" xr:uid="{00000000-0005-0000-0000-000084500000}"/>
    <cellStyle name="Output 2 2 3 5 3" xfId="12894" xr:uid="{00000000-0005-0000-0000-000085500000}"/>
    <cellStyle name="Output 2 2 3 5 3 2" xfId="27726" xr:uid="{00000000-0005-0000-0000-000086500000}"/>
    <cellStyle name="Output 2 2 3 5 4" xfId="10270" xr:uid="{00000000-0005-0000-0000-000087500000}"/>
    <cellStyle name="Output 2 2 3 5 4 2" xfId="25102" xr:uid="{00000000-0005-0000-0000-000088500000}"/>
    <cellStyle name="Output 2 2 3 6" xfId="5679" xr:uid="{00000000-0005-0000-0000-000089500000}"/>
    <cellStyle name="Output 2 2 3 6 2" xfId="15914" xr:uid="{00000000-0005-0000-0000-00008A500000}"/>
    <cellStyle name="Output 2 2 3 6 2 2" xfId="30746" xr:uid="{00000000-0005-0000-0000-00008B500000}"/>
    <cellStyle name="Output 2 2 3 6 3" xfId="18317" xr:uid="{00000000-0005-0000-0000-00008C500000}"/>
    <cellStyle name="Output 2 2 3 7" xfId="11934" xr:uid="{00000000-0005-0000-0000-00008D500000}"/>
    <cellStyle name="Output 2 2 3 7 2" xfId="26766" xr:uid="{00000000-0005-0000-0000-00008E500000}"/>
    <cellStyle name="Output 2 2 3 8" xfId="9592" xr:uid="{00000000-0005-0000-0000-00008F500000}"/>
    <cellStyle name="Output 2 2 3 8 2" xfId="19894" xr:uid="{00000000-0005-0000-0000-000090500000}"/>
    <cellStyle name="Output 2 2 4" xfId="1576" xr:uid="{00000000-0005-0000-0000-000091500000}"/>
    <cellStyle name="Output 2 2 4 2" xfId="2073" xr:uid="{00000000-0005-0000-0000-000092500000}"/>
    <cellStyle name="Output 2 2 4 2 2" xfId="4037" xr:uid="{00000000-0005-0000-0000-000093500000}"/>
    <cellStyle name="Output 2 2 4 2 2 2" xfId="8084" xr:uid="{00000000-0005-0000-0000-000094500000}"/>
    <cellStyle name="Output 2 2 4 2 2 2 2" xfId="17488" xr:uid="{00000000-0005-0000-0000-000095500000}"/>
    <cellStyle name="Output 2 2 4 2 2 2 2 2" xfId="32320" xr:uid="{00000000-0005-0000-0000-000096500000}"/>
    <cellStyle name="Output 2 2 4 2 2 2 3" xfId="19244" xr:uid="{00000000-0005-0000-0000-000097500000}"/>
    <cellStyle name="Output 2 2 4 2 2 3" xfId="14369" xr:uid="{00000000-0005-0000-0000-000098500000}"/>
    <cellStyle name="Output 2 2 4 2 2 3 2" xfId="29201" xr:uid="{00000000-0005-0000-0000-000099500000}"/>
    <cellStyle name="Output 2 2 4 2 2 4" xfId="11104" xr:uid="{00000000-0005-0000-0000-00009A500000}"/>
    <cellStyle name="Output 2 2 4 2 2 4 2" xfId="25936" xr:uid="{00000000-0005-0000-0000-00009B500000}"/>
    <cellStyle name="Output 2 2 4 2 3" xfId="5041" xr:uid="{00000000-0005-0000-0000-00009C500000}"/>
    <cellStyle name="Output 2 2 4 2 3 2" xfId="9080" xr:uid="{00000000-0005-0000-0000-00009D500000}"/>
    <cellStyle name="Output 2 2 4 2 3 2 2" xfId="18013" xr:uid="{00000000-0005-0000-0000-00009E500000}"/>
    <cellStyle name="Output 2 2 4 2 3 2 2 2" xfId="32845" xr:uid="{00000000-0005-0000-0000-00009F500000}"/>
    <cellStyle name="Output 2 2 4 2 3 2 3" xfId="19579" xr:uid="{00000000-0005-0000-0000-0000A0500000}"/>
    <cellStyle name="Output 2 2 4 2 3 3" xfId="15362" xr:uid="{00000000-0005-0000-0000-0000A1500000}"/>
    <cellStyle name="Output 2 2 4 2 3 3 2" xfId="30194" xr:uid="{00000000-0005-0000-0000-0000A2500000}"/>
    <cellStyle name="Output 2 2 4 2 3 4" xfId="11613" xr:uid="{00000000-0005-0000-0000-0000A3500000}"/>
    <cellStyle name="Output 2 2 4 2 3 4 2" xfId="26445" xr:uid="{00000000-0005-0000-0000-0000A4500000}"/>
    <cellStyle name="Output 2 2 4 2 4" xfId="3031" xr:uid="{00000000-0005-0000-0000-0000A5500000}"/>
    <cellStyle name="Output 2 2 4 2 4 2" xfId="7106" xr:uid="{00000000-0005-0000-0000-0000A6500000}"/>
    <cellStyle name="Output 2 2 4 2 4 2 2" xfId="16904" xr:uid="{00000000-0005-0000-0000-0000A7500000}"/>
    <cellStyle name="Output 2 2 4 2 4 2 2 2" xfId="31736" xr:uid="{00000000-0005-0000-0000-0000A8500000}"/>
    <cellStyle name="Output 2 2 4 2 4 2 3" xfId="18872" xr:uid="{00000000-0005-0000-0000-0000A9500000}"/>
    <cellStyle name="Output 2 2 4 2 4 3" xfId="13369" xr:uid="{00000000-0005-0000-0000-0000AA500000}"/>
    <cellStyle name="Output 2 2 4 2 4 3 2" xfId="28201" xr:uid="{00000000-0005-0000-0000-0000AB500000}"/>
    <cellStyle name="Output 2 2 4 2 4 4" xfId="10560" xr:uid="{00000000-0005-0000-0000-0000AC500000}"/>
    <cellStyle name="Output 2 2 4 2 4 4 2" xfId="25392" xr:uid="{00000000-0005-0000-0000-0000AD500000}"/>
    <cellStyle name="Output 2 2 4 2 5" xfId="6198" xr:uid="{00000000-0005-0000-0000-0000AE500000}"/>
    <cellStyle name="Output 2 2 4 2 5 2" xfId="16384" xr:uid="{00000000-0005-0000-0000-0000AF500000}"/>
    <cellStyle name="Output 2 2 4 2 5 2 2" xfId="31216" xr:uid="{00000000-0005-0000-0000-0000B0500000}"/>
    <cellStyle name="Output 2 2 4 2 5 3" xfId="18513" xr:uid="{00000000-0005-0000-0000-0000B1500000}"/>
    <cellStyle name="Output 2 2 4 2 6" xfId="12454" xr:uid="{00000000-0005-0000-0000-0000B2500000}"/>
    <cellStyle name="Output 2 2 4 2 6 2" xfId="27286" xr:uid="{00000000-0005-0000-0000-0000B3500000}"/>
    <cellStyle name="Output 2 2 4 2 7" xfId="10036" xr:uid="{00000000-0005-0000-0000-0000B4500000}"/>
    <cellStyle name="Output 2 2 4 2 7 2" xfId="24868" xr:uid="{00000000-0005-0000-0000-0000B5500000}"/>
    <cellStyle name="Output 2 2 4 3" xfId="3694" xr:uid="{00000000-0005-0000-0000-0000B6500000}"/>
    <cellStyle name="Output 2 2 4 3 2" xfId="7750" xr:uid="{00000000-0005-0000-0000-0000B7500000}"/>
    <cellStyle name="Output 2 2 4 3 2 2" xfId="17319" xr:uid="{00000000-0005-0000-0000-0000B8500000}"/>
    <cellStyle name="Output 2 2 4 3 2 2 2" xfId="32151" xr:uid="{00000000-0005-0000-0000-0000B9500000}"/>
    <cellStyle name="Output 2 2 4 3 2 3" xfId="19125" xr:uid="{00000000-0005-0000-0000-0000BA500000}"/>
    <cellStyle name="Output 2 2 4 3 3" xfId="14029" xr:uid="{00000000-0005-0000-0000-0000BB500000}"/>
    <cellStyle name="Output 2 2 4 3 3 2" xfId="28861" xr:uid="{00000000-0005-0000-0000-0000BC500000}"/>
    <cellStyle name="Output 2 2 4 3 4" xfId="10937" xr:uid="{00000000-0005-0000-0000-0000BD500000}"/>
    <cellStyle name="Output 2 2 4 3 4 2" xfId="25769" xr:uid="{00000000-0005-0000-0000-0000BE500000}"/>
    <cellStyle name="Output 2 2 4 4" xfId="4621" xr:uid="{00000000-0005-0000-0000-0000BF500000}"/>
    <cellStyle name="Output 2 2 4 4 2" xfId="8660" xr:uid="{00000000-0005-0000-0000-0000C0500000}"/>
    <cellStyle name="Output 2 2 4 4 2 2" xfId="17773" xr:uid="{00000000-0005-0000-0000-0000C1500000}"/>
    <cellStyle name="Output 2 2 4 4 2 2 2" xfId="32605" xr:uid="{00000000-0005-0000-0000-0000C2500000}"/>
    <cellStyle name="Output 2 2 4 4 2 3" xfId="19419" xr:uid="{00000000-0005-0000-0000-0000C3500000}"/>
    <cellStyle name="Output 2 2 4 4 3" xfId="14947" xr:uid="{00000000-0005-0000-0000-0000C4500000}"/>
    <cellStyle name="Output 2 2 4 4 3 2" xfId="29779" xr:uid="{00000000-0005-0000-0000-0000C5500000}"/>
    <cellStyle name="Output 2 2 4 4 4" xfId="11378" xr:uid="{00000000-0005-0000-0000-0000C6500000}"/>
    <cellStyle name="Output 2 2 4 4 4 2" xfId="26210" xr:uid="{00000000-0005-0000-0000-0000C7500000}"/>
    <cellStyle name="Output 2 2 4 5" xfId="2611" xr:uid="{00000000-0005-0000-0000-0000C8500000}"/>
    <cellStyle name="Output 2 2 4 5 2" xfId="6712" xr:uid="{00000000-0005-0000-0000-0000C9500000}"/>
    <cellStyle name="Output 2 2 4 5 2 2" xfId="16669" xr:uid="{00000000-0005-0000-0000-0000CA500000}"/>
    <cellStyle name="Output 2 2 4 5 2 2 2" xfId="31501" xr:uid="{00000000-0005-0000-0000-0000CB500000}"/>
    <cellStyle name="Output 2 2 4 5 2 3" xfId="18708" xr:uid="{00000000-0005-0000-0000-0000CC500000}"/>
    <cellStyle name="Output 2 2 4 5 3" xfId="12949" xr:uid="{00000000-0005-0000-0000-0000CD500000}"/>
    <cellStyle name="Output 2 2 4 5 3 2" xfId="27781" xr:uid="{00000000-0005-0000-0000-0000CE500000}"/>
    <cellStyle name="Output 2 2 4 5 4" xfId="10320" xr:uid="{00000000-0005-0000-0000-0000CF500000}"/>
    <cellStyle name="Output 2 2 4 5 4 2" xfId="25152" xr:uid="{00000000-0005-0000-0000-0000D0500000}"/>
    <cellStyle name="Output 2 2 4 6" xfId="5728" xr:uid="{00000000-0005-0000-0000-0000D1500000}"/>
    <cellStyle name="Output 2 2 4 6 2" xfId="15963" xr:uid="{00000000-0005-0000-0000-0000D2500000}"/>
    <cellStyle name="Output 2 2 4 6 2 2" xfId="30795" xr:uid="{00000000-0005-0000-0000-0000D3500000}"/>
    <cellStyle name="Output 2 2 4 6 3" xfId="18349" xr:uid="{00000000-0005-0000-0000-0000D4500000}"/>
    <cellStyle name="Output 2 2 4 7" xfId="11983" xr:uid="{00000000-0005-0000-0000-0000D5500000}"/>
    <cellStyle name="Output 2 2 4 7 2" xfId="26815" xr:uid="{00000000-0005-0000-0000-0000D6500000}"/>
    <cellStyle name="Output 2 2 4 8" xfId="9642" xr:uid="{00000000-0005-0000-0000-0000D7500000}"/>
    <cellStyle name="Output 2 2 4 8 2" xfId="19943" xr:uid="{00000000-0005-0000-0000-0000D8500000}"/>
    <cellStyle name="Output 2 2 5" xfId="1626" xr:uid="{00000000-0005-0000-0000-0000D9500000}"/>
    <cellStyle name="Output 2 2 5 2" xfId="2123" xr:uid="{00000000-0005-0000-0000-0000DA500000}"/>
    <cellStyle name="Output 2 2 5 2 2" xfId="3414" xr:uid="{00000000-0005-0000-0000-0000DB500000}"/>
    <cellStyle name="Output 2 2 5 2 2 2" xfId="7477" xr:uid="{00000000-0005-0000-0000-0000DC500000}"/>
    <cellStyle name="Output 2 2 5 2 2 2 2" xfId="17176" xr:uid="{00000000-0005-0000-0000-0000DD500000}"/>
    <cellStyle name="Output 2 2 5 2 2 2 2 2" xfId="32008" xr:uid="{00000000-0005-0000-0000-0000DE500000}"/>
    <cellStyle name="Output 2 2 5 2 2 2 3" xfId="19025" xr:uid="{00000000-0005-0000-0000-0000DF500000}"/>
    <cellStyle name="Output 2 2 5 2 2 3" xfId="13751" xr:uid="{00000000-0005-0000-0000-0000E0500000}"/>
    <cellStyle name="Output 2 2 5 2 2 3 2" xfId="28583" xr:uid="{00000000-0005-0000-0000-0000E1500000}"/>
    <cellStyle name="Output 2 2 5 2 2 4" xfId="10795" xr:uid="{00000000-0005-0000-0000-0000E2500000}"/>
    <cellStyle name="Output 2 2 5 2 2 4 2" xfId="25627" xr:uid="{00000000-0005-0000-0000-0000E3500000}"/>
    <cellStyle name="Output 2 2 5 2 3" xfId="5091" xr:uid="{00000000-0005-0000-0000-0000E4500000}"/>
    <cellStyle name="Output 2 2 5 2 3 2" xfId="9130" xr:uid="{00000000-0005-0000-0000-0000E5500000}"/>
    <cellStyle name="Output 2 2 5 2 3 2 2" xfId="18058" xr:uid="{00000000-0005-0000-0000-0000E6500000}"/>
    <cellStyle name="Output 2 2 5 2 3 2 2 2" xfId="32890" xr:uid="{00000000-0005-0000-0000-0000E7500000}"/>
    <cellStyle name="Output 2 2 5 2 3 2 3" xfId="19611" xr:uid="{00000000-0005-0000-0000-0000E8500000}"/>
    <cellStyle name="Output 2 2 5 2 3 3" xfId="15411" xr:uid="{00000000-0005-0000-0000-0000E9500000}"/>
    <cellStyle name="Output 2 2 5 2 3 3 2" xfId="30243" xr:uid="{00000000-0005-0000-0000-0000EA500000}"/>
    <cellStyle name="Output 2 2 5 2 3 4" xfId="11657" xr:uid="{00000000-0005-0000-0000-0000EB500000}"/>
    <cellStyle name="Output 2 2 5 2 3 4 2" xfId="26489" xr:uid="{00000000-0005-0000-0000-0000EC500000}"/>
    <cellStyle name="Output 2 2 5 2 4" xfId="3081" xr:uid="{00000000-0005-0000-0000-0000ED500000}"/>
    <cellStyle name="Output 2 2 5 2 4 2" xfId="7151" xr:uid="{00000000-0005-0000-0000-0000EE500000}"/>
    <cellStyle name="Output 2 2 5 2 4 2 2" xfId="16948" xr:uid="{00000000-0005-0000-0000-0000EF500000}"/>
    <cellStyle name="Output 2 2 5 2 4 2 2 2" xfId="31780" xr:uid="{00000000-0005-0000-0000-0000F0500000}"/>
    <cellStyle name="Output 2 2 5 2 4 2 3" xfId="18905" xr:uid="{00000000-0005-0000-0000-0000F1500000}"/>
    <cellStyle name="Output 2 2 5 2 4 3" xfId="13419" xr:uid="{00000000-0005-0000-0000-0000F2500000}"/>
    <cellStyle name="Output 2 2 5 2 4 3 2" xfId="28251" xr:uid="{00000000-0005-0000-0000-0000F3500000}"/>
    <cellStyle name="Output 2 2 5 2 4 4" xfId="10605" xr:uid="{00000000-0005-0000-0000-0000F4500000}"/>
    <cellStyle name="Output 2 2 5 2 4 4 2" xfId="25437" xr:uid="{00000000-0005-0000-0000-0000F5500000}"/>
    <cellStyle name="Output 2 2 5 2 5" xfId="6243" xr:uid="{00000000-0005-0000-0000-0000F6500000}"/>
    <cellStyle name="Output 2 2 5 2 5 2" xfId="16428" xr:uid="{00000000-0005-0000-0000-0000F7500000}"/>
    <cellStyle name="Output 2 2 5 2 5 2 2" xfId="31260" xr:uid="{00000000-0005-0000-0000-0000F8500000}"/>
    <cellStyle name="Output 2 2 5 2 5 3" xfId="18546" xr:uid="{00000000-0005-0000-0000-0000F9500000}"/>
    <cellStyle name="Output 2 2 5 2 6" xfId="12498" xr:uid="{00000000-0005-0000-0000-0000FA500000}"/>
    <cellStyle name="Output 2 2 5 2 6 2" xfId="27330" xr:uid="{00000000-0005-0000-0000-0000FB500000}"/>
    <cellStyle name="Output 2 2 5 2 7" xfId="10080" xr:uid="{00000000-0005-0000-0000-0000FC500000}"/>
    <cellStyle name="Output 2 2 5 2 7 2" xfId="24912" xr:uid="{00000000-0005-0000-0000-0000FD500000}"/>
    <cellStyle name="Output 2 2 5 3" xfId="3917" xr:uid="{00000000-0005-0000-0000-0000FE500000}"/>
    <cellStyle name="Output 2 2 5 3 2" xfId="7968" xr:uid="{00000000-0005-0000-0000-0000FF500000}"/>
    <cellStyle name="Output 2 2 5 3 2 2" xfId="17429" xr:uid="{00000000-0005-0000-0000-000000510000}"/>
    <cellStyle name="Output 2 2 5 3 2 2 2" xfId="32261" xr:uid="{00000000-0005-0000-0000-000001510000}"/>
    <cellStyle name="Output 2 2 5 3 2 3" xfId="19202" xr:uid="{00000000-0005-0000-0000-000002510000}"/>
    <cellStyle name="Output 2 2 5 3 3" xfId="14250" xr:uid="{00000000-0005-0000-0000-000003510000}"/>
    <cellStyle name="Output 2 2 5 3 3 2" xfId="29082" xr:uid="{00000000-0005-0000-0000-000004510000}"/>
    <cellStyle name="Output 2 2 5 3 4" xfId="11045" xr:uid="{00000000-0005-0000-0000-000005510000}"/>
    <cellStyle name="Output 2 2 5 3 4 2" xfId="25877" xr:uid="{00000000-0005-0000-0000-000006510000}"/>
    <cellStyle name="Output 2 2 5 4" xfId="4671" xr:uid="{00000000-0005-0000-0000-000007510000}"/>
    <cellStyle name="Output 2 2 5 4 2" xfId="8710" xr:uid="{00000000-0005-0000-0000-000008510000}"/>
    <cellStyle name="Output 2 2 5 4 2 2" xfId="17818" xr:uid="{00000000-0005-0000-0000-000009510000}"/>
    <cellStyle name="Output 2 2 5 4 2 2 2" xfId="32650" xr:uid="{00000000-0005-0000-0000-00000A510000}"/>
    <cellStyle name="Output 2 2 5 4 2 3" xfId="19451" xr:uid="{00000000-0005-0000-0000-00000B510000}"/>
    <cellStyle name="Output 2 2 5 4 3" xfId="14996" xr:uid="{00000000-0005-0000-0000-00000C510000}"/>
    <cellStyle name="Output 2 2 5 4 3 2" xfId="29828" xr:uid="{00000000-0005-0000-0000-00000D510000}"/>
    <cellStyle name="Output 2 2 5 4 4" xfId="11422" xr:uid="{00000000-0005-0000-0000-00000E510000}"/>
    <cellStyle name="Output 2 2 5 4 4 2" xfId="26254" xr:uid="{00000000-0005-0000-0000-00000F510000}"/>
    <cellStyle name="Output 2 2 5 5" xfId="2661" xr:uid="{00000000-0005-0000-0000-000010510000}"/>
    <cellStyle name="Output 2 2 5 5 2" xfId="6757" xr:uid="{00000000-0005-0000-0000-000011510000}"/>
    <cellStyle name="Output 2 2 5 5 2 2" xfId="16713" xr:uid="{00000000-0005-0000-0000-000012510000}"/>
    <cellStyle name="Output 2 2 5 5 2 2 2" xfId="31545" xr:uid="{00000000-0005-0000-0000-000013510000}"/>
    <cellStyle name="Output 2 2 5 5 2 3" xfId="18741" xr:uid="{00000000-0005-0000-0000-000014510000}"/>
    <cellStyle name="Output 2 2 5 5 3" xfId="12999" xr:uid="{00000000-0005-0000-0000-000015510000}"/>
    <cellStyle name="Output 2 2 5 5 3 2" xfId="27831" xr:uid="{00000000-0005-0000-0000-000016510000}"/>
    <cellStyle name="Output 2 2 5 5 4" xfId="10365" xr:uid="{00000000-0005-0000-0000-000017510000}"/>
    <cellStyle name="Output 2 2 5 5 4 2" xfId="25197" xr:uid="{00000000-0005-0000-0000-000018510000}"/>
    <cellStyle name="Output 2 2 5 6" xfId="5773" xr:uid="{00000000-0005-0000-0000-000019510000}"/>
    <cellStyle name="Output 2 2 5 6 2" xfId="16007" xr:uid="{00000000-0005-0000-0000-00001A510000}"/>
    <cellStyle name="Output 2 2 5 6 2 2" xfId="30839" xr:uid="{00000000-0005-0000-0000-00001B510000}"/>
    <cellStyle name="Output 2 2 5 6 3" xfId="18382" xr:uid="{00000000-0005-0000-0000-00001C510000}"/>
    <cellStyle name="Output 2 2 5 7" xfId="12027" xr:uid="{00000000-0005-0000-0000-00001D510000}"/>
    <cellStyle name="Output 2 2 5 7 2" xfId="26859" xr:uid="{00000000-0005-0000-0000-00001E510000}"/>
    <cellStyle name="Output 2 2 5 8" xfId="9687" xr:uid="{00000000-0005-0000-0000-00001F510000}"/>
    <cellStyle name="Output 2 2 5 8 2" xfId="19987" xr:uid="{00000000-0005-0000-0000-000020510000}"/>
    <cellStyle name="Output 2 2 6" xfId="1777" xr:uid="{00000000-0005-0000-0000-000021510000}"/>
    <cellStyle name="Output 2 2 6 2" xfId="4110" xr:uid="{00000000-0005-0000-0000-000022510000}"/>
    <cellStyle name="Output 2 2 6 2 2" xfId="8156" xr:uid="{00000000-0005-0000-0000-000023510000}"/>
    <cellStyle name="Output 2 2 6 2 2 2" xfId="17525" xr:uid="{00000000-0005-0000-0000-000024510000}"/>
    <cellStyle name="Output 2 2 6 2 2 2 2" xfId="32357" xr:uid="{00000000-0005-0000-0000-000025510000}"/>
    <cellStyle name="Output 2 2 6 2 2 3" xfId="19271" xr:uid="{00000000-0005-0000-0000-000026510000}"/>
    <cellStyle name="Output 2 2 6 2 3" xfId="14442" xr:uid="{00000000-0005-0000-0000-000027510000}"/>
    <cellStyle name="Output 2 2 6 2 3 2" xfId="29274" xr:uid="{00000000-0005-0000-0000-000028510000}"/>
    <cellStyle name="Output 2 2 6 2 4" xfId="11142" xr:uid="{00000000-0005-0000-0000-000029510000}"/>
    <cellStyle name="Output 2 2 6 2 4 2" xfId="25974" xr:uid="{00000000-0005-0000-0000-00002A510000}"/>
    <cellStyle name="Output 2 2 6 3" xfId="4755" xr:uid="{00000000-0005-0000-0000-00002B510000}"/>
    <cellStyle name="Output 2 2 6 3 2" xfId="8794" xr:uid="{00000000-0005-0000-0000-00002C510000}"/>
    <cellStyle name="Output 2 2 6 3 2 2" xfId="17866" xr:uid="{00000000-0005-0000-0000-00002D510000}"/>
    <cellStyle name="Output 2 2 6 3 2 2 2" xfId="32698" xr:uid="{00000000-0005-0000-0000-00002E510000}"/>
    <cellStyle name="Output 2 2 6 3 2 3" xfId="19483" xr:uid="{00000000-0005-0000-0000-00002F510000}"/>
    <cellStyle name="Output 2 2 6 3 3" xfId="15079" xr:uid="{00000000-0005-0000-0000-000030510000}"/>
    <cellStyle name="Output 2 2 6 3 3 2" xfId="29911" xr:uid="{00000000-0005-0000-0000-000031510000}"/>
    <cellStyle name="Output 2 2 6 3 4" xfId="11469" xr:uid="{00000000-0005-0000-0000-000032510000}"/>
    <cellStyle name="Output 2 2 6 3 4 2" xfId="26301" xr:uid="{00000000-0005-0000-0000-000033510000}"/>
    <cellStyle name="Output 2 2 6 4" xfId="2745" xr:uid="{00000000-0005-0000-0000-000034510000}"/>
    <cellStyle name="Output 2 2 6 4 2" xfId="6836" xr:uid="{00000000-0005-0000-0000-000035510000}"/>
    <cellStyle name="Output 2 2 6 4 2 2" xfId="16760" xr:uid="{00000000-0005-0000-0000-000036510000}"/>
    <cellStyle name="Output 2 2 6 4 2 2 2" xfId="31592" xr:uid="{00000000-0005-0000-0000-000037510000}"/>
    <cellStyle name="Output 2 2 6 4 2 3" xfId="18774" xr:uid="{00000000-0005-0000-0000-000038510000}"/>
    <cellStyle name="Output 2 2 6 4 3" xfId="13083" xr:uid="{00000000-0005-0000-0000-000039510000}"/>
    <cellStyle name="Output 2 2 6 4 3 2" xfId="27915" xr:uid="{00000000-0005-0000-0000-00003A510000}"/>
    <cellStyle name="Output 2 2 6 4 4" xfId="10413" xr:uid="{00000000-0005-0000-0000-00003B510000}"/>
    <cellStyle name="Output 2 2 6 4 4 2" xfId="25245" xr:uid="{00000000-0005-0000-0000-00003C510000}"/>
    <cellStyle name="Output 2 2 6 5" xfId="5909" xr:uid="{00000000-0005-0000-0000-00003D510000}"/>
    <cellStyle name="Output 2 2 6 5 2" xfId="16101" xr:uid="{00000000-0005-0000-0000-00003E510000}"/>
    <cellStyle name="Output 2 2 6 5 2 2" xfId="30933" xr:uid="{00000000-0005-0000-0000-00003F510000}"/>
    <cellStyle name="Output 2 2 6 5 3" xfId="18416" xr:uid="{00000000-0005-0000-0000-000040510000}"/>
    <cellStyle name="Output 2 2 6 6" xfId="12171" xr:uid="{00000000-0005-0000-0000-000041510000}"/>
    <cellStyle name="Output 2 2 6 6 2" xfId="27003" xr:uid="{00000000-0005-0000-0000-000042510000}"/>
    <cellStyle name="Output 2 2 6 7" xfId="9767" xr:uid="{00000000-0005-0000-0000-000043510000}"/>
    <cellStyle name="Output 2 2 6 7 2" xfId="24724" xr:uid="{00000000-0005-0000-0000-000044510000}"/>
    <cellStyle name="Output 2 2 7" xfId="2189" xr:uid="{00000000-0005-0000-0000-000045510000}"/>
    <cellStyle name="Output 2 2 7 2" xfId="4280" xr:uid="{00000000-0005-0000-0000-000046510000}"/>
    <cellStyle name="Output 2 2 7 2 2" xfId="8319" xr:uid="{00000000-0005-0000-0000-000047510000}"/>
    <cellStyle name="Output 2 2 7 2 2 2" xfId="17602" xr:uid="{00000000-0005-0000-0000-000048510000}"/>
    <cellStyle name="Output 2 2 7 2 2 2 2" xfId="32434" xr:uid="{00000000-0005-0000-0000-000049510000}"/>
    <cellStyle name="Output 2 2 7 2 2 3" xfId="19319" xr:uid="{00000000-0005-0000-0000-00004A510000}"/>
    <cellStyle name="Output 2 2 7 2 3" xfId="14612" xr:uid="{00000000-0005-0000-0000-00004B510000}"/>
    <cellStyle name="Output 2 2 7 2 3 2" xfId="29444" xr:uid="{00000000-0005-0000-0000-00004C510000}"/>
    <cellStyle name="Output 2 2 7 2 4" xfId="11220" xr:uid="{00000000-0005-0000-0000-00004D510000}"/>
    <cellStyle name="Output 2 2 7 2 4 2" xfId="26052" xr:uid="{00000000-0005-0000-0000-00004E510000}"/>
    <cellStyle name="Output 2 2 7 3" xfId="5157" xr:uid="{00000000-0005-0000-0000-00004F510000}"/>
    <cellStyle name="Output 2 2 7 3 2" xfId="9196" xr:uid="{00000000-0005-0000-0000-000050510000}"/>
    <cellStyle name="Output 2 2 7 3 2 2" xfId="18119" xr:uid="{00000000-0005-0000-0000-000051510000}"/>
    <cellStyle name="Output 2 2 7 3 2 2 2" xfId="32951" xr:uid="{00000000-0005-0000-0000-000052510000}"/>
    <cellStyle name="Output 2 2 7 3 2 3" xfId="19670" xr:uid="{00000000-0005-0000-0000-000053510000}"/>
    <cellStyle name="Output 2 2 7 3 3" xfId="15475" xr:uid="{00000000-0005-0000-0000-000054510000}"/>
    <cellStyle name="Output 2 2 7 3 3 2" xfId="30307" xr:uid="{00000000-0005-0000-0000-000055510000}"/>
    <cellStyle name="Output 2 2 7 3 4" xfId="11716" xr:uid="{00000000-0005-0000-0000-000056510000}"/>
    <cellStyle name="Output 2 2 7 3 4 2" xfId="26548" xr:uid="{00000000-0005-0000-0000-000057510000}"/>
    <cellStyle name="Output 2 2 7 4" xfId="4187" xr:uid="{00000000-0005-0000-0000-000058510000}"/>
    <cellStyle name="Output 2 2 7 4 2" xfId="8228" xr:uid="{00000000-0005-0000-0000-000059510000}"/>
    <cellStyle name="Output 2 2 7 4 2 2" xfId="17575" xr:uid="{00000000-0005-0000-0000-00005A510000}"/>
    <cellStyle name="Output 2 2 7 4 2 2 2" xfId="32407" xr:uid="{00000000-0005-0000-0000-00005B510000}"/>
    <cellStyle name="Output 2 2 7 4 2 3" xfId="19313" xr:uid="{00000000-0005-0000-0000-00005C510000}"/>
    <cellStyle name="Output 2 2 7 4 3" xfId="14519" xr:uid="{00000000-0005-0000-0000-00005D510000}"/>
    <cellStyle name="Output 2 2 7 4 3 2" xfId="29351" xr:uid="{00000000-0005-0000-0000-00005E510000}"/>
    <cellStyle name="Output 2 2 7 4 4" xfId="11195" xr:uid="{00000000-0005-0000-0000-00005F510000}"/>
    <cellStyle name="Output 2 2 7 4 4 2" xfId="26027" xr:uid="{00000000-0005-0000-0000-000060510000}"/>
    <cellStyle name="Output 2 2 7 5" xfId="6303" xr:uid="{00000000-0005-0000-0000-000061510000}"/>
    <cellStyle name="Output 2 2 7 5 2" xfId="16487" xr:uid="{00000000-0005-0000-0000-000062510000}"/>
    <cellStyle name="Output 2 2 7 5 2 2" xfId="31319" xr:uid="{00000000-0005-0000-0000-000063510000}"/>
    <cellStyle name="Output 2 2 7 5 3" xfId="18606" xr:uid="{00000000-0005-0000-0000-000064510000}"/>
    <cellStyle name="Output 2 2 7 6" xfId="12557" xr:uid="{00000000-0005-0000-0000-000065510000}"/>
    <cellStyle name="Output 2 2 7 6 2" xfId="27389" xr:uid="{00000000-0005-0000-0000-000066510000}"/>
    <cellStyle name="Output 2 2 7 7" xfId="10139" xr:uid="{00000000-0005-0000-0000-000067510000}"/>
    <cellStyle name="Output 2 2 7 7 2" xfId="24971" xr:uid="{00000000-0005-0000-0000-000068510000}"/>
    <cellStyle name="Output 2 2 8" xfId="3317" xr:uid="{00000000-0005-0000-0000-000069510000}"/>
    <cellStyle name="Output 2 2 8 2" xfId="7380" xr:uid="{00000000-0005-0000-0000-00006A510000}"/>
    <cellStyle name="Output 2 2 8 2 2" xfId="17114" xr:uid="{00000000-0005-0000-0000-00006B510000}"/>
    <cellStyle name="Output 2 2 8 2 2 2" xfId="31946" xr:uid="{00000000-0005-0000-0000-00006C510000}"/>
    <cellStyle name="Output 2 2 8 2 3" xfId="18995" xr:uid="{00000000-0005-0000-0000-00006D510000}"/>
    <cellStyle name="Output 2 2 8 3" xfId="13654" xr:uid="{00000000-0005-0000-0000-00006E510000}"/>
    <cellStyle name="Output 2 2 8 3 2" xfId="28486" xr:uid="{00000000-0005-0000-0000-00006F510000}"/>
    <cellStyle name="Output 2 2 8 4" xfId="10736" xr:uid="{00000000-0005-0000-0000-000070510000}"/>
    <cellStyle name="Output 2 2 8 4 2" xfId="25568" xr:uid="{00000000-0005-0000-0000-000071510000}"/>
    <cellStyle name="Output 2 2 9" xfId="3987" xr:uid="{00000000-0005-0000-0000-000072510000}"/>
    <cellStyle name="Output 2 2 9 2" xfId="8035" xr:uid="{00000000-0005-0000-0000-000073510000}"/>
    <cellStyle name="Output 2 2 9 2 2" xfId="17459" xr:uid="{00000000-0005-0000-0000-000074510000}"/>
    <cellStyle name="Output 2 2 9 2 2 2" xfId="32291" xr:uid="{00000000-0005-0000-0000-000075510000}"/>
    <cellStyle name="Output 2 2 9 2 3" xfId="19222" xr:uid="{00000000-0005-0000-0000-000076510000}"/>
    <cellStyle name="Output 2 2 9 3" xfId="14320" xr:uid="{00000000-0005-0000-0000-000077510000}"/>
    <cellStyle name="Output 2 2 9 3 2" xfId="29152" xr:uid="{00000000-0005-0000-0000-000078510000}"/>
    <cellStyle name="Output 2 2 9 4" xfId="11076" xr:uid="{00000000-0005-0000-0000-000079510000}"/>
    <cellStyle name="Output 2 2 9 4 2" xfId="25908" xr:uid="{00000000-0005-0000-0000-00007A510000}"/>
    <cellStyle name="Output 2 20" xfId="9353" xr:uid="{00000000-0005-0000-0000-00007B510000}"/>
    <cellStyle name="Output 2 20 2" xfId="24659" xr:uid="{00000000-0005-0000-0000-00007C510000}"/>
    <cellStyle name="Output 2 21" xfId="5342" xr:uid="{00000000-0005-0000-0000-00007D510000}"/>
    <cellStyle name="Output 2 21 2" xfId="18216" xr:uid="{00000000-0005-0000-0000-00007E510000}"/>
    <cellStyle name="Output 2 3" xfId="1233" xr:uid="{00000000-0005-0000-0000-00007F510000}"/>
    <cellStyle name="Output 2 3 10" xfId="2319" xr:uid="{00000000-0005-0000-0000-000080510000}"/>
    <cellStyle name="Output 2 3 10 2" xfId="6431" xr:uid="{00000000-0005-0000-0000-000081510000}"/>
    <cellStyle name="Output 2 3 10 2 2" xfId="16524" xr:uid="{00000000-0005-0000-0000-000082510000}"/>
    <cellStyle name="Output 2 3 10 2 2 2" xfId="31356" xr:uid="{00000000-0005-0000-0000-000083510000}"/>
    <cellStyle name="Output 2 3 10 2 3" xfId="18612" xr:uid="{00000000-0005-0000-0000-000084510000}"/>
    <cellStyle name="Output 2 3 10 3" xfId="12659" xr:uid="{00000000-0005-0000-0000-000085510000}"/>
    <cellStyle name="Output 2 3 10 3 2" xfId="27491" xr:uid="{00000000-0005-0000-0000-000086510000}"/>
    <cellStyle name="Output 2 3 10 4" xfId="10175" xr:uid="{00000000-0005-0000-0000-000087510000}"/>
    <cellStyle name="Output 2 3 10 4 2" xfId="25007" xr:uid="{00000000-0005-0000-0000-000088510000}"/>
    <cellStyle name="Output 2 3 11" xfId="5282" xr:uid="{00000000-0005-0000-0000-000089510000}"/>
    <cellStyle name="Output 2 3 11 2" xfId="9290" xr:uid="{00000000-0005-0000-0000-00008A510000}"/>
    <cellStyle name="Output 2 3 11 2 2" xfId="18157" xr:uid="{00000000-0005-0000-0000-00008B510000}"/>
    <cellStyle name="Output 2 3 11 2 2 2" xfId="32989" xr:uid="{00000000-0005-0000-0000-00008C510000}"/>
    <cellStyle name="Output 2 3 11 2 3" xfId="19676" xr:uid="{00000000-0005-0000-0000-00008D510000}"/>
    <cellStyle name="Output 2 3 11 3" xfId="15598" xr:uid="{00000000-0005-0000-0000-00008E510000}"/>
    <cellStyle name="Output 2 3 11 3 2" xfId="30430" xr:uid="{00000000-0005-0000-0000-00008F510000}"/>
    <cellStyle name="Output 2 3 12" xfId="5440" xr:uid="{00000000-0005-0000-0000-000090510000}"/>
    <cellStyle name="Output 2 3 12 2" xfId="15676" xr:uid="{00000000-0005-0000-0000-000091510000}"/>
    <cellStyle name="Output 2 3 12 2 2" xfId="30508" xr:uid="{00000000-0005-0000-0000-000092510000}"/>
    <cellStyle name="Output 2 3 12 3" xfId="18253" xr:uid="{00000000-0005-0000-0000-000093510000}"/>
    <cellStyle name="Output 2 3 13" xfId="9351" xr:uid="{00000000-0005-0000-0000-000094510000}"/>
    <cellStyle name="Output 2 3 13 2" xfId="24657" xr:uid="{00000000-0005-0000-0000-000095510000}"/>
    <cellStyle name="Output 2 3 14" xfId="5340" xr:uid="{00000000-0005-0000-0000-000096510000}"/>
    <cellStyle name="Output 2 3 14 2" xfId="18214" xr:uid="{00000000-0005-0000-0000-000097510000}"/>
    <cellStyle name="Output 2 3 2" xfId="1352" xr:uid="{00000000-0005-0000-0000-000098510000}"/>
    <cellStyle name="Output 2 3 2 2" xfId="1856" xr:uid="{00000000-0005-0000-0000-000099510000}"/>
    <cellStyle name="Output 2 3 2 2 2" xfId="3879" xr:uid="{00000000-0005-0000-0000-00009A510000}"/>
    <cellStyle name="Output 2 3 2 2 2 2" xfId="7930" xr:uid="{00000000-0005-0000-0000-00009B510000}"/>
    <cellStyle name="Output 2 3 2 2 2 2 2" xfId="17407" xr:uid="{00000000-0005-0000-0000-00009C510000}"/>
    <cellStyle name="Output 2 3 2 2 2 2 2 2" xfId="32239" xr:uid="{00000000-0005-0000-0000-00009D510000}"/>
    <cellStyle name="Output 2 3 2 2 2 2 3" xfId="19184" xr:uid="{00000000-0005-0000-0000-00009E510000}"/>
    <cellStyle name="Output 2 3 2 2 2 3" xfId="14214" xr:uid="{00000000-0005-0000-0000-00009F510000}"/>
    <cellStyle name="Output 2 3 2 2 2 3 2" xfId="29046" xr:uid="{00000000-0005-0000-0000-0000A0510000}"/>
    <cellStyle name="Output 2 3 2 2 2 4" xfId="11025" xr:uid="{00000000-0005-0000-0000-0000A1510000}"/>
    <cellStyle name="Output 2 3 2 2 2 4 2" xfId="25857" xr:uid="{00000000-0005-0000-0000-0000A2510000}"/>
    <cellStyle name="Output 2 3 2 2 3" xfId="4834" xr:uid="{00000000-0005-0000-0000-0000A3510000}"/>
    <cellStyle name="Output 2 3 2 2 3 2" xfId="8873" xr:uid="{00000000-0005-0000-0000-0000A4510000}"/>
    <cellStyle name="Output 2 3 2 2 3 2 2" xfId="17914" xr:uid="{00000000-0005-0000-0000-0000A5510000}"/>
    <cellStyle name="Output 2 3 2 2 3 2 2 2" xfId="32746" xr:uid="{00000000-0005-0000-0000-0000A6510000}"/>
    <cellStyle name="Output 2 3 2 2 3 2 3" xfId="19516" xr:uid="{00000000-0005-0000-0000-0000A7510000}"/>
    <cellStyle name="Output 2 3 2 2 3 3" xfId="15158" xr:uid="{00000000-0005-0000-0000-0000A8510000}"/>
    <cellStyle name="Output 2 3 2 2 3 3 2" xfId="29990" xr:uid="{00000000-0005-0000-0000-0000A9510000}"/>
    <cellStyle name="Output 2 3 2 2 3 4" xfId="11517" xr:uid="{00000000-0005-0000-0000-0000AA510000}"/>
    <cellStyle name="Output 2 3 2 2 3 4 2" xfId="26349" xr:uid="{00000000-0005-0000-0000-0000AB510000}"/>
    <cellStyle name="Output 2 3 2 2 4" xfId="2824" xr:uid="{00000000-0005-0000-0000-0000AC510000}"/>
    <cellStyle name="Output 2 3 2 2 4 2" xfId="6915" xr:uid="{00000000-0005-0000-0000-0000AD510000}"/>
    <cellStyle name="Output 2 3 2 2 4 2 2" xfId="16808" xr:uid="{00000000-0005-0000-0000-0000AE510000}"/>
    <cellStyle name="Output 2 3 2 2 4 2 2 2" xfId="31640" xr:uid="{00000000-0005-0000-0000-0000AF510000}"/>
    <cellStyle name="Output 2 3 2 2 4 2 3" xfId="18807" xr:uid="{00000000-0005-0000-0000-0000B0510000}"/>
    <cellStyle name="Output 2 3 2 2 4 3" xfId="13162" xr:uid="{00000000-0005-0000-0000-0000B1510000}"/>
    <cellStyle name="Output 2 3 2 2 4 3 2" xfId="27994" xr:uid="{00000000-0005-0000-0000-0000B2510000}"/>
    <cellStyle name="Output 2 3 2 2 4 4" xfId="10461" xr:uid="{00000000-0005-0000-0000-0000B3510000}"/>
    <cellStyle name="Output 2 3 2 2 4 4 2" xfId="25293" xr:uid="{00000000-0005-0000-0000-0000B4510000}"/>
    <cellStyle name="Output 2 3 2 2 5" xfId="5988" xr:uid="{00000000-0005-0000-0000-0000B5510000}"/>
    <cellStyle name="Output 2 3 2 2 5 2" xfId="16180" xr:uid="{00000000-0005-0000-0000-0000B6510000}"/>
    <cellStyle name="Output 2 3 2 2 5 2 2" xfId="31012" xr:uid="{00000000-0005-0000-0000-0000B7510000}"/>
    <cellStyle name="Output 2 3 2 2 5 3" xfId="18449" xr:uid="{00000000-0005-0000-0000-0000B8510000}"/>
    <cellStyle name="Output 2 3 2 2 6" xfId="12250" xr:uid="{00000000-0005-0000-0000-0000B9510000}"/>
    <cellStyle name="Output 2 3 2 2 6 2" xfId="27082" xr:uid="{00000000-0005-0000-0000-0000BA510000}"/>
    <cellStyle name="Output 2 3 2 2 7" xfId="9846" xr:uid="{00000000-0005-0000-0000-0000BB510000}"/>
    <cellStyle name="Output 2 3 2 2 7 2" xfId="24772" xr:uid="{00000000-0005-0000-0000-0000BC510000}"/>
    <cellStyle name="Output 2 3 2 3" xfId="3850" xr:uid="{00000000-0005-0000-0000-0000BD510000}"/>
    <cellStyle name="Output 2 3 2 3 2" xfId="7903" xr:uid="{00000000-0005-0000-0000-0000BE510000}"/>
    <cellStyle name="Output 2 3 2 3 2 2" xfId="17394" xr:uid="{00000000-0005-0000-0000-0000BF510000}"/>
    <cellStyle name="Output 2 3 2 3 2 2 2" xfId="32226" xr:uid="{00000000-0005-0000-0000-0000C0510000}"/>
    <cellStyle name="Output 2 3 2 3 2 3" xfId="19174" xr:uid="{00000000-0005-0000-0000-0000C1510000}"/>
    <cellStyle name="Output 2 3 2 3 3" xfId="14185" xr:uid="{00000000-0005-0000-0000-0000C2510000}"/>
    <cellStyle name="Output 2 3 2 3 3 2" xfId="29017" xr:uid="{00000000-0005-0000-0000-0000C3510000}"/>
    <cellStyle name="Output 2 3 2 3 4" xfId="11013" xr:uid="{00000000-0005-0000-0000-0000C4510000}"/>
    <cellStyle name="Output 2 3 2 3 4 2" xfId="25845" xr:uid="{00000000-0005-0000-0000-0000C5510000}"/>
    <cellStyle name="Output 2 3 2 4" xfId="4414" xr:uid="{00000000-0005-0000-0000-0000C6510000}"/>
    <cellStyle name="Output 2 3 2 4 2" xfId="8453" xr:uid="{00000000-0005-0000-0000-0000C7510000}"/>
    <cellStyle name="Output 2 3 2 4 2 2" xfId="17674" xr:uid="{00000000-0005-0000-0000-0000C8510000}"/>
    <cellStyle name="Output 2 3 2 4 2 2 2" xfId="32506" xr:uid="{00000000-0005-0000-0000-0000C9510000}"/>
    <cellStyle name="Output 2 3 2 4 2 3" xfId="19356" xr:uid="{00000000-0005-0000-0000-0000CA510000}"/>
    <cellStyle name="Output 2 3 2 4 3" xfId="14743" xr:uid="{00000000-0005-0000-0000-0000CB510000}"/>
    <cellStyle name="Output 2 3 2 4 3 2" xfId="29575" xr:uid="{00000000-0005-0000-0000-0000CC510000}"/>
    <cellStyle name="Output 2 3 2 4 4" xfId="11282" xr:uid="{00000000-0005-0000-0000-0000CD510000}"/>
    <cellStyle name="Output 2 3 2 4 4 2" xfId="26114" xr:uid="{00000000-0005-0000-0000-0000CE510000}"/>
    <cellStyle name="Output 2 3 2 5" xfId="2404" xr:uid="{00000000-0005-0000-0000-0000CF510000}"/>
    <cellStyle name="Output 2 3 2 5 2" xfId="6516" xr:uid="{00000000-0005-0000-0000-0000D0510000}"/>
    <cellStyle name="Output 2 3 2 5 2 2" xfId="16572" xr:uid="{00000000-0005-0000-0000-0000D1510000}"/>
    <cellStyle name="Output 2 3 2 5 2 2 2" xfId="31404" xr:uid="{00000000-0005-0000-0000-0000D2510000}"/>
    <cellStyle name="Output 2 3 2 5 2 3" xfId="18644" xr:uid="{00000000-0005-0000-0000-0000D3510000}"/>
    <cellStyle name="Output 2 3 2 5 3" xfId="12743" xr:uid="{00000000-0005-0000-0000-0000D4510000}"/>
    <cellStyle name="Output 2 3 2 5 3 2" xfId="27575" xr:uid="{00000000-0005-0000-0000-0000D5510000}"/>
    <cellStyle name="Output 2 3 2 5 4" xfId="10222" xr:uid="{00000000-0005-0000-0000-0000D6510000}"/>
    <cellStyle name="Output 2 3 2 5 4 2" xfId="25054" xr:uid="{00000000-0005-0000-0000-0000D7510000}"/>
    <cellStyle name="Output 2 3 2 6" xfId="5529" xr:uid="{00000000-0005-0000-0000-0000D8510000}"/>
    <cellStyle name="Output 2 3 2 6 2" xfId="15764" xr:uid="{00000000-0005-0000-0000-0000D9510000}"/>
    <cellStyle name="Output 2 3 2 6 2 2" xfId="30596" xr:uid="{00000000-0005-0000-0000-0000DA510000}"/>
    <cellStyle name="Output 2 3 2 6 3" xfId="18286" xr:uid="{00000000-0005-0000-0000-0000DB510000}"/>
    <cellStyle name="Output 2 3 2 7" xfId="11779" xr:uid="{00000000-0005-0000-0000-0000DC510000}"/>
    <cellStyle name="Output 2 3 2 7 2" xfId="26611" xr:uid="{00000000-0005-0000-0000-0000DD510000}"/>
    <cellStyle name="Output 2 3 2 8" xfId="9450" xr:uid="{00000000-0005-0000-0000-0000DE510000}"/>
    <cellStyle name="Output 2 3 2 8 2" xfId="19754" xr:uid="{00000000-0005-0000-0000-0000DF510000}"/>
    <cellStyle name="Output 2 3 3" xfId="1522" xr:uid="{00000000-0005-0000-0000-0000E0510000}"/>
    <cellStyle name="Output 2 3 3 2" xfId="2019" xr:uid="{00000000-0005-0000-0000-0000E1510000}"/>
    <cellStyle name="Output 2 3 3 2 2" xfId="4108" xr:uid="{00000000-0005-0000-0000-0000E2510000}"/>
    <cellStyle name="Output 2 3 3 2 2 2" xfId="8154" xr:uid="{00000000-0005-0000-0000-0000E3510000}"/>
    <cellStyle name="Output 2 3 3 2 2 2 2" xfId="17524" xr:uid="{00000000-0005-0000-0000-0000E4510000}"/>
    <cellStyle name="Output 2 3 3 2 2 2 2 2" xfId="32356" xr:uid="{00000000-0005-0000-0000-0000E5510000}"/>
    <cellStyle name="Output 2 3 3 2 2 2 3" xfId="19270" xr:uid="{00000000-0005-0000-0000-0000E6510000}"/>
    <cellStyle name="Output 2 3 3 2 2 3" xfId="14440" xr:uid="{00000000-0005-0000-0000-0000E7510000}"/>
    <cellStyle name="Output 2 3 3 2 2 3 2" xfId="29272" xr:uid="{00000000-0005-0000-0000-0000E8510000}"/>
    <cellStyle name="Output 2 3 3 2 2 4" xfId="11141" xr:uid="{00000000-0005-0000-0000-0000E9510000}"/>
    <cellStyle name="Output 2 3 3 2 2 4 2" xfId="25973" xr:uid="{00000000-0005-0000-0000-0000EA510000}"/>
    <cellStyle name="Output 2 3 3 2 3" xfId="4987" xr:uid="{00000000-0005-0000-0000-0000EB510000}"/>
    <cellStyle name="Output 2 3 3 2 3 2" xfId="9026" xr:uid="{00000000-0005-0000-0000-0000EC510000}"/>
    <cellStyle name="Output 2 3 3 2 3 2 2" xfId="17964" xr:uid="{00000000-0005-0000-0000-0000ED510000}"/>
    <cellStyle name="Output 2 3 3 2 3 2 2 2" xfId="32796" xr:uid="{00000000-0005-0000-0000-0000EE510000}"/>
    <cellStyle name="Output 2 3 3 2 3 2 3" xfId="19548" xr:uid="{00000000-0005-0000-0000-0000EF510000}"/>
    <cellStyle name="Output 2 3 3 2 3 3" xfId="15309" xr:uid="{00000000-0005-0000-0000-0000F0510000}"/>
    <cellStyle name="Output 2 3 3 2 3 3 2" xfId="30141" xr:uid="{00000000-0005-0000-0000-0000F1510000}"/>
    <cellStyle name="Output 2 3 3 2 3 4" xfId="11565" xr:uid="{00000000-0005-0000-0000-0000F2510000}"/>
    <cellStyle name="Output 2 3 3 2 3 4 2" xfId="26397" xr:uid="{00000000-0005-0000-0000-0000F3510000}"/>
    <cellStyle name="Output 2 3 3 2 4" xfId="2977" xr:uid="{00000000-0005-0000-0000-0000F4510000}"/>
    <cellStyle name="Output 2 3 3 2 4 2" xfId="7057" xr:uid="{00000000-0005-0000-0000-0000F5510000}"/>
    <cellStyle name="Output 2 3 3 2 4 2 2" xfId="16856" xr:uid="{00000000-0005-0000-0000-0000F6510000}"/>
    <cellStyle name="Output 2 3 3 2 4 2 2 2" xfId="31688" xr:uid="{00000000-0005-0000-0000-0000F7510000}"/>
    <cellStyle name="Output 2 3 3 2 4 2 3" xfId="18840" xr:uid="{00000000-0005-0000-0000-0000F8510000}"/>
    <cellStyle name="Output 2 3 3 2 4 3" xfId="13315" xr:uid="{00000000-0005-0000-0000-0000F9510000}"/>
    <cellStyle name="Output 2 3 3 2 4 3 2" xfId="28147" xr:uid="{00000000-0005-0000-0000-0000FA510000}"/>
    <cellStyle name="Output 2 3 3 2 4 4" xfId="10511" xr:uid="{00000000-0005-0000-0000-0000FB510000}"/>
    <cellStyle name="Output 2 3 3 2 4 4 2" xfId="25343" xr:uid="{00000000-0005-0000-0000-0000FC510000}"/>
    <cellStyle name="Output 2 3 3 2 5" xfId="6149" xr:uid="{00000000-0005-0000-0000-0000FD510000}"/>
    <cellStyle name="Output 2 3 3 2 5 2" xfId="16336" xr:uid="{00000000-0005-0000-0000-0000FE510000}"/>
    <cellStyle name="Output 2 3 3 2 5 2 2" xfId="31168" xr:uid="{00000000-0005-0000-0000-0000FF510000}"/>
    <cellStyle name="Output 2 3 3 2 5 3" xfId="18481" xr:uid="{00000000-0005-0000-0000-000000520000}"/>
    <cellStyle name="Output 2 3 3 2 6" xfId="12406" xr:uid="{00000000-0005-0000-0000-000001520000}"/>
    <cellStyle name="Output 2 3 3 2 6 2" xfId="27238" xr:uid="{00000000-0005-0000-0000-000002520000}"/>
    <cellStyle name="Output 2 3 3 2 7" xfId="9988" xr:uid="{00000000-0005-0000-0000-000003520000}"/>
    <cellStyle name="Output 2 3 3 2 7 2" xfId="24820" xr:uid="{00000000-0005-0000-0000-000004520000}"/>
    <cellStyle name="Output 2 3 3 3" xfId="3154" xr:uid="{00000000-0005-0000-0000-000005520000}"/>
    <cellStyle name="Output 2 3 3 3 2" xfId="7218" xr:uid="{00000000-0005-0000-0000-000006520000}"/>
    <cellStyle name="Output 2 3 3 3 2 2" xfId="16996" xr:uid="{00000000-0005-0000-0000-000007520000}"/>
    <cellStyle name="Output 2 3 3 3 2 2 2" xfId="31828" xr:uid="{00000000-0005-0000-0000-000008520000}"/>
    <cellStyle name="Output 2 3 3 3 2 3" xfId="18943" xr:uid="{00000000-0005-0000-0000-000009520000}"/>
    <cellStyle name="Output 2 3 3 3 3" xfId="13492" xr:uid="{00000000-0005-0000-0000-00000A520000}"/>
    <cellStyle name="Output 2 3 3 3 3 2" xfId="28324" xr:uid="{00000000-0005-0000-0000-00000B520000}"/>
    <cellStyle name="Output 2 3 3 3 4" xfId="10648" xr:uid="{00000000-0005-0000-0000-00000C520000}"/>
    <cellStyle name="Output 2 3 3 3 4 2" xfId="25480" xr:uid="{00000000-0005-0000-0000-00000D520000}"/>
    <cellStyle name="Output 2 3 3 4" xfId="4567" xr:uid="{00000000-0005-0000-0000-00000E520000}"/>
    <cellStyle name="Output 2 3 3 4 2" xfId="8606" xr:uid="{00000000-0005-0000-0000-00000F520000}"/>
    <cellStyle name="Output 2 3 3 4 2 2" xfId="17724" xr:uid="{00000000-0005-0000-0000-000010520000}"/>
    <cellStyle name="Output 2 3 3 4 2 2 2" xfId="32556" xr:uid="{00000000-0005-0000-0000-000011520000}"/>
    <cellStyle name="Output 2 3 3 4 2 3" xfId="19388" xr:uid="{00000000-0005-0000-0000-000012520000}"/>
    <cellStyle name="Output 2 3 3 4 3" xfId="14894" xr:uid="{00000000-0005-0000-0000-000013520000}"/>
    <cellStyle name="Output 2 3 3 4 3 2" xfId="29726" xr:uid="{00000000-0005-0000-0000-000014520000}"/>
    <cellStyle name="Output 2 3 3 4 4" xfId="11330" xr:uid="{00000000-0005-0000-0000-000015520000}"/>
    <cellStyle name="Output 2 3 3 4 4 2" xfId="26162" xr:uid="{00000000-0005-0000-0000-000016520000}"/>
    <cellStyle name="Output 2 3 3 5" xfId="2557" xr:uid="{00000000-0005-0000-0000-000017520000}"/>
    <cellStyle name="Output 2 3 3 5 2" xfId="6663" xr:uid="{00000000-0005-0000-0000-000018520000}"/>
    <cellStyle name="Output 2 3 3 5 2 2" xfId="16621" xr:uid="{00000000-0005-0000-0000-000019520000}"/>
    <cellStyle name="Output 2 3 3 5 2 2 2" xfId="31453" xr:uid="{00000000-0005-0000-0000-00001A520000}"/>
    <cellStyle name="Output 2 3 3 5 2 3" xfId="18676" xr:uid="{00000000-0005-0000-0000-00001B520000}"/>
    <cellStyle name="Output 2 3 3 5 3" xfId="12895" xr:uid="{00000000-0005-0000-0000-00001C520000}"/>
    <cellStyle name="Output 2 3 3 5 3 2" xfId="27727" xr:uid="{00000000-0005-0000-0000-00001D520000}"/>
    <cellStyle name="Output 2 3 3 5 4" xfId="10271" xr:uid="{00000000-0005-0000-0000-00001E520000}"/>
    <cellStyle name="Output 2 3 3 5 4 2" xfId="25103" xr:uid="{00000000-0005-0000-0000-00001F520000}"/>
    <cellStyle name="Output 2 3 3 6" xfId="5680" xr:uid="{00000000-0005-0000-0000-000020520000}"/>
    <cellStyle name="Output 2 3 3 6 2" xfId="15915" xr:uid="{00000000-0005-0000-0000-000021520000}"/>
    <cellStyle name="Output 2 3 3 6 2 2" xfId="30747" xr:uid="{00000000-0005-0000-0000-000022520000}"/>
    <cellStyle name="Output 2 3 3 6 3" xfId="18318" xr:uid="{00000000-0005-0000-0000-000023520000}"/>
    <cellStyle name="Output 2 3 3 7" xfId="11935" xr:uid="{00000000-0005-0000-0000-000024520000}"/>
    <cellStyle name="Output 2 3 3 7 2" xfId="26767" xr:uid="{00000000-0005-0000-0000-000025520000}"/>
    <cellStyle name="Output 2 3 3 8" xfId="9593" xr:uid="{00000000-0005-0000-0000-000026520000}"/>
    <cellStyle name="Output 2 3 3 8 2" xfId="19895" xr:uid="{00000000-0005-0000-0000-000027520000}"/>
    <cellStyle name="Output 2 3 4" xfId="1577" xr:uid="{00000000-0005-0000-0000-000028520000}"/>
    <cellStyle name="Output 2 3 4 2" xfId="2074" xr:uid="{00000000-0005-0000-0000-000029520000}"/>
    <cellStyle name="Output 2 3 4 2 2" xfId="3952" xr:uid="{00000000-0005-0000-0000-00002A520000}"/>
    <cellStyle name="Output 2 3 4 2 2 2" xfId="8002" xr:uid="{00000000-0005-0000-0000-00002B520000}"/>
    <cellStyle name="Output 2 3 4 2 2 2 2" xfId="17444" xr:uid="{00000000-0005-0000-0000-00002C520000}"/>
    <cellStyle name="Output 2 3 4 2 2 2 2 2" xfId="32276" xr:uid="{00000000-0005-0000-0000-00002D520000}"/>
    <cellStyle name="Output 2 3 4 2 2 2 3" xfId="19211" xr:uid="{00000000-0005-0000-0000-00002E520000}"/>
    <cellStyle name="Output 2 3 4 2 2 3" xfId="14285" xr:uid="{00000000-0005-0000-0000-00002F520000}"/>
    <cellStyle name="Output 2 3 4 2 2 3 2" xfId="29117" xr:uid="{00000000-0005-0000-0000-000030520000}"/>
    <cellStyle name="Output 2 3 4 2 2 4" xfId="11059" xr:uid="{00000000-0005-0000-0000-000031520000}"/>
    <cellStyle name="Output 2 3 4 2 2 4 2" xfId="25891" xr:uid="{00000000-0005-0000-0000-000032520000}"/>
    <cellStyle name="Output 2 3 4 2 3" xfId="5042" xr:uid="{00000000-0005-0000-0000-000033520000}"/>
    <cellStyle name="Output 2 3 4 2 3 2" xfId="9081" xr:uid="{00000000-0005-0000-0000-000034520000}"/>
    <cellStyle name="Output 2 3 4 2 3 2 2" xfId="18014" xr:uid="{00000000-0005-0000-0000-000035520000}"/>
    <cellStyle name="Output 2 3 4 2 3 2 2 2" xfId="32846" xr:uid="{00000000-0005-0000-0000-000036520000}"/>
    <cellStyle name="Output 2 3 4 2 3 2 3" xfId="19580" xr:uid="{00000000-0005-0000-0000-000037520000}"/>
    <cellStyle name="Output 2 3 4 2 3 3" xfId="15363" xr:uid="{00000000-0005-0000-0000-000038520000}"/>
    <cellStyle name="Output 2 3 4 2 3 3 2" xfId="30195" xr:uid="{00000000-0005-0000-0000-000039520000}"/>
    <cellStyle name="Output 2 3 4 2 3 4" xfId="11614" xr:uid="{00000000-0005-0000-0000-00003A520000}"/>
    <cellStyle name="Output 2 3 4 2 3 4 2" xfId="26446" xr:uid="{00000000-0005-0000-0000-00003B520000}"/>
    <cellStyle name="Output 2 3 4 2 4" xfId="3032" xr:uid="{00000000-0005-0000-0000-00003C520000}"/>
    <cellStyle name="Output 2 3 4 2 4 2" xfId="7107" xr:uid="{00000000-0005-0000-0000-00003D520000}"/>
    <cellStyle name="Output 2 3 4 2 4 2 2" xfId="16905" xr:uid="{00000000-0005-0000-0000-00003E520000}"/>
    <cellStyle name="Output 2 3 4 2 4 2 2 2" xfId="31737" xr:uid="{00000000-0005-0000-0000-00003F520000}"/>
    <cellStyle name="Output 2 3 4 2 4 2 3" xfId="18873" xr:uid="{00000000-0005-0000-0000-000040520000}"/>
    <cellStyle name="Output 2 3 4 2 4 3" xfId="13370" xr:uid="{00000000-0005-0000-0000-000041520000}"/>
    <cellStyle name="Output 2 3 4 2 4 3 2" xfId="28202" xr:uid="{00000000-0005-0000-0000-000042520000}"/>
    <cellStyle name="Output 2 3 4 2 4 4" xfId="10561" xr:uid="{00000000-0005-0000-0000-000043520000}"/>
    <cellStyle name="Output 2 3 4 2 4 4 2" xfId="25393" xr:uid="{00000000-0005-0000-0000-000044520000}"/>
    <cellStyle name="Output 2 3 4 2 5" xfId="6199" xr:uid="{00000000-0005-0000-0000-000045520000}"/>
    <cellStyle name="Output 2 3 4 2 5 2" xfId="16385" xr:uid="{00000000-0005-0000-0000-000046520000}"/>
    <cellStyle name="Output 2 3 4 2 5 2 2" xfId="31217" xr:uid="{00000000-0005-0000-0000-000047520000}"/>
    <cellStyle name="Output 2 3 4 2 5 3" xfId="18514" xr:uid="{00000000-0005-0000-0000-000048520000}"/>
    <cellStyle name="Output 2 3 4 2 6" xfId="12455" xr:uid="{00000000-0005-0000-0000-000049520000}"/>
    <cellStyle name="Output 2 3 4 2 6 2" xfId="27287" xr:uid="{00000000-0005-0000-0000-00004A520000}"/>
    <cellStyle name="Output 2 3 4 2 7" xfId="10037" xr:uid="{00000000-0005-0000-0000-00004B520000}"/>
    <cellStyle name="Output 2 3 4 2 7 2" xfId="24869" xr:uid="{00000000-0005-0000-0000-00004C520000}"/>
    <cellStyle name="Output 2 3 4 3" xfId="3995" xr:uid="{00000000-0005-0000-0000-00004D520000}"/>
    <cellStyle name="Output 2 3 4 3 2" xfId="8042" xr:uid="{00000000-0005-0000-0000-00004E520000}"/>
    <cellStyle name="Output 2 3 4 3 2 2" xfId="17463" xr:uid="{00000000-0005-0000-0000-00004F520000}"/>
    <cellStyle name="Output 2 3 4 3 2 2 2" xfId="32295" xr:uid="{00000000-0005-0000-0000-000050520000}"/>
    <cellStyle name="Output 2 3 4 3 2 3" xfId="19226" xr:uid="{00000000-0005-0000-0000-000051520000}"/>
    <cellStyle name="Output 2 3 4 3 3" xfId="14328" xr:uid="{00000000-0005-0000-0000-000052520000}"/>
    <cellStyle name="Output 2 3 4 3 3 2" xfId="29160" xr:uid="{00000000-0005-0000-0000-000053520000}"/>
    <cellStyle name="Output 2 3 4 3 4" xfId="11081" xr:uid="{00000000-0005-0000-0000-000054520000}"/>
    <cellStyle name="Output 2 3 4 3 4 2" xfId="25913" xr:uid="{00000000-0005-0000-0000-000055520000}"/>
    <cellStyle name="Output 2 3 4 4" xfId="4622" xr:uid="{00000000-0005-0000-0000-000056520000}"/>
    <cellStyle name="Output 2 3 4 4 2" xfId="8661" xr:uid="{00000000-0005-0000-0000-000057520000}"/>
    <cellStyle name="Output 2 3 4 4 2 2" xfId="17774" xr:uid="{00000000-0005-0000-0000-000058520000}"/>
    <cellStyle name="Output 2 3 4 4 2 2 2" xfId="32606" xr:uid="{00000000-0005-0000-0000-000059520000}"/>
    <cellStyle name="Output 2 3 4 4 2 3" xfId="19420" xr:uid="{00000000-0005-0000-0000-00005A520000}"/>
    <cellStyle name="Output 2 3 4 4 3" xfId="14948" xr:uid="{00000000-0005-0000-0000-00005B520000}"/>
    <cellStyle name="Output 2 3 4 4 3 2" xfId="29780" xr:uid="{00000000-0005-0000-0000-00005C520000}"/>
    <cellStyle name="Output 2 3 4 4 4" xfId="11379" xr:uid="{00000000-0005-0000-0000-00005D520000}"/>
    <cellStyle name="Output 2 3 4 4 4 2" xfId="26211" xr:uid="{00000000-0005-0000-0000-00005E520000}"/>
    <cellStyle name="Output 2 3 4 5" xfId="2612" xr:uid="{00000000-0005-0000-0000-00005F520000}"/>
    <cellStyle name="Output 2 3 4 5 2" xfId="6713" xr:uid="{00000000-0005-0000-0000-000060520000}"/>
    <cellStyle name="Output 2 3 4 5 2 2" xfId="16670" xr:uid="{00000000-0005-0000-0000-000061520000}"/>
    <cellStyle name="Output 2 3 4 5 2 2 2" xfId="31502" xr:uid="{00000000-0005-0000-0000-000062520000}"/>
    <cellStyle name="Output 2 3 4 5 2 3" xfId="18709" xr:uid="{00000000-0005-0000-0000-000063520000}"/>
    <cellStyle name="Output 2 3 4 5 3" xfId="12950" xr:uid="{00000000-0005-0000-0000-000064520000}"/>
    <cellStyle name="Output 2 3 4 5 3 2" xfId="27782" xr:uid="{00000000-0005-0000-0000-000065520000}"/>
    <cellStyle name="Output 2 3 4 5 4" xfId="10321" xr:uid="{00000000-0005-0000-0000-000066520000}"/>
    <cellStyle name="Output 2 3 4 5 4 2" xfId="25153" xr:uid="{00000000-0005-0000-0000-000067520000}"/>
    <cellStyle name="Output 2 3 4 6" xfId="5729" xr:uid="{00000000-0005-0000-0000-000068520000}"/>
    <cellStyle name="Output 2 3 4 6 2" xfId="15964" xr:uid="{00000000-0005-0000-0000-000069520000}"/>
    <cellStyle name="Output 2 3 4 6 2 2" xfId="30796" xr:uid="{00000000-0005-0000-0000-00006A520000}"/>
    <cellStyle name="Output 2 3 4 6 3" xfId="18350" xr:uid="{00000000-0005-0000-0000-00006B520000}"/>
    <cellStyle name="Output 2 3 4 7" xfId="11984" xr:uid="{00000000-0005-0000-0000-00006C520000}"/>
    <cellStyle name="Output 2 3 4 7 2" xfId="26816" xr:uid="{00000000-0005-0000-0000-00006D520000}"/>
    <cellStyle name="Output 2 3 4 8" xfId="9643" xr:uid="{00000000-0005-0000-0000-00006E520000}"/>
    <cellStyle name="Output 2 3 4 8 2" xfId="19944" xr:uid="{00000000-0005-0000-0000-00006F520000}"/>
    <cellStyle name="Output 2 3 5" xfId="1627" xr:uid="{00000000-0005-0000-0000-000070520000}"/>
    <cellStyle name="Output 2 3 5 2" xfId="2124" xr:uid="{00000000-0005-0000-0000-000071520000}"/>
    <cellStyle name="Output 2 3 5 2 2" xfId="4010" xr:uid="{00000000-0005-0000-0000-000072520000}"/>
    <cellStyle name="Output 2 3 5 2 2 2" xfId="8057" xr:uid="{00000000-0005-0000-0000-000073520000}"/>
    <cellStyle name="Output 2 3 5 2 2 2 2" xfId="17473" xr:uid="{00000000-0005-0000-0000-000074520000}"/>
    <cellStyle name="Output 2 3 5 2 2 2 2 2" xfId="32305" xr:uid="{00000000-0005-0000-0000-000075520000}"/>
    <cellStyle name="Output 2 3 5 2 2 2 3" xfId="19233" xr:uid="{00000000-0005-0000-0000-000076520000}"/>
    <cellStyle name="Output 2 3 5 2 2 3" xfId="14342" xr:uid="{00000000-0005-0000-0000-000077520000}"/>
    <cellStyle name="Output 2 3 5 2 2 3 2" xfId="29174" xr:uid="{00000000-0005-0000-0000-000078520000}"/>
    <cellStyle name="Output 2 3 5 2 2 4" xfId="11090" xr:uid="{00000000-0005-0000-0000-000079520000}"/>
    <cellStyle name="Output 2 3 5 2 2 4 2" xfId="25922" xr:uid="{00000000-0005-0000-0000-00007A520000}"/>
    <cellStyle name="Output 2 3 5 2 3" xfId="5092" xr:uid="{00000000-0005-0000-0000-00007B520000}"/>
    <cellStyle name="Output 2 3 5 2 3 2" xfId="9131" xr:uid="{00000000-0005-0000-0000-00007C520000}"/>
    <cellStyle name="Output 2 3 5 2 3 2 2" xfId="18059" xr:uid="{00000000-0005-0000-0000-00007D520000}"/>
    <cellStyle name="Output 2 3 5 2 3 2 2 2" xfId="32891" xr:uid="{00000000-0005-0000-0000-00007E520000}"/>
    <cellStyle name="Output 2 3 5 2 3 2 3" xfId="19612" xr:uid="{00000000-0005-0000-0000-00007F520000}"/>
    <cellStyle name="Output 2 3 5 2 3 3" xfId="15412" xr:uid="{00000000-0005-0000-0000-000080520000}"/>
    <cellStyle name="Output 2 3 5 2 3 3 2" xfId="30244" xr:uid="{00000000-0005-0000-0000-000081520000}"/>
    <cellStyle name="Output 2 3 5 2 3 4" xfId="11658" xr:uid="{00000000-0005-0000-0000-000082520000}"/>
    <cellStyle name="Output 2 3 5 2 3 4 2" xfId="26490" xr:uid="{00000000-0005-0000-0000-000083520000}"/>
    <cellStyle name="Output 2 3 5 2 4" xfId="3082" xr:uid="{00000000-0005-0000-0000-000084520000}"/>
    <cellStyle name="Output 2 3 5 2 4 2" xfId="7152" xr:uid="{00000000-0005-0000-0000-000085520000}"/>
    <cellStyle name="Output 2 3 5 2 4 2 2" xfId="16949" xr:uid="{00000000-0005-0000-0000-000086520000}"/>
    <cellStyle name="Output 2 3 5 2 4 2 2 2" xfId="31781" xr:uid="{00000000-0005-0000-0000-000087520000}"/>
    <cellStyle name="Output 2 3 5 2 4 2 3" xfId="18906" xr:uid="{00000000-0005-0000-0000-000088520000}"/>
    <cellStyle name="Output 2 3 5 2 4 3" xfId="13420" xr:uid="{00000000-0005-0000-0000-000089520000}"/>
    <cellStyle name="Output 2 3 5 2 4 3 2" xfId="28252" xr:uid="{00000000-0005-0000-0000-00008A520000}"/>
    <cellStyle name="Output 2 3 5 2 4 4" xfId="10606" xr:uid="{00000000-0005-0000-0000-00008B520000}"/>
    <cellStyle name="Output 2 3 5 2 4 4 2" xfId="25438" xr:uid="{00000000-0005-0000-0000-00008C520000}"/>
    <cellStyle name="Output 2 3 5 2 5" xfId="6244" xr:uid="{00000000-0005-0000-0000-00008D520000}"/>
    <cellStyle name="Output 2 3 5 2 5 2" xfId="16429" xr:uid="{00000000-0005-0000-0000-00008E520000}"/>
    <cellStyle name="Output 2 3 5 2 5 2 2" xfId="31261" xr:uid="{00000000-0005-0000-0000-00008F520000}"/>
    <cellStyle name="Output 2 3 5 2 5 3" xfId="18547" xr:uid="{00000000-0005-0000-0000-000090520000}"/>
    <cellStyle name="Output 2 3 5 2 6" xfId="12499" xr:uid="{00000000-0005-0000-0000-000091520000}"/>
    <cellStyle name="Output 2 3 5 2 6 2" xfId="27331" xr:uid="{00000000-0005-0000-0000-000092520000}"/>
    <cellStyle name="Output 2 3 5 2 7" xfId="10081" xr:uid="{00000000-0005-0000-0000-000093520000}"/>
    <cellStyle name="Output 2 3 5 2 7 2" xfId="24913" xr:uid="{00000000-0005-0000-0000-000094520000}"/>
    <cellStyle name="Output 2 3 5 3" xfId="3996" xr:uid="{00000000-0005-0000-0000-000095520000}"/>
    <cellStyle name="Output 2 3 5 3 2" xfId="8043" xr:uid="{00000000-0005-0000-0000-000096520000}"/>
    <cellStyle name="Output 2 3 5 3 2 2" xfId="17464" xr:uid="{00000000-0005-0000-0000-000097520000}"/>
    <cellStyle name="Output 2 3 5 3 2 2 2" xfId="32296" xr:uid="{00000000-0005-0000-0000-000098520000}"/>
    <cellStyle name="Output 2 3 5 3 2 3" xfId="19227" xr:uid="{00000000-0005-0000-0000-000099520000}"/>
    <cellStyle name="Output 2 3 5 3 3" xfId="14329" xr:uid="{00000000-0005-0000-0000-00009A520000}"/>
    <cellStyle name="Output 2 3 5 3 3 2" xfId="29161" xr:uid="{00000000-0005-0000-0000-00009B520000}"/>
    <cellStyle name="Output 2 3 5 3 4" xfId="11082" xr:uid="{00000000-0005-0000-0000-00009C520000}"/>
    <cellStyle name="Output 2 3 5 3 4 2" xfId="25914" xr:uid="{00000000-0005-0000-0000-00009D520000}"/>
    <cellStyle name="Output 2 3 5 4" xfId="4672" xr:uid="{00000000-0005-0000-0000-00009E520000}"/>
    <cellStyle name="Output 2 3 5 4 2" xfId="8711" xr:uid="{00000000-0005-0000-0000-00009F520000}"/>
    <cellStyle name="Output 2 3 5 4 2 2" xfId="17819" xr:uid="{00000000-0005-0000-0000-0000A0520000}"/>
    <cellStyle name="Output 2 3 5 4 2 2 2" xfId="32651" xr:uid="{00000000-0005-0000-0000-0000A1520000}"/>
    <cellStyle name="Output 2 3 5 4 2 3" xfId="19452" xr:uid="{00000000-0005-0000-0000-0000A2520000}"/>
    <cellStyle name="Output 2 3 5 4 3" xfId="14997" xr:uid="{00000000-0005-0000-0000-0000A3520000}"/>
    <cellStyle name="Output 2 3 5 4 3 2" xfId="29829" xr:uid="{00000000-0005-0000-0000-0000A4520000}"/>
    <cellStyle name="Output 2 3 5 4 4" xfId="11423" xr:uid="{00000000-0005-0000-0000-0000A5520000}"/>
    <cellStyle name="Output 2 3 5 4 4 2" xfId="26255" xr:uid="{00000000-0005-0000-0000-0000A6520000}"/>
    <cellStyle name="Output 2 3 5 5" xfId="2662" xr:uid="{00000000-0005-0000-0000-0000A7520000}"/>
    <cellStyle name="Output 2 3 5 5 2" xfId="6758" xr:uid="{00000000-0005-0000-0000-0000A8520000}"/>
    <cellStyle name="Output 2 3 5 5 2 2" xfId="16714" xr:uid="{00000000-0005-0000-0000-0000A9520000}"/>
    <cellStyle name="Output 2 3 5 5 2 2 2" xfId="31546" xr:uid="{00000000-0005-0000-0000-0000AA520000}"/>
    <cellStyle name="Output 2 3 5 5 2 3" xfId="18742" xr:uid="{00000000-0005-0000-0000-0000AB520000}"/>
    <cellStyle name="Output 2 3 5 5 3" xfId="13000" xr:uid="{00000000-0005-0000-0000-0000AC520000}"/>
    <cellStyle name="Output 2 3 5 5 3 2" xfId="27832" xr:uid="{00000000-0005-0000-0000-0000AD520000}"/>
    <cellStyle name="Output 2 3 5 5 4" xfId="10366" xr:uid="{00000000-0005-0000-0000-0000AE520000}"/>
    <cellStyle name="Output 2 3 5 5 4 2" xfId="25198" xr:uid="{00000000-0005-0000-0000-0000AF520000}"/>
    <cellStyle name="Output 2 3 5 6" xfId="5774" xr:uid="{00000000-0005-0000-0000-0000B0520000}"/>
    <cellStyle name="Output 2 3 5 6 2" xfId="16008" xr:uid="{00000000-0005-0000-0000-0000B1520000}"/>
    <cellStyle name="Output 2 3 5 6 2 2" xfId="30840" xr:uid="{00000000-0005-0000-0000-0000B2520000}"/>
    <cellStyle name="Output 2 3 5 6 3" xfId="18383" xr:uid="{00000000-0005-0000-0000-0000B3520000}"/>
    <cellStyle name="Output 2 3 5 7" xfId="12028" xr:uid="{00000000-0005-0000-0000-0000B4520000}"/>
    <cellStyle name="Output 2 3 5 7 2" xfId="26860" xr:uid="{00000000-0005-0000-0000-0000B5520000}"/>
    <cellStyle name="Output 2 3 5 8" xfId="9688" xr:uid="{00000000-0005-0000-0000-0000B6520000}"/>
    <cellStyle name="Output 2 3 5 8 2" xfId="19988" xr:uid="{00000000-0005-0000-0000-0000B7520000}"/>
    <cellStyle name="Output 2 3 6" xfId="1778" xr:uid="{00000000-0005-0000-0000-0000B8520000}"/>
    <cellStyle name="Output 2 3 6 2" xfId="3374" xr:uid="{00000000-0005-0000-0000-0000B9520000}"/>
    <cellStyle name="Output 2 3 6 2 2" xfId="7437" xr:uid="{00000000-0005-0000-0000-0000BA520000}"/>
    <cellStyle name="Output 2 3 6 2 2 2" xfId="17146" xr:uid="{00000000-0005-0000-0000-0000BB520000}"/>
    <cellStyle name="Output 2 3 6 2 2 2 2" xfId="31978" xr:uid="{00000000-0005-0000-0000-0000BC520000}"/>
    <cellStyle name="Output 2 3 6 2 2 3" xfId="19013" xr:uid="{00000000-0005-0000-0000-0000BD520000}"/>
    <cellStyle name="Output 2 3 6 2 3" xfId="13711" xr:uid="{00000000-0005-0000-0000-0000BE520000}"/>
    <cellStyle name="Output 2 3 6 2 3 2" xfId="28543" xr:uid="{00000000-0005-0000-0000-0000BF520000}"/>
    <cellStyle name="Output 2 3 6 2 4" xfId="10765" xr:uid="{00000000-0005-0000-0000-0000C0520000}"/>
    <cellStyle name="Output 2 3 6 2 4 2" xfId="25597" xr:uid="{00000000-0005-0000-0000-0000C1520000}"/>
    <cellStyle name="Output 2 3 6 3" xfId="4756" xr:uid="{00000000-0005-0000-0000-0000C2520000}"/>
    <cellStyle name="Output 2 3 6 3 2" xfId="8795" xr:uid="{00000000-0005-0000-0000-0000C3520000}"/>
    <cellStyle name="Output 2 3 6 3 2 2" xfId="17867" xr:uid="{00000000-0005-0000-0000-0000C4520000}"/>
    <cellStyle name="Output 2 3 6 3 2 2 2" xfId="32699" xr:uid="{00000000-0005-0000-0000-0000C5520000}"/>
    <cellStyle name="Output 2 3 6 3 2 3" xfId="19484" xr:uid="{00000000-0005-0000-0000-0000C6520000}"/>
    <cellStyle name="Output 2 3 6 3 3" xfId="15080" xr:uid="{00000000-0005-0000-0000-0000C7520000}"/>
    <cellStyle name="Output 2 3 6 3 3 2" xfId="29912" xr:uid="{00000000-0005-0000-0000-0000C8520000}"/>
    <cellStyle name="Output 2 3 6 3 4" xfId="11470" xr:uid="{00000000-0005-0000-0000-0000C9520000}"/>
    <cellStyle name="Output 2 3 6 3 4 2" xfId="26302" xr:uid="{00000000-0005-0000-0000-0000CA520000}"/>
    <cellStyle name="Output 2 3 6 4" xfId="2746" xr:uid="{00000000-0005-0000-0000-0000CB520000}"/>
    <cellStyle name="Output 2 3 6 4 2" xfId="6837" xr:uid="{00000000-0005-0000-0000-0000CC520000}"/>
    <cellStyle name="Output 2 3 6 4 2 2" xfId="16761" xr:uid="{00000000-0005-0000-0000-0000CD520000}"/>
    <cellStyle name="Output 2 3 6 4 2 2 2" xfId="31593" xr:uid="{00000000-0005-0000-0000-0000CE520000}"/>
    <cellStyle name="Output 2 3 6 4 2 3" xfId="18775" xr:uid="{00000000-0005-0000-0000-0000CF520000}"/>
    <cellStyle name="Output 2 3 6 4 3" xfId="13084" xr:uid="{00000000-0005-0000-0000-0000D0520000}"/>
    <cellStyle name="Output 2 3 6 4 3 2" xfId="27916" xr:uid="{00000000-0005-0000-0000-0000D1520000}"/>
    <cellStyle name="Output 2 3 6 4 4" xfId="10414" xr:uid="{00000000-0005-0000-0000-0000D2520000}"/>
    <cellStyle name="Output 2 3 6 4 4 2" xfId="25246" xr:uid="{00000000-0005-0000-0000-0000D3520000}"/>
    <cellStyle name="Output 2 3 6 5" xfId="5910" xr:uid="{00000000-0005-0000-0000-0000D4520000}"/>
    <cellStyle name="Output 2 3 6 5 2" xfId="16102" xr:uid="{00000000-0005-0000-0000-0000D5520000}"/>
    <cellStyle name="Output 2 3 6 5 2 2" xfId="30934" xr:uid="{00000000-0005-0000-0000-0000D6520000}"/>
    <cellStyle name="Output 2 3 6 5 3" xfId="18417" xr:uid="{00000000-0005-0000-0000-0000D7520000}"/>
    <cellStyle name="Output 2 3 6 6" xfId="12172" xr:uid="{00000000-0005-0000-0000-0000D8520000}"/>
    <cellStyle name="Output 2 3 6 6 2" xfId="27004" xr:uid="{00000000-0005-0000-0000-0000D9520000}"/>
    <cellStyle name="Output 2 3 6 7" xfId="9768" xr:uid="{00000000-0005-0000-0000-0000DA520000}"/>
    <cellStyle name="Output 2 3 6 7 2" xfId="24725" xr:uid="{00000000-0005-0000-0000-0000DB520000}"/>
    <cellStyle name="Output 2 3 7" xfId="2188" xr:uid="{00000000-0005-0000-0000-0000DC520000}"/>
    <cellStyle name="Output 2 3 7 2" xfId="3441" xr:uid="{00000000-0005-0000-0000-0000DD520000}"/>
    <cellStyle name="Output 2 3 7 2 2" xfId="7504" xr:uid="{00000000-0005-0000-0000-0000DE520000}"/>
    <cellStyle name="Output 2 3 7 2 2 2" xfId="17191" xr:uid="{00000000-0005-0000-0000-0000DF520000}"/>
    <cellStyle name="Output 2 3 7 2 2 2 2" xfId="32023" xr:uid="{00000000-0005-0000-0000-0000E0520000}"/>
    <cellStyle name="Output 2 3 7 2 2 3" xfId="19037" xr:uid="{00000000-0005-0000-0000-0000E1520000}"/>
    <cellStyle name="Output 2 3 7 2 3" xfId="13778" xr:uid="{00000000-0005-0000-0000-0000E2520000}"/>
    <cellStyle name="Output 2 3 7 2 3 2" xfId="28610" xr:uid="{00000000-0005-0000-0000-0000E3520000}"/>
    <cellStyle name="Output 2 3 7 2 4" xfId="10810" xr:uid="{00000000-0005-0000-0000-0000E4520000}"/>
    <cellStyle name="Output 2 3 7 2 4 2" xfId="25642" xr:uid="{00000000-0005-0000-0000-0000E5520000}"/>
    <cellStyle name="Output 2 3 7 3" xfId="5156" xr:uid="{00000000-0005-0000-0000-0000E6520000}"/>
    <cellStyle name="Output 2 3 7 3 2" xfId="9195" xr:uid="{00000000-0005-0000-0000-0000E7520000}"/>
    <cellStyle name="Output 2 3 7 3 2 2" xfId="18118" xr:uid="{00000000-0005-0000-0000-0000E8520000}"/>
    <cellStyle name="Output 2 3 7 3 2 2 2" xfId="32950" xr:uid="{00000000-0005-0000-0000-0000E9520000}"/>
    <cellStyle name="Output 2 3 7 3 2 3" xfId="19669" xr:uid="{00000000-0005-0000-0000-0000EA520000}"/>
    <cellStyle name="Output 2 3 7 3 3" xfId="15474" xr:uid="{00000000-0005-0000-0000-0000EB520000}"/>
    <cellStyle name="Output 2 3 7 3 3 2" xfId="30306" xr:uid="{00000000-0005-0000-0000-0000EC520000}"/>
    <cellStyle name="Output 2 3 7 3 4" xfId="11715" xr:uid="{00000000-0005-0000-0000-0000ED520000}"/>
    <cellStyle name="Output 2 3 7 3 4 2" xfId="26547" xr:uid="{00000000-0005-0000-0000-0000EE520000}"/>
    <cellStyle name="Output 2 3 7 4" xfId="4186" xr:uid="{00000000-0005-0000-0000-0000EF520000}"/>
    <cellStyle name="Output 2 3 7 4 2" xfId="8227" xr:uid="{00000000-0005-0000-0000-0000F0520000}"/>
    <cellStyle name="Output 2 3 7 4 2 2" xfId="17574" xr:uid="{00000000-0005-0000-0000-0000F1520000}"/>
    <cellStyle name="Output 2 3 7 4 2 2 2" xfId="32406" xr:uid="{00000000-0005-0000-0000-0000F2520000}"/>
    <cellStyle name="Output 2 3 7 4 2 3" xfId="19312" xr:uid="{00000000-0005-0000-0000-0000F3520000}"/>
    <cellStyle name="Output 2 3 7 4 3" xfId="14518" xr:uid="{00000000-0005-0000-0000-0000F4520000}"/>
    <cellStyle name="Output 2 3 7 4 3 2" xfId="29350" xr:uid="{00000000-0005-0000-0000-0000F5520000}"/>
    <cellStyle name="Output 2 3 7 4 4" xfId="11194" xr:uid="{00000000-0005-0000-0000-0000F6520000}"/>
    <cellStyle name="Output 2 3 7 4 4 2" xfId="26026" xr:uid="{00000000-0005-0000-0000-0000F7520000}"/>
    <cellStyle name="Output 2 3 7 5" xfId="6302" xr:uid="{00000000-0005-0000-0000-0000F8520000}"/>
    <cellStyle name="Output 2 3 7 5 2" xfId="16486" xr:uid="{00000000-0005-0000-0000-0000F9520000}"/>
    <cellStyle name="Output 2 3 7 5 2 2" xfId="31318" xr:uid="{00000000-0005-0000-0000-0000FA520000}"/>
    <cellStyle name="Output 2 3 7 5 3" xfId="18605" xr:uid="{00000000-0005-0000-0000-0000FB520000}"/>
    <cellStyle name="Output 2 3 7 6" xfId="12556" xr:uid="{00000000-0005-0000-0000-0000FC520000}"/>
    <cellStyle name="Output 2 3 7 6 2" xfId="27388" xr:uid="{00000000-0005-0000-0000-0000FD520000}"/>
    <cellStyle name="Output 2 3 7 7" xfId="10138" xr:uid="{00000000-0005-0000-0000-0000FE520000}"/>
    <cellStyle name="Output 2 3 7 7 2" xfId="24970" xr:uid="{00000000-0005-0000-0000-0000FF520000}"/>
    <cellStyle name="Output 2 3 8" xfId="3993" xr:uid="{00000000-0005-0000-0000-000000530000}"/>
    <cellStyle name="Output 2 3 8 2" xfId="8040" xr:uid="{00000000-0005-0000-0000-000001530000}"/>
    <cellStyle name="Output 2 3 8 2 2" xfId="17461" xr:uid="{00000000-0005-0000-0000-000002530000}"/>
    <cellStyle name="Output 2 3 8 2 2 2" xfId="32293" xr:uid="{00000000-0005-0000-0000-000003530000}"/>
    <cellStyle name="Output 2 3 8 2 3" xfId="19224" xr:uid="{00000000-0005-0000-0000-000004530000}"/>
    <cellStyle name="Output 2 3 8 3" xfId="14326" xr:uid="{00000000-0005-0000-0000-000005530000}"/>
    <cellStyle name="Output 2 3 8 3 2" xfId="29158" xr:uid="{00000000-0005-0000-0000-000006530000}"/>
    <cellStyle name="Output 2 3 8 4" xfId="11079" xr:uid="{00000000-0005-0000-0000-000007530000}"/>
    <cellStyle name="Output 2 3 8 4 2" xfId="25911" xr:uid="{00000000-0005-0000-0000-000008530000}"/>
    <cellStyle name="Output 2 3 9" xfId="3357" xr:uid="{00000000-0005-0000-0000-000009530000}"/>
    <cellStyle name="Output 2 3 9 2" xfId="7420" xr:uid="{00000000-0005-0000-0000-00000A530000}"/>
    <cellStyle name="Output 2 3 9 2 2" xfId="17140" xr:uid="{00000000-0005-0000-0000-00000B530000}"/>
    <cellStyle name="Output 2 3 9 2 2 2" xfId="31972" xr:uid="{00000000-0005-0000-0000-00000C530000}"/>
    <cellStyle name="Output 2 3 9 2 3" xfId="19009" xr:uid="{00000000-0005-0000-0000-00000D530000}"/>
    <cellStyle name="Output 2 3 9 3" xfId="13694" xr:uid="{00000000-0005-0000-0000-00000E530000}"/>
    <cellStyle name="Output 2 3 9 3 2" xfId="28526" xr:uid="{00000000-0005-0000-0000-00000F530000}"/>
    <cellStyle name="Output 2 3 9 4" xfId="10759" xr:uid="{00000000-0005-0000-0000-000010530000}"/>
    <cellStyle name="Output 2 3 9 4 2" xfId="25591" xr:uid="{00000000-0005-0000-0000-000011530000}"/>
    <cellStyle name="Output 2 4" xfId="1234" xr:uid="{00000000-0005-0000-0000-000012530000}"/>
    <cellStyle name="Output 2 4 10" xfId="2320" xr:uid="{00000000-0005-0000-0000-000013530000}"/>
    <cellStyle name="Output 2 4 10 2" xfId="6432" xr:uid="{00000000-0005-0000-0000-000014530000}"/>
    <cellStyle name="Output 2 4 10 2 2" xfId="16525" xr:uid="{00000000-0005-0000-0000-000015530000}"/>
    <cellStyle name="Output 2 4 10 2 2 2" xfId="31357" xr:uid="{00000000-0005-0000-0000-000016530000}"/>
    <cellStyle name="Output 2 4 10 2 3" xfId="18613" xr:uid="{00000000-0005-0000-0000-000017530000}"/>
    <cellStyle name="Output 2 4 10 3" xfId="12660" xr:uid="{00000000-0005-0000-0000-000018530000}"/>
    <cellStyle name="Output 2 4 10 3 2" xfId="27492" xr:uid="{00000000-0005-0000-0000-000019530000}"/>
    <cellStyle name="Output 2 4 10 4" xfId="10176" xr:uid="{00000000-0005-0000-0000-00001A530000}"/>
    <cellStyle name="Output 2 4 10 4 2" xfId="25008" xr:uid="{00000000-0005-0000-0000-00001B530000}"/>
    <cellStyle name="Output 2 4 11" xfId="5283" xr:uid="{00000000-0005-0000-0000-00001C530000}"/>
    <cellStyle name="Output 2 4 11 2" xfId="9291" xr:uid="{00000000-0005-0000-0000-00001D530000}"/>
    <cellStyle name="Output 2 4 11 2 2" xfId="18158" xr:uid="{00000000-0005-0000-0000-00001E530000}"/>
    <cellStyle name="Output 2 4 11 2 2 2" xfId="32990" xr:uid="{00000000-0005-0000-0000-00001F530000}"/>
    <cellStyle name="Output 2 4 11 2 3" xfId="19677" xr:uid="{00000000-0005-0000-0000-000020530000}"/>
    <cellStyle name="Output 2 4 11 3" xfId="15599" xr:uid="{00000000-0005-0000-0000-000021530000}"/>
    <cellStyle name="Output 2 4 11 3 2" xfId="30431" xr:uid="{00000000-0005-0000-0000-000022530000}"/>
    <cellStyle name="Output 2 4 12" xfId="5441" xr:uid="{00000000-0005-0000-0000-000023530000}"/>
    <cellStyle name="Output 2 4 12 2" xfId="15677" xr:uid="{00000000-0005-0000-0000-000024530000}"/>
    <cellStyle name="Output 2 4 12 2 2" xfId="30509" xr:uid="{00000000-0005-0000-0000-000025530000}"/>
    <cellStyle name="Output 2 4 12 3" xfId="18254" xr:uid="{00000000-0005-0000-0000-000026530000}"/>
    <cellStyle name="Output 2 4 13" xfId="9350" xr:uid="{00000000-0005-0000-0000-000027530000}"/>
    <cellStyle name="Output 2 4 13 2" xfId="24656" xr:uid="{00000000-0005-0000-0000-000028530000}"/>
    <cellStyle name="Output 2 4 14" xfId="5339" xr:uid="{00000000-0005-0000-0000-000029530000}"/>
    <cellStyle name="Output 2 4 14 2" xfId="18213" xr:uid="{00000000-0005-0000-0000-00002A530000}"/>
    <cellStyle name="Output 2 4 2" xfId="1353" xr:uid="{00000000-0005-0000-0000-00002B530000}"/>
    <cellStyle name="Output 2 4 2 2" xfId="1857" xr:uid="{00000000-0005-0000-0000-00002C530000}"/>
    <cellStyle name="Output 2 4 2 2 2" xfId="3795" xr:uid="{00000000-0005-0000-0000-00002D530000}"/>
    <cellStyle name="Output 2 4 2 2 2 2" xfId="7850" xr:uid="{00000000-0005-0000-0000-00002E530000}"/>
    <cellStyle name="Output 2 4 2 2 2 2 2" xfId="17369" xr:uid="{00000000-0005-0000-0000-00002F530000}"/>
    <cellStyle name="Output 2 4 2 2 2 2 2 2" xfId="32201" xr:uid="{00000000-0005-0000-0000-000030530000}"/>
    <cellStyle name="Output 2 4 2 2 2 2 3" xfId="19156" xr:uid="{00000000-0005-0000-0000-000031530000}"/>
    <cellStyle name="Output 2 4 2 2 2 3" xfId="14130" xr:uid="{00000000-0005-0000-0000-000032530000}"/>
    <cellStyle name="Output 2 4 2 2 2 3 2" xfId="28962" xr:uid="{00000000-0005-0000-0000-000033530000}"/>
    <cellStyle name="Output 2 4 2 2 2 4" xfId="10986" xr:uid="{00000000-0005-0000-0000-000034530000}"/>
    <cellStyle name="Output 2 4 2 2 2 4 2" xfId="25818" xr:uid="{00000000-0005-0000-0000-000035530000}"/>
    <cellStyle name="Output 2 4 2 2 3" xfId="4835" xr:uid="{00000000-0005-0000-0000-000036530000}"/>
    <cellStyle name="Output 2 4 2 2 3 2" xfId="8874" xr:uid="{00000000-0005-0000-0000-000037530000}"/>
    <cellStyle name="Output 2 4 2 2 3 2 2" xfId="17915" xr:uid="{00000000-0005-0000-0000-000038530000}"/>
    <cellStyle name="Output 2 4 2 2 3 2 2 2" xfId="32747" xr:uid="{00000000-0005-0000-0000-000039530000}"/>
    <cellStyle name="Output 2 4 2 2 3 2 3" xfId="19517" xr:uid="{00000000-0005-0000-0000-00003A530000}"/>
    <cellStyle name="Output 2 4 2 2 3 3" xfId="15159" xr:uid="{00000000-0005-0000-0000-00003B530000}"/>
    <cellStyle name="Output 2 4 2 2 3 3 2" xfId="29991" xr:uid="{00000000-0005-0000-0000-00003C530000}"/>
    <cellStyle name="Output 2 4 2 2 3 4" xfId="11518" xr:uid="{00000000-0005-0000-0000-00003D530000}"/>
    <cellStyle name="Output 2 4 2 2 3 4 2" xfId="26350" xr:uid="{00000000-0005-0000-0000-00003E530000}"/>
    <cellStyle name="Output 2 4 2 2 4" xfId="2825" xr:uid="{00000000-0005-0000-0000-00003F530000}"/>
    <cellStyle name="Output 2 4 2 2 4 2" xfId="6916" xr:uid="{00000000-0005-0000-0000-000040530000}"/>
    <cellStyle name="Output 2 4 2 2 4 2 2" xfId="16809" xr:uid="{00000000-0005-0000-0000-000041530000}"/>
    <cellStyle name="Output 2 4 2 2 4 2 2 2" xfId="31641" xr:uid="{00000000-0005-0000-0000-000042530000}"/>
    <cellStyle name="Output 2 4 2 2 4 2 3" xfId="18808" xr:uid="{00000000-0005-0000-0000-000043530000}"/>
    <cellStyle name="Output 2 4 2 2 4 3" xfId="13163" xr:uid="{00000000-0005-0000-0000-000044530000}"/>
    <cellStyle name="Output 2 4 2 2 4 3 2" xfId="27995" xr:uid="{00000000-0005-0000-0000-000045530000}"/>
    <cellStyle name="Output 2 4 2 2 4 4" xfId="10462" xr:uid="{00000000-0005-0000-0000-000046530000}"/>
    <cellStyle name="Output 2 4 2 2 4 4 2" xfId="25294" xr:uid="{00000000-0005-0000-0000-000047530000}"/>
    <cellStyle name="Output 2 4 2 2 5" xfId="5989" xr:uid="{00000000-0005-0000-0000-000048530000}"/>
    <cellStyle name="Output 2 4 2 2 5 2" xfId="16181" xr:uid="{00000000-0005-0000-0000-000049530000}"/>
    <cellStyle name="Output 2 4 2 2 5 2 2" xfId="31013" xr:uid="{00000000-0005-0000-0000-00004A530000}"/>
    <cellStyle name="Output 2 4 2 2 5 3" xfId="18450" xr:uid="{00000000-0005-0000-0000-00004B530000}"/>
    <cellStyle name="Output 2 4 2 2 6" xfId="12251" xr:uid="{00000000-0005-0000-0000-00004C530000}"/>
    <cellStyle name="Output 2 4 2 2 6 2" xfId="27083" xr:uid="{00000000-0005-0000-0000-00004D530000}"/>
    <cellStyle name="Output 2 4 2 2 7" xfId="9847" xr:uid="{00000000-0005-0000-0000-00004E530000}"/>
    <cellStyle name="Output 2 4 2 2 7 2" xfId="24773" xr:uid="{00000000-0005-0000-0000-00004F530000}"/>
    <cellStyle name="Output 2 4 2 3" xfId="3697" xr:uid="{00000000-0005-0000-0000-000050530000}"/>
    <cellStyle name="Output 2 4 2 3 2" xfId="7753" xr:uid="{00000000-0005-0000-0000-000051530000}"/>
    <cellStyle name="Output 2 4 2 3 2 2" xfId="17321" xr:uid="{00000000-0005-0000-0000-000052530000}"/>
    <cellStyle name="Output 2 4 2 3 2 2 2" xfId="32153" xr:uid="{00000000-0005-0000-0000-000053530000}"/>
    <cellStyle name="Output 2 4 2 3 2 3" xfId="19126" xr:uid="{00000000-0005-0000-0000-000054530000}"/>
    <cellStyle name="Output 2 4 2 3 3" xfId="14032" xr:uid="{00000000-0005-0000-0000-000055530000}"/>
    <cellStyle name="Output 2 4 2 3 3 2" xfId="28864" xr:uid="{00000000-0005-0000-0000-000056530000}"/>
    <cellStyle name="Output 2 4 2 3 4" xfId="10939" xr:uid="{00000000-0005-0000-0000-000057530000}"/>
    <cellStyle name="Output 2 4 2 3 4 2" xfId="25771" xr:uid="{00000000-0005-0000-0000-000058530000}"/>
    <cellStyle name="Output 2 4 2 4" xfId="4415" xr:uid="{00000000-0005-0000-0000-000059530000}"/>
    <cellStyle name="Output 2 4 2 4 2" xfId="8454" xr:uid="{00000000-0005-0000-0000-00005A530000}"/>
    <cellStyle name="Output 2 4 2 4 2 2" xfId="17675" xr:uid="{00000000-0005-0000-0000-00005B530000}"/>
    <cellStyle name="Output 2 4 2 4 2 2 2" xfId="32507" xr:uid="{00000000-0005-0000-0000-00005C530000}"/>
    <cellStyle name="Output 2 4 2 4 2 3" xfId="19357" xr:uid="{00000000-0005-0000-0000-00005D530000}"/>
    <cellStyle name="Output 2 4 2 4 3" xfId="14744" xr:uid="{00000000-0005-0000-0000-00005E530000}"/>
    <cellStyle name="Output 2 4 2 4 3 2" xfId="29576" xr:uid="{00000000-0005-0000-0000-00005F530000}"/>
    <cellStyle name="Output 2 4 2 4 4" xfId="11283" xr:uid="{00000000-0005-0000-0000-000060530000}"/>
    <cellStyle name="Output 2 4 2 4 4 2" xfId="26115" xr:uid="{00000000-0005-0000-0000-000061530000}"/>
    <cellStyle name="Output 2 4 2 5" xfId="2405" xr:uid="{00000000-0005-0000-0000-000062530000}"/>
    <cellStyle name="Output 2 4 2 5 2" xfId="6517" xr:uid="{00000000-0005-0000-0000-000063530000}"/>
    <cellStyle name="Output 2 4 2 5 2 2" xfId="16573" xr:uid="{00000000-0005-0000-0000-000064530000}"/>
    <cellStyle name="Output 2 4 2 5 2 2 2" xfId="31405" xr:uid="{00000000-0005-0000-0000-000065530000}"/>
    <cellStyle name="Output 2 4 2 5 2 3" xfId="18645" xr:uid="{00000000-0005-0000-0000-000066530000}"/>
    <cellStyle name="Output 2 4 2 5 3" xfId="12744" xr:uid="{00000000-0005-0000-0000-000067530000}"/>
    <cellStyle name="Output 2 4 2 5 3 2" xfId="27576" xr:uid="{00000000-0005-0000-0000-000068530000}"/>
    <cellStyle name="Output 2 4 2 5 4" xfId="10223" xr:uid="{00000000-0005-0000-0000-000069530000}"/>
    <cellStyle name="Output 2 4 2 5 4 2" xfId="25055" xr:uid="{00000000-0005-0000-0000-00006A530000}"/>
    <cellStyle name="Output 2 4 2 6" xfId="5530" xr:uid="{00000000-0005-0000-0000-00006B530000}"/>
    <cellStyle name="Output 2 4 2 6 2" xfId="15765" xr:uid="{00000000-0005-0000-0000-00006C530000}"/>
    <cellStyle name="Output 2 4 2 6 2 2" xfId="30597" xr:uid="{00000000-0005-0000-0000-00006D530000}"/>
    <cellStyle name="Output 2 4 2 6 3" xfId="18287" xr:uid="{00000000-0005-0000-0000-00006E530000}"/>
    <cellStyle name="Output 2 4 2 7" xfId="11780" xr:uid="{00000000-0005-0000-0000-00006F530000}"/>
    <cellStyle name="Output 2 4 2 7 2" xfId="26612" xr:uid="{00000000-0005-0000-0000-000070530000}"/>
    <cellStyle name="Output 2 4 2 8" xfId="9451" xr:uid="{00000000-0005-0000-0000-000071530000}"/>
    <cellStyle name="Output 2 4 2 8 2" xfId="19755" xr:uid="{00000000-0005-0000-0000-000072530000}"/>
    <cellStyle name="Output 2 4 3" xfId="1523" xr:uid="{00000000-0005-0000-0000-000073530000}"/>
    <cellStyle name="Output 2 4 3 2" xfId="2020" xr:uid="{00000000-0005-0000-0000-000074530000}"/>
    <cellStyle name="Output 2 4 3 2 2" xfId="3390" xr:uid="{00000000-0005-0000-0000-000075530000}"/>
    <cellStyle name="Output 2 4 3 2 2 2" xfId="7453" xr:uid="{00000000-0005-0000-0000-000076530000}"/>
    <cellStyle name="Output 2 4 3 2 2 2 2" xfId="17157" xr:uid="{00000000-0005-0000-0000-000077530000}"/>
    <cellStyle name="Output 2 4 3 2 2 2 2 2" xfId="31989" xr:uid="{00000000-0005-0000-0000-000078530000}"/>
    <cellStyle name="Output 2 4 3 2 2 2 3" xfId="19019" xr:uid="{00000000-0005-0000-0000-000079530000}"/>
    <cellStyle name="Output 2 4 3 2 2 3" xfId="13727" xr:uid="{00000000-0005-0000-0000-00007A530000}"/>
    <cellStyle name="Output 2 4 3 2 2 3 2" xfId="28559" xr:uid="{00000000-0005-0000-0000-00007B530000}"/>
    <cellStyle name="Output 2 4 3 2 2 4" xfId="10776" xr:uid="{00000000-0005-0000-0000-00007C530000}"/>
    <cellStyle name="Output 2 4 3 2 2 4 2" xfId="25608" xr:uid="{00000000-0005-0000-0000-00007D530000}"/>
    <cellStyle name="Output 2 4 3 2 3" xfId="4988" xr:uid="{00000000-0005-0000-0000-00007E530000}"/>
    <cellStyle name="Output 2 4 3 2 3 2" xfId="9027" xr:uid="{00000000-0005-0000-0000-00007F530000}"/>
    <cellStyle name="Output 2 4 3 2 3 2 2" xfId="17965" xr:uid="{00000000-0005-0000-0000-000080530000}"/>
    <cellStyle name="Output 2 4 3 2 3 2 2 2" xfId="32797" xr:uid="{00000000-0005-0000-0000-000081530000}"/>
    <cellStyle name="Output 2 4 3 2 3 2 3" xfId="19549" xr:uid="{00000000-0005-0000-0000-000082530000}"/>
    <cellStyle name="Output 2 4 3 2 3 3" xfId="15310" xr:uid="{00000000-0005-0000-0000-000083530000}"/>
    <cellStyle name="Output 2 4 3 2 3 3 2" xfId="30142" xr:uid="{00000000-0005-0000-0000-000084530000}"/>
    <cellStyle name="Output 2 4 3 2 3 4" xfId="11566" xr:uid="{00000000-0005-0000-0000-000085530000}"/>
    <cellStyle name="Output 2 4 3 2 3 4 2" xfId="26398" xr:uid="{00000000-0005-0000-0000-000086530000}"/>
    <cellStyle name="Output 2 4 3 2 4" xfId="2978" xr:uid="{00000000-0005-0000-0000-000087530000}"/>
    <cellStyle name="Output 2 4 3 2 4 2" xfId="7058" xr:uid="{00000000-0005-0000-0000-000088530000}"/>
    <cellStyle name="Output 2 4 3 2 4 2 2" xfId="16857" xr:uid="{00000000-0005-0000-0000-000089530000}"/>
    <cellStyle name="Output 2 4 3 2 4 2 2 2" xfId="31689" xr:uid="{00000000-0005-0000-0000-00008A530000}"/>
    <cellStyle name="Output 2 4 3 2 4 2 3" xfId="18841" xr:uid="{00000000-0005-0000-0000-00008B530000}"/>
    <cellStyle name="Output 2 4 3 2 4 3" xfId="13316" xr:uid="{00000000-0005-0000-0000-00008C530000}"/>
    <cellStyle name="Output 2 4 3 2 4 3 2" xfId="28148" xr:uid="{00000000-0005-0000-0000-00008D530000}"/>
    <cellStyle name="Output 2 4 3 2 4 4" xfId="10512" xr:uid="{00000000-0005-0000-0000-00008E530000}"/>
    <cellStyle name="Output 2 4 3 2 4 4 2" xfId="25344" xr:uid="{00000000-0005-0000-0000-00008F530000}"/>
    <cellStyle name="Output 2 4 3 2 5" xfId="6150" xr:uid="{00000000-0005-0000-0000-000090530000}"/>
    <cellStyle name="Output 2 4 3 2 5 2" xfId="16337" xr:uid="{00000000-0005-0000-0000-000091530000}"/>
    <cellStyle name="Output 2 4 3 2 5 2 2" xfId="31169" xr:uid="{00000000-0005-0000-0000-000092530000}"/>
    <cellStyle name="Output 2 4 3 2 5 3" xfId="18482" xr:uid="{00000000-0005-0000-0000-000093530000}"/>
    <cellStyle name="Output 2 4 3 2 6" xfId="12407" xr:uid="{00000000-0005-0000-0000-000094530000}"/>
    <cellStyle name="Output 2 4 3 2 6 2" xfId="27239" xr:uid="{00000000-0005-0000-0000-000095530000}"/>
    <cellStyle name="Output 2 4 3 2 7" xfId="9989" xr:uid="{00000000-0005-0000-0000-000096530000}"/>
    <cellStyle name="Output 2 4 3 2 7 2" xfId="24821" xr:uid="{00000000-0005-0000-0000-000097530000}"/>
    <cellStyle name="Output 2 4 3 3" xfId="3270" xr:uid="{00000000-0005-0000-0000-000098530000}"/>
    <cellStyle name="Output 2 4 3 3 2" xfId="7334" xr:uid="{00000000-0005-0000-0000-000099530000}"/>
    <cellStyle name="Output 2 4 3 3 2 2" xfId="17078" xr:uid="{00000000-0005-0000-0000-00009A530000}"/>
    <cellStyle name="Output 2 4 3 3 2 2 2" xfId="31910" xr:uid="{00000000-0005-0000-0000-00009B530000}"/>
    <cellStyle name="Output 2 4 3 3 2 3" xfId="18978" xr:uid="{00000000-0005-0000-0000-00009C530000}"/>
    <cellStyle name="Output 2 4 3 3 3" xfId="13607" xr:uid="{00000000-0005-0000-0000-00009D530000}"/>
    <cellStyle name="Output 2 4 3 3 3 2" xfId="28439" xr:uid="{00000000-0005-0000-0000-00009E530000}"/>
    <cellStyle name="Output 2 4 3 3 4" xfId="10706" xr:uid="{00000000-0005-0000-0000-00009F530000}"/>
    <cellStyle name="Output 2 4 3 3 4 2" xfId="25538" xr:uid="{00000000-0005-0000-0000-0000A0530000}"/>
    <cellStyle name="Output 2 4 3 4" xfId="4568" xr:uid="{00000000-0005-0000-0000-0000A1530000}"/>
    <cellStyle name="Output 2 4 3 4 2" xfId="8607" xr:uid="{00000000-0005-0000-0000-0000A2530000}"/>
    <cellStyle name="Output 2 4 3 4 2 2" xfId="17725" xr:uid="{00000000-0005-0000-0000-0000A3530000}"/>
    <cellStyle name="Output 2 4 3 4 2 2 2" xfId="32557" xr:uid="{00000000-0005-0000-0000-0000A4530000}"/>
    <cellStyle name="Output 2 4 3 4 2 3" xfId="19389" xr:uid="{00000000-0005-0000-0000-0000A5530000}"/>
    <cellStyle name="Output 2 4 3 4 3" xfId="14895" xr:uid="{00000000-0005-0000-0000-0000A6530000}"/>
    <cellStyle name="Output 2 4 3 4 3 2" xfId="29727" xr:uid="{00000000-0005-0000-0000-0000A7530000}"/>
    <cellStyle name="Output 2 4 3 4 4" xfId="11331" xr:uid="{00000000-0005-0000-0000-0000A8530000}"/>
    <cellStyle name="Output 2 4 3 4 4 2" xfId="26163" xr:uid="{00000000-0005-0000-0000-0000A9530000}"/>
    <cellStyle name="Output 2 4 3 5" xfId="2558" xr:uid="{00000000-0005-0000-0000-0000AA530000}"/>
    <cellStyle name="Output 2 4 3 5 2" xfId="6664" xr:uid="{00000000-0005-0000-0000-0000AB530000}"/>
    <cellStyle name="Output 2 4 3 5 2 2" xfId="16622" xr:uid="{00000000-0005-0000-0000-0000AC530000}"/>
    <cellStyle name="Output 2 4 3 5 2 2 2" xfId="31454" xr:uid="{00000000-0005-0000-0000-0000AD530000}"/>
    <cellStyle name="Output 2 4 3 5 2 3" xfId="18677" xr:uid="{00000000-0005-0000-0000-0000AE530000}"/>
    <cellStyle name="Output 2 4 3 5 3" xfId="12896" xr:uid="{00000000-0005-0000-0000-0000AF530000}"/>
    <cellStyle name="Output 2 4 3 5 3 2" xfId="27728" xr:uid="{00000000-0005-0000-0000-0000B0530000}"/>
    <cellStyle name="Output 2 4 3 5 4" xfId="10272" xr:uid="{00000000-0005-0000-0000-0000B1530000}"/>
    <cellStyle name="Output 2 4 3 5 4 2" xfId="25104" xr:uid="{00000000-0005-0000-0000-0000B2530000}"/>
    <cellStyle name="Output 2 4 3 6" xfId="5681" xr:uid="{00000000-0005-0000-0000-0000B3530000}"/>
    <cellStyle name="Output 2 4 3 6 2" xfId="15916" xr:uid="{00000000-0005-0000-0000-0000B4530000}"/>
    <cellStyle name="Output 2 4 3 6 2 2" xfId="30748" xr:uid="{00000000-0005-0000-0000-0000B5530000}"/>
    <cellStyle name="Output 2 4 3 6 3" xfId="18319" xr:uid="{00000000-0005-0000-0000-0000B6530000}"/>
    <cellStyle name="Output 2 4 3 7" xfId="11936" xr:uid="{00000000-0005-0000-0000-0000B7530000}"/>
    <cellStyle name="Output 2 4 3 7 2" xfId="26768" xr:uid="{00000000-0005-0000-0000-0000B8530000}"/>
    <cellStyle name="Output 2 4 3 8" xfId="9594" xr:uid="{00000000-0005-0000-0000-0000B9530000}"/>
    <cellStyle name="Output 2 4 3 8 2" xfId="19896" xr:uid="{00000000-0005-0000-0000-0000BA530000}"/>
    <cellStyle name="Output 2 4 4" xfId="1578" xr:uid="{00000000-0005-0000-0000-0000BB530000}"/>
    <cellStyle name="Output 2 4 4 2" xfId="2075" xr:uid="{00000000-0005-0000-0000-0000BC530000}"/>
    <cellStyle name="Output 2 4 4 2 2" xfId="3487" xr:uid="{00000000-0005-0000-0000-0000BD530000}"/>
    <cellStyle name="Output 2 4 4 2 2 2" xfId="7549" xr:uid="{00000000-0005-0000-0000-0000BE530000}"/>
    <cellStyle name="Output 2 4 4 2 2 2 2" xfId="17211" xr:uid="{00000000-0005-0000-0000-0000BF530000}"/>
    <cellStyle name="Output 2 4 4 2 2 2 2 2" xfId="32043" xr:uid="{00000000-0005-0000-0000-0000C0530000}"/>
    <cellStyle name="Output 2 4 4 2 2 2 3" xfId="19048" xr:uid="{00000000-0005-0000-0000-0000C1530000}"/>
    <cellStyle name="Output 2 4 4 2 2 3" xfId="13824" xr:uid="{00000000-0005-0000-0000-0000C2530000}"/>
    <cellStyle name="Output 2 4 4 2 2 3 2" xfId="28656" xr:uid="{00000000-0005-0000-0000-0000C3530000}"/>
    <cellStyle name="Output 2 4 4 2 2 4" xfId="10829" xr:uid="{00000000-0005-0000-0000-0000C4530000}"/>
    <cellStyle name="Output 2 4 4 2 2 4 2" xfId="25661" xr:uid="{00000000-0005-0000-0000-0000C5530000}"/>
    <cellStyle name="Output 2 4 4 2 3" xfId="5043" xr:uid="{00000000-0005-0000-0000-0000C6530000}"/>
    <cellStyle name="Output 2 4 4 2 3 2" xfId="9082" xr:uid="{00000000-0005-0000-0000-0000C7530000}"/>
    <cellStyle name="Output 2 4 4 2 3 2 2" xfId="18015" xr:uid="{00000000-0005-0000-0000-0000C8530000}"/>
    <cellStyle name="Output 2 4 4 2 3 2 2 2" xfId="32847" xr:uid="{00000000-0005-0000-0000-0000C9530000}"/>
    <cellStyle name="Output 2 4 4 2 3 2 3" xfId="19581" xr:uid="{00000000-0005-0000-0000-0000CA530000}"/>
    <cellStyle name="Output 2 4 4 2 3 3" xfId="15364" xr:uid="{00000000-0005-0000-0000-0000CB530000}"/>
    <cellStyle name="Output 2 4 4 2 3 3 2" xfId="30196" xr:uid="{00000000-0005-0000-0000-0000CC530000}"/>
    <cellStyle name="Output 2 4 4 2 3 4" xfId="11615" xr:uid="{00000000-0005-0000-0000-0000CD530000}"/>
    <cellStyle name="Output 2 4 4 2 3 4 2" xfId="26447" xr:uid="{00000000-0005-0000-0000-0000CE530000}"/>
    <cellStyle name="Output 2 4 4 2 4" xfId="3033" xr:uid="{00000000-0005-0000-0000-0000CF530000}"/>
    <cellStyle name="Output 2 4 4 2 4 2" xfId="7108" xr:uid="{00000000-0005-0000-0000-0000D0530000}"/>
    <cellStyle name="Output 2 4 4 2 4 2 2" xfId="16906" xr:uid="{00000000-0005-0000-0000-0000D1530000}"/>
    <cellStyle name="Output 2 4 4 2 4 2 2 2" xfId="31738" xr:uid="{00000000-0005-0000-0000-0000D2530000}"/>
    <cellStyle name="Output 2 4 4 2 4 2 3" xfId="18874" xr:uid="{00000000-0005-0000-0000-0000D3530000}"/>
    <cellStyle name="Output 2 4 4 2 4 3" xfId="13371" xr:uid="{00000000-0005-0000-0000-0000D4530000}"/>
    <cellStyle name="Output 2 4 4 2 4 3 2" xfId="28203" xr:uid="{00000000-0005-0000-0000-0000D5530000}"/>
    <cellStyle name="Output 2 4 4 2 4 4" xfId="10562" xr:uid="{00000000-0005-0000-0000-0000D6530000}"/>
    <cellStyle name="Output 2 4 4 2 4 4 2" xfId="25394" xr:uid="{00000000-0005-0000-0000-0000D7530000}"/>
    <cellStyle name="Output 2 4 4 2 5" xfId="6200" xr:uid="{00000000-0005-0000-0000-0000D8530000}"/>
    <cellStyle name="Output 2 4 4 2 5 2" xfId="16386" xr:uid="{00000000-0005-0000-0000-0000D9530000}"/>
    <cellStyle name="Output 2 4 4 2 5 2 2" xfId="31218" xr:uid="{00000000-0005-0000-0000-0000DA530000}"/>
    <cellStyle name="Output 2 4 4 2 5 3" xfId="18515" xr:uid="{00000000-0005-0000-0000-0000DB530000}"/>
    <cellStyle name="Output 2 4 4 2 6" xfId="12456" xr:uid="{00000000-0005-0000-0000-0000DC530000}"/>
    <cellStyle name="Output 2 4 4 2 6 2" xfId="27288" xr:uid="{00000000-0005-0000-0000-0000DD530000}"/>
    <cellStyle name="Output 2 4 4 2 7" xfId="10038" xr:uid="{00000000-0005-0000-0000-0000DE530000}"/>
    <cellStyle name="Output 2 4 4 2 7 2" xfId="24870" xr:uid="{00000000-0005-0000-0000-0000DF530000}"/>
    <cellStyle name="Output 2 4 4 3" xfId="3860" xr:uid="{00000000-0005-0000-0000-0000E0530000}"/>
    <cellStyle name="Output 2 4 4 3 2" xfId="7912" xr:uid="{00000000-0005-0000-0000-0000E1530000}"/>
    <cellStyle name="Output 2 4 4 3 2 2" xfId="17397" xr:uid="{00000000-0005-0000-0000-0000E2530000}"/>
    <cellStyle name="Output 2 4 4 3 2 2 2" xfId="32229" xr:uid="{00000000-0005-0000-0000-0000E3530000}"/>
    <cellStyle name="Output 2 4 4 3 2 3" xfId="19176" xr:uid="{00000000-0005-0000-0000-0000E4530000}"/>
    <cellStyle name="Output 2 4 4 3 3" xfId="14195" xr:uid="{00000000-0005-0000-0000-0000E5530000}"/>
    <cellStyle name="Output 2 4 4 3 3 2" xfId="29027" xr:uid="{00000000-0005-0000-0000-0000E6530000}"/>
    <cellStyle name="Output 2 4 4 3 4" xfId="11016" xr:uid="{00000000-0005-0000-0000-0000E7530000}"/>
    <cellStyle name="Output 2 4 4 3 4 2" xfId="25848" xr:uid="{00000000-0005-0000-0000-0000E8530000}"/>
    <cellStyle name="Output 2 4 4 4" xfId="4623" xr:uid="{00000000-0005-0000-0000-0000E9530000}"/>
    <cellStyle name="Output 2 4 4 4 2" xfId="8662" xr:uid="{00000000-0005-0000-0000-0000EA530000}"/>
    <cellStyle name="Output 2 4 4 4 2 2" xfId="17775" xr:uid="{00000000-0005-0000-0000-0000EB530000}"/>
    <cellStyle name="Output 2 4 4 4 2 2 2" xfId="32607" xr:uid="{00000000-0005-0000-0000-0000EC530000}"/>
    <cellStyle name="Output 2 4 4 4 2 3" xfId="19421" xr:uid="{00000000-0005-0000-0000-0000ED530000}"/>
    <cellStyle name="Output 2 4 4 4 3" xfId="14949" xr:uid="{00000000-0005-0000-0000-0000EE530000}"/>
    <cellStyle name="Output 2 4 4 4 3 2" xfId="29781" xr:uid="{00000000-0005-0000-0000-0000EF530000}"/>
    <cellStyle name="Output 2 4 4 4 4" xfId="11380" xr:uid="{00000000-0005-0000-0000-0000F0530000}"/>
    <cellStyle name="Output 2 4 4 4 4 2" xfId="26212" xr:uid="{00000000-0005-0000-0000-0000F1530000}"/>
    <cellStyle name="Output 2 4 4 5" xfId="2613" xr:uid="{00000000-0005-0000-0000-0000F2530000}"/>
    <cellStyle name="Output 2 4 4 5 2" xfId="6714" xr:uid="{00000000-0005-0000-0000-0000F3530000}"/>
    <cellStyle name="Output 2 4 4 5 2 2" xfId="16671" xr:uid="{00000000-0005-0000-0000-0000F4530000}"/>
    <cellStyle name="Output 2 4 4 5 2 2 2" xfId="31503" xr:uid="{00000000-0005-0000-0000-0000F5530000}"/>
    <cellStyle name="Output 2 4 4 5 2 3" xfId="18710" xr:uid="{00000000-0005-0000-0000-0000F6530000}"/>
    <cellStyle name="Output 2 4 4 5 3" xfId="12951" xr:uid="{00000000-0005-0000-0000-0000F7530000}"/>
    <cellStyle name="Output 2 4 4 5 3 2" xfId="27783" xr:uid="{00000000-0005-0000-0000-0000F8530000}"/>
    <cellStyle name="Output 2 4 4 5 4" xfId="10322" xr:uid="{00000000-0005-0000-0000-0000F9530000}"/>
    <cellStyle name="Output 2 4 4 5 4 2" xfId="25154" xr:uid="{00000000-0005-0000-0000-0000FA530000}"/>
    <cellStyle name="Output 2 4 4 6" xfId="5730" xr:uid="{00000000-0005-0000-0000-0000FB530000}"/>
    <cellStyle name="Output 2 4 4 6 2" xfId="15965" xr:uid="{00000000-0005-0000-0000-0000FC530000}"/>
    <cellStyle name="Output 2 4 4 6 2 2" xfId="30797" xr:uid="{00000000-0005-0000-0000-0000FD530000}"/>
    <cellStyle name="Output 2 4 4 6 3" xfId="18351" xr:uid="{00000000-0005-0000-0000-0000FE530000}"/>
    <cellStyle name="Output 2 4 4 7" xfId="11985" xr:uid="{00000000-0005-0000-0000-0000FF530000}"/>
    <cellStyle name="Output 2 4 4 7 2" xfId="26817" xr:uid="{00000000-0005-0000-0000-000000540000}"/>
    <cellStyle name="Output 2 4 4 8" xfId="9644" xr:uid="{00000000-0005-0000-0000-000001540000}"/>
    <cellStyle name="Output 2 4 4 8 2" xfId="19945" xr:uid="{00000000-0005-0000-0000-000002540000}"/>
    <cellStyle name="Output 2 4 5" xfId="1628" xr:uid="{00000000-0005-0000-0000-000003540000}"/>
    <cellStyle name="Output 2 4 5 2" xfId="2125" xr:uid="{00000000-0005-0000-0000-000004540000}"/>
    <cellStyle name="Output 2 4 5 2 2" xfId="4310" xr:uid="{00000000-0005-0000-0000-000005540000}"/>
    <cellStyle name="Output 2 4 5 2 2 2" xfId="8349" xr:uid="{00000000-0005-0000-0000-000006540000}"/>
    <cellStyle name="Output 2 4 5 2 2 2 2" xfId="17628" xr:uid="{00000000-0005-0000-0000-000007540000}"/>
    <cellStyle name="Output 2 4 5 2 2 2 2 2" xfId="32460" xr:uid="{00000000-0005-0000-0000-000008540000}"/>
    <cellStyle name="Output 2 4 5 2 2 2 3" xfId="19331" xr:uid="{00000000-0005-0000-0000-000009540000}"/>
    <cellStyle name="Output 2 4 5 2 2 3" xfId="14641" xr:uid="{00000000-0005-0000-0000-00000A540000}"/>
    <cellStyle name="Output 2 4 5 2 2 3 2" xfId="29473" xr:uid="{00000000-0005-0000-0000-00000B540000}"/>
    <cellStyle name="Output 2 4 5 2 2 4" xfId="11238" xr:uid="{00000000-0005-0000-0000-00000C540000}"/>
    <cellStyle name="Output 2 4 5 2 2 4 2" xfId="26070" xr:uid="{00000000-0005-0000-0000-00000D540000}"/>
    <cellStyle name="Output 2 4 5 2 3" xfId="5093" xr:uid="{00000000-0005-0000-0000-00000E540000}"/>
    <cellStyle name="Output 2 4 5 2 3 2" xfId="9132" xr:uid="{00000000-0005-0000-0000-00000F540000}"/>
    <cellStyle name="Output 2 4 5 2 3 2 2" xfId="18060" xr:uid="{00000000-0005-0000-0000-000010540000}"/>
    <cellStyle name="Output 2 4 5 2 3 2 2 2" xfId="32892" xr:uid="{00000000-0005-0000-0000-000011540000}"/>
    <cellStyle name="Output 2 4 5 2 3 2 3" xfId="19613" xr:uid="{00000000-0005-0000-0000-000012540000}"/>
    <cellStyle name="Output 2 4 5 2 3 3" xfId="15413" xr:uid="{00000000-0005-0000-0000-000013540000}"/>
    <cellStyle name="Output 2 4 5 2 3 3 2" xfId="30245" xr:uid="{00000000-0005-0000-0000-000014540000}"/>
    <cellStyle name="Output 2 4 5 2 3 4" xfId="11659" xr:uid="{00000000-0005-0000-0000-000015540000}"/>
    <cellStyle name="Output 2 4 5 2 3 4 2" xfId="26491" xr:uid="{00000000-0005-0000-0000-000016540000}"/>
    <cellStyle name="Output 2 4 5 2 4" xfId="3083" xr:uid="{00000000-0005-0000-0000-000017540000}"/>
    <cellStyle name="Output 2 4 5 2 4 2" xfId="7153" xr:uid="{00000000-0005-0000-0000-000018540000}"/>
    <cellStyle name="Output 2 4 5 2 4 2 2" xfId="16950" xr:uid="{00000000-0005-0000-0000-000019540000}"/>
    <cellStyle name="Output 2 4 5 2 4 2 2 2" xfId="31782" xr:uid="{00000000-0005-0000-0000-00001A540000}"/>
    <cellStyle name="Output 2 4 5 2 4 2 3" xfId="18907" xr:uid="{00000000-0005-0000-0000-00001B540000}"/>
    <cellStyle name="Output 2 4 5 2 4 3" xfId="13421" xr:uid="{00000000-0005-0000-0000-00001C540000}"/>
    <cellStyle name="Output 2 4 5 2 4 3 2" xfId="28253" xr:uid="{00000000-0005-0000-0000-00001D540000}"/>
    <cellStyle name="Output 2 4 5 2 4 4" xfId="10607" xr:uid="{00000000-0005-0000-0000-00001E540000}"/>
    <cellStyle name="Output 2 4 5 2 4 4 2" xfId="25439" xr:uid="{00000000-0005-0000-0000-00001F540000}"/>
    <cellStyle name="Output 2 4 5 2 5" xfId="6245" xr:uid="{00000000-0005-0000-0000-000020540000}"/>
    <cellStyle name="Output 2 4 5 2 5 2" xfId="16430" xr:uid="{00000000-0005-0000-0000-000021540000}"/>
    <cellStyle name="Output 2 4 5 2 5 2 2" xfId="31262" xr:uid="{00000000-0005-0000-0000-000022540000}"/>
    <cellStyle name="Output 2 4 5 2 5 3" xfId="18548" xr:uid="{00000000-0005-0000-0000-000023540000}"/>
    <cellStyle name="Output 2 4 5 2 6" xfId="12500" xr:uid="{00000000-0005-0000-0000-000024540000}"/>
    <cellStyle name="Output 2 4 5 2 6 2" xfId="27332" xr:uid="{00000000-0005-0000-0000-000025540000}"/>
    <cellStyle name="Output 2 4 5 2 7" xfId="10082" xr:uid="{00000000-0005-0000-0000-000026540000}"/>
    <cellStyle name="Output 2 4 5 2 7 2" xfId="24914" xr:uid="{00000000-0005-0000-0000-000027540000}"/>
    <cellStyle name="Output 2 4 5 3" xfId="4018" xr:uid="{00000000-0005-0000-0000-000028540000}"/>
    <cellStyle name="Output 2 4 5 3 2" xfId="8065" xr:uid="{00000000-0005-0000-0000-000029540000}"/>
    <cellStyle name="Output 2 4 5 3 2 2" xfId="17477" xr:uid="{00000000-0005-0000-0000-00002A540000}"/>
    <cellStyle name="Output 2 4 5 3 2 2 2" xfId="32309" xr:uid="{00000000-0005-0000-0000-00002B540000}"/>
    <cellStyle name="Output 2 4 5 3 2 3" xfId="19235" xr:uid="{00000000-0005-0000-0000-00002C540000}"/>
    <cellStyle name="Output 2 4 5 3 3" xfId="14350" xr:uid="{00000000-0005-0000-0000-00002D540000}"/>
    <cellStyle name="Output 2 4 5 3 3 2" xfId="29182" xr:uid="{00000000-0005-0000-0000-00002E540000}"/>
    <cellStyle name="Output 2 4 5 3 4" xfId="11093" xr:uid="{00000000-0005-0000-0000-00002F540000}"/>
    <cellStyle name="Output 2 4 5 3 4 2" xfId="25925" xr:uid="{00000000-0005-0000-0000-000030540000}"/>
    <cellStyle name="Output 2 4 5 4" xfId="4673" xr:uid="{00000000-0005-0000-0000-000031540000}"/>
    <cellStyle name="Output 2 4 5 4 2" xfId="8712" xr:uid="{00000000-0005-0000-0000-000032540000}"/>
    <cellStyle name="Output 2 4 5 4 2 2" xfId="17820" xr:uid="{00000000-0005-0000-0000-000033540000}"/>
    <cellStyle name="Output 2 4 5 4 2 2 2" xfId="32652" xr:uid="{00000000-0005-0000-0000-000034540000}"/>
    <cellStyle name="Output 2 4 5 4 2 3" xfId="19453" xr:uid="{00000000-0005-0000-0000-000035540000}"/>
    <cellStyle name="Output 2 4 5 4 3" xfId="14998" xr:uid="{00000000-0005-0000-0000-000036540000}"/>
    <cellStyle name="Output 2 4 5 4 3 2" xfId="29830" xr:uid="{00000000-0005-0000-0000-000037540000}"/>
    <cellStyle name="Output 2 4 5 4 4" xfId="11424" xr:uid="{00000000-0005-0000-0000-000038540000}"/>
    <cellStyle name="Output 2 4 5 4 4 2" xfId="26256" xr:uid="{00000000-0005-0000-0000-000039540000}"/>
    <cellStyle name="Output 2 4 5 5" xfId="2663" xr:uid="{00000000-0005-0000-0000-00003A540000}"/>
    <cellStyle name="Output 2 4 5 5 2" xfId="6759" xr:uid="{00000000-0005-0000-0000-00003B540000}"/>
    <cellStyle name="Output 2 4 5 5 2 2" xfId="16715" xr:uid="{00000000-0005-0000-0000-00003C540000}"/>
    <cellStyle name="Output 2 4 5 5 2 2 2" xfId="31547" xr:uid="{00000000-0005-0000-0000-00003D540000}"/>
    <cellStyle name="Output 2 4 5 5 2 3" xfId="18743" xr:uid="{00000000-0005-0000-0000-00003E540000}"/>
    <cellStyle name="Output 2 4 5 5 3" xfId="13001" xr:uid="{00000000-0005-0000-0000-00003F540000}"/>
    <cellStyle name="Output 2 4 5 5 3 2" xfId="27833" xr:uid="{00000000-0005-0000-0000-000040540000}"/>
    <cellStyle name="Output 2 4 5 5 4" xfId="10367" xr:uid="{00000000-0005-0000-0000-000041540000}"/>
    <cellStyle name="Output 2 4 5 5 4 2" xfId="25199" xr:uid="{00000000-0005-0000-0000-000042540000}"/>
    <cellStyle name="Output 2 4 5 6" xfId="5775" xr:uid="{00000000-0005-0000-0000-000043540000}"/>
    <cellStyle name="Output 2 4 5 6 2" xfId="16009" xr:uid="{00000000-0005-0000-0000-000044540000}"/>
    <cellStyle name="Output 2 4 5 6 2 2" xfId="30841" xr:uid="{00000000-0005-0000-0000-000045540000}"/>
    <cellStyle name="Output 2 4 5 6 3" xfId="18384" xr:uid="{00000000-0005-0000-0000-000046540000}"/>
    <cellStyle name="Output 2 4 5 7" xfId="12029" xr:uid="{00000000-0005-0000-0000-000047540000}"/>
    <cellStyle name="Output 2 4 5 7 2" xfId="26861" xr:uid="{00000000-0005-0000-0000-000048540000}"/>
    <cellStyle name="Output 2 4 5 8" xfId="9689" xr:uid="{00000000-0005-0000-0000-000049540000}"/>
    <cellStyle name="Output 2 4 5 8 2" xfId="19989" xr:uid="{00000000-0005-0000-0000-00004A540000}"/>
    <cellStyle name="Output 2 4 6" xfId="1779" xr:uid="{00000000-0005-0000-0000-00004B540000}"/>
    <cellStyle name="Output 2 4 6 2" xfId="4000" xr:uid="{00000000-0005-0000-0000-00004C540000}"/>
    <cellStyle name="Output 2 4 6 2 2" xfId="8047" xr:uid="{00000000-0005-0000-0000-00004D540000}"/>
    <cellStyle name="Output 2 4 6 2 2 2" xfId="17467" xr:uid="{00000000-0005-0000-0000-00004E540000}"/>
    <cellStyle name="Output 2 4 6 2 2 2 2" xfId="32299" xr:uid="{00000000-0005-0000-0000-00004F540000}"/>
    <cellStyle name="Output 2 4 6 2 2 3" xfId="19228" xr:uid="{00000000-0005-0000-0000-000050540000}"/>
    <cellStyle name="Output 2 4 6 2 3" xfId="14332" xr:uid="{00000000-0005-0000-0000-000051540000}"/>
    <cellStyle name="Output 2 4 6 2 3 2" xfId="29164" xr:uid="{00000000-0005-0000-0000-000052540000}"/>
    <cellStyle name="Output 2 4 6 2 4" xfId="11084" xr:uid="{00000000-0005-0000-0000-000053540000}"/>
    <cellStyle name="Output 2 4 6 2 4 2" xfId="25916" xr:uid="{00000000-0005-0000-0000-000054540000}"/>
    <cellStyle name="Output 2 4 6 3" xfId="4757" xr:uid="{00000000-0005-0000-0000-000055540000}"/>
    <cellStyle name="Output 2 4 6 3 2" xfId="8796" xr:uid="{00000000-0005-0000-0000-000056540000}"/>
    <cellStyle name="Output 2 4 6 3 2 2" xfId="17868" xr:uid="{00000000-0005-0000-0000-000057540000}"/>
    <cellStyle name="Output 2 4 6 3 2 2 2" xfId="32700" xr:uid="{00000000-0005-0000-0000-000058540000}"/>
    <cellStyle name="Output 2 4 6 3 2 3" xfId="19485" xr:uid="{00000000-0005-0000-0000-000059540000}"/>
    <cellStyle name="Output 2 4 6 3 3" xfId="15081" xr:uid="{00000000-0005-0000-0000-00005A540000}"/>
    <cellStyle name="Output 2 4 6 3 3 2" xfId="29913" xr:uid="{00000000-0005-0000-0000-00005B540000}"/>
    <cellStyle name="Output 2 4 6 3 4" xfId="11471" xr:uid="{00000000-0005-0000-0000-00005C540000}"/>
    <cellStyle name="Output 2 4 6 3 4 2" xfId="26303" xr:uid="{00000000-0005-0000-0000-00005D540000}"/>
    <cellStyle name="Output 2 4 6 4" xfId="2747" xr:uid="{00000000-0005-0000-0000-00005E540000}"/>
    <cellStyle name="Output 2 4 6 4 2" xfId="6838" xr:uid="{00000000-0005-0000-0000-00005F540000}"/>
    <cellStyle name="Output 2 4 6 4 2 2" xfId="16762" xr:uid="{00000000-0005-0000-0000-000060540000}"/>
    <cellStyle name="Output 2 4 6 4 2 2 2" xfId="31594" xr:uid="{00000000-0005-0000-0000-000061540000}"/>
    <cellStyle name="Output 2 4 6 4 2 3" xfId="18776" xr:uid="{00000000-0005-0000-0000-000062540000}"/>
    <cellStyle name="Output 2 4 6 4 3" xfId="13085" xr:uid="{00000000-0005-0000-0000-000063540000}"/>
    <cellStyle name="Output 2 4 6 4 3 2" xfId="27917" xr:uid="{00000000-0005-0000-0000-000064540000}"/>
    <cellStyle name="Output 2 4 6 4 4" xfId="10415" xr:uid="{00000000-0005-0000-0000-000065540000}"/>
    <cellStyle name="Output 2 4 6 4 4 2" xfId="25247" xr:uid="{00000000-0005-0000-0000-000066540000}"/>
    <cellStyle name="Output 2 4 6 5" xfId="5911" xr:uid="{00000000-0005-0000-0000-000067540000}"/>
    <cellStyle name="Output 2 4 6 5 2" xfId="16103" xr:uid="{00000000-0005-0000-0000-000068540000}"/>
    <cellStyle name="Output 2 4 6 5 2 2" xfId="30935" xr:uid="{00000000-0005-0000-0000-000069540000}"/>
    <cellStyle name="Output 2 4 6 5 3" xfId="18418" xr:uid="{00000000-0005-0000-0000-00006A540000}"/>
    <cellStyle name="Output 2 4 6 6" xfId="12173" xr:uid="{00000000-0005-0000-0000-00006B540000}"/>
    <cellStyle name="Output 2 4 6 6 2" xfId="27005" xr:uid="{00000000-0005-0000-0000-00006C540000}"/>
    <cellStyle name="Output 2 4 6 7" xfId="9769" xr:uid="{00000000-0005-0000-0000-00006D540000}"/>
    <cellStyle name="Output 2 4 6 7 2" xfId="24726" xr:uid="{00000000-0005-0000-0000-00006E540000}"/>
    <cellStyle name="Output 2 4 7" xfId="2187" xr:uid="{00000000-0005-0000-0000-00006F540000}"/>
    <cellStyle name="Output 2 4 7 2" xfId="3420" xr:uid="{00000000-0005-0000-0000-000070540000}"/>
    <cellStyle name="Output 2 4 7 2 2" xfId="7483" xr:uid="{00000000-0005-0000-0000-000071540000}"/>
    <cellStyle name="Output 2 4 7 2 2 2" xfId="17181" xr:uid="{00000000-0005-0000-0000-000072540000}"/>
    <cellStyle name="Output 2 4 7 2 2 2 2" xfId="32013" xr:uid="{00000000-0005-0000-0000-000073540000}"/>
    <cellStyle name="Output 2 4 7 2 2 3" xfId="19030" xr:uid="{00000000-0005-0000-0000-000074540000}"/>
    <cellStyle name="Output 2 4 7 2 3" xfId="13757" xr:uid="{00000000-0005-0000-0000-000075540000}"/>
    <cellStyle name="Output 2 4 7 2 3 2" xfId="28589" xr:uid="{00000000-0005-0000-0000-000076540000}"/>
    <cellStyle name="Output 2 4 7 2 4" xfId="10800" xr:uid="{00000000-0005-0000-0000-000077540000}"/>
    <cellStyle name="Output 2 4 7 2 4 2" xfId="25632" xr:uid="{00000000-0005-0000-0000-000078540000}"/>
    <cellStyle name="Output 2 4 7 3" xfId="5155" xr:uid="{00000000-0005-0000-0000-000079540000}"/>
    <cellStyle name="Output 2 4 7 3 2" xfId="9194" xr:uid="{00000000-0005-0000-0000-00007A540000}"/>
    <cellStyle name="Output 2 4 7 3 2 2" xfId="18117" xr:uid="{00000000-0005-0000-0000-00007B540000}"/>
    <cellStyle name="Output 2 4 7 3 2 2 2" xfId="32949" xr:uid="{00000000-0005-0000-0000-00007C540000}"/>
    <cellStyle name="Output 2 4 7 3 2 3" xfId="19668" xr:uid="{00000000-0005-0000-0000-00007D540000}"/>
    <cellStyle name="Output 2 4 7 3 3" xfId="15473" xr:uid="{00000000-0005-0000-0000-00007E540000}"/>
    <cellStyle name="Output 2 4 7 3 3 2" xfId="30305" xr:uid="{00000000-0005-0000-0000-00007F540000}"/>
    <cellStyle name="Output 2 4 7 3 4" xfId="11714" xr:uid="{00000000-0005-0000-0000-000080540000}"/>
    <cellStyle name="Output 2 4 7 3 4 2" xfId="26546" xr:uid="{00000000-0005-0000-0000-000081540000}"/>
    <cellStyle name="Output 2 4 7 4" xfId="4185" xr:uid="{00000000-0005-0000-0000-000082540000}"/>
    <cellStyle name="Output 2 4 7 4 2" xfId="8226" xr:uid="{00000000-0005-0000-0000-000083540000}"/>
    <cellStyle name="Output 2 4 7 4 2 2" xfId="17573" xr:uid="{00000000-0005-0000-0000-000084540000}"/>
    <cellStyle name="Output 2 4 7 4 2 2 2" xfId="32405" xr:uid="{00000000-0005-0000-0000-000085540000}"/>
    <cellStyle name="Output 2 4 7 4 2 3" xfId="19311" xr:uid="{00000000-0005-0000-0000-000086540000}"/>
    <cellStyle name="Output 2 4 7 4 3" xfId="14517" xr:uid="{00000000-0005-0000-0000-000087540000}"/>
    <cellStyle name="Output 2 4 7 4 3 2" xfId="29349" xr:uid="{00000000-0005-0000-0000-000088540000}"/>
    <cellStyle name="Output 2 4 7 4 4" xfId="11193" xr:uid="{00000000-0005-0000-0000-000089540000}"/>
    <cellStyle name="Output 2 4 7 4 4 2" xfId="26025" xr:uid="{00000000-0005-0000-0000-00008A540000}"/>
    <cellStyle name="Output 2 4 7 5" xfId="6301" xr:uid="{00000000-0005-0000-0000-00008B540000}"/>
    <cellStyle name="Output 2 4 7 5 2" xfId="16485" xr:uid="{00000000-0005-0000-0000-00008C540000}"/>
    <cellStyle name="Output 2 4 7 5 2 2" xfId="31317" xr:uid="{00000000-0005-0000-0000-00008D540000}"/>
    <cellStyle name="Output 2 4 7 5 3" xfId="18604" xr:uid="{00000000-0005-0000-0000-00008E540000}"/>
    <cellStyle name="Output 2 4 7 6" xfId="12555" xr:uid="{00000000-0005-0000-0000-00008F540000}"/>
    <cellStyle name="Output 2 4 7 6 2" xfId="27387" xr:uid="{00000000-0005-0000-0000-000090540000}"/>
    <cellStyle name="Output 2 4 7 7" xfId="10137" xr:uid="{00000000-0005-0000-0000-000091540000}"/>
    <cellStyle name="Output 2 4 7 7 2" xfId="24969" xr:uid="{00000000-0005-0000-0000-000092540000}"/>
    <cellStyle name="Output 2 4 8" xfId="4296" xr:uid="{00000000-0005-0000-0000-000093540000}"/>
    <cellStyle name="Output 2 4 8 2" xfId="8335" xr:uid="{00000000-0005-0000-0000-000094540000}"/>
    <cellStyle name="Output 2 4 8 2 2" xfId="17615" xr:uid="{00000000-0005-0000-0000-000095540000}"/>
    <cellStyle name="Output 2 4 8 2 2 2" xfId="32447" xr:uid="{00000000-0005-0000-0000-000096540000}"/>
    <cellStyle name="Output 2 4 8 2 3" xfId="19324" xr:uid="{00000000-0005-0000-0000-000097540000}"/>
    <cellStyle name="Output 2 4 8 3" xfId="14627" xr:uid="{00000000-0005-0000-0000-000098540000}"/>
    <cellStyle name="Output 2 4 8 3 2" xfId="29459" xr:uid="{00000000-0005-0000-0000-000099540000}"/>
    <cellStyle name="Output 2 4 8 4" xfId="11228" xr:uid="{00000000-0005-0000-0000-00009A540000}"/>
    <cellStyle name="Output 2 4 8 4 2" xfId="26060" xr:uid="{00000000-0005-0000-0000-00009B540000}"/>
    <cellStyle name="Output 2 4 9" xfId="3211" xr:uid="{00000000-0005-0000-0000-00009C540000}"/>
    <cellStyle name="Output 2 4 9 2" xfId="7275" xr:uid="{00000000-0005-0000-0000-00009D540000}"/>
    <cellStyle name="Output 2 4 9 2 2" xfId="17041" xr:uid="{00000000-0005-0000-0000-00009E540000}"/>
    <cellStyle name="Output 2 4 9 2 2 2" xfId="31873" xr:uid="{00000000-0005-0000-0000-00009F540000}"/>
    <cellStyle name="Output 2 4 9 2 3" xfId="18964" xr:uid="{00000000-0005-0000-0000-0000A0540000}"/>
    <cellStyle name="Output 2 4 9 3" xfId="13549" xr:uid="{00000000-0005-0000-0000-0000A1540000}"/>
    <cellStyle name="Output 2 4 9 3 2" xfId="28381" xr:uid="{00000000-0005-0000-0000-0000A2540000}"/>
    <cellStyle name="Output 2 4 9 4" xfId="10684" xr:uid="{00000000-0005-0000-0000-0000A3540000}"/>
    <cellStyle name="Output 2 4 9 4 2" xfId="25516" xr:uid="{00000000-0005-0000-0000-0000A4540000}"/>
    <cellStyle name="Output 2 5" xfId="1235" xr:uid="{00000000-0005-0000-0000-0000A5540000}"/>
    <cellStyle name="Output 2 5 10" xfId="2321" xr:uid="{00000000-0005-0000-0000-0000A6540000}"/>
    <cellStyle name="Output 2 5 10 2" xfId="6433" xr:uid="{00000000-0005-0000-0000-0000A7540000}"/>
    <cellStyle name="Output 2 5 10 2 2" xfId="16526" xr:uid="{00000000-0005-0000-0000-0000A8540000}"/>
    <cellStyle name="Output 2 5 10 2 2 2" xfId="31358" xr:uid="{00000000-0005-0000-0000-0000A9540000}"/>
    <cellStyle name="Output 2 5 10 2 3" xfId="18614" xr:uid="{00000000-0005-0000-0000-0000AA540000}"/>
    <cellStyle name="Output 2 5 10 3" xfId="12661" xr:uid="{00000000-0005-0000-0000-0000AB540000}"/>
    <cellStyle name="Output 2 5 10 3 2" xfId="27493" xr:uid="{00000000-0005-0000-0000-0000AC540000}"/>
    <cellStyle name="Output 2 5 10 4" xfId="10177" xr:uid="{00000000-0005-0000-0000-0000AD540000}"/>
    <cellStyle name="Output 2 5 10 4 2" xfId="25009" xr:uid="{00000000-0005-0000-0000-0000AE540000}"/>
    <cellStyle name="Output 2 5 11" xfId="5284" xr:uid="{00000000-0005-0000-0000-0000AF540000}"/>
    <cellStyle name="Output 2 5 11 2" xfId="9292" xr:uid="{00000000-0005-0000-0000-0000B0540000}"/>
    <cellStyle name="Output 2 5 11 2 2" xfId="18159" xr:uid="{00000000-0005-0000-0000-0000B1540000}"/>
    <cellStyle name="Output 2 5 11 2 2 2" xfId="32991" xr:uid="{00000000-0005-0000-0000-0000B2540000}"/>
    <cellStyle name="Output 2 5 11 2 3" xfId="19678" xr:uid="{00000000-0005-0000-0000-0000B3540000}"/>
    <cellStyle name="Output 2 5 11 3" xfId="15600" xr:uid="{00000000-0005-0000-0000-0000B4540000}"/>
    <cellStyle name="Output 2 5 11 3 2" xfId="30432" xr:uid="{00000000-0005-0000-0000-0000B5540000}"/>
    <cellStyle name="Output 2 5 12" xfId="5442" xr:uid="{00000000-0005-0000-0000-0000B6540000}"/>
    <cellStyle name="Output 2 5 12 2" xfId="15678" xr:uid="{00000000-0005-0000-0000-0000B7540000}"/>
    <cellStyle name="Output 2 5 12 2 2" xfId="30510" xr:uid="{00000000-0005-0000-0000-0000B8540000}"/>
    <cellStyle name="Output 2 5 12 3" xfId="18255" xr:uid="{00000000-0005-0000-0000-0000B9540000}"/>
    <cellStyle name="Output 2 5 13" xfId="9349" xr:uid="{00000000-0005-0000-0000-0000BA540000}"/>
    <cellStyle name="Output 2 5 13 2" xfId="24655" xr:uid="{00000000-0005-0000-0000-0000BB540000}"/>
    <cellStyle name="Output 2 5 14" xfId="5338" xr:uid="{00000000-0005-0000-0000-0000BC540000}"/>
    <cellStyle name="Output 2 5 14 2" xfId="18212" xr:uid="{00000000-0005-0000-0000-0000BD540000}"/>
    <cellStyle name="Output 2 5 2" xfId="1354" xr:uid="{00000000-0005-0000-0000-0000BE540000}"/>
    <cellStyle name="Output 2 5 2 2" xfId="1858" xr:uid="{00000000-0005-0000-0000-0000BF540000}"/>
    <cellStyle name="Output 2 5 2 2 2" xfId="4023" xr:uid="{00000000-0005-0000-0000-0000C0540000}"/>
    <cellStyle name="Output 2 5 2 2 2 2" xfId="8070" xr:uid="{00000000-0005-0000-0000-0000C1540000}"/>
    <cellStyle name="Output 2 5 2 2 2 2 2" xfId="17481" xr:uid="{00000000-0005-0000-0000-0000C2540000}"/>
    <cellStyle name="Output 2 5 2 2 2 2 2 2" xfId="32313" xr:uid="{00000000-0005-0000-0000-0000C3540000}"/>
    <cellStyle name="Output 2 5 2 2 2 2 3" xfId="19239" xr:uid="{00000000-0005-0000-0000-0000C4540000}"/>
    <cellStyle name="Output 2 5 2 2 2 3" xfId="14355" xr:uid="{00000000-0005-0000-0000-0000C5540000}"/>
    <cellStyle name="Output 2 5 2 2 2 3 2" xfId="29187" xr:uid="{00000000-0005-0000-0000-0000C6540000}"/>
    <cellStyle name="Output 2 5 2 2 2 4" xfId="11097" xr:uid="{00000000-0005-0000-0000-0000C7540000}"/>
    <cellStyle name="Output 2 5 2 2 2 4 2" xfId="25929" xr:uid="{00000000-0005-0000-0000-0000C8540000}"/>
    <cellStyle name="Output 2 5 2 2 3" xfId="4836" xr:uid="{00000000-0005-0000-0000-0000C9540000}"/>
    <cellStyle name="Output 2 5 2 2 3 2" xfId="8875" xr:uid="{00000000-0005-0000-0000-0000CA540000}"/>
    <cellStyle name="Output 2 5 2 2 3 2 2" xfId="17916" xr:uid="{00000000-0005-0000-0000-0000CB540000}"/>
    <cellStyle name="Output 2 5 2 2 3 2 2 2" xfId="32748" xr:uid="{00000000-0005-0000-0000-0000CC540000}"/>
    <cellStyle name="Output 2 5 2 2 3 2 3" xfId="19518" xr:uid="{00000000-0005-0000-0000-0000CD540000}"/>
    <cellStyle name="Output 2 5 2 2 3 3" xfId="15160" xr:uid="{00000000-0005-0000-0000-0000CE540000}"/>
    <cellStyle name="Output 2 5 2 2 3 3 2" xfId="29992" xr:uid="{00000000-0005-0000-0000-0000CF540000}"/>
    <cellStyle name="Output 2 5 2 2 3 4" xfId="11519" xr:uid="{00000000-0005-0000-0000-0000D0540000}"/>
    <cellStyle name="Output 2 5 2 2 3 4 2" xfId="26351" xr:uid="{00000000-0005-0000-0000-0000D1540000}"/>
    <cellStyle name="Output 2 5 2 2 4" xfId="2826" xr:uid="{00000000-0005-0000-0000-0000D2540000}"/>
    <cellStyle name="Output 2 5 2 2 4 2" xfId="6917" xr:uid="{00000000-0005-0000-0000-0000D3540000}"/>
    <cellStyle name="Output 2 5 2 2 4 2 2" xfId="16810" xr:uid="{00000000-0005-0000-0000-0000D4540000}"/>
    <cellStyle name="Output 2 5 2 2 4 2 2 2" xfId="31642" xr:uid="{00000000-0005-0000-0000-0000D5540000}"/>
    <cellStyle name="Output 2 5 2 2 4 2 3" xfId="18809" xr:uid="{00000000-0005-0000-0000-0000D6540000}"/>
    <cellStyle name="Output 2 5 2 2 4 3" xfId="13164" xr:uid="{00000000-0005-0000-0000-0000D7540000}"/>
    <cellStyle name="Output 2 5 2 2 4 3 2" xfId="27996" xr:uid="{00000000-0005-0000-0000-0000D8540000}"/>
    <cellStyle name="Output 2 5 2 2 4 4" xfId="10463" xr:uid="{00000000-0005-0000-0000-0000D9540000}"/>
    <cellStyle name="Output 2 5 2 2 4 4 2" xfId="25295" xr:uid="{00000000-0005-0000-0000-0000DA540000}"/>
    <cellStyle name="Output 2 5 2 2 5" xfId="5990" xr:uid="{00000000-0005-0000-0000-0000DB540000}"/>
    <cellStyle name="Output 2 5 2 2 5 2" xfId="16182" xr:uid="{00000000-0005-0000-0000-0000DC540000}"/>
    <cellStyle name="Output 2 5 2 2 5 2 2" xfId="31014" xr:uid="{00000000-0005-0000-0000-0000DD540000}"/>
    <cellStyle name="Output 2 5 2 2 5 3" xfId="18451" xr:uid="{00000000-0005-0000-0000-0000DE540000}"/>
    <cellStyle name="Output 2 5 2 2 6" xfId="12252" xr:uid="{00000000-0005-0000-0000-0000DF540000}"/>
    <cellStyle name="Output 2 5 2 2 6 2" xfId="27084" xr:uid="{00000000-0005-0000-0000-0000E0540000}"/>
    <cellStyle name="Output 2 5 2 2 7" xfId="9848" xr:uid="{00000000-0005-0000-0000-0000E1540000}"/>
    <cellStyle name="Output 2 5 2 2 7 2" xfId="24774" xr:uid="{00000000-0005-0000-0000-0000E2540000}"/>
    <cellStyle name="Output 2 5 2 3" xfId="3703" xr:uid="{00000000-0005-0000-0000-0000E3540000}"/>
    <cellStyle name="Output 2 5 2 3 2" xfId="7759" xr:uid="{00000000-0005-0000-0000-0000E4540000}"/>
    <cellStyle name="Output 2 5 2 3 2 2" xfId="17325" xr:uid="{00000000-0005-0000-0000-0000E5540000}"/>
    <cellStyle name="Output 2 5 2 3 2 2 2" xfId="32157" xr:uid="{00000000-0005-0000-0000-0000E6540000}"/>
    <cellStyle name="Output 2 5 2 3 2 3" xfId="19128" xr:uid="{00000000-0005-0000-0000-0000E7540000}"/>
    <cellStyle name="Output 2 5 2 3 3" xfId="14038" xr:uid="{00000000-0005-0000-0000-0000E8540000}"/>
    <cellStyle name="Output 2 5 2 3 3 2" xfId="28870" xr:uid="{00000000-0005-0000-0000-0000E9540000}"/>
    <cellStyle name="Output 2 5 2 3 4" xfId="10943" xr:uid="{00000000-0005-0000-0000-0000EA540000}"/>
    <cellStyle name="Output 2 5 2 3 4 2" xfId="25775" xr:uid="{00000000-0005-0000-0000-0000EB540000}"/>
    <cellStyle name="Output 2 5 2 4" xfId="4416" xr:uid="{00000000-0005-0000-0000-0000EC540000}"/>
    <cellStyle name="Output 2 5 2 4 2" xfId="8455" xr:uid="{00000000-0005-0000-0000-0000ED540000}"/>
    <cellStyle name="Output 2 5 2 4 2 2" xfId="17676" xr:uid="{00000000-0005-0000-0000-0000EE540000}"/>
    <cellStyle name="Output 2 5 2 4 2 2 2" xfId="32508" xr:uid="{00000000-0005-0000-0000-0000EF540000}"/>
    <cellStyle name="Output 2 5 2 4 2 3" xfId="19358" xr:uid="{00000000-0005-0000-0000-0000F0540000}"/>
    <cellStyle name="Output 2 5 2 4 3" xfId="14745" xr:uid="{00000000-0005-0000-0000-0000F1540000}"/>
    <cellStyle name="Output 2 5 2 4 3 2" xfId="29577" xr:uid="{00000000-0005-0000-0000-0000F2540000}"/>
    <cellStyle name="Output 2 5 2 4 4" xfId="11284" xr:uid="{00000000-0005-0000-0000-0000F3540000}"/>
    <cellStyle name="Output 2 5 2 4 4 2" xfId="26116" xr:uid="{00000000-0005-0000-0000-0000F4540000}"/>
    <cellStyle name="Output 2 5 2 5" xfId="2406" xr:uid="{00000000-0005-0000-0000-0000F5540000}"/>
    <cellStyle name="Output 2 5 2 5 2" xfId="6518" xr:uid="{00000000-0005-0000-0000-0000F6540000}"/>
    <cellStyle name="Output 2 5 2 5 2 2" xfId="16574" xr:uid="{00000000-0005-0000-0000-0000F7540000}"/>
    <cellStyle name="Output 2 5 2 5 2 2 2" xfId="31406" xr:uid="{00000000-0005-0000-0000-0000F8540000}"/>
    <cellStyle name="Output 2 5 2 5 2 3" xfId="18646" xr:uid="{00000000-0005-0000-0000-0000F9540000}"/>
    <cellStyle name="Output 2 5 2 5 3" xfId="12745" xr:uid="{00000000-0005-0000-0000-0000FA540000}"/>
    <cellStyle name="Output 2 5 2 5 3 2" xfId="27577" xr:uid="{00000000-0005-0000-0000-0000FB540000}"/>
    <cellStyle name="Output 2 5 2 5 4" xfId="10224" xr:uid="{00000000-0005-0000-0000-0000FC540000}"/>
    <cellStyle name="Output 2 5 2 5 4 2" xfId="25056" xr:uid="{00000000-0005-0000-0000-0000FD540000}"/>
    <cellStyle name="Output 2 5 2 6" xfId="5531" xr:uid="{00000000-0005-0000-0000-0000FE540000}"/>
    <cellStyle name="Output 2 5 2 6 2" xfId="15766" xr:uid="{00000000-0005-0000-0000-0000FF540000}"/>
    <cellStyle name="Output 2 5 2 6 2 2" xfId="30598" xr:uid="{00000000-0005-0000-0000-000000550000}"/>
    <cellStyle name="Output 2 5 2 6 3" xfId="18288" xr:uid="{00000000-0005-0000-0000-000001550000}"/>
    <cellStyle name="Output 2 5 2 7" xfId="11781" xr:uid="{00000000-0005-0000-0000-000002550000}"/>
    <cellStyle name="Output 2 5 2 7 2" xfId="26613" xr:uid="{00000000-0005-0000-0000-000003550000}"/>
    <cellStyle name="Output 2 5 2 8" xfId="9452" xr:uid="{00000000-0005-0000-0000-000004550000}"/>
    <cellStyle name="Output 2 5 2 8 2" xfId="19756" xr:uid="{00000000-0005-0000-0000-000005550000}"/>
    <cellStyle name="Output 2 5 3" xfId="1524" xr:uid="{00000000-0005-0000-0000-000006550000}"/>
    <cellStyle name="Output 2 5 3 2" xfId="2021" xr:uid="{00000000-0005-0000-0000-000007550000}"/>
    <cellStyle name="Output 2 5 3 2 2" xfId="3438" xr:uid="{00000000-0005-0000-0000-000008550000}"/>
    <cellStyle name="Output 2 5 3 2 2 2" xfId="7501" xr:uid="{00000000-0005-0000-0000-000009550000}"/>
    <cellStyle name="Output 2 5 3 2 2 2 2" xfId="17189" xr:uid="{00000000-0005-0000-0000-00000A550000}"/>
    <cellStyle name="Output 2 5 3 2 2 2 2 2" xfId="32021" xr:uid="{00000000-0005-0000-0000-00000B550000}"/>
    <cellStyle name="Output 2 5 3 2 2 2 3" xfId="19035" xr:uid="{00000000-0005-0000-0000-00000C550000}"/>
    <cellStyle name="Output 2 5 3 2 2 3" xfId="13775" xr:uid="{00000000-0005-0000-0000-00000D550000}"/>
    <cellStyle name="Output 2 5 3 2 2 3 2" xfId="28607" xr:uid="{00000000-0005-0000-0000-00000E550000}"/>
    <cellStyle name="Output 2 5 3 2 2 4" xfId="10808" xr:uid="{00000000-0005-0000-0000-00000F550000}"/>
    <cellStyle name="Output 2 5 3 2 2 4 2" xfId="25640" xr:uid="{00000000-0005-0000-0000-000010550000}"/>
    <cellStyle name="Output 2 5 3 2 3" xfId="4989" xr:uid="{00000000-0005-0000-0000-000011550000}"/>
    <cellStyle name="Output 2 5 3 2 3 2" xfId="9028" xr:uid="{00000000-0005-0000-0000-000012550000}"/>
    <cellStyle name="Output 2 5 3 2 3 2 2" xfId="17966" xr:uid="{00000000-0005-0000-0000-000013550000}"/>
    <cellStyle name="Output 2 5 3 2 3 2 2 2" xfId="32798" xr:uid="{00000000-0005-0000-0000-000014550000}"/>
    <cellStyle name="Output 2 5 3 2 3 2 3" xfId="19550" xr:uid="{00000000-0005-0000-0000-000015550000}"/>
    <cellStyle name="Output 2 5 3 2 3 3" xfId="15311" xr:uid="{00000000-0005-0000-0000-000016550000}"/>
    <cellStyle name="Output 2 5 3 2 3 3 2" xfId="30143" xr:uid="{00000000-0005-0000-0000-000017550000}"/>
    <cellStyle name="Output 2 5 3 2 3 4" xfId="11567" xr:uid="{00000000-0005-0000-0000-000018550000}"/>
    <cellStyle name="Output 2 5 3 2 3 4 2" xfId="26399" xr:uid="{00000000-0005-0000-0000-000019550000}"/>
    <cellStyle name="Output 2 5 3 2 4" xfId="2979" xr:uid="{00000000-0005-0000-0000-00001A550000}"/>
    <cellStyle name="Output 2 5 3 2 4 2" xfId="7059" xr:uid="{00000000-0005-0000-0000-00001B550000}"/>
    <cellStyle name="Output 2 5 3 2 4 2 2" xfId="16858" xr:uid="{00000000-0005-0000-0000-00001C550000}"/>
    <cellStyle name="Output 2 5 3 2 4 2 2 2" xfId="31690" xr:uid="{00000000-0005-0000-0000-00001D550000}"/>
    <cellStyle name="Output 2 5 3 2 4 2 3" xfId="18842" xr:uid="{00000000-0005-0000-0000-00001E550000}"/>
    <cellStyle name="Output 2 5 3 2 4 3" xfId="13317" xr:uid="{00000000-0005-0000-0000-00001F550000}"/>
    <cellStyle name="Output 2 5 3 2 4 3 2" xfId="28149" xr:uid="{00000000-0005-0000-0000-000020550000}"/>
    <cellStyle name="Output 2 5 3 2 4 4" xfId="10513" xr:uid="{00000000-0005-0000-0000-000021550000}"/>
    <cellStyle name="Output 2 5 3 2 4 4 2" xfId="25345" xr:uid="{00000000-0005-0000-0000-000022550000}"/>
    <cellStyle name="Output 2 5 3 2 5" xfId="6151" xr:uid="{00000000-0005-0000-0000-000023550000}"/>
    <cellStyle name="Output 2 5 3 2 5 2" xfId="16338" xr:uid="{00000000-0005-0000-0000-000024550000}"/>
    <cellStyle name="Output 2 5 3 2 5 2 2" xfId="31170" xr:uid="{00000000-0005-0000-0000-000025550000}"/>
    <cellStyle name="Output 2 5 3 2 5 3" xfId="18483" xr:uid="{00000000-0005-0000-0000-000026550000}"/>
    <cellStyle name="Output 2 5 3 2 6" xfId="12408" xr:uid="{00000000-0005-0000-0000-000027550000}"/>
    <cellStyle name="Output 2 5 3 2 6 2" xfId="27240" xr:uid="{00000000-0005-0000-0000-000028550000}"/>
    <cellStyle name="Output 2 5 3 2 7" xfId="9990" xr:uid="{00000000-0005-0000-0000-000029550000}"/>
    <cellStyle name="Output 2 5 3 2 7 2" xfId="24822" xr:uid="{00000000-0005-0000-0000-00002A550000}"/>
    <cellStyle name="Output 2 5 3 3" xfId="3201" xr:uid="{00000000-0005-0000-0000-00002B550000}"/>
    <cellStyle name="Output 2 5 3 3 2" xfId="7265" xr:uid="{00000000-0005-0000-0000-00002C550000}"/>
    <cellStyle name="Output 2 5 3 3 2 2" xfId="17032" xr:uid="{00000000-0005-0000-0000-00002D550000}"/>
    <cellStyle name="Output 2 5 3 3 2 2 2" xfId="31864" xr:uid="{00000000-0005-0000-0000-00002E550000}"/>
    <cellStyle name="Output 2 5 3 3 2 3" xfId="18960" xr:uid="{00000000-0005-0000-0000-00002F550000}"/>
    <cellStyle name="Output 2 5 3 3 3" xfId="13539" xr:uid="{00000000-0005-0000-0000-000030550000}"/>
    <cellStyle name="Output 2 5 3 3 3 2" xfId="28371" xr:uid="{00000000-0005-0000-0000-000031550000}"/>
    <cellStyle name="Output 2 5 3 3 4" xfId="10676" xr:uid="{00000000-0005-0000-0000-000032550000}"/>
    <cellStyle name="Output 2 5 3 3 4 2" xfId="25508" xr:uid="{00000000-0005-0000-0000-000033550000}"/>
    <cellStyle name="Output 2 5 3 4" xfId="4569" xr:uid="{00000000-0005-0000-0000-000034550000}"/>
    <cellStyle name="Output 2 5 3 4 2" xfId="8608" xr:uid="{00000000-0005-0000-0000-000035550000}"/>
    <cellStyle name="Output 2 5 3 4 2 2" xfId="17726" xr:uid="{00000000-0005-0000-0000-000036550000}"/>
    <cellStyle name="Output 2 5 3 4 2 2 2" xfId="32558" xr:uid="{00000000-0005-0000-0000-000037550000}"/>
    <cellStyle name="Output 2 5 3 4 2 3" xfId="19390" xr:uid="{00000000-0005-0000-0000-000038550000}"/>
    <cellStyle name="Output 2 5 3 4 3" xfId="14896" xr:uid="{00000000-0005-0000-0000-000039550000}"/>
    <cellStyle name="Output 2 5 3 4 3 2" xfId="29728" xr:uid="{00000000-0005-0000-0000-00003A550000}"/>
    <cellStyle name="Output 2 5 3 4 4" xfId="11332" xr:uid="{00000000-0005-0000-0000-00003B550000}"/>
    <cellStyle name="Output 2 5 3 4 4 2" xfId="26164" xr:uid="{00000000-0005-0000-0000-00003C550000}"/>
    <cellStyle name="Output 2 5 3 5" xfId="2559" xr:uid="{00000000-0005-0000-0000-00003D550000}"/>
    <cellStyle name="Output 2 5 3 5 2" xfId="6665" xr:uid="{00000000-0005-0000-0000-00003E550000}"/>
    <cellStyle name="Output 2 5 3 5 2 2" xfId="16623" xr:uid="{00000000-0005-0000-0000-00003F550000}"/>
    <cellStyle name="Output 2 5 3 5 2 2 2" xfId="31455" xr:uid="{00000000-0005-0000-0000-000040550000}"/>
    <cellStyle name="Output 2 5 3 5 2 3" xfId="18678" xr:uid="{00000000-0005-0000-0000-000041550000}"/>
    <cellStyle name="Output 2 5 3 5 3" xfId="12897" xr:uid="{00000000-0005-0000-0000-000042550000}"/>
    <cellStyle name="Output 2 5 3 5 3 2" xfId="27729" xr:uid="{00000000-0005-0000-0000-000043550000}"/>
    <cellStyle name="Output 2 5 3 5 4" xfId="10273" xr:uid="{00000000-0005-0000-0000-000044550000}"/>
    <cellStyle name="Output 2 5 3 5 4 2" xfId="25105" xr:uid="{00000000-0005-0000-0000-000045550000}"/>
    <cellStyle name="Output 2 5 3 6" xfId="5682" xr:uid="{00000000-0005-0000-0000-000046550000}"/>
    <cellStyle name="Output 2 5 3 6 2" xfId="15917" xr:uid="{00000000-0005-0000-0000-000047550000}"/>
    <cellStyle name="Output 2 5 3 6 2 2" xfId="30749" xr:uid="{00000000-0005-0000-0000-000048550000}"/>
    <cellStyle name="Output 2 5 3 6 3" xfId="18320" xr:uid="{00000000-0005-0000-0000-000049550000}"/>
    <cellStyle name="Output 2 5 3 7" xfId="11937" xr:uid="{00000000-0005-0000-0000-00004A550000}"/>
    <cellStyle name="Output 2 5 3 7 2" xfId="26769" xr:uid="{00000000-0005-0000-0000-00004B550000}"/>
    <cellStyle name="Output 2 5 3 8" xfId="9595" xr:uid="{00000000-0005-0000-0000-00004C550000}"/>
    <cellStyle name="Output 2 5 3 8 2" xfId="19897" xr:uid="{00000000-0005-0000-0000-00004D550000}"/>
    <cellStyle name="Output 2 5 4" xfId="1579" xr:uid="{00000000-0005-0000-0000-00004E550000}"/>
    <cellStyle name="Output 2 5 4 2" xfId="2076" xr:uid="{00000000-0005-0000-0000-00004F550000}"/>
    <cellStyle name="Output 2 5 4 2 2" xfId="4061" xr:uid="{00000000-0005-0000-0000-000050550000}"/>
    <cellStyle name="Output 2 5 4 2 2 2" xfId="8108" xr:uid="{00000000-0005-0000-0000-000051550000}"/>
    <cellStyle name="Output 2 5 4 2 2 2 2" xfId="17498" xr:uid="{00000000-0005-0000-0000-000052550000}"/>
    <cellStyle name="Output 2 5 4 2 2 2 2 2" xfId="32330" xr:uid="{00000000-0005-0000-0000-000053550000}"/>
    <cellStyle name="Output 2 5 4 2 2 2 3" xfId="19251" xr:uid="{00000000-0005-0000-0000-000054550000}"/>
    <cellStyle name="Output 2 5 4 2 2 3" xfId="14393" xr:uid="{00000000-0005-0000-0000-000055550000}"/>
    <cellStyle name="Output 2 5 4 2 2 3 2" xfId="29225" xr:uid="{00000000-0005-0000-0000-000056550000}"/>
    <cellStyle name="Output 2 5 4 2 2 4" xfId="11114" xr:uid="{00000000-0005-0000-0000-000057550000}"/>
    <cellStyle name="Output 2 5 4 2 2 4 2" xfId="25946" xr:uid="{00000000-0005-0000-0000-000058550000}"/>
    <cellStyle name="Output 2 5 4 2 3" xfId="5044" xr:uid="{00000000-0005-0000-0000-000059550000}"/>
    <cellStyle name="Output 2 5 4 2 3 2" xfId="9083" xr:uid="{00000000-0005-0000-0000-00005A550000}"/>
    <cellStyle name="Output 2 5 4 2 3 2 2" xfId="18016" xr:uid="{00000000-0005-0000-0000-00005B550000}"/>
    <cellStyle name="Output 2 5 4 2 3 2 2 2" xfId="32848" xr:uid="{00000000-0005-0000-0000-00005C550000}"/>
    <cellStyle name="Output 2 5 4 2 3 2 3" xfId="19582" xr:uid="{00000000-0005-0000-0000-00005D550000}"/>
    <cellStyle name="Output 2 5 4 2 3 3" xfId="15365" xr:uid="{00000000-0005-0000-0000-00005E550000}"/>
    <cellStyle name="Output 2 5 4 2 3 3 2" xfId="30197" xr:uid="{00000000-0005-0000-0000-00005F550000}"/>
    <cellStyle name="Output 2 5 4 2 3 4" xfId="11616" xr:uid="{00000000-0005-0000-0000-000060550000}"/>
    <cellStyle name="Output 2 5 4 2 3 4 2" xfId="26448" xr:uid="{00000000-0005-0000-0000-000061550000}"/>
    <cellStyle name="Output 2 5 4 2 4" xfId="3034" xr:uid="{00000000-0005-0000-0000-000062550000}"/>
    <cellStyle name="Output 2 5 4 2 4 2" xfId="7109" xr:uid="{00000000-0005-0000-0000-000063550000}"/>
    <cellStyle name="Output 2 5 4 2 4 2 2" xfId="16907" xr:uid="{00000000-0005-0000-0000-000064550000}"/>
    <cellStyle name="Output 2 5 4 2 4 2 2 2" xfId="31739" xr:uid="{00000000-0005-0000-0000-000065550000}"/>
    <cellStyle name="Output 2 5 4 2 4 2 3" xfId="18875" xr:uid="{00000000-0005-0000-0000-000066550000}"/>
    <cellStyle name="Output 2 5 4 2 4 3" xfId="13372" xr:uid="{00000000-0005-0000-0000-000067550000}"/>
    <cellStyle name="Output 2 5 4 2 4 3 2" xfId="28204" xr:uid="{00000000-0005-0000-0000-000068550000}"/>
    <cellStyle name="Output 2 5 4 2 4 4" xfId="10563" xr:uid="{00000000-0005-0000-0000-000069550000}"/>
    <cellStyle name="Output 2 5 4 2 4 4 2" xfId="25395" xr:uid="{00000000-0005-0000-0000-00006A550000}"/>
    <cellStyle name="Output 2 5 4 2 5" xfId="6201" xr:uid="{00000000-0005-0000-0000-00006B550000}"/>
    <cellStyle name="Output 2 5 4 2 5 2" xfId="16387" xr:uid="{00000000-0005-0000-0000-00006C550000}"/>
    <cellStyle name="Output 2 5 4 2 5 2 2" xfId="31219" xr:uid="{00000000-0005-0000-0000-00006D550000}"/>
    <cellStyle name="Output 2 5 4 2 5 3" xfId="18516" xr:uid="{00000000-0005-0000-0000-00006E550000}"/>
    <cellStyle name="Output 2 5 4 2 6" xfId="12457" xr:uid="{00000000-0005-0000-0000-00006F550000}"/>
    <cellStyle name="Output 2 5 4 2 6 2" xfId="27289" xr:uid="{00000000-0005-0000-0000-000070550000}"/>
    <cellStyle name="Output 2 5 4 2 7" xfId="10039" xr:uid="{00000000-0005-0000-0000-000071550000}"/>
    <cellStyle name="Output 2 5 4 2 7 2" xfId="24871" xr:uid="{00000000-0005-0000-0000-000072550000}"/>
    <cellStyle name="Output 2 5 4 3" xfId="3426" xr:uid="{00000000-0005-0000-0000-000073550000}"/>
    <cellStyle name="Output 2 5 4 3 2" xfId="7489" xr:uid="{00000000-0005-0000-0000-000074550000}"/>
    <cellStyle name="Output 2 5 4 3 2 2" xfId="17184" xr:uid="{00000000-0005-0000-0000-000075550000}"/>
    <cellStyle name="Output 2 5 4 3 2 2 2" xfId="32016" xr:uid="{00000000-0005-0000-0000-000076550000}"/>
    <cellStyle name="Output 2 5 4 3 2 3" xfId="19032" xr:uid="{00000000-0005-0000-0000-000077550000}"/>
    <cellStyle name="Output 2 5 4 3 3" xfId="13763" xr:uid="{00000000-0005-0000-0000-000078550000}"/>
    <cellStyle name="Output 2 5 4 3 3 2" xfId="28595" xr:uid="{00000000-0005-0000-0000-000079550000}"/>
    <cellStyle name="Output 2 5 4 3 4" xfId="10803" xr:uid="{00000000-0005-0000-0000-00007A550000}"/>
    <cellStyle name="Output 2 5 4 3 4 2" xfId="25635" xr:uid="{00000000-0005-0000-0000-00007B550000}"/>
    <cellStyle name="Output 2 5 4 4" xfId="4624" xr:uid="{00000000-0005-0000-0000-00007C550000}"/>
    <cellStyle name="Output 2 5 4 4 2" xfId="8663" xr:uid="{00000000-0005-0000-0000-00007D550000}"/>
    <cellStyle name="Output 2 5 4 4 2 2" xfId="17776" xr:uid="{00000000-0005-0000-0000-00007E550000}"/>
    <cellStyle name="Output 2 5 4 4 2 2 2" xfId="32608" xr:uid="{00000000-0005-0000-0000-00007F550000}"/>
    <cellStyle name="Output 2 5 4 4 2 3" xfId="19422" xr:uid="{00000000-0005-0000-0000-000080550000}"/>
    <cellStyle name="Output 2 5 4 4 3" xfId="14950" xr:uid="{00000000-0005-0000-0000-000081550000}"/>
    <cellStyle name="Output 2 5 4 4 3 2" xfId="29782" xr:uid="{00000000-0005-0000-0000-000082550000}"/>
    <cellStyle name="Output 2 5 4 4 4" xfId="11381" xr:uid="{00000000-0005-0000-0000-000083550000}"/>
    <cellStyle name="Output 2 5 4 4 4 2" xfId="26213" xr:uid="{00000000-0005-0000-0000-000084550000}"/>
    <cellStyle name="Output 2 5 4 5" xfId="2614" xr:uid="{00000000-0005-0000-0000-000085550000}"/>
    <cellStyle name="Output 2 5 4 5 2" xfId="6715" xr:uid="{00000000-0005-0000-0000-000086550000}"/>
    <cellStyle name="Output 2 5 4 5 2 2" xfId="16672" xr:uid="{00000000-0005-0000-0000-000087550000}"/>
    <cellStyle name="Output 2 5 4 5 2 2 2" xfId="31504" xr:uid="{00000000-0005-0000-0000-000088550000}"/>
    <cellStyle name="Output 2 5 4 5 2 3" xfId="18711" xr:uid="{00000000-0005-0000-0000-000089550000}"/>
    <cellStyle name="Output 2 5 4 5 3" xfId="12952" xr:uid="{00000000-0005-0000-0000-00008A550000}"/>
    <cellStyle name="Output 2 5 4 5 3 2" xfId="27784" xr:uid="{00000000-0005-0000-0000-00008B550000}"/>
    <cellStyle name="Output 2 5 4 5 4" xfId="10323" xr:uid="{00000000-0005-0000-0000-00008C550000}"/>
    <cellStyle name="Output 2 5 4 5 4 2" xfId="25155" xr:uid="{00000000-0005-0000-0000-00008D550000}"/>
    <cellStyle name="Output 2 5 4 6" xfId="5731" xr:uid="{00000000-0005-0000-0000-00008E550000}"/>
    <cellStyle name="Output 2 5 4 6 2" xfId="15966" xr:uid="{00000000-0005-0000-0000-00008F550000}"/>
    <cellStyle name="Output 2 5 4 6 2 2" xfId="30798" xr:uid="{00000000-0005-0000-0000-000090550000}"/>
    <cellStyle name="Output 2 5 4 6 3" xfId="18352" xr:uid="{00000000-0005-0000-0000-000091550000}"/>
    <cellStyle name="Output 2 5 4 7" xfId="11986" xr:uid="{00000000-0005-0000-0000-000092550000}"/>
    <cellStyle name="Output 2 5 4 7 2" xfId="26818" xr:uid="{00000000-0005-0000-0000-000093550000}"/>
    <cellStyle name="Output 2 5 4 8" xfId="9645" xr:uid="{00000000-0005-0000-0000-000094550000}"/>
    <cellStyle name="Output 2 5 4 8 2" xfId="19946" xr:uid="{00000000-0005-0000-0000-000095550000}"/>
    <cellStyle name="Output 2 5 5" xfId="1629" xr:uid="{00000000-0005-0000-0000-000096550000}"/>
    <cellStyle name="Output 2 5 5 2" xfId="2126" xr:uid="{00000000-0005-0000-0000-000097550000}"/>
    <cellStyle name="Output 2 5 5 2 2" xfId="3629" xr:uid="{00000000-0005-0000-0000-000098550000}"/>
    <cellStyle name="Output 2 5 5 2 2 2" xfId="7688" xr:uid="{00000000-0005-0000-0000-000099550000}"/>
    <cellStyle name="Output 2 5 5 2 2 2 2" xfId="17289" xr:uid="{00000000-0005-0000-0000-00009A550000}"/>
    <cellStyle name="Output 2 5 5 2 2 2 2 2" xfId="32121" xr:uid="{00000000-0005-0000-0000-00009B550000}"/>
    <cellStyle name="Output 2 5 5 2 2 2 3" xfId="19103" xr:uid="{00000000-0005-0000-0000-00009C550000}"/>
    <cellStyle name="Output 2 5 5 2 2 3" xfId="13964" xr:uid="{00000000-0005-0000-0000-00009D550000}"/>
    <cellStyle name="Output 2 5 5 2 2 3 2" xfId="28796" xr:uid="{00000000-0005-0000-0000-00009E550000}"/>
    <cellStyle name="Output 2 5 5 2 2 4" xfId="10905" xr:uid="{00000000-0005-0000-0000-00009F550000}"/>
    <cellStyle name="Output 2 5 5 2 2 4 2" xfId="25737" xr:uid="{00000000-0005-0000-0000-0000A0550000}"/>
    <cellStyle name="Output 2 5 5 2 3" xfId="5094" xr:uid="{00000000-0005-0000-0000-0000A1550000}"/>
    <cellStyle name="Output 2 5 5 2 3 2" xfId="9133" xr:uid="{00000000-0005-0000-0000-0000A2550000}"/>
    <cellStyle name="Output 2 5 5 2 3 2 2" xfId="18061" xr:uid="{00000000-0005-0000-0000-0000A3550000}"/>
    <cellStyle name="Output 2 5 5 2 3 2 2 2" xfId="32893" xr:uid="{00000000-0005-0000-0000-0000A4550000}"/>
    <cellStyle name="Output 2 5 5 2 3 2 3" xfId="19614" xr:uid="{00000000-0005-0000-0000-0000A5550000}"/>
    <cellStyle name="Output 2 5 5 2 3 3" xfId="15414" xr:uid="{00000000-0005-0000-0000-0000A6550000}"/>
    <cellStyle name="Output 2 5 5 2 3 3 2" xfId="30246" xr:uid="{00000000-0005-0000-0000-0000A7550000}"/>
    <cellStyle name="Output 2 5 5 2 3 4" xfId="11660" xr:uid="{00000000-0005-0000-0000-0000A8550000}"/>
    <cellStyle name="Output 2 5 5 2 3 4 2" xfId="26492" xr:uid="{00000000-0005-0000-0000-0000A9550000}"/>
    <cellStyle name="Output 2 5 5 2 4" xfId="3084" xr:uid="{00000000-0005-0000-0000-0000AA550000}"/>
    <cellStyle name="Output 2 5 5 2 4 2" xfId="7154" xr:uid="{00000000-0005-0000-0000-0000AB550000}"/>
    <cellStyle name="Output 2 5 5 2 4 2 2" xfId="16951" xr:uid="{00000000-0005-0000-0000-0000AC550000}"/>
    <cellStyle name="Output 2 5 5 2 4 2 2 2" xfId="31783" xr:uid="{00000000-0005-0000-0000-0000AD550000}"/>
    <cellStyle name="Output 2 5 5 2 4 2 3" xfId="18908" xr:uid="{00000000-0005-0000-0000-0000AE550000}"/>
    <cellStyle name="Output 2 5 5 2 4 3" xfId="13422" xr:uid="{00000000-0005-0000-0000-0000AF550000}"/>
    <cellStyle name="Output 2 5 5 2 4 3 2" xfId="28254" xr:uid="{00000000-0005-0000-0000-0000B0550000}"/>
    <cellStyle name="Output 2 5 5 2 4 4" xfId="10608" xr:uid="{00000000-0005-0000-0000-0000B1550000}"/>
    <cellStyle name="Output 2 5 5 2 4 4 2" xfId="25440" xr:uid="{00000000-0005-0000-0000-0000B2550000}"/>
    <cellStyle name="Output 2 5 5 2 5" xfId="6246" xr:uid="{00000000-0005-0000-0000-0000B3550000}"/>
    <cellStyle name="Output 2 5 5 2 5 2" xfId="16431" xr:uid="{00000000-0005-0000-0000-0000B4550000}"/>
    <cellStyle name="Output 2 5 5 2 5 2 2" xfId="31263" xr:uid="{00000000-0005-0000-0000-0000B5550000}"/>
    <cellStyle name="Output 2 5 5 2 5 3" xfId="18549" xr:uid="{00000000-0005-0000-0000-0000B6550000}"/>
    <cellStyle name="Output 2 5 5 2 6" xfId="12501" xr:uid="{00000000-0005-0000-0000-0000B7550000}"/>
    <cellStyle name="Output 2 5 5 2 6 2" xfId="27333" xr:uid="{00000000-0005-0000-0000-0000B8550000}"/>
    <cellStyle name="Output 2 5 5 2 7" xfId="10083" xr:uid="{00000000-0005-0000-0000-0000B9550000}"/>
    <cellStyle name="Output 2 5 5 2 7 2" xfId="24915" xr:uid="{00000000-0005-0000-0000-0000BA550000}"/>
    <cellStyle name="Output 2 5 5 3" xfId="4133" xr:uid="{00000000-0005-0000-0000-0000BB550000}"/>
    <cellStyle name="Output 2 5 5 3 2" xfId="8177" xr:uid="{00000000-0005-0000-0000-0000BC550000}"/>
    <cellStyle name="Output 2 5 5 3 2 2" xfId="17535" xr:uid="{00000000-0005-0000-0000-0000BD550000}"/>
    <cellStyle name="Output 2 5 5 3 2 2 2" xfId="32367" xr:uid="{00000000-0005-0000-0000-0000BE550000}"/>
    <cellStyle name="Output 2 5 5 3 2 3" xfId="19279" xr:uid="{00000000-0005-0000-0000-0000BF550000}"/>
    <cellStyle name="Output 2 5 5 3 3" xfId="14465" xr:uid="{00000000-0005-0000-0000-0000C0550000}"/>
    <cellStyle name="Output 2 5 5 3 3 2" xfId="29297" xr:uid="{00000000-0005-0000-0000-0000C1550000}"/>
    <cellStyle name="Output 2 5 5 3 4" xfId="11153" xr:uid="{00000000-0005-0000-0000-0000C2550000}"/>
    <cellStyle name="Output 2 5 5 3 4 2" xfId="25985" xr:uid="{00000000-0005-0000-0000-0000C3550000}"/>
    <cellStyle name="Output 2 5 5 4" xfId="4674" xr:uid="{00000000-0005-0000-0000-0000C4550000}"/>
    <cellStyle name="Output 2 5 5 4 2" xfId="8713" xr:uid="{00000000-0005-0000-0000-0000C5550000}"/>
    <cellStyle name="Output 2 5 5 4 2 2" xfId="17821" xr:uid="{00000000-0005-0000-0000-0000C6550000}"/>
    <cellStyle name="Output 2 5 5 4 2 2 2" xfId="32653" xr:uid="{00000000-0005-0000-0000-0000C7550000}"/>
    <cellStyle name="Output 2 5 5 4 2 3" xfId="19454" xr:uid="{00000000-0005-0000-0000-0000C8550000}"/>
    <cellStyle name="Output 2 5 5 4 3" xfId="14999" xr:uid="{00000000-0005-0000-0000-0000C9550000}"/>
    <cellStyle name="Output 2 5 5 4 3 2" xfId="29831" xr:uid="{00000000-0005-0000-0000-0000CA550000}"/>
    <cellStyle name="Output 2 5 5 4 4" xfId="11425" xr:uid="{00000000-0005-0000-0000-0000CB550000}"/>
    <cellStyle name="Output 2 5 5 4 4 2" xfId="26257" xr:uid="{00000000-0005-0000-0000-0000CC550000}"/>
    <cellStyle name="Output 2 5 5 5" xfId="2664" xr:uid="{00000000-0005-0000-0000-0000CD550000}"/>
    <cellStyle name="Output 2 5 5 5 2" xfId="6760" xr:uid="{00000000-0005-0000-0000-0000CE550000}"/>
    <cellStyle name="Output 2 5 5 5 2 2" xfId="16716" xr:uid="{00000000-0005-0000-0000-0000CF550000}"/>
    <cellStyle name="Output 2 5 5 5 2 2 2" xfId="31548" xr:uid="{00000000-0005-0000-0000-0000D0550000}"/>
    <cellStyle name="Output 2 5 5 5 2 3" xfId="18744" xr:uid="{00000000-0005-0000-0000-0000D1550000}"/>
    <cellStyle name="Output 2 5 5 5 3" xfId="13002" xr:uid="{00000000-0005-0000-0000-0000D2550000}"/>
    <cellStyle name="Output 2 5 5 5 3 2" xfId="27834" xr:uid="{00000000-0005-0000-0000-0000D3550000}"/>
    <cellStyle name="Output 2 5 5 5 4" xfId="10368" xr:uid="{00000000-0005-0000-0000-0000D4550000}"/>
    <cellStyle name="Output 2 5 5 5 4 2" xfId="25200" xr:uid="{00000000-0005-0000-0000-0000D5550000}"/>
    <cellStyle name="Output 2 5 5 6" xfId="5776" xr:uid="{00000000-0005-0000-0000-0000D6550000}"/>
    <cellStyle name="Output 2 5 5 6 2" xfId="16010" xr:uid="{00000000-0005-0000-0000-0000D7550000}"/>
    <cellStyle name="Output 2 5 5 6 2 2" xfId="30842" xr:uid="{00000000-0005-0000-0000-0000D8550000}"/>
    <cellStyle name="Output 2 5 5 6 3" xfId="18385" xr:uid="{00000000-0005-0000-0000-0000D9550000}"/>
    <cellStyle name="Output 2 5 5 7" xfId="12030" xr:uid="{00000000-0005-0000-0000-0000DA550000}"/>
    <cellStyle name="Output 2 5 5 7 2" xfId="26862" xr:uid="{00000000-0005-0000-0000-0000DB550000}"/>
    <cellStyle name="Output 2 5 5 8" xfId="9690" xr:uid="{00000000-0005-0000-0000-0000DC550000}"/>
    <cellStyle name="Output 2 5 5 8 2" xfId="19990" xr:uid="{00000000-0005-0000-0000-0000DD550000}"/>
    <cellStyle name="Output 2 5 6" xfId="1780" xr:uid="{00000000-0005-0000-0000-0000DE550000}"/>
    <cellStyle name="Output 2 5 6 2" xfId="3826" xr:uid="{00000000-0005-0000-0000-0000DF550000}"/>
    <cellStyle name="Output 2 5 6 2 2" xfId="7879" xr:uid="{00000000-0005-0000-0000-0000E0550000}"/>
    <cellStyle name="Output 2 5 6 2 2 2" xfId="17383" xr:uid="{00000000-0005-0000-0000-0000E1550000}"/>
    <cellStyle name="Output 2 5 6 2 2 2 2" xfId="32215" xr:uid="{00000000-0005-0000-0000-0000E2550000}"/>
    <cellStyle name="Output 2 5 6 2 2 3" xfId="19167" xr:uid="{00000000-0005-0000-0000-0000E3550000}"/>
    <cellStyle name="Output 2 5 6 2 3" xfId="14161" xr:uid="{00000000-0005-0000-0000-0000E4550000}"/>
    <cellStyle name="Output 2 5 6 2 3 2" xfId="28993" xr:uid="{00000000-0005-0000-0000-0000E5550000}"/>
    <cellStyle name="Output 2 5 6 2 4" xfId="11002" xr:uid="{00000000-0005-0000-0000-0000E6550000}"/>
    <cellStyle name="Output 2 5 6 2 4 2" xfId="25834" xr:uid="{00000000-0005-0000-0000-0000E7550000}"/>
    <cellStyle name="Output 2 5 6 3" xfId="4758" xr:uid="{00000000-0005-0000-0000-0000E8550000}"/>
    <cellStyle name="Output 2 5 6 3 2" xfId="8797" xr:uid="{00000000-0005-0000-0000-0000E9550000}"/>
    <cellStyle name="Output 2 5 6 3 2 2" xfId="17869" xr:uid="{00000000-0005-0000-0000-0000EA550000}"/>
    <cellStyle name="Output 2 5 6 3 2 2 2" xfId="32701" xr:uid="{00000000-0005-0000-0000-0000EB550000}"/>
    <cellStyle name="Output 2 5 6 3 2 3" xfId="19486" xr:uid="{00000000-0005-0000-0000-0000EC550000}"/>
    <cellStyle name="Output 2 5 6 3 3" xfId="15082" xr:uid="{00000000-0005-0000-0000-0000ED550000}"/>
    <cellStyle name="Output 2 5 6 3 3 2" xfId="29914" xr:uid="{00000000-0005-0000-0000-0000EE550000}"/>
    <cellStyle name="Output 2 5 6 3 4" xfId="11472" xr:uid="{00000000-0005-0000-0000-0000EF550000}"/>
    <cellStyle name="Output 2 5 6 3 4 2" xfId="26304" xr:uid="{00000000-0005-0000-0000-0000F0550000}"/>
    <cellStyle name="Output 2 5 6 4" xfId="2748" xr:uid="{00000000-0005-0000-0000-0000F1550000}"/>
    <cellStyle name="Output 2 5 6 4 2" xfId="6839" xr:uid="{00000000-0005-0000-0000-0000F2550000}"/>
    <cellStyle name="Output 2 5 6 4 2 2" xfId="16763" xr:uid="{00000000-0005-0000-0000-0000F3550000}"/>
    <cellStyle name="Output 2 5 6 4 2 2 2" xfId="31595" xr:uid="{00000000-0005-0000-0000-0000F4550000}"/>
    <cellStyle name="Output 2 5 6 4 2 3" xfId="18777" xr:uid="{00000000-0005-0000-0000-0000F5550000}"/>
    <cellStyle name="Output 2 5 6 4 3" xfId="13086" xr:uid="{00000000-0005-0000-0000-0000F6550000}"/>
    <cellStyle name="Output 2 5 6 4 3 2" xfId="27918" xr:uid="{00000000-0005-0000-0000-0000F7550000}"/>
    <cellStyle name="Output 2 5 6 4 4" xfId="10416" xr:uid="{00000000-0005-0000-0000-0000F8550000}"/>
    <cellStyle name="Output 2 5 6 4 4 2" xfId="25248" xr:uid="{00000000-0005-0000-0000-0000F9550000}"/>
    <cellStyle name="Output 2 5 6 5" xfId="5912" xr:uid="{00000000-0005-0000-0000-0000FA550000}"/>
    <cellStyle name="Output 2 5 6 5 2" xfId="16104" xr:uid="{00000000-0005-0000-0000-0000FB550000}"/>
    <cellStyle name="Output 2 5 6 5 2 2" xfId="30936" xr:uid="{00000000-0005-0000-0000-0000FC550000}"/>
    <cellStyle name="Output 2 5 6 5 3" xfId="18419" xr:uid="{00000000-0005-0000-0000-0000FD550000}"/>
    <cellStyle name="Output 2 5 6 6" xfId="12174" xr:uid="{00000000-0005-0000-0000-0000FE550000}"/>
    <cellStyle name="Output 2 5 6 6 2" xfId="27006" xr:uid="{00000000-0005-0000-0000-0000FF550000}"/>
    <cellStyle name="Output 2 5 6 7" xfId="9770" xr:uid="{00000000-0005-0000-0000-000000560000}"/>
    <cellStyle name="Output 2 5 6 7 2" xfId="24727" xr:uid="{00000000-0005-0000-0000-000001560000}"/>
    <cellStyle name="Output 2 5 7" xfId="2186" xr:uid="{00000000-0005-0000-0000-000002560000}"/>
    <cellStyle name="Output 2 5 7 2" xfId="4068" xr:uid="{00000000-0005-0000-0000-000003560000}"/>
    <cellStyle name="Output 2 5 7 2 2" xfId="8115" xr:uid="{00000000-0005-0000-0000-000004560000}"/>
    <cellStyle name="Output 2 5 7 2 2 2" xfId="17504" xr:uid="{00000000-0005-0000-0000-000005560000}"/>
    <cellStyle name="Output 2 5 7 2 2 2 2" xfId="32336" xr:uid="{00000000-0005-0000-0000-000006560000}"/>
    <cellStyle name="Output 2 5 7 2 2 3" xfId="19256" xr:uid="{00000000-0005-0000-0000-000007560000}"/>
    <cellStyle name="Output 2 5 7 2 3" xfId="14400" xr:uid="{00000000-0005-0000-0000-000008560000}"/>
    <cellStyle name="Output 2 5 7 2 3 2" xfId="29232" xr:uid="{00000000-0005-0000-0000-000009560000}"/>
    <cellStyle name="Output 2 5 7 2 4" xfId="11120" xr:uid="{00000000-0005-0000-0000-00000A560000}"/>
    <cellStyle name="Output 2 5 7 2 4 2" xfId="25952" xr:uid="{00000000-0005-0000-0000-00000B560000}"/>
    <cellStyle name="Output 2 5 7 3" xfId="5154" xr:uid="{00000000-0005-0000-0000-00000C560000}"/>
    <cellStyle name="Output 2 5 7 3 2" xfId="9193" xr:uid="{00000000-0005-0000-0000-00000D560000}"/>
    <cellStyle name="Output 2 5 7 3 2 2" xfId="18116" xr:uid="{00000000-0005-0000-0000-00000E560000}"/>
    <cellStyle name="Output 2 5 7 3 2 2 2" xfId="32948" xr:uid="{00000000-0005-0000-0000-00000F560000}"/>
    <cellStyle name="Output 2 5 7 3 2 3" xfId="19667" xr:uid="{00000000-0005-0000-0000-000010560000}"/>
    <cellStyle name="Output 2 5 7 3 3" xfId="15472" xr:uid="{00000000-0005-0000-0000-000011560000}"/>
    <cellStyle name="Output 2 5 7 3 3 2" xfId="30304" xr:uid="{00000000-0005-0000-0000-000012560000}"/>
    <cellStyle name="Output 2 5 7 3 4" xfId="11713" xr:uid="{00000000-0005-0000-0000-000013560000}"/>
    <cellStyle name="Output 2 5 7 3 4 2" xfId="26545" xr:uid="{00000000-0005-0000-0000-000014560000}"/>
    <cellStyle name="Output 2 5 7 4" xfId="4184" xr:uid="{00000000-0005-0000-0000-000015560000}"/>
    <cellStyle name="Output 2 5 7 4 2" xfId="8225" xr:uid="{00000000-0005-0000-0000-000016560000}"/>
    <cellStyle name="Output 2 5 7 4 2 2" xfId="17572" xr:uid="{00000000-0005-0000-0000-000017560000}"/>
    <cellStyle name="Output 2 5 7 4 2 2 2" xfId="32404" xr:uid="{00000000-0005-0000-0000-000018560000}"/>
    <cellStyle name="Output 2 5 7 4 2 3" xfId="19310" xr:uid="{00000000-0005-0000-0000-000019560000}"/>
    <cellStyle name="Output 2 5 7 4 3" xfId="14516" xr:uid="{00000000-0005-0000-0000-00001A560000}"/>
    <cellStyle name="Output 2 5 7 4 3 2" xfId="29348" xr:uid="{00000000-0005-0000-0000-00001B560000}"/>
    <cellStyle name="Output 2 5 7 4 4" xfId="11192" xr:uid="{00000000-0005-0000-0000-00001C560000}"/>
    <cellStyle name="Output 2 5 7 4 4 2" xfId="26024" xr:uid="{00000000-0005-0000-0000-00001D560000}"/>
    <cellStyle name="Output 2 5 7 5" xfId="6300" xr:uid="{00000000-0005-0000-0000-00001E560000}"/>
    <cellStyle name="Output 2 5 7 5 2" xfId="16484" xr:uid="{00000000-0005-0000-0000-00001F560000}"/>
    <cellStyle name="Output 2 5 7 5 2 2" xfId="31316" xr:uid="{00000000-0005-0000-0000-000020560000}"/>
    <cellStyle name="Output 2 5 7 5 3" xfId="18603" xr:uid="{00000000-0005-0000-0000-000021560000}"/>
    <cellStyle name="Output 2 5 7 6" xfId="12554" xr:uid="{00000000-0005-0000-0000-000022560000}"/>
    <cellStyle name="Output 2 5 7 6 2" xfId="27386" xr:uid="{00000000-0005-0000-0000-000023560000}"/>
    <cellStyle name="Output 2 5 7 7" xfId="10136" xr:uid="{00000000-0005-0000-0000-000024560000}"/>
    <cellStyle name="Output 2 5 7 7 2" xfId="24968" xr:uid="{00000000-0005-0000-0000-000025560000}"/>
    <cellStyle name="Output 2 5 8" xfId="3220" xr:uid="{00000000-0005-0000-0000-000026560000}"/>
    <cellStyle name="Output 2 5 8 2" xfId="7284" xr:uid="{00000000-0005-0000-0000-000027560000}"/>
    <cellStyle name="Output 2 5 8 2 2" xfId="17046" xr:uid="{00000000-0005-0000-0000-000028560000}"/>
    <cellStyle name="Output 2 5 8 2 2 2" xfId="31878" xr:uid="{00000000-0005-0000-0000-000029560000}"/>
    <cellStyle name="Output 2 5 8 2 3" xfId="18966" xr:uid="{00000000-0005-0000-0000-00002A560000}"/>
    <cellStyle name="Output 2 5 8 3" xfId="13558" xr:uid="{00000000-0005-0000-0000-00002B560000}"/>
    <cellStyle name="Output 2 5 8 3 2" xfId="28390" xr:uid="{00000000-0005-0000-0000-00002C560000}"/>
    <cellStyle name="Output 2 5 8 4" xfId="10687" xr:uid="{00000000-0005-0000-0000-00002D560000}"/>
    <cellStyle name="Output 2 5 8 4 2" xfId="25519" xr:uid="{00000000-0005-0000-0000-00002E560000}"/>
    <cellStyle name="Output 2 5 9" xfId="3351" xr:uid="{00000000-0005-0000-0000-00002F560000}"/>
    <cellStyle name="Output 2 5 9 2" xfId="7414" xr:uid="{00000000-0005-0000-0000-000030560000}"/>
    <cellStyle name="Output 2 5 9 2 2" xfId="17138" xr:uid="{00000000-0005-0000-0000-000031560000}"/>
    <cellStyle name="Output 2 5 9 2 2 2" xfId="31970" xr:uid="{00000000-0005-0000-0000-000032560000}"/>
    <cellStyle name="Output 2 5 9 2 3" xfId="19008" xr:uid="{00000000-0005-0000-0000-000033560000}"/>
    <cellStyle name="Output 2 5 9 3" xfId="13688" xr:uid="{00000000-0005-0000-0000-000034560000}"/>
    <cellStyle name="Output 2 5 9 3 2" xfId="28520" xr:uid="{00000000-0005-0000-0000-000035560000}"/>
    <cellStyle name="Output 2 5 9 4" xfId="10757" xr:uid="{00000000-0005-0000-0000-000036560000}"/>
    <cellStyle name="Output 2 5 9 4 2" xfId="25589" xr:uid="{00000000-0005-0000-0000-000037560000}"/>
    <cellStyle name="Output 2 6" xfId="1236" xr:uid="{00000000-0005-0000-0000-000038560000}"/>
    <cellStyle name="Output 2 6 10" xfId="2322" xr:uid="{00000000-0005-0000-0000-000039560000}"/>
    <cellStyle name="Output 2 6 10 2" xfId="6434" xr:uid="{00000000-0005-0000-0000-00003A560000}"/>
    <cellStyle name="Output 2 6 10 2 2" xfId="16527" xr:uid="{00000000-0005-0000-0000-00003B560000}"/>
    <cellStyle name="Output 2 6 10 2 2 2" xfId="31359" xr:uid="{00000000-0005-0000-0000-00003C560000}"/>
    <cellStyle name="Output 2 6 10 2 3" xfId="18615" xr:uid="{00000000-0005-0000-0000-00003D560000}"/>
    <cellStyle name="Output 2 6 10 3" xfId="12662" xr:uid="{00000000-0005-0000-0000-00003E560000}"/>
    <cellStyle name="Output 2 6 10 3 2" xfId="27494" xr:uid="{00000000-0005-0000-0000-00003F560000}"/>
    <cellStyle name="Output 2 6 10 4" xfId="10178" xr:uid="{00000000-0005-0000-0000-000040560000}"/>
    <cellStyle name="Output 2 6 10 4 2" xfId="25010" xr:uid="{00000000-0005-0000-0000-000041560000}"/>
    <cellStyle name="Output 2 6 11" xfId="5285" xr:uid="{00000000-0005-0000-0000-000042560000}"/>
    <cellStyle name="Output 2 6 11 2" xfId="9293" xr:uid="{00000000-0005-0000-0000-000043560000}"/>
    <cellStyle name="Output 2 6 11 2 2" xfId="18160" xr:uid="{00000000-0005-0000-0000-000044560000}"/>
    <cellStyle name="Output 2 6 11 2 2 2" xfId="32992" xr:uid="{00000000-0005-0000-0000-000045560000}"/>
    <cellStyle name="Output 2 6 11 2 3" xfId="19679" xr:uid="{00000000-0005-0000-0000-000046560000}"/>
    <cellStyle name="Output 2 6 11 3" xfId="15601" xr:uid="{00000000-0005-0000-0000-000047560000}"/>
    <cellStyle name="Output 2 6 11 3 2" xfId="30433" xr:uid="{00000000-0005-0000-0000-000048560000}"/>
    <cellStyle name="Output 2 6 12" xfId="5443" xr:uid="{00000000-0005-0000-0000-000049560000}"/>
    <cellStyle name="Output 2 6 12 2" xfId="15679" xr:uid="{00000000-0005-0000-0000-00004A560000}"/>
    <cellStyle name="Output 2 6 12 2 2" xfId="30511" xr:uid="{00000000-0005-0000-0000-00004B560000}"/>
    <cellStyle name="Output 2 6 12 3" xfId="18256" xr:uid="{00000000-0005-0000-0000-00004C560000}"/>
    <cellStyle name="Output 2 6 13" xfId="9348" xr:uid="{00000000-0005-0000-0000-00004D560000}"/>
    <cellStyle name="Output 2 6 13 2" xfId="24654" xr:uid="{00000000-0005-0000-0000-00004E560000}"/>
    <cellStyle name="Output 2 6 14" xfId="5337" xr:uid="{00000000-0005-0000-0000-00004F560000}"/>
    <cellStyle name="Output 2 6 14 2" xfId="18211" xr:uid="{00000000-0005-0000-0000-000050560000}"/>
    <cellStyle name="Output 2 6 2" xfId="1355" xr:uid="{00000000-0005-0000-0000-000051560000}"/>
    <cellStyle name="Output 2 6 2 2" xfId="1859" xr:uid="{00000000-0005-0000-0000-000052560000}"/>
    <cellStyle name="Output 2 6 2 2 2" xfId="3839" xr:uid="{00000000-0005-0000-0000-000053560000}"/>
    <cellStyle name="Output 2 6 2 2 2 2" xfId="7892" xr:uid="{00000000-0005-0000-0000-000054560000}"/>
    <cellStyle name="Output 2 6 2 2 2 2 2" xfId="17390" xr:uid="{00000000-0005-0000-0000-000055560000}"/>
    <cellStyle name="Output 2 6 2 2 2 2 2 2" xfId="32222" xr:uid="{00000000-0005-0000-0000-000056560000}"/>
    <cellStyle name="Output 2 6 2 2 2 2 3" xfId="19173" xr:uid="{00000000-0005-0000-0000-000057560000}"/>
    <cellStyle name="Output 2 6 2 2 2 3" xfId="14174" xr:uid="{00000000-0005-0000-0000-000058560000}"/>
    <cellStyle name="Output 2 6 2 2 2 3 2" xfId="29006" xr:uid="{00000000-0005-0000-0000-000059560000}"/>
    <cellStyle name="Output 2 6 2 2 2 4" xfId="11009" xr:uid="{00000000-0005-0000-0000-00005A560000}"/>
    <cellStyle name="Output 2 6 2 2 2 4 2" xfId="25841" xr:uid="{00000000-0005-0000-0000-00005B560000}"/>
    <cellStyle name="Output 2 6 2 2 3" xfId="4837" xr:uid="{00000000-0005-0000-0000-00005C560000}"/>
    <cellStyle name="Output 2 6 2 2 3 2" xfId="8876" xr:uid="{00000000-0005-0000-0000-00005D560000}"/>
    <cellStyle name="Output 2 6 2 2 3 2 2" xfId="17917" xr:uid="{00000000-0005-0000-0000-00005E560000}"/>
    <cellStyle name="Output 2 6 2 2 3 2 2 2" xfId="32749" xr:uid="{00000000-0005-0000-0000-00005F560000}"/>
    <cellStyle name="Output 2 6 2 2 3 2 3" xfId="19519" xr:uid="{00000000-0005-0000-0000-000060560000}"/>
    <cellStyle name="Output 2 6 2 2 3 3" xfId="15161" xr:uid="{00000000-0005-0000-0000-000061560000}"/>
    <cellStyle name="Output 2 6 2 2 3 3 2" xfId="29993" xr:uid="{00000000-0005-0000-0000-000062560000}"/>
    <cellStyle name="Output 2 6 2 2 3 4" xfId="11520" xr:uid="{00000000-0005-0000-0000-000063560000}"/>
    <cellStyle name="Output 2 6 2 2 3 4 2" xfId="26352" xr:uid="{00000000-0005-0000-0000-000064560000}"/>
    <cellStyle name="Output 2 6 2 2 4" xfId="2827" xr:uid="{00000000-0005-0000-0000-000065560000}"/>
    <cellStyle name="Output 2 6 2 2 4 2" xfId="6918" xr:uid="{00000000-0005-0000-0000-000066560000}"/>
    <cellStyle name="Output 2 6 2 2 4 2 2" xfId="16811" xr:uid="{00000000-0005-0000-0000-000067560000}"/>
    <cellStyle name="Output 2 6 2 2 4 2 2 2" xfId="31643" xr:uid="{00000000-0005-0000-0000-000068560000}"/>
    <cellStyle name="Output 2 6 2 2 4 2 3" xfId="18810" xr:uid="{00000000-0005-0000-0000-000069560000}"/>
    <cellStyle name="Output 2 6 2 2 4 3" xfId="13165" xr:uid="{00000000-0005-0000-0000-00006A560000}"/>
    <cellStyle name="Output 2 6 2 2 4 3 2" xfId="27997" xr:uid="{00000000-0005-0000-0000-00006B560000}"/>
    <cellStyle name="Output 2 6 2 2 4 4" xfId="10464" xr:uid="{00000000-0005-0000-0000-00006C560000}"/>
    <cellStyle name="Output 2 6 2 2 4 4 2" xfId="25296" xr:uid="{00000000-0005-0000-0000-00006D560000}"/>
    <cellStyle name="Output 2 6 2 2 5" xfId="5991" xr:uid="{00000000-0005-0000-0000-00006E560000}"/>
    <cellStyle name="Output 2 6 2 2 5 2" xfId="16183" xr:uid="{00000000-0005-0000-0000-00006F560000}"/>
    <cellStyle name="Output 2 6 2 2 5 2 2" xfId="31015" xr:uid="{00000000-0005-0000-0000-000070560000}"/>
    <cellStyle name="Output 2 6 2 2 5 3" xfId="18452" xr:uid="{00000000-0005-0000-0000-000071560000}"/>
    <cellStyle name="Output 2 6 2 2 6" xfId="12253" xr:uid="{00000000-0005-0000-0000-000072560000}"/>
    <cellStyle name="Output 2 6 2 2 6 2" xfId="27085" xr:uid="{00000000-0005-0000-0000-000073560000}"/>
    <cellStyle name="Output 2 6 2 2 7" xfId="9849" xr:uid="{00000000-0005-0000-0000-000074560000}"/>
    <cellStyle name="Output 2 6 2 2 7 2" xfId="24775" xr:uid="{00000000-0005-0000-0000-000075560000}"/>
    <cellStyle name="Output 2 6 2 3" xfId="4085" xr:uid="{00000000-0005-0000-0000-000076560000}"/>
    <cellStyle name="Output 2 6 2 3 2" xfId="8131" xr:uid="{00000000-0005-0000-0000-000077560000}"/>
    <cellStyle name="Output 2 6 2 3 2 2" xfId="17511" xr:uid="{00000000-0005-0000-0000-000078560000}"/>
    <cellStyle name="Output 2 6 2 3 2 2 2" xfId="32343" xr:uid="{00000000-0005-0000-0000-000079560000}"/>
    <cellStyle name="Output 2 6 2 3 2 3" xfId="19262" xr:uid="{00000000-0005-0000-0000-00007A560000}"/>
    <cellStyle name="Output 2 6 2 3 3" xfId="14417" xr:uid="{00000000-0005-0000-0000-00007B560000}"/>
    <cellStyle name="Output 2 6 2 3 3 2" xfId="29249" xr:uid="{00000000-0005-0000-0000-00007C560000}"/>
    <cellStyle name="Output 2 6 2 3 4" xfId="11128" xr:uid="{00000000-0005-0000-0000-00007D560000}"/>
    <cellStyle name="Output 2 6 2 3 4 2" xfId="25960" xr:uid="{00000000-0005-0000-0000-00007E560000}"/>
    <cellStyle name="Output 2 6 2 4" xfId="4417" xr:uid="{00000000-0005-0000-0000-00007F560000}"/>
    <cellStyle name="Output 2 6 2 4 2" xfId="8456" xr:uid="{00000000-0005-0000-0000-000080560000}"/>
    <cellStyle name="Output 2 6 2 4 2 2" xfId="17677" xr:uid="{00000000-0005-0000-0000-000081560000}"/>
    <cellStyle name="Output 2 6 2 4 2 2 2" xfId="32509" xr:uid="{00000000-0005-0000-0000-000082560000}"/>
    <cellStyle name="Output 2 6 2 4 2 3" xfId="19359" xr:uid="{00000000-0005-0000-0000-000083560000}"/>
    <cellStyle name="Output 2 6 2 4 3" xfId="14746" xr:uid="{00000000-0005-0000-0000-000084560000}"/>
    <cellStyle name="Output 2 6 2 4 3 2" xfId="29578" xr:uid="{00000000-0005-0000-0000-000085560000}"/>
    <cellStyle name="Output 2 6 2 4 4" xfId="11285" xr:uid="{00000000-0005-0000-0000-000086560000}"/>
    <cellStyle name="Output 2 6 2 4 4 2" xfId="26117" xr:uid="{00000000-0005-0000-0000-000087560000}"/>
    <cellStyle name="Output 2 6 2 5" xfId="2407" xr:uid="{00000000-0005-0000-0000-000088560000}"/>
    <cellStyle name="Output 2 6 2 5 2" xfId="6519" xr:uid="{00000000-0005-0000-0000-000089560000}"/>
    <cellStyle name="Output 2 6 2 5 2 2" xfId="16575" xr:uid="{00000000-0005-0000-0000-00008A560000}"/>
    <cellStyle name="Output 2 6 2 5 2 2 2" xfId="31407" xr:uid="{00000000-0005-0000-0000-00008B560000}"/>
    <cellStyle name="Output 2 6 2 5 2 3" xfId="18647" xr:uid="{00000000-0005-0000-0000-00008C560000}"/>
    <cellStyle name="Output 2 6 2 5 3" xfId="12746" xr:uid="{00000000-0005-0000-0000-00008D560000}"/>
    <cellStyle name="Output 2 6 2 5 3 2" xfId="27578" xr:uid="{00000000-0005-0000-0000-00008E560000}"/>
    <cellStyle name="Output 2 6 2 5 4" xfId="10225" xr:uid="{00000000-0005-0000-0000-00008F560000}"/>
    <cellStyle name="Output 2 6 2 5 4 2" xfId="25057" xr:uid="{00000000-0005-0000-0000-000090560000}"/>
    <cellStyle name="Output 2 6 2 6" xfId="5532" xr:uid="{00000000-0005-0000-0000-000091560000}"/>
    <cellStyle name="Output 2 6 2 6 2" xfId="15767" xr:uid="{00000000-0005-0000-0000-000092560000}"/>
    <cellStyle name="Output 2 6 2 6 2 2" xfId="30599" xr:uid="{00000000-0005-0000-0000-000093560000}"/>
    <cellStyle name="Output 2 6 2 6 3" xfId="18289" xr:uid="{00000000-0005-0000-0000-000094560000}"/>
    <cellStyle name="Output 2 6 2 7" xfId="11782" xr:uid="{00000000-0005-0000-0000-000095560000}"/>
    <cellStyle name="Output 2 6 2 7 2" xfId="26614" xr:uid="{00000000-0005-0000-0000-000096560000}"/>
    <cellStyle name="Output 2 6 2 8" xfId="9453" xr:uid="{00000000-0005-0000-0000-000097560000}"/>
    <cellStyle name="Output 2 6 2 8 2" xfId="19757" xr:uid="{00000000-0005-0000-0000-000098560000}"/>
    <cellStyle name="Output 2 6 3" xfId="1525" xr:uid="{00000000-0005-0000-0000-000099560000}"/>
    <cellStyle name="Output 2 6 3 2" xfId="2022" xr:uid="{00000000-0005-0000-0000-00009A560000}"/>
    <cellStyle name="Output 2 6 3 2 2" xfId="3758" xr:uid="{00000000-0005-0000-0000-00009B560000}"/>
    <cellStyle name="Output 2 6 3 2 2 2" xfId="7814" xr:uid="{00000000-0005-0000-0000-00009C560000}"/>
    <cellStyle name="Output 2 6 3 2 2 2 2" xfId="17350" xr:uid="{00000000-0005-0000-0000-00009D560000}"/>
    <cellStyle name="Output 2 6 3 2 2 2 2 2" xfId="32182" xr:uid="{00000000-0005-0000-0000-00009E560000}"/>
    <cellStyle name="Output 2 6 3 2 2 2 3" xfId="19144" xr:uid="{00000000-0005-0000-0000-00009F560000}"/>
    <cellStyle name="Output 2 6 3 2 2 3" xfId="14093" xr:uid="{00000000-0005-0000-0000-0000A0560000}"/>
    <cellStyle name="Output 2 6 3 2 2 3 2" xfId="28925" xr:uid="{00000000-0005-0000-0000-0000A1560000}"/>
    <cellStyle name="Output 2 6 3 2 2 4" xfId="10966" xr:uid="{00000000-0005-0000-0000-0000A2560000}"/>
    <cellStyle name="Output 2 6 3 2 2 4 2" xfId="25798" xr:uid="{00000000-0005-0000-0000-0000A3560000}"/>
    <cellStyle name="Output 2 6 3 2 3" xfId="4990" xr:uid="{00000000-0005-0000-0000-0000A4560000}"/>
    <cellStyle name="Output 2 6 3 2 3 2" xfId="9029" xr:uid="{00000000-0005-0000-0000-0000A5560000}"/>
    <cellStyle name="Output 2 6 3 2 3 2 2" xfId="17967" xr:uid="{00000000-0005-0000-0000-0000A6560000}"/>
    <cellStyle name="Output 2 6 3 2 3 2 2 2" xfId="32799" xr:uid="{00000000-0005-0000-0000-0000A7560000}"/>
    <cellStyle name="Output 2 6 3 2 3 2 3" xfId="19551" xr:uid="{00000000-0005-0000-0000-0000A8560000}"/>
    <cellStyle name="Output 2 6 3 2 3 3" xfId="15312" xr:uid="{00000000-0005-0000-0000-0000A9560000}"/>
    <cellStyle name="Output 2 6 3 2 3 3 2" xfId="30144" xr:uid="{00000000-0005-0000-0000-0000AA560000}"/>
    <cellStyle name="Output 2 6 3 2 3 4" xfId="11568" xr:uid="{00000000-0005-0000-0000-0000AB560000}"/>
    <cellStyle name="Output 2 6 3 2 3 4 2" xfId="26400" xr:uid="{00000000-0005-0000-0000-0000AC560000}"/>
    <cellStyle name="Output 2 6 3 2 4" xfId="2980" xr:uid="{00000000-0005-0000-0000-0000AD560000}"/>
    <cellStyle name="Output 2 6 3 2 4 2" xfId="7060" xr:uid="{00000000-0005-0000-0000-0000AE560000}"/>
    <cellStyle name="Output 2 6 3 2 4 2 2" xfId="16859" xr:uid="{00000000-0005-0000-0000-0000AF560000}"/>
    <cellStyle name="Output 2 6 3 2 4 2 2 2" xfId="31691" xr:uid="{00000000-0005-0000-0000-0000B0560000}"/>
    <cellStyle name="Output 2 6 3 2 4 2 3" xfId="18843" xr:uid="{00000000-0005-0000-0000-0000B1560000}"/>
    <cellStyle name="Output 2 6 3 2 4 3" xfId="13318" xr:uid="{00000000-0005-0000-0000-0000B2560000}"/>
    <cellStyle name="Output 2 6 3 2 4 3 2" xfId="28150" xr:uid="{00000000-0005-0000-0000-0000B3560000}"/>
    <cellStyle name="Output 2 6 3 2 4 4" xfId="10514" xr:uid="{00000000-0005-0000-0000-0000B4560000}"/>
    <cellStyle name="Output 2 6 3 2 4 4 2" xfId="25346" xr:uid="{00000000-0005-0000-0000-0000B5560000}"/>
    <cellStyle name="Output 2 6 3 2 5" xfId="6152" xr:uid="{00000000-0005-0000-0000-0000B6560000}"/>
    <cellStyle name="Output 2 6 3 2 5 2" xfId="16339" xr:uid="{00000000-0005-0000-0000-0000B7560000}"/>
    <cellStyle name="Output 2 6 3 2 5 2 2" xfId="31171" xr:uid="{00000000-0005-0000-0000-0000B8560000}"/>
    <cellStyle name="Output 2 6 3 2 5 3" xfId="18484" xr:uid="{00000000-0005-0000-0000-0000B9560000}"/>
    <cellStyle name="Output 2 6 3 2 6" xfId="12409" xr:uid="{00000000-0005-0000-0000-0000BA560000}"/>
    <cellStyle name="Output 2 6 3 2 6 2" xfId="27241" xr:uid="{00000000-0005-0000-0000-0000BB560000}"/>
    <cellStyle name="Output 2 6 3 2 7" xfId="9991" xr:uid="{00000000-0005-0000-0000-0000BC560000}"/>
    <cellStyle name="Output 2 6 3 2 7 2" xfId="24823" xr:uid="{00000000-0005-0000-0000-0000BD560000}"/>
    <cellStyle name="Output 2 6 3 3" xfId="3325" xr:uid="{00000000-0005-0000-0000-0000BE560000}"/>
    <cellStyle name="Output 2 6 3 3 2" xfId="7388" xr:uid="{00000000-0005-0000-0000-0000BF560000}"/>
    <cellStyle name="Output 2 6 3 3 2 2" xfId="17121" xr:uid="{00000000-0005-0000-0000-0000C0560000}"/>
    <cellStyle name="Output 2 6 3 3 2 2 2" xfId="31953" xr:uid="{00000000-0005-0000-0000-0000C1560000}"/>
    <cellStyle name="Output 2 6 3 3 2 3" xfId="18998" xr:uid="{00000000-0005-0000-0000-0000C2560000}"/>
    <cellStyle name="Output 2 6 3 3 3" xfId="13662" xr:uid="{00000000-0005-0000-0000-0000C3560000}"/>
    <cellStyle name="Output 2 6 3 3 3 2" xfId="28494" xr:uid="{00000000-0005-0000-0000-0000C4560000}"/>
    <cellStyle name="Output 2 6 3 3 4" xfId="10742" xr:uid="{00000000-0005-0000-0000-0000C5560000}"/>
    <cellStyle name="Output 2 6 3 3 4 2" xfId="25574" xr:uid="{00000000-0005-0000-0000-0000C6560000}"/>
    <cellStyle name="Output 2 6 3 4" xfId="4570" xr:uid="{00000000-0005-0000-0000-0000C7560000}"/>
    <cellStyle name="Output 2 6 3 4 2" xfId="8609" xr:uid="{00000000-0005-0000-0000-0000C8560000}"/>
    <cellStyle name="Output 2 6 3 4 2 2" xfId="17727" xr:uid="{00000000-0005-0000-0000-0000C9560000}"/>
    <cellStyle name="Output 2 6 3 4 2 2 2" xfId="32559" xr:uid="{00000000-0005-0000-0000-0000CA560000}"/>
    <cellStyle name="Output 2 6 3 4 2 3" xfId="19391" xr:uid="{00000000-0005-0000-0000-0000CB560000}"/>
    <cellStyle name="Output 2 6 3 4 3" xfId="14897" xr:uid="{00000000-0005-0000-0000-0000CC560000}"/>
    <cellStyle name="Output 2 6 3 4 3 2" xfId="29729" xr:uid="{00000000-0005-0000-0000-0000CD560000}"/>
    <cellStyle name="Output 2 6 3 4 4" xfId="11333" xr:uid="{00000000-0005-0000-0000-0000CE560000}"/>
    <cellStyle name="Output 2 6 3 4 4 2" xfId="26165" xr:uid="{00000000-0005-0000-0000-0000CF560000}"/>
    <cellStyle name="Output 2 6 3 5" xfId="2560" xr:uid="{00000000-0005-0000-0000-0000D0560000}"/>
    <cellStyle name="Output 2 6 3 5 2" xfId="6666" xr:uid="{00000000-0005-0000-0000-0000D1560000}"/>
    <cellStyle name="Output 2 6 3 5 2 2" xfId="16624" xr:uid="{00000000-0005-0000-0000-0000D2560000}"/>
    <cellStyle name="Output 2 6 3 5 2 2 2" xfId="31456" xr:uid="{00000000-0005-0000-0000-0000D3560000}"/>
    <cellStyle name="Output 2 6 3 5 2 3" xfId="18679" xr:uid="{00000000-0005-0000-0000-0000D4560000}"/>
    <cellStyle name="Output 2 6 3 5 3" xfId="12898" xr:uid="{00000000-0005-0000-0000-0000D5560000}"/>
    <cellStyle name="Output 2 6 3 5 3 2" xfId="27730" xr:uid="{00000000-0005-0000-0000-0000D6560000}"/>
    <cellStyle name="Output 2 6 3 5 4" xfId="10274" xr:uid="{00000000-0005-0000-0000-0000D7560000}"/>
    <cellStyle name="Output 2 6 3 5 4 2" xfId="25106" xr:uid="{00000000-0005-0000-0000-0000D8560000}"/>
    <cellStyle name="Output 2 6 3 6" xfId="5683" xr:uid="{00000000-0005-0000-0000-0000D9560000}"/>
    <cellStyle name="Output 2 6 3 6 2" xfId="15918" xr:uid="{00000000-0005-0000-0000-0000DA560000}"/>
    <cellStyle name="Output 2 6 3 6 2 2" xfId="30750" xr:uid="{00000000-0005-0000-0000-0000DB560000}"/>
    <cellStyle name="Output 2 6 3 6 3" xfId="18321" xr:uid="{00000000-0005-0000-0000-0000DC560000}"/>
    <cellStyle name="Output 2 6 3 7" xfId="11938" xr:uid="{00000000-0005-0000-0000-0000DD560000}"/>
    <cellStyle name="Output 2 6 3 7 2" xfId="26770" xr:uid="{00000000-0005-0000-0000-0000DE560000}"/>
    <cellStyle name="Output 2 6 3 8" xfId="9596" xr:uid="{00000000-0005-0000-0000-0000DF560000}"/>
    <cellStyle name="Output 2 6 3 8 2" xfId="19898" xr:uid="{00000000-0005-0000-0000-0000E0560000}"/>
    <cellStyle name="Output 2 6 4" xfId="1580" xr:uid="{00000000-0005-0000-0000-0000E1560000}"/>
    <cellStyle name="Output 2 6 4 2" xfId="2077" xr:uid="{00000000-0005-0000-0000-0000E2560000}"/>
    <cellStyle name="Output 2 6 4 2 2" xfId="3530" xr:uid="{00000000-0005-0000-0000-0000E3560000}"/>
    <cellStyle name="Output 2 6 4 2 2 2" xfId="7592" xr:uid="{00000000-0005-0000-0000-0000E4560000}"/>
    <cellStyle name="Output 2 6 4 2 2 2 2" xfId="17237" xr:uid="{00000000-0005-0000-0000-0000E5560000}"/>
    <cellStyle name="Output 2 6 4 2 2 2 2 2" xfId="32069" xr:uid="{00000000-0005-0000-0000-0000E6560000}"/>
    <cellStyle name="Output 2 6 4 2 2 2 3" xfId="19065" xr:uid="{00000000-0005-0000-0000-0000E7560000}"/>
    <cellStyle name="Output 2 6 4 2 2 3" xfId="13867" xr:uid="{00000000-0005-0000-0000-0000E8560000}"/>
    <cellStyle name="Output 2 6 4 2 2 3 2" xfId="28699" xr:uid="{00000000-0005-0000-0000-0000E9560000}"/>
    <cellStyle name="Output 2 6 4 2 2 4" xfId="10855" xr:uid="{00000000-0005-0000-0000-0000EA560000}"/>
    <cellStyle name="Output 2 6 4 2 2 4 2" xfId="25687" xr:uid="{00000000-0005-0000-0000-0000EB560000}"/>
    <cellStyle name="Output 2 6 4 2 3" xfId="5045" xr:uid="{00000000-0005-0000-0000-0000EC560000}"/>
    <cellStyle name="Output 2 6 4 2 3 2" xfId="9084" xr:uid="{00000000-0005-0000-0000-0000ED560000}"/>
    <cellStyle name="Output 2 6 4 2 3 2 2" xfId="18017" xr:uid="{00000000-0005-0000-0000-0000EE560000}"/>
    <cellStyle name="Output 2 6 4 2 3 2 2 2" xfId="32849" xr:uid="{00000000-0005-0000-0000-0000EF560000}"/>
    <cellStyle name="Output 2 6 4 2 3 2 3" xfId="19583" xr:uid="{00000000-0005-0000-0000-0000F0560000}"/>
    <cellStyle name="Output 2 6 4 2 3 3" xfId="15366" xr:uid="{00000000-0005-0000-0000-0000F1560000}"/>
    <cellStyle name="Output 2 6 4 2 3 3 2" xfId="30198" xr:uid="{00000000-0005-0000-0000-0000F2560000}"/>
    <cellStyle name="Output 2 6 4 2 3 4" xfId="11617" xr:uid="{00000000-0005-0000-0000-0000F3560000}"/>
    <cellStyle name="Output 2 6 4 2 3 4 2" xfId="26449" xr:uid="{00000000-0005-0000-0000-0000F4560000}"/>
    <cellStyle name="Output 2 6 4 2 4" xfId="3035" xr:uid="{00000000-0005-0000-0000-0000F5560000}"/>
    <cellStyle name="Output 2 6 4 2 4 2" xfId="7110" xr:uid="{00000000-0005-0000-0000-0000F6560000}"/>
    <cellStyle name="Output 2 6 4 2 4 2 2" xfId="16908" xr:uid="{00000000-0005-0000-0000-0000F7560000}"/>
    <cellStyle name="Output 2 6 4 2 4 2 2 2" xfId="31740" xr:uid="{00000000-0005-0000-0000-0000F8560000}"/>
    <cellStyle name="Output 2 6 4 2 4 2 3" xfId="18876" xr:uid="{00000000-0005-0000-0000-0000F9560000}"/>
    <cellStyle name="Output 2 6 4 2 4 3" xfId="13373" xr:uid="{00000000-0005-0000-0000-0000FA560000}"/>
    <cellStyle name="Output 2 6 4 2 4 3 2" xfId="28205" xr:uid="{00000000-0005-0000-0000-0000FB560000}"/>
    <cellStyle name="Output 2 6 4 2 4 4" xfId="10564" xr:uid="{00000000-0005-0000-0000-0000FC560000}"/>
    <cellStyle name="Output 2 6 4 2 4 4 2" xfId="25396" xr:uid="{00000000-0005-0000-0000-0000FD560000}"/>
    <cellStyle name="Output 2 6 4 2 5" xfId="6202" xr:uid="{00000000-0005-0000-0000-0000FE560000}"/>
    <cellStyle name="Output 2 6 4 2 5 2" xfId="16388" xr:uid="{00000000-0005-0000-0000-0000FF560000}"/>
    <cellStyle name="Output 2 6 4 2 5 2 2" xfId="31220" xr:uid="{00000000-0005-0000-0000-000000570000}"/>
    <cellStyle name="Output 2 6 4 2 5 3" xfId="18517" xr:uid="{00000000-0005-0000-0000-000001570000}"/>
    <cellStyle name="Output 2 6 4 2 6" xfId="12458" xr:uid="{00000000-0005-0000-0000-000002570000}"/>
    <cellStyle name="Output 2 6 4 2 6 2" xfId="27290" xr:uid="{00000000-0005-0000-0000-000003570000}"/>
    <cellStyle name="Output 2 6 4 2 7" xfId="10040" xr:uid="{00000000-0005-0000-0000-000004570000}"/>
    <cellStyle name="Output 2 6 4 2 7 2" xfId="24872" xr:uid="{00000000-0005-0000-0000-000005570000}"/>
    <cellStyle name="Output 2 6 4 3" xfId="3446" xr:uid="{00000000-0005-0000-0000-000006570000}"/>
    <cellStyle name="Output 2 6 4 3 2" xfId="7509" xr:uid="{00000000-0005-0000-0000-000007570000}"/>
    <cellStyle name="Output 2 6 4 3 2 2" xfId="17193" xr:uid="{00000000-0005-0000-0000-000008570000}"/>
    <cellStyle name="Output 2 6 4 3 2 2 2" xfId="32025" xr:uid="{00000000-0005-0000-0000-000009570000}"/>
    <cellStyle name="Output 2 6 4 3 2 3" xfId="19038" xr:uid="{00000000-0005-0000-0000-00000A570000}"/>
    <cellStyle name="Output 2 6 4 3 3" xfId="13783" xr:uid="{00000000-0005-0000-0000-00000B570000}"/>
    <cellStyle name="Output 2 6 4 3 3 2" xfId="28615" xr:uid="{00000000-0005-0000-0000-00000C570000}"/>
    <cellStyle name="Output 2 6 4 3 4" xfId="10812" xr:uid="{00000000-0005-0000-0000-00000D570000}"/>
    <cellStyle name="Output 2 6 4 3 4 2" xfId="25644" xr:uid="{00000000-0005-0000-0000-00000E570000}"/>
    <cellStyle name="Output 2 6 4 4" xfId="4625" xr:uid="{00000000-0005-0000-0000-00000F570000}"/>
    <cellStyle name="Output 2 6 4 4 2" xfId="8664" xr:uid="{00000000-0005-0000-0000-000010570000}"/>
    <cellStyle name="Output 2 6 4 4 2 2" xfId="17777" xr:uid="{00000000-0005-0000-0000-000011570000}"/>
    <cellStyle name="Output 2 6 4 4 2 2 2" xfId="32609" xr:uid="{00000000-0005-0000-0000-000012570000}"/>
    <cellStyle name="Output 2 6 4 4 2 3" xfId="19423" xr:uid="{00000000-0005-0000-0000-000013570000}"/>
    <cellStyle name="Output 2 6 4 4 3" xfId="14951" xr:uid="{00000000-0005-0000-0000-000014570000}"/>
    <cellStyle name="Output 2 6 4 4 3 2" xfId="29783" xr:uid="{00000000-0005-0000-0000-000015570000}"/>
    <cellStyle name="Output 2 6 4 4 4" xfId="11382" xr:uid="{00000000-0005-0000-0000-000016570000}"/>
    <cellStyle name="Output 2 6 4 4 4 2" xfId="26214" xr:uid="{00000000-0005-0000-0000-000017570000}"/>
    <cellStyle name="Output 2 6 4 5" xfId="2615" xr:uid="{00000000-0005-0000-0000-000018570000}"/>
    <cellStyle name="Output 2 6 4 5 2" xfId="6716" xr:uid="{00000000-0005-0000-0000-000019570000}"/>
    <cellStyle name="Output 2 6 4 5 2 2" xfId="16673" xr:uid="{00000000-0005-0000-0000-00001A570000}"/>
    <cellStyle name="Output 2 6 4 5 2 2 2" xfId="31505" xr:uid="{00000000-0005-0000-0000-00001B570000}"/>
    <cellStyle name="Output 2 6 4 5 2 3" xfId="18712" xr:uid="{00000000-0005-0000-0000-00001C570000}"/>
    <cellStyle name="Output 2 6 4 5 3" xfId="12953" xr:uid="{00000000-0005-0000-0000-00001D570000}"/>
    <cellStyle name="Output 2 6 4 5 3 2" xfId="27785" xr:uid="{00000000-0005-0000-0000-00001E570000}"/>
    <cellStyle name="Output 2 6 4 5 4" xfId="10324" xr:uid="{00000000-0005-0000-0000-00001F570000}"/>
    <cellStyle name="Output 2 6 4 5 4 2" xfId="25156" xr:uid="{00000000-0005-0000-0000-000020570000}"/>
    <cellStyle name="Output 2 6 4 6" xfId="5732" xr:uid="{00000000-0005-0000-0000-000021570000}"/>
    <cellStyle name="Output 2 6 4 6 2" xfId="15967" xr:uid="{00000000-0005-0000-0000-000022570000}"/>
    <cellStyle name="Output 2 6 4 6 2 2" xfId="30799" xr:uid="{00000000-0005-0000-0000-000023570000}"/>
    <cellStyle name="Output 2 6 4 6 3" xfId="18353" xr:uid="{00000000-0005-0000-0000-000024570000}"/>
    <cellStyle name="Output 2 6 4 7" xfId="11987" xr:uid="{00000000-0005-0000-0000-000025570000}"/>
    <cellStyle name="Output 2 6 4 7 2" xfId="26819" xr:uid="{00000000-0005-0000-0000-000026570000}"/>
    <cellStyle name="Output 2 6 4 8" xfId="9646" xr:uid="{00000000-0005-0000-0000-000027570000}"/>
    <cellStyle name="Output 2 6 4 8 2" xfId="19947" xr:uid="{00000000-0005-0000-0000-000028570000}"/>
    <cellStyle name="Output 2 6 5" xfId="1630" xr:uid="{00000000-0005-0000-0000-000029570000}"/>
    <cellStyle name="Output 2 6 5 2" xfId="2127" xr:uid="{00000000-0005-0000-0000-00002A570000}"/>
    <cellStyle name="Output 2 6 5 2 2" xfId="3838" xr:uid="{00000000-0005-0000-0000-00002B570000}"/>
    <cellStyle name="Output 2 6 5 2 2 2" xfId="7891" xr:uid="{00000000-0005-0000-0000-00002C570000}"/>
    <cellStyle name="Output 2 6 5 2 2 2 2" xfId="17389" xr:uid="{00000000-0005-0000-0000-00002D570000}"/>
    <cellStyle name="Output 2 6 5 2 2 2 2 2" xfId="32221" xr:uid="{00000000-0005-0000-0000-00002E570000}"/>
    <cellStyle name="Output 2 6 5 2 2 2 3" xfId="19172" xr:uid="{00000000-0005-0000-0000-00002F570000}"/>
    <cellStyle name="Output 2 6 5 2 2 3" xfId="14173" xr:uid="{00000000-0005-0000-0000-000030570000}"/>
    <cellStyle name="Output 2 6 5 2 2 3 2" xfId="29005" xr:uid="{00000000-0005-0000-0000-000031570000}"/>
    <cellStyle name="Output 2 6 5 2 2 4" xfId="11008" xr:uid="{00000000-0005-0000-0000-000032570000}"/>
    <cellStyle name="Output 2 6 5 2 2 4 2" xfId="25840" xr:uid="{00000000-0005-0000-0000-000033570000}"/>
    <cellStyle name="Output 2 6 5 2 3" xfId="5095" xr:uid="{00000000-0005-0000-0000-000034570000}"/>
    <cellStyle name="Output 2 6 5 2 3 2" xfId="9134" xr:uid="{00000000-0005-0000-0000-000035570000}"/>
    <cellStyle name="Output 2 6 5 2 3 2 2" xfId="18062" xr:uid="{00000000-0005-0000-0000-000036570000}"/>
    <cellStyle name="Output 2 6 5 2 3 2 2 2" xfId="32894" xr:uid="{00000000-0005-0000-0000-000037570000}"/>
    <cellStyle name="Output 2 6 5 2 3 2 3" xfId="19615" xr:uid="{00000000-0005-0000-0000-000038570000}"/>
    <cellStyle name="Output 2 6 5 2 3 3" xfId="15415" xr:uid="{00000000-0005-0000-0000-000039570000}"/>
    <cellStyle name="Output 2 6 5 2 3 3 2" xfId="30247" xr:uid="{00000000-0005-0000-0000-00003A570000}"/>
    <cellStyle name="Output 2 6 5 2 3 4" xfId="11661" xr:uid="{00000000-0005-0000-0000-00003B570000}"/>
    <cellStyle name="Output 2 6 5 2 3 4 2" xfId="26493" xr:uid="{00000000-0005-0000-0000-00003C570000}"/>
    <cellStyle name="Output 2 6 5 2 4" xfId="3085" xr:uid="{00000000-0005-0000-0000-00003D570000}"/>
    <cellStyle name="Output 2 6 5 2 4 2" xfId="7155" xr:uid="{00000000-0005-0000-0000-00003E570000}"/>
    <cellStyle name="Output 2 6 5 2 4 2 2" xfId="16952" xr:uid="{00000000-0005-0000-0000-00003F570000}"/>
    <cellStyle name="Output 2 6 5 2 4 2 2 2" xfId="31784" xr:uid="{00000000-0005-0000-0000-000040570000}"/>
    <cellStyle name="Output 2 6 5 2 4 2 3" xfId="18909" xr:uid="{00000000-0005-0000-0000-000041570000}"/>
    <cellStyle name="Output 2 6 5 2 4 3" xfId="13423" xr:uid="{00000000-0005-0000-0000-000042570000}"/>
    <cellStyle name="Output 2 6 5 2 4 3 2" xfId="28255" xr:uid="{00000000-0005-0000-0000-000043570000}"/>
    <cellStyle name="Output 2 6 5 2 4 4" xfId="10609" xr:uid="{00000000-0005-0000-0000-000044570000}"/>
    <cellStyle name="Output 2 6 5 2 4 4 2" xfId="25441" xr:uid="{00000000-0005-0000-0000-000045570000}"/>
    <cellStyle name="Output 2 6 5 2 5" xfId="6247" xr:uid="{00000000-0005-0000-0000-000046570000}"/>
    <cellStyle name="Output 2 6 5 2 5 2" xfId="16432" xr:uid="{00000000-0005-0000-0000-000047570000}"/>
    <cellStyle name="Output 2 6 5 2 5 2 2" xfId="31264" xr:uid="{00000000-0005-0000-0000-000048570000}"/>
    <cellStyle name="Output 2 6 5 2 5 3" xfId="18550" xr:uid="{00000000-0005-0000-0000-000049570000}"/>
    <cellStyle name="Output 2 6 5 2 6" xfId="12502" xr:uid="{00000000-0005-0000-0000-00004A570000}"/>
    <cellStyle name="Output 2 6 5 2 6 2" xfId="27334" xr:uid="{00000000-0005-0000-0000-00004B570000}"/>
    <cellStyle name="Output 2 6 5 2 7" xfId="10084" xr:uid="{00000000-0005-0000-0000-00004C570000}"/>
    <cellStyle name="Output 2 6 5 2 7 2" xfId="24916" xr:uid="{00000000-0005-0000-0000-00004D570000}"/>
    <cellStyle name="Output 2 6 5 3" xfId="3883" xr:uid="{00000000-0005-0000-0000-00004E570000}"/>
    <cellStyle name="Output 2 6 5 3 2" xfId="7934" xr:uid="{00000000-0005-0000-0000-00004F570000}"/>
    <cellStyle name="Output 2 6 5 3 2 2" xfId="17409" xr:uid="{00000000-0005-0000-0000-000050570000}"/>
    <cellStyle name="Output 2 6 5 3 2 2 2" xfId="32241" xr:uid="{00000000-0005-0000-0000-000051570000}"/>
    <cellStyle name="Output 2 6 5 3 2 3" xfId="19185" xr:uid="{00000000-0005-0000-0000-000052570000}"/>
    <cellStyle name="Output 2 6 5 3 3" xfId="14217" xr:uid="{00000000-0005-0000-0000-000053570000}"/>
    <cellStyle name="Output 2 6 5 3 3 2" xfId="29049" xr:uid="{00000000-0005-0000-0000-000054570000}"/>
    <cellStyle name="Output 2 6 5 3 4" xfId="11026" xr:uid="{00000000-0005-0000-0000-000055570000}"/>
    <cellStyle name="Output 2 6 5 3 4 2" xfId="25858" xr:uid="{00000000-0005-0000-0000-000056570000}"/>
    <cellStyle name="Output 2 6 5 4" xfId="4675" xr:uid="{00000000-0005-0000-0000-000057570000}"/>
    <cellStyle name="Output 2 6 5 4 2" xfId="8714" xr:uid="{00000000-0005-0000-0000-000058570000}"/>
    <cellStyle name="Output 2 6 5 4 2 2" xfId="17822" xr:uid="{00000000-0005-0000-0000-000059570000}"/>
    <cellStyle name="Output 2 6 5 4 2 2 2" xfId="32654" xr:uid="{00000000-0005-0000-0000-00005A570000}"/>
    <cellStyle name="Output 2 6 5 4 2 3" xfId="19455" xr:uid="{00000000-0005-0000-0000-00005B570000}"/>
    <cellStyle name="Output 2 6 5 4 3" xfId="15000" xr:uid="{00000000-0005-0000-0000-00005C570000}"/>
    <cellStyle name="Output 2 6 5 4 3 2" xfId="29832" xr:uid="{00000000-0005-0000-0000-00005D570000}"/>
    <cellStyle name="Output 2 6 5 4 4" xfId="11426" xr:uid="{00000000-0005-0000-0000-00005E570000}"/>
    <cellStyle name="Output 2 6 5 4 4 2" xfId="26258" xr:uid="{00000000-0005-0000-0000-00005F570000}"/>
    <cellStyle name="Output 2 6 5 5" xfId="2665" xr:uid="{00000000-0005-0000-0000-000060570000}"/>
    <cellStyle name="Output 2 6 5 5 2" xfId="6761" xr:uid="{00000000-0005-0000-0000-000061570000}"/>
    <cellStyle name="Output 2 6 5 5 2 2" xfId="16717" xr:uid="{00000000-0005-0000-0000-000062570000}"/>
    <cellStyle name="Output 2 6 5 5 2 2 2" xfId="31549" xr:uid="{00000000-0005-0000-0000-000063570000}"/>
    <cellStyle name="Output 2 6 5 5 2 3" xfId="18745" xr:uid="{00000000-0005-0000-0000-000064570000}"/>
    <cellStyle name="Output 2 6 5 5 3" xfId="13003" xr:uid="{00000000-0005-0000-0000-000065570000}"/>
    <cellStyle name="Output 2 6 5 5 3 2" xfId="27835" xr:uid="{00000000-0005-0000-0000-000066570000}"/>
    <cellStyle name="Output 2 6 5 5 4" xfId="10369" xr:uid="{00000000-0005-0000-0000-000067570000}"/>
    <cellStyle name="Output 2 6 5 5 4 2" xfId="25201" xr:uid="{00000000-0005-0000-0000-000068570000}"/>
    <cellStyle name="Output 2 6 5 6" xfId="5777" xr:uid="{00000000-0005-0000-0000-000069570000}"/>
    <cellStyle name="Output 2 6 5 6 2" xfId="16011" xr:uid="{00000000-0005-0000-0000-00006A570000}"/>
    <cellStyle name="Output 2 6 5 6 2 2" xfId="30843" xr:uid="{00000000-0005-0000-0000-00006B570000}"/>
    <cellStyle name="Output 2 6 5 6 3" xfId="18386" xr:uid="{00000000-0005-0000-0000-00006C570000}"/>
    <cellStyle name="Output 2 6 5 7" xfId="12031" xr:uid="{00000000-0005-0000-0000-00006D570000}"/>
    <cellStyle name="Output 2 6 5 7 2" xfId="26863" xr:uid="{00000000-0005-0000-0000-00006E570000}"/>
    <cellStyle name="Output 2 6 5 8" xfId="9691" xr:uid="{00000000-0005-0000-0000-00006F570000}"/>
    <cellStyle name="Output 2 6 5 8 2" xfId="19991" xr:uid="{00000000-0005-0000-0000-000070570000}"/>
    <cellStyle name="Output 2 6 6" xfId="1781" xr:uid="{00000000-0005-0000-0000-000071570000}"/>
    <cellStyle name="Output 2 6 6 2" xfId="3723" xr:uid="{00000000-0005-0000-0000-000072570000}"/>
    <cellStyle name="Output 2 6 6 2 2" xfId="7779" xr:uid="{00000000-0005-0000-0000-000073570000}"/>
    <cellStyle name="Output 2 6 6 2 2 2" xfId="17334" xr:uid="{00000000-0005-0000-0000-000074570000}"/>
    <cellStyle name="Output 2 6 6 2 2 2 2" xfId="32166" xr:uid="{00000000-0005-0000-0000-000075570000}"/>
    <cellStyle name="Output 2 6 6 2 2 3" xfId="19131" xr:uid="{00000000-0005-0000-0000-000076570000}"/>
    <cellStyle name="Output 2 6 6 2 3" xfId="14058" xr:uid="{00000000-0005-0000-0000-000077570000}"/>
    <cellStyle name="Output 2 6 6 2 3 2" xfId="28890" xr:uid="{00000000-0005-0000-0000-000078570000}"/>
    <cellStyle name="Output 2 6 6 2 4" xfId="10950" xr:uid="{00000000-0005-0000-0000-000079570000}"/>
    <cellStyle name="Output 2 6 6 2 4 2" xfId="25782" xr:uid="{00000000-0005-0000-0000-00007A570000}"/>
    <cellStyle name="Output 2 6 6 3" xfId="4759" xr:uid="{00000000-0005-0000-0000-00007B570000}"/>
    <cellStyle name="Output 2 6 6 3 2" xfId="8798" xr:uid="{00000000-0005-0000-0000-00007C570000}"/>
    <cellStyle name="Output 2 6 6 3 2 2" xfId="17870" xr:uid="{00000000-0005-0000-0000-00007D570000}"/>
    <cellStyle name="Output 2 6 6 3 2 2 2" xfId="32702" xr:uid="{00000000-0005-0000-0000-00007E570000}"/>
    <cellStyle name="Output 2 6 6 3 2 3" xfId="19487" xr:uid="{00000000-0005-0000-0000-00007F570000}"/>
    <cellStyle name="Output 2 6 6 3 3" xfId="15083" xr:uid="{00000000-0005-0000-0000-000080570000}"/>
    <cellStyle name="Output 2 6 6 3 3 2" xfId="29915" xr:uid="{00000000-0005-0000-0000-000081570000}"/>
    <cellStyle name="Output 2 6 6 3 4" xfId="11473" xr:uid="{00000000-0005-0000-0000-000082570000}"/>
    <cellStyle name="Output 2 6 6 3 4 2" xfId="26305" xr:uid="{00000000-0005-0000-0000-000083570000}"/>
    <cellStyle name="Output 2 6 6 4" xfId="2749" xr:uid="{00000000-0005-0000-0000-000084570000}"/>
    <cellStyle name="Output 2 6 6 4 2" xfId="6840" xr:uid="{00000000-0005-0000-0000-000085570000}"/>
    <cellStyle name="Output 2 6 6 4 2 2" xfId="16764" xr:uid="{00000000-0005-0000-0000-000086570000}"/>
    <cellStyle name="Output 2 6 6 4 2 2 2" xfId="31596" xr:uid="{00000000-0005-0000-0000-000087570000}"/>
    <cellStyle name="Output 2 6 6 4 2 3" xfId="18778" xr:uid="{00000000-0005-0000-0000-000088570000}"/>
    <cellStyle name="Output 2 6 6 4 3" xfId="13087" xr:uid="{00000000-0005-0000-0000-000089570000}"/>
    <cellStyle name="Output 2 6 6 4 3 2" xfId="27919" xr:uid="{00000000-0005-0000-0000-00008A570000}"/>
    <cellStyle name="Output 2 6 6 4 4" xfId="10417" xr:uid="{00000000-0005-0000-0000-00008B570000}"/>
    <cellStyle name="Output 2 6 6 4 4 2" xfId="25249" xr:uid="{00000000-0005-0000-0000-00008C570000}"/>
    <cellStyle name="Output 2 6 6 5" xfId="5913" xr:uid="{00000000-0005-0000-0000-00008D570000}"/>
    <cellStyle name="Output 2 6 6 5 2" xfId="16105" xr:uid="{00000000-0005-0000-0000-00008E570000}"/>
    <cellStyle name="Output 2 6 6 5 2 2" xfId="30937" xr:uid="{00000000-0005-0000-0000-00008F570000}"/>
    <cellStyle name="Output 2 6 6 5 3" xfId="18420" xr:uid="{00000000-0005-0000-0000-000090570000}"/>
    <cellStyle name="Output 2 6 6 6" xfId="12175" xr:uid="{00000000-0005-0000-0000-000091570000}"/>
    <cellStyle name="Output 2 6 6 6 2" xfId="27007" xr:uid="{00000000-0005-0000-0000-000092570000}"/>
    <cellStyle name="Output 2 6 6 7" xfId="9771" xr:uid="{00000000-0005-0000-0000-000093570000}"/>
    <cellStyle name="Output 2 6 6 7 2" xfId="24728" xr:uid="{00000000-0005-0000-0000-000094570000}"/>
    <cellStyle name="Output 2 6 7" xfId="2185" xr:uid="{00000000-0005-0000-0000-000095570000}"/>
    <cellStyle name="Output 2 6 7 2" xfId="3559" xr:uid="{00000000-0005-0000-0000-000096570000}"/>
    <cellStyle name="Output 2 6 7 2 2" xfId="7621" xr:uid="{00000000-0005-0000-0000-000097570000}"/>
    <cellStyle name="Output 2 6 7 2 2 2" xfId="17257" xr:uid="{00000000-0005-0000-0000-000098570000}"/>
    <cellStyle name="Output 2 6 7 2 2 2 2" xfId="32089" xr:uid="{00000000-0005-0000-0000-000099570000}"/>
    <cellStyle name="Output 2 6 7 2 2 3" xfId="19080" xr:uid="{00000000-0005-0000-0000-00009A570000}"/>
    <cellStyle name="Output 2 6 7 2 3" xfId="13895" xr:uid="{00000000-0005-0000-0000-00009B570000}"/>
    <cellStyle name="Output 2 6 7 2 3 2" xfId="28727" xr:uid="{00000000-0005-0000-0000-00009C570000}"/>
    <cellStyle name="Output 2 6 7 2 4" xfId="10874" xr:uid="{00000000-0005-0000-0000-00009D570000}"/>
    <cellStyle name="Output 2 6 7 2 4 2" xfId="25706" xr:uid="{00000000-0005-0000-0000-00009E570000}"/>
    <cellStyle name="Output 2 6 7 3" xfId="5153" xr:uid="{00000000-0005-0000-0000-00009F570000}"/>
    <cellStyle name="Output 2 6 7 3 2" xfId="9192" xr:uid="{00000000-0005-0000-0000-0000A0570000}"/>
    <cellStyle name="Output 2 6 7 3 2 2" xfId="18115" xr:uid="{00000000-0005-0000-0000-0000A1570000}"/>
    <cellStyle name="Output 2 6 7 3 2 2 2" xfId="32947" xr:uid="{00000000-0005-0000-0000-0000A2570000}"/>
    <cellStyle name="Output 2 6 7 3 2 3" xfId="19666" xr:uid="{00000000-0005-0000-0000-0000A3570000}"/>
    <cellStyle name="Output 2 6 7 3 3" xfId="15471" xr:uid="{00000000-0005-0000-0000-0000A4570000}"/>
    <cellStyle name="Output 2 6 7 3 3 2" xfId="30303" xr:uid="{00000000-0005-0000-0000-0000A5570000}"/>
    <cellStyle name="Output 2 6 7 3 4" xfId="11712" xr:uid="{00000000-0005-0000-0000-0000A6570000}"/>
    <cellStyle name="Output 2 6 7 3 4 2" xfId="26544" xr:uid="{00000000-0005-0000-0000-0000A7570000}"/>
    <cellStyle name="Output 2 6 7 4" xfId="4183" xr:uid="{00000000-0005-0000-0000-0000A8570000}"/>
    <cellStyle name="Output 2 6 7 4 2" xfId="8224" xr:uid="{00000000-0005-0000-0000-0000A9570000}"/>
    <cellStyle name="Output 2 6 7 4 2 2" xfId="17571" xr:uid="{00000000-0005-0000-0000-0000AA570000}"/>
    <cellStyle name="Output 2 6 7 4 2 2 2" xfId="32403" xr:uid="{00000000-0005-0000-0000-0000AB570000}"/>
    <cellStyle name="Output 2 6 7 4 2 3" xfId="19309" xr:uid="{00000000-0005-0000-0000-0000AC570000}"/>
    <cellStyle name="Output 2 6 7 4 3" xfId="14515" xr:uid="{00000000-0005-0000-0000-0000AD570000}"/>
    <cellStyle name="Output 2 6 7 4 3 2" xfId="29347" xr:uid="{00000000-0005-0000-0000-0000AE570000}"/>
    <cellStyle name="Output 2 6 7 4 4" xfId="11191" xr:uid="{00000000-0005-0000-0000-0000AF570000}"/>
    <cellStyle name="Output 2 6 7 4 4 2" xfId="26023" xr:uid="{00000000-0005-0000-0000-0000B0570000}"/>
    <cellStyle name="Output 2 6 7 5" xfId="6299" xr:uid="{00000000-0005-0000-0000-0000B1570000}"/>
    <cellStyle name="Output 2 6 7 5 2" xfId="16483" xr:uid="{00000000-0005-0000-0000-0000B2570000}"/>
    <cellStyle name="Output 2 6 7 5 2 2" xfId="31315" xr:uid="{00000000-0005-0000-0000-0000B3570000}"/>
    <cellStyle name="Output 2 6 7 5 3" xfId="18602" xr:uid="{00000000-0005-0000-0000-0000B4570000}"/>
    <cellStyle name="Output 2 6 7 6" xfId="12553" xr:uid="{00000000-0005-0000-0000-0000B5570000}"/>
    <cellStyle name="Output 2 6 7 6 2" xfId="27385" xr:uid="{00000000-0005-0000-0000-0000B6570000}"/>
    <cellStyle name="Output 2 6 7 7" xfId="10135" xr:uid="{00000000-0005-0000-0000-0000B7570000}"/>
    <cellStyle name="Output 2 6 7 7 2" xfId="24967" xr:uid="{00000000-0005-0000-0000-0000B8570000}"/>
    <cellStyle name="Output 2 6 8" xfId="3160" xr:uid="{00000000-0005-0000-0000-0000B9570000}"/>
    <cellStyle name="Output 2 6 8 2" xfId="7224" xr:uid="{00000000-0005-0000-0000-0000BA570000}"/>
    <cellStyle name="Output 2 6 8 2 2" xfId="17002" xr:uid="{00000000-0005-0000-0000-0000BB570000}"/>
    <cellStyle name="Output 2 6 8 2 2 2" xfId="31834" xr:uid="{00000000-0005-0000-0000-0000BC570000}"/>
    <cellStyle name="Output 2 6 8 2 3" xfId="18946" xr:uid="{00000000-0005-0000-0000-0000BD570000}"/>
    <cellStyle name="Output 2 6 8 3" xfId="13498" xr:uid="{00000000-0005-0000-0000-0000BE570000}"/>
    <cellStyle name="Output 2 6 8 3 2" xfId="28330" xr:uid="{00000000-0005-0000-0000-0000BF570000}"/>
    <cellStyle name="Output 2 6 8 4" xfId="10654" xr:uid="{00000000-0005-0000-0000-0000C0570000}"/>
    <cellStyle name="Output 2 6 8 4 2" xfId="25486" xr:uid="{00000000-0005-0000-0000-0000C1570000}"/>
    <cellStyle name="Output 2 6 9" xfId="3255" xr:uid="{00000000-0005-0000-0000-0000C2570000}"/>
    <cellStyle name="Output 2 6 9 2" xfId="7319" xr:uid="{00000000-0005-0000-0000-0000C3570000}"/>
    <cellStyle name="Output 2 6 9 2 2" xfId="17071" xr:uid="{00000000-0005-0000-0000-0000C4570000}"/>
    <cellStyle name="Output 2 6 9 2 2 2" xfId="31903" xr:uid="{00000000-0005-0000-0000-0000C5570000}"/>
    <cellStyle name="Output 2 6 9 2 3" xfId="18974" xr:uid="{00000000-0005-0000-0000-0000C6570000}"/>
    <cellStyle name="Output 2 6 9 3" xfId="13592" xr:uid="{00000000-0005-0000-0000-0000C7570000}"/>
    <cellStyle name="Output 2 6 9 3 2" xfId="28424" xr:uid="{00000000-0005-0000-0000-0000C8570000}"/>
    <cellStyle name="Output 2 6 9 4" xfId="10701" xr:uid="{00000000-0005-0000-0000-0000C9570000}"/>
    <cellStyle name="Output 2 6 9 4 2" xfId="25533" xr:uid="{00000000-0005-0000-0000-0000CA570000}"/>
    <cellStyle name="Output 2 7" xfId="1237" xr:uid="{00000000-0005-0000-0000-0000CB570000}"/>
    <cellStyle name="Output 2 7 10" xfId="2323" xr:uid="{00000000-0005-0000-0000-0000CC570000}"/>
    <cellStyle name="Output 2 7 10 2" xfId="6435" xr:uid="{00000000-0005-0000-0000-0000CD570000}"/>
    <cellStyle name="Output 2 7 10 2 2" xfId="16528" xr:uid="{00000000-0005-0000-0000-0000CE570000}"/>
    <cellStyle name="Output 2 7 10 2 2 2" xfId="31360" xr:uid="{00000000-0005-0000-0000-0000CF570000}"/>
    <cellStyle name="Output 2 7 10 2 3" xfId="18616" xr:uid="{00000000-0005-0000-0000-0000D0570000}"/>
    <cellStyle name="Output 2 7 10 3" xfId="12663" xr:uid="{00000000-0005-0000-0000-0000D1570000}"/>
    <cellStyle name="Output 2 7 10 3 2" xfId="27495" xr:uid="{00000000-0005-0000-0000-0000D2570000}"/>
    <cellStyle name="Output 2 7 10 4" xfId="10179" xr:uid="{00000000-0005-0000-0000-0000D3570000}"/>
    <cellStyle name="Output 2 7 10 4 2" xfId="25011" xr:uid="{00000000-0005-0000-0000-0000D4570000}"/>
    <cellStyle name="Output 2 7 11" xfId="5286" xr:uid="{00000000-0005-0000-0000-0000D5570000}"/>
    <cellStyle name="Output 2 7 11 2" xfId="9294" xr:uid="{00000000-0005-0000-0000-0000D6570000}"/>
    <cellStyle name="Output 2 7 11 2 2" xfId="18161" xr:uid="{00000000-0005-0000-0000-0000D7570000}"/>
    <cellStyle name="Output 2 7 11 2 2 2" xfId="32993" xr:uid="{00000000-0005-0000-0000-0000D8570000}"/>
    <cellStyle name="Output 2 7 11 2 3" xfId="19680" xr:uid="{00000000-0005-0000-0000-0000D9570000}"/>
    <cellStyle name="Output 2 7 11 3" xfId="15602" xr:uid="{00000000-0005-0000-0000-0000DA570000}"/>
    <cellStyle name="Output 2 7 11 3 2" xfId="30434" xr:uid="{00000000-0005-0000-0000-0000DB570000}"/>
    <cellStyle name="Output 2 7 12" xfId="5444" xr:uid="{00000000-0005-0000-0000-0000DC570000}"/>
    <cellStyle name="Output 2 7 12 2" xfId="15680" xr:uid="{00000000-0005-0000-0000-0000DD570000}"/>
    <cellStyle name="Output 2 7 12 2 2" xfId="30512" xr:uid="{00000000-0005-0000-0000-0000DE570000}"/>
    <cellStyle name="Output 2 7 12 3" xfId="18257" xr:uid="{00000000-0005-0000-0000-0000DF570000}"/>
    <cellStyle name="Output 2 7 13" xfId="9347" xr:uid="{00000000-0005-0000-0000-0000E0570000}"/>
    <cellStyle name="Output 2 7 13 2" xfId="24653" xr:uid="{00000000-0005-0000-0000-0000E1570000}"/>
    <cellStyle name="Output 2 7 14" xfId="5336" xr:uid="{00000000-0005-0000-0000-0000E2570000}"/>
    <cellStyle name="Output 2 7 14 2" xfId="18210" xr:uid="{00000000-0005-0000-0000-0000E3570000}"/>
    <cellStyle name="Output 2 7 2" xfId="1356" xr:uid="{00000000-0005-0000-0000-0000E4570000}"/>
    <cellStyle name="Output 2 7 2 2" xfId="1860" xr:uid="{00000000-0005-0000-0000-0000E5570000}"/>
    <cellStyle name="Output 2 7 2 2 2" xfId="3517" xr:uid="{00000000-0005-0000-0000-0000E6570000}"/>
    <cellStyle name="Output 2 7 2 2 2 2" xfId="7579" xr:uid="{00000000-0005-0000-0000-0000E7570000}"/>
    <cellStyle name="Output 2 7 2 2 2 2 2" xfId="17232" xr:uid="{00000000-0005-0000-0000-0000E8570000}"/>
    <cellStyle name="Output 2 7 2 2 2 2 2 2" xfId="32064" xr:uid="{00000000-0005-0000-0000-0000E9570000}"/>
    <cellStyle name="Output 2 7 2 2 2 2 3" xfId="19061" xr:uid="{00000000-0005-0000-0000-0000EA570000}"/>
    <cellStyle name="Output 2 7 2 2 2 3" xfId="13854" xr:uid="{00000000-0005-0000-0000-0000EB570000}"/>
    <cellStyle name="Output 2 7 2 2 2 3 2" xfId="28686" xr:uid="{00000000-0005-0000-0000-0000EC570000}"/>
    <cellStyle name="Output 2 7 2 2 2 4" xfId="10850" xr:uid="{00000000-0005-0000-0000-0000ED570000}"/>
    <cellStyle name="Output 2 7 2 2 2 4 2" xfId="25682" xr:uid="{00000000-0005-0000-0000-0000EE570000}"/>
    <cellStyle name="Output 2 7 2 2 3" xfId="4838" xr:uid="{00000000-0005-0000-0000-0000EF570000}"/>
    <cellStyle name="Output 2 7 2 2 3 2" xfId="8877" xr:uid="{00000000-0005-0000-0000-0000F0570000}"/>
    <cellStyle name="Output 2 7 2 2 3 2 2" xfId="17918" xr:uid="{00000000-0005-0000-0000-0000F1570000}"/>
    <cellStyle name="Output 2 7 2 2 3 2 2 2" xfId="32750" xr:uid="{00000000-0005-0000-0000-0000F2570000}"/>
    <cellStyle name="Output 2 7 2 2 3 2 3" xfId="19520" xr:uid="{00000000-0005-0000-0000-0000F3570000}"/>
    <cellStyle name="Output 2 7 2 2 3 3" xfId="15162" xr:uid="{00000000-0005-0000-0000-0000F4570000}"/>
    <cellStyle name="Output 2 7 2 2 3 3 2" xfId="29994" xr:uid="{00000000-0005-0000-0000-0000F5570000}"/>
    <cellStyle name="Output 2 7 2 2 3 4" xfId="11521" xr:uid="{00000000-0005-0000-0000-0000F6570000}"/>
    <cellStyle name="Output 2 7 2 2 3 4 2" xfId="26353" xr:uid="{00000000-0005-0000-0000-0000F7570000}"/>
    <cellStyle name="Output 2 7 2 2 4" xfId="2828" xr:uid="{00000000-0005-0000-0000-0000F8570000}"/>
    <cellStyle name="Output 2 7 2 2 4 2" xfId="6919" xr:uid="{00000000-0005-0000-0000-0000F9570000}"/>
    <cellStyle name="Output 2 7 2 2 4 2 2" xfId="16812" xr:uid="{00000000-0005-0000-0000-0000FA570000}"/>
    <cellStyle name="Output 2 7 2 2 4 2 2 2" xfId="31644" xr:uid="{00000000-0005-0000-0000-0000FB570000}"/>
    <cellStyle name="Output 2 7 2 2 4 2 3" xfId="18811" xr:uid="{00000000-0005-0000-0000-0000FC570000}"/>
    <cellStyle name="Output 2 7 2 2 4 3" xfId="13166" xr:uid="{00000000-0005-0000-0000-0000FD570000}"/>
    <cellStyle name="Output 2 7 2 2 4 3 2" xfId="27998" xr:uid="{00000000-0005-0000-0000-0000FE570000}"/>
    <cellStyle name="Output 2 7 2 2 4 4" xfId="10465" xr:uid="{00000000-0005-0000-0000-0000FF570000}"/>
    <cellStyle name="Output 2 7 2 2 4 4 2" xfId="25297" xr:uid="{00000000-0005-0000-0000-000000580000}"/>
    <cellStyle name="Output 2 7 2 2 5" xfId="5992" xr:uid="{00000000-0005-0000-0000-000001580000}"/>
    <cellStyle name="Output 2 7 2 2 5 2" xfId="16184" xr:uid="{00000000-0005-0000-0000-000002580000}"/>
    <cellStyle name="Output 2 7 2 2 5 2 2" xfId="31016" xr:uid="{00000000-0005-0000-0000-000003580000}"/>
    <cellStyle name="Output 2 7 2 2 5 3" xfId="18453" xr:uid="{00000000-0005-0000-0000-000004580000}"/>
    <cellStyle name="Output 2 7 2 2 6" xfId="12254" xr:uid="{00000000-0005-0000-0000-000005580000}"/>
    <cellStyle name="Output 2 7 2 2 6 2" xfId="27086" xr:uid="{00000000-0005-0000-0000-000006580000}"/>
    <cellStyle name="Output 2 7 2 2 7" xfId="9850" xr:uid="{00000000-0005-0000-0000-000007580000}"/>
    <cellStyle name="Output 2 7 2 2 7 2" xfId="24776" xr:uid="{00000000-0005-0000-0000-000008580000}"/>
    <cellStyle name="Output 2 7 2 3" xfId="3921" xr:uid="{00000000-0005-0000-0000-000009580000}"/>
    <cellStyle name="Output 2 7 2 3 2" xfId="7972" xr:uid="{00000000-0005-0000-0000-00000A580000}"/>
    <cellStyle name="Output 2 7 2 3 2 2" xfId="17432" xr:uid="{00000000-0005-0000-0000-00000B580000}"/>
    <cellStyle name="Output 2 7 2 3 2 2 2" xfId="32264" xr:uid="{00000000-0005-0000-0000-00000C580000}"/>
    <cellStyle name="Output 2 7 2 3 2 3" xfId="19203" xr:uid="{00000000-0005-0000-0000-00000D580000}"/>
    <cellStyle name="Output 2 7 2 3 3" xfId="14254" xr:uid="{00000000-0005-0000-0000-00000E580000}"/>
    <cellStyle name="Output 2 7 2 3 3 2" xfId="29086" xr:uid="{00000000-0005-0000-0000-00000F580000}"/>
    <cellStyle name="Output 2 7 2 3 4" xfId="11047" xr:uid="{00000000-0005-0000-0000-000010580000}"/>
    <cellStyle name="Output 2 7 2 3 4 2" xfId="25879" xr:uid="{00000000-0005-0000-0000-000011580000}"/>
    <cellStyle name="Output 2 7 2 4" xfId="4418" xr:uid="{00000000-0005-0000-0000-000012580000}"/>
    <cellStyle name="Output 2 7 2 4 2" xfId="8457" xr:uid="{00000000-0005-0000-0000-000013580000}"/>
    <cellStyle name="Output 2 7 2 4 2 2" xfId="17678" xr:uid="{00000000-0005-0000-0000-000014580000}"/>
    <cellStyle name="Output 2 7 2 4 2 2 2" xfId="32510" xr:uid="{00000000-0005-0000-0000-000015580000}"/>
    <cellStyle name="Output 2 7 2 4 2 3" xfId="19360" xr:uid="{00000000-0005-0000-0000-000016580000}"/>
    <cellStyle name="Output 2 7 2 4 3" xfId="14747" xr:uid="{00000000-0005-0000-0000-000017580000}"/>
    <cellStyle name="Output 2 7 2 4 3 2" xfId="29579" xr:uid="{00000000-0005-0000-0000-000018580000}"/>
    <cellStyle name="Output 2 7 2 4 4" xfId="11286" xr:uid="{00000000-0005-0000-0000-000019580000}"/>
    <cellStyle name="Output 2 7 2 4 4 2" xfId="26118" xr:uid="{00000000-0005-0000-0000-00001A580000}"/>
    <cellStyle name="Output 2 7 2 5" xfId="2408" xr:uid="{00000000-0005-0000-0000-00001B580000}"/>
    <cellStyle name="Output 2 7 2 5 2" xfId="6520" xr:uid="{00000000-0005-0000-0000-00001C580000}"/>
    <cellStyle name="Output 2 7 2 5 2 2" xfId="16576" xr:uid="{00000000-0005-0000-0000-00001D580000}"/>
    <cellStyle name="Output 2 7 2 5 2 2 2" xfId="31408" xr:uid="{00000000-0005-0000-0000-00001E580000}"/>
    <cellStyle name="Output 2 7 2 5 2 3" xfId="18648" xr:uid="{00000000-0005-0000-0000-00001F580000}"/>
    <cellStyle name="Output 2 7 2 5 3" xfId="12747" xr:uid="{00000000-0005-0000-0000-000020580000}"/>
    <cellStyle name="Output 2 7 2 5 3 2" xfId="27579" xr:uid="{00000000-0005-0000-0000-000021580000}"/>
    <cellStyle name="Output 2 7 2 5 4" xfId="10226" xr:uid="{00000000-0005-0000-0000-000022580000}"/>
    <cellStyle name="Output 2 7 2 5 4 2" xfId="25058" xr:uid="{00000000-0005-0000-0000-000023580000}"/>
    <cellStyle name="Output 2 7 2 6" xfId="5533" xr:uid="{00000000-0005-0000-0000-000024580000}"/>
    <cellStyle name="Output 2 7 2 6 2" xfId="15768" xr:uid="{00000000-0005-0000-0000-000025580000}"/>
    <cellStyle name="Output 2 7 2 6 2 2" xfId="30600" xr:uid="{00000000-0005-0000-0000-000026580000}"/>
    <cellStyle name="Output 2 7 2 6 3" xfId="18290" xr:uid="{00000000-0005-0000-0000-000027580000}"/>
    <cellStyle name="Output 2 7 2 7" xfId="11783" xr:uid="{00000000-0005-0000-0000-000028580000}"/>
    <cellStyle name="Output 2 7 2 7 2" xfId="26615" xr:uid="{00000000-0005-0000-0000-000029580000}"/>
    <cellStyle name="Output 2 7 2 8" xfId="9454" xr:uid="{00000000-0005-0000-0000-00002A580000}"/>
    <cellStyle name="Output 2 7 2 8 2" xfId="19758" xr:uid="{00000000-0005-0000-0000-00002B580000}"/>
    <cellStyle name="Output 2 7 3" xfId="1526" xr:uid="{00000000-0005-0000-0000-00002C580000}"/>
    <cellStyle name="Output 2 7 3 2" xfId="2023" xr:uid="{00000000-0005-0000-0000-00002D580000}"/>
    <cellStyle name="Output 2 7 3 2 2" xfId="3725" xr:uid="{00000000-0005-0000-0000-00002E580000}"/>
    <cellStyle name="Output 2 7 3 2 2 2" xfId="7781" xr:uid="{00000000-0005-0000-0000-00002F580000}"/>
    <cellStyle name="Output 2 7 3 2 2 2 2" xfId="17335" xr:uid="{00000000-0005-0000-0000-000030580000}"/>
    <cellStyle name="Output 2 7 3 2 2 2 2 2" xfId="32167" xr:uid="{00000000-0005-0000-0000-000031580000}"/>
    <cellStyle name="Output 2 7 3 2 2 2 3" xfId="19132" xr:uid="{00000000-0005-0000-0000-000032580000}"/>
    <cellStyle name="Output 2 7 3 2 2 3" xfId="14060" xr:uid="{00000000-0005-0000-0000-000033580000}"/>
    <cellStyle name="Output 2 7 3 2 2 3 2" xfId="28892" xr:uid="{00000000-0005-0000-0000-000034580000}"/>
    <cellStyle name="Output 2 7 3 2 2 4" xfId="10951" xr:uid="{00000000-0005-0000-0000-000035580000}"/>
    <cellStyle name="Output 2 7 3 2 2 4 2" xfId="25783" xr:uid="{00000000-0005-0000-0000-000036580000}"/>
    <cellStyle name="Output 2 7 3 2 3" xfId="4991" xr:uid="{00000000-0005-0000-0000-000037580000}"/>
    <cellStyle name="Output 2 7 3 2 3 2" xfId="9030" xr:uid="{00000000-0005-0000-0000-000038580000}"/>
    <cellStyle name="Output 2 7 3 2 3 2 2" xfId="17968" xr:uid="{00000000-0005-0000-0000-000039580000}"/>
    <cellStyle name="Output 2 7 3 2 3 2 2 2" xfId="32800" xr:uid="{00000000-0005-0000-0000-00003A580000}"/>
    <cellStyle name="Output 2 7 3 2 3 2 3" xfId="19552" xr:uid="{00000000-0005-0000-0000-00003B580000}"/>
    <cellStyle name="Output 2 7 3 2 3 3" xfId="15313" xr:uid="{00000000-0005-0000-0000-00003C580000}"/>
    <cellStyle name="Output 2 7 3 2 3 3 2" xfId="30145" xr:uid="{00000000-0005-0000-0000-00003D580000}"/>
    <cellStyle name="Output 2 7 3 2 3 4" xfId="11569" xr:uid="{00000000-0005-0000-0000-00003E580000}"/>
    <cellStyle name="Output 2 7 3 2 3 4 2" xfId="26401" xr:uid="{00000000-0005-0000-0000-00003F580000}"/>
    <cellStyle name="Output 2 7 3 2 4" xfId="2981" xr:uid="{00000000-0005-0000-0000-000040580000}"/>
    <cellStyle name="Output 2 7 3 2 4 2" xfId="7061" xr:uid="{00000000-0005-0000-0000-000041580000}"/>
    <cellStyle name="Output 2 7 3 2 4 2 2" xfId="16860" xr:uid="{00000000-0005-0000-0000-000042580000}"/>
    <cellStyle name="Output 2 7 3 2 4 2 2 2" xfId="31692" xr:uid="{00000000-0005-0000-0000-000043580000}"/>
    <cellStyle name="Output 2 7 3 2 4 2 3" xfId="18844" xr:uid="{00000000-0005-0000-0000-000044580000}"/>
    <cellStyle name="Output 2 7 3 2 4 3" xfId="13319" xr:uid="{00000000-0005-0000-0000-000045580000}"/>
    <cellStyle name="Output 2 7 3 2 4 3 2" xfId="28151" xr:uid="{00000000-0005-0000-0000-000046580000}"/>
    <cellStyle name="Output 2 7 3 2 4 4" xfId="10515" xr:uid="{00000000-0005-0000-0000-000047580000}"/>
    <cellStyle name="Output 2 7 3 2 4 4 2" xfId="25347" xr:uid="{00000000-0005-0000-0000-000048580000}"/>
    <cellStyle name="Output 2 7 3 2 5" xfId="6153" xr:uid="{00000000-0005-0000-0000-000049580000}"/>
    <cellStyle name="Output 2 7 3 2 5 2" xfId="16340" xr:uid="{00000000-0005-0000-0000-00004A580000}"/>
    <cellStyle name="Output 2 7 3 2 5 2 2" xfId="31172" xr:uid="{00000000-0005-0000-0000-00004B580000}"/>
    <cellStyle name="Output 2 7 3 2 5 3" xfId="18485" xr:uid="{00000000-0005-0000-0000-00004C580000}"/>
    <cellStyle name="Output 2 7 3 2 6" xfId="12410" xr:uid="{00000000-0005-0000-0000-00004D580000}"/>
    <cellStyle name="Output 2 7 3 2 6 2" xfId="27242" xr:uid="{00000000-0005-0000-0000-00004E580000}"/>
    <cellStyle name="Output 2 7 3 2 7" xfId="9992" xr:uid="{00000000-0005-0000-0000-00004F580000}"/>
    <cellStyle name="Output 2 7 3 2 7 2" xfId="24824" xr:uid="{00000000-0005-0000-0000-000050580000}"/>
    <cellStyle name="Output 2 7 3 3" xfId="3693" xr:uid="{00000000-0005-0000-0000-000051580000}"/>
    <cellStyle name="Output 2 7 3 3 2" xfId="7749" xr:uid="{00000000-0005-0000-0000-000052580000}"/>
    <cellStyle name="Output 2 7 3 3 2 2" xfId="17318" xr:uid="{00000000-0005-0000-0000-000053580000}"/>
    <cellStyle name="Output 2 7 3 3 2 2 2" xfId="32150" xr:uid="{00000000-0005-0000-0000-000054580000}"/>
    <cellStyle name="Output 2 7 3 3 2 3" xfId="19124" xr:uid="{00000000-0005-0000-0000-000055580000}"/>
    <cellStyle name="Output 2 7 3 3 3" xfId="14028" xr:uid="{00000000-0005-0000-0000-000056580000}"/>
    <cellStyle name="Output 2 7 3 3 3 2" xfId="28860" xr:uid="{00000000-0005-0000-0000-000057580000}"/>
    <cellStyle name="Output 2 7 3 3 4" xfId="10936" xr:uid="{00000000-0005-0000-0000-000058580000}"/>
    <cellStyle name="Output 2 7 3 3 4 2" xfId="25768" xr:uid="{00000000-0005-0000-0000-000059580000}"/>
    <cellStyle name="Output 2 7 3 4" xfId="4571" xr:uid="{00000000-0005-0000-0000-00005A580000}"/>
    <cellStyle name="Output 2 7 3 4 2" xfId="8610" xr:uid="{00000000-0005-0000-0000-00005B580000}"/>
    <cellStyle name="Output 2 7 3 4 2 2" xfId="17728" xr:uid="{00000000-0005-0000-0000-00005C580000}"/>
    <cellStyle name="Output 2 7 3 4 2 2 2" xfId="32560" xr:uid="{00000000-0005-0000-0000-00005D580000}"/>
    <cellStyle name="Output 2 7 3 4 2 3" xfId="19392" xr:uid="{00000000-0005-0000-0000-00005E580000}"/>
    <cellStyle name="Output 2 7 3 4 3" xfId="14898" xr:uid="{00000000-0005-0000-0000-00005F580000}"/>
    <cellStyle name="Output 2 7 3 4 3 2" xfId="29730" xr:uid="{00000000-0005-0000-0000-000060580000}"/>
    <cellStyle name="Output 2 7 3 4 4" xfId="11334" xr:uid="{00000000-0005-0000-0000-000061580000}"/>
    <cellStyle name="Output 2 7 3 4 4 2" xfId="26166" xr:uid="{00000000-0005-0000-0000-000062580000}"/>
    <cellStyle name="Output 2 7 3 5" xfId="2561" xr:uid="{00000000-0005-0000-0000-000063580000}"/>
    <cellStyle name="Output 2 7 3 5 2" xfId="6667" xr:uid="{00000000-0005-0000-0000-000064580000}"/>
    <cellStyle name="Output 2 7 3 5 2 2" xfId="16625" xr:uid="{00000000-0005-0000-0000-000065580000}"/>
    <cellStyle name="Output 2 7 3 5 2 2 2" xfId="31457" xr:uid="{00000000-0005-0000-0000-000066580000}"/>
    <cellStyle name="Output 2 7 3 5 2 3" xfId="18680" xr:uid="{00000000-0005-0000-0000-000067580000}"/>
    <cellStyle name="Output 2 7 3 5 3" xfId="12899" xr:uid="{00000000-0005-0000-0000-000068580000}"/>
    <cellStyle name="Output 2 7 3 5 3 2" xfId="27731" xr:uid="{00000000-0005-0000-0000-000069580000}"/>
    <cellStyle name="Output 2 7 3 5 4" xfId="10275" xr:uid="{00000000-0005-0000-0000-00006A580000}"/>
    <cellStyle name="Output 2 7 3 5 4 2" xfId="25107" xr:uid="{00000000-0005-0000-0000-00006B580000}"/>
    <cellStyle name="Output 2 7 3 6" xfId="5684" xr:uid="{00000000-0005-0000-0000-00006C580000}"/>
    <cellStyle name="Output 2 7 3 6 2" xfId="15919" xr:uid="{00000000-0005-0000-0000-00006D580000}"/>
    <cellStyle name="Output 2 7 3 6 2 2" xfId="30751" xr:uid="{00000000-0005-0000-0000-00006E580000}"/>
    <cellStyle name="Output 2 7 3 6 3" xfId="18322" xr:uid="{00000000-0005-0000-0000-00006F580000}"/>
    <cellStyle name="Output 2 7 3 7" xfId="11939" xr:uid="{00000000-0005-0000-0000-000070580000}"/>
    <cellStyle name="Output 2 7 3 7 2" xfId="26771" xr:uid="{00000000-0005-0000-0000-000071580000}"/>
    <cellStyle name="Output 2 7 3 8" xfId="9597" xr:uid="{00000000-0005-0000-0000-000072580000}"/>
    <cellStyle name="Output 2 7 3 8 2" xfId="19899" xr:uid="{00000000-0005-0000-0000-000073580000}"/>
    <cellStyle name="Output 2 7 4" xfId="1581" xr:uid="{00000000-0005-0000-0000-000074580000}"/>
    <cellStyle name="Output 2 7 4 2" xfId="2078" xr:uid="{00000000-0005-0000-0000-000075580000}"/>
    <cellStyle name="Output 2 7 4 2 2" xfId="4066" xr:uid="{00000000-0005-0000-0000-000076580000}"/>
    <cellStyle name="Output 2 7 4 2 2 2" xfId="8113" xr:uid="{00000000-0005-0000-0000-000077580000}"/>
    <cellStyle name="Output 2 7 4 2 2 2 2" xfId="17502" xr:uid="{00000000-0005-0000-0000-000078580000}"/>
    <cellStyle name="Output 2 7 4 2 2 2 2 2" xfId="32334" xr:uid="{00000000-0005-0000-0000-000079580000}"/>
    <cellStyle name="Output 2 7 4 2 2 2 3" xfId="19254" xr:uid="{00000000-0005-0000-0000-00007A580000}"/>
    <cellStyle name="Output 2 7 4 2 2 3" xfId="14398" xr:uid="{00000000-0005-0000-0000-00007B580000}"/>
    <cellStyle name="Output 2 7 4 2 2 3 2" xfId="29230" xr:uid="{00000000-0005-0000-0000-00007C580000}"/>
    <cellStyle name="Output 2 7 4 2 2 4" xfId="11118" xr:uid="{00000000-0005-0000-0000-00007D580000}"/>
    <cellStyle name="Output 2 7 4 2 2 4 2" xfId="25950" xr:uid="{00000000-0005-0000-0000-00007E580000}"/>
    <cellStyle name="Output 2 7 4 2 3" xfId="5046" xr:uid="{00000000-0005-0000-0000-00007F580000}"/>
    <cellStyle name="Output 2 7 4 2 3 2" xfId="9085" xr:uid="{00000000-0005-0000-0000-000080580000}"/>
    <cellStyle name="Output 2 7 4 2 3 2 2" xfId="18018" xr:uid="{00000000-0005-0000-0000-000081580000}"/>
    <cellStyle name="Output 2 7 4 2 3 2 2 2" xfId="32850" xr:uid="{00000000-0005-0000-0000-000082580000}"/>
    <cellStyle name="Output 2 7 4 2 3 2 3" xfId="19584" xr:uid="{00000000-0005-0000-0000-000083580000}"/>
    <cellStyle name="Output 2 7 4 2 3 3" xfId="15367" xr:uid="{00000000-0005-0000-0000-000084580000}"/>
    <cellStyle name="Output 2 7 4 2 3 3 2" xfId="30199" xr:uid="{00000000-0005-0000-0000-000085580000}"/>
    <cellStyle name="Output 2 7 4 2 3 4" xfId="11618" xr:uid="{00000000-0005-0000-0000-000086580000}"/>
    <cellStyle name="Output 2 7 4 2 3 4 2" xfId="26450" xr:uid="{00000000-0005-0000-0000-000087580000}"/>
    <cellStyle name="Output 2 7 4 2 4" xfId="3036" xr:uid="{00000000-0005-0000-0000-000088580000}"/>
    <cellStyle name="Output 2 7 4 2 4 2" xfId="7111" xr:uid="{00000000-0005-0000-0000-000089580000}"/>
    <cellStyle name="Output 2 7 4 2 4 2 2" xfId="16909" xr:uid="{00000000-0005-0000-0000-00008A580000}"/>
    <cellStyle name="Output 2 7 4 2 4 2 2 2" xfId="31741" xr:uid="{00000000-0005-0000-0000-00008B580000}"/>
    <cellStyle name="Output 2 7 4 2 4 2 3" xfId="18877" xr:uid="{00000000-0005-0000-0000-00008C580000}"/>
    <cellStyle name="Output 2 7 4 2 4 3" xfId="13374" xr:uid="{00000000-0005-0000-0000-00008D580000}"/>
    <cellStyle name="Output 2 7 4 2 4 3 2" xfId="28206" xr:uid="{00000000-0005-0000-0000-00008E580000}"/>
    <cellStyle name="Output 2 7 4 2 4 4" xfId="10565" xr:uid="{00000000-0005-0000-0000-00008F580000}"/>
    <cellStyle name="Output 2 7 4 2 4 4 2" xfId="25397" xr:uid="{00000000-0005-0000-0000-000090580000}"/>
    <cellStyle name="Output 2 7 4 2 5" xfId="6203" xr:uid="{00000000-0005-0000-0000-000091580000}"/>
    <cellStyle name="Output 2 7 4 2 5 2" xfId="16389" xr:uid="{00000000-0005-0000-0000-000092580000}"/>
    <cellStyle name="Output 2 7 4 2 5 2 2" xfId="31221" xr:uid="{00000000-0005-0000-0000-000093580000}"/>
    <cellStyle name="Output 2 7 4 2 5 3" xfId="18518" xr:uid="{00000000-0005-0000-0000-000094580000}"/>
    <cellStyle name="Output 2 7 4 2 6" xfId="12459" xr:uid="{00000000-0005-0000-0000-000095580000}"/>
    <cellStyle name="Output 2 7 4 2 6 2" xfId="27291" xr:uid="{00000000-0005-0000-0000-000096580000}"/>
    <cellStyle name="Output 2 7 4 2 7" xfId="10041" xr:uid="{00000000-0005-0000-0000-000097580000}"/>
    <cellStyle name="Output 2 7 4 2 7 2" xfId="24873" xr:uid="{00000000-0005-0000-0000-000098580000}"/>
    <cellStyle name="Output 2 7 4 3" xfId="3186" xr:uid="{00000000-0005-0000-0000-000099580000}"/>
    <cellStyle name="Output 2 7 4 3 2" xfId="7250" xr:uid="{00000000-0005-0000-0000-00009A580000}"/>
    <cellStyle name="Output 2 7 4 3 2 2" xfId="17020" xr:uid="{00000000-0005-0000-0000-00009B580000}"/>
    <cellStyle name="Output 2 7 4 3 2 2 2" xfId="31852" xr:uid="{00000000-0005-0000-0000-00009C580000}"/>
    <cellStyle name="Output 2 7 4 3 2 3" xfId="18954" xr:uid="{00000000-0005-0000-0000-00009D580000}"/>
    <cellStyle name="Output 2 7 4 3 3" xfId="13524" xr:uid="{00000000-0005-0000-0000-00009E580000}"/>
    <cellStyle name="Output 2 7 4 3 3 2" xfId="28356" xr:uid="{00000000-0005-0000-0000-00009F580000}"/>
    <cellStyle name="Output 2 7 4 3 4" xfId="10668" xr:uid="{00000000-0005-0000-0000-0000A0580000}"/>
    <cellStyle name="Output 2 7 4 3 4 2" xfId="25500" xr:uid="{00000000-0005-0000-0000-0000A1580000}"/>
    <cellStyle name="Output 2 7 4 4" xfId="4626" xr:uid="{00000000-0005-0000-0000-0000A2580000}"/>
    <cellStyle name="Output 2 7 4 4 2" xfId="8665" xr:uid="{00000000-0005-0000-0000-0000A3580000}"/>
    <cellStyle name="Output 2 7 4 4 2 2" xfId="17778" xr:uid="{00000000-0005-0000-0000-0000A4580000}"/>
    <cellStyle name="Output 2 7 4 4 2 2 2" xfId="32610" xr:uid="{00000000-0005-0000-0000-0000A5580000}"/>
    <cellStyle name="Output 2 7 4 4 2 3" xfId="19424" xr:uid="{00000000-0005-0000-0000-0000A6580000}"/>
    <cellStyle name="Output 2 7 4 4 3" xfId="14952" xr:uid="{00000000-0005-0000-0000-0000A7580000}"/>
    <cellStyle name="Output 2 7 4 4 3 2" xfId="29784" xr:uid="{00000000-0005-0000-0000-0000A8580000}"/>
    <cellStyle name="Output 2 7 4 4 4" xfId="11383" xr:uid="{00000000-0005-0000-0000-0000A9580000}"/>
    <cellStyle name="Output 2 7 4 4 4 2" xfId="26215" xr:uid="{00000000-0005-0000-0000-0000AA580000}"/>
    <cellStyle name="Output 2 7 4 5" xfId="2616" xr:uid="{00000000-0005-0000-0000-0000AB580000}"/>
    <cellStyle name="Output 2 7 4 5 2" xfId="6717" xr:uid="{00000000-0005-0000-0000-0000AC580000}"/>
    <cellStyle name="Output 2 7 4 5 2 2" xfId="16674" xr:uid="{00000000-0005-0000-0000-0000AD580000}"/>
    <cellStyle name="Output 2 7 4 5 2 2 2" xfId="31506" xr:uid="{00000000-0005-0000-0000-0000AE580000}"/>
    <cellStyle name="Output 2 7 4 5 2 3" xfId="18713" xr:uid="{00000000-0005-0000-0000-0000AF580000}"/>
    <cellStyle name="Output 2 7 4 5 3" xfId="12954" xr:uid="{00000000-0005-0000-0000-0000B0580000}"/>
    <cellStyle name="Output 2 7 4 5 3 2" xfId="27786" xr:uid="{00000000-0005-0000-0000-0000B1580000}"/>
    <cellStyle name="Output 2 7 4 5 4" xfId="10325" xr:uid="{00000000-0005-0000-0000-0000B2580000}"/>
    <cellStyle name="Output 2 7 4 5 4 2" xfId="25157" xr:uid="{00000000-0005-0000-0000-0000B3580000}"/>
    <cellStyle name="Output 2 7 4 6" xfId="5733" xr:uid="{00000000-0005-0000-0000-0000B4580000}"/>
    <cellStyle name="Output 2 7 4 6 2" xfId="15968" xr:uid="{00000000-0005-0000-0000-0000B5580000}"/>
    <cellStyle name="Output 2 7 4 6 2 2" xfId="30800" xr:uid="{00000000-0005-0000-0000-0000B6580000}"/>
    <cellStyle name="Output 2 7 4 6 3" xfId="18354" xr:uid="{00000000-0005-0000-0000-0000B7580000}"/>
    <cellStyle name="Output 2 7 4 7" xfId="11988" xr:uid="{00000000-0005-0000-0000-0000B8580000}"/>
    <cellStyle name="Output 2 7 4 7 2" xfId="26820" xr:uid="{00000000-0005-0000-0000-0000B9580000}"/>
    <cellStyle name="Output 2 7 4 8" xfId="9647" xr:uid="{00000000-0005-0000-0000-0000BA580000}"/>
    <cellStyle name="Output 2 7 4 8 2" xfId="19948" xr:uid="{00000000-0005-0000-0000-0000BB580000}"/>
    <cellStyle name="Output 2 7 5" xfId="1631" xr:uid="{00000000-0005-0000-0000-0000BC580000}"/>
    <cellStyle name="Output 2 7 5 2" xfId="2128" xr:uid="{00000000-0005-0000-0000-0000BD580000}"/>
    <cellStyle name="Output 2 7 5 2 2" xfId="3492" xr:uid="{00000000-0005-0000-0000-0000BE580000}"/>
    <cellStyle name="Output 2 7 5 2 2 2" xfId="7554" xr:uid="{00000000-0005-0000-0000-0000BF580000}"/>
    <cellStyle name="Output 2 7 5 2 2 2 2" xfId="17215" xr:uid="{00000000-0005-0000-0000-0000C0580000}"/>
    <cellStyle name="Output 2 7 5 2 2 2 2 2" xfId="32047" xr:uid="{00000000-0005-0000-0000-0000C1580000}"/>
    <cellStyle name="Output 2 7 5 2 2 2 3" xfId="19051" xr:uid="{00000000-0005-0000-0000-0000C2580000}"/>
    <cellStyle name="Output 2 7 5 2 2 3" xfId="13829" xr:uid="{00000000-0005-0000-0000-0000C3580000}"/>
    <cellStyle name="Output 2 7 5 2 2 3 2" xfId="28661" xr:uid="{00000000-0005-0000-0000-0000C4580000}"/>
    <cellStyle name="Output 2 7 5 2 2 4" xfId="10833" xr:uid="{00000000-0005-0000-0000-0000C5580000}"/>
    <cellStyle name="Output 2 7 5 2 2 4 2" xfId="25665" xr:uid="{00000000-0005-0000-0000-0000C6580000}"/>
    <cellStyle name="Output 2 7 5 2 3" xfId="5096" xr:uid="{00000000-0005-0000-0000-0000C7580000}"/>
    <cellStyle name="Output 2 7 5 2 3 2" xfId="9135" xr:uid="{00000000-0005-0000-0000-0000C8580000}"/>
    <cellStyle name="Output 2 7 5 2 3 2 2" xfId="18063" xr:uid="{00000000-0005-0000-0000-0000C9580000}"/>
    <cellStyle name="Output 2 7 5 2 3 2 2 2" xfId="32895" xr:uid="{00000000-0005-0000-0000-0000CA580000}"/>
    <cellStyle name="Output 2 7 5 2 3 2 3" xfId="19616" xr:uid="{00000000-0005-0000-0000-0000CB580000}"/>
    <cellStyle name="Output 2 7 5 2 3 3" xfId="15416" xr:uid="{00000000-0005-0000-0000-0000CC580000}"/>
    <cellStyle name="Output 2 7 5 2 3 3 2" xfId="30248" xr:uid="{00000000-0005-0000-0000-0000CD580000}"/>
    <cellStyle name="Output 2 7 5 2 3 4" xfId="11662" xr:uid="{00000000-0005-0000-0000-0000CE580000}"/>
    <cellStyle name="Output 2 7 5 2 3 4 2" xfId="26494" xr:uid="{00000000-0005-0000-0000-0000CF580000}"/>
    <cellStyle name="Output 2 7 5 2 4" xfId="3086" xr:uid="{00000000-0005-0000-0000-0000D0580000}"/>
    <cellStyle name="Output 2 7 5 2 4 2" xfId="7156" xr:uid="{00000000-0005-0000-0000-0000D1580000}"/>
    <cellStyle name="Output 2 7 5 2 4 2 2" xfId="16953" xr:uid="{00000000-0005-0000-0000-0000D2580000}"/>
    <cellStyle name="Output 2 7 5 2 4 2 2 2" xfId="31785" xr:uid="{00000000-0005-0000-0000-0000D3580000}"/>
    <cellStyle name="Output 2 7 5 2 4 2 3" xfId="18910" xr:uid="{00000000-0005-0000-0000-0000D4580000}"/>
    <cellStyle name="Output 2 7 5 2 4 3" xfId="13424" xr:uid="{00000000-0005-0000-0000-0000D5580000}"/>
    <cellStyle name="Output 2 7 5 2 4 3 2" xfId="28256" xr:uid="{00000000-0005-0000-0000-0000D6580000}"/>
    <cellStyle name="Output 2 7 5 2 4 4" xfId="10610" xr:uid="{00000000-0005-0000-0000-0000D7580000}"/>
    <cellStyle name="Output 2 7 5 2 4 4 2" xfId="25442" xr:uid="{00000000-0005-0000-0000-0000D8580000}"/>
    <cellStyle name="Output 2 7 5 2 5" xfId="6248" xr:uid="{00000000-0005-0000-0000-0000D9580000}"/>
    <cellStyle name="Output 2 7 5 2 5 2" xfId="16433" xr:uid="{00000000-0005-0000-0000-0000DA580000}"/>
    <cellStyle name="Output 2 7 5 2 5 2 2" xfId="31265" xr:uid="{00000000-0005-0000-0000-0000DB580000}"/>
    <cellStyle name="Output 2 7 5 2 5 3" xfId="18551" xr:uid="{00000000-0005-0000-0000-0000DC580000}"/>
    <cellStyle name="Output 2 7 5 2 6" xfId="12503" xr:uid="{00000000-0005-0000-0000-0000DD580000}"/>
    <cellStyle name="Output 2 7 5 2 6 2" xfId="27335" xr:uid="{00000000-0005-0000-0000-0000DE580000}"/>
    <cellStyle name="Output 2 7 5 2 7" xfId="10085" xr:uid="{00000000-0005-0000-0000-0000DF580000}"/>
    <cellStyle name="Output 2 7 5 2 7 2" xfId="24917" xr:uid="{00000000-0005-0000-0000-0000E0580000}"/>
    <cellStyle name="Output 2 7 5 3" xfId="3586" xr:uid="{00000000-0005-0000-0000-0000E1580000}"/>
    <cellStyle name="Output 2 7 5 3 2" xfId="7648" xr:uid="{00000000-0005-0000-0000-0000E2580000}"/>
    <cellStyle name="Output 2 7 5 3 2 2" xfId="17272" xr:uid="{00000000-0005-0000-0000-0000E3580000}"/>
    <cellStyle name="Output 2 7 5 3 2 2 2" xfId="32104" xr:uid="{00000000-0005-0000-0000-0000E4580000}"/>
    <cellStyle name="Output 2 7 5 3 2 3" xfId="19092" xr:uid="{00000000-0005-0000-0000-0000E5580000}"/>
    <cellStyle name="Output 2 7 5 3 3" xfId="13922" xr:uid="{00000000-0005-0000-0000-0000E6580000}"/>
    <cellStyle name="Output 2 7 5 3 3 2" xfId="28754" xr:uid="{00000000-0005-0000-0000-0000E7580000}"/>
    <cellStyle name="Output 2 7 5 3 4" xfId="10889" xr:uid="{00000000-0005-0000-0000-0000E8580000}"/>
    <cellStyle name="Output 2 7 5 3 4 2" xfId="25721" xr:uid="{00000000-0005-0000-0000-0000E9580000}"/>
    <cellStyle name="Output 2 7 5 4" xfId="4676" xr:uid="{00000000-0005-0000-0000-0000EA580000}"/>
    <cellStyle name="Output 2 7 5 4 2" xfId="8715" xr:uid="{00000000-0005-0000-0000-0000EB580000}"/>
    <cellStyle name="Output 2 7 5 4 2 2" xfId="17823" xr:uid="{00000000-0005-0000-0000-0000EC580000}"/>
    <cellStyle name="Output 2 7 5 4 2 2 2" xfId="32655" xr:uid="{00000000-0005-0000-0000-0000ED580000}"/>
    <cellStyle name="Output 2 7 5 4 2 3" xfId="19456" xr:uid="{00000000-0005-0000-0000-0000EE580000}"/>
    <cellStyle name="Output 2 7 5 4 3" xfId="15001" xr:uid="{00000000-0005-0000-0000-0000EF580000}"/>
    <cellStyle name="Output 2 7 5 4 3 2" xfId="29833" xr:uid="{00000000-0005-0000-0000-0000F0580000}"/>
    <cellStyle name="Output 2 7 5 4 4" xfId="11427" xr:uid="{00000000-0005-0000-0000-0000F1580000}"/>
    <cellStyle name="Output 2 7 5 4 4 2" xfId="26259" xr:uid="{00000000-0005-0000-0000-0000F2580000}"/>
    <cellStyle name="Output 2 7 5 5" xfId="2666" xr:uid="{00000000-0005-0000-0000-0000F3580000}"/>
    <cellStyle name="Output 2 7 5 5 2" xfId="6762" xr:uid="{00000000-0005-0000-0000-0000F4580000}"/>
    <cellStyle name="Output 2 7 5 5 2 2" xfId="16718" xr:uid="{00000000-0005-0000-0000-0000F5580000}"/>
    <cellStyle name="Output 2 7 5 5 2 2 2" xfId="31550" xr:uid="{00000000-0005-0000-0000-0000F6580000}"/>
    <cellStyle name="Output 2 7 5 5 2 3" xfId="18746" xr:uid="{00000000-0005-0000-0000-0000F7580000}"/>
    <cellStyle name="Output 2 7 5 5 3" xfId="13004" xr:uid="{00000000-0005-0000-0000-0000F8580000}"/>
    <cellStyle name="Output 2 7 5 5 3 2" xfId="27836" xr:uid="{00000000-0005-0000-0000-0000F9580000}"/>
    <cellStyle name="Output 2 7 5 5 4" xfId="10370" xr:uid="{00000000-0005-0000-0000-0000FA580000}"/>
    <cellStyle name="Output 2 7 5 5 4 2" xfId="25202" xr:uid="{00000000-0005-0000-0000-0000FB580000}"/>
    <cellStyle name="Output 2 7 5 6" xfId="5778" xr:uid="{00000000-0005-0000-0000-0000FC580000}"/>
    <cellStyle name="Output 2 7 5 6 2" xfId="16012" xr:uid="{00000000-0005-0000-0000-0000FD580000}"/>
    <cellStyle name="Output 2 7 5 6 2 2" xfId="30844" xr:uid="{00000000-0005-0000-0000-0000FE580000}"/>
    <cellStyle name="Output 2 7 5 6 3" xfId="18387" xr:uid="{00000000-0005-0000-0000-0000FF580000}"/>
    <cellStyle name="Output 2 7 5 7" xfId="12032" xr:uid="{00000000-0005-0000-0000-000000590000}"/>
    <cellStyle name="Output 2 7 5 7 2" xfId="26864" xr:uid="{00000000-0005-0000-0000-000001590000}"/>
    <cellStyle name="Output 2 7 5 8" xfId="9692" xr:uid="{00000000-0005-0000-0000-000002590000}"/>
    <cellStyle name="Output 2 7 5 8 2" xfId="19992" xr:uid="{00000000-0005-0000-0000-000003590000}"/>
    <cellStyle name="Output 2 7 6" xfId="1782" xr:uid="{00000000-0005-0000-0000-000004590000}"/>
    <cellStyle name="Output 2 7 6 2" xfId="3901" xr:uid="{00000000-0005-0000-0000-000005590000}"/>
    <cellStyle name="Output 2 7 6 2 2" xfId="7952" xr:uid="{00000000-0005-0000-0000-000006590000}"/>
    <cellStyle name="Output 2 7 6 2 2 2" xfId="17420" xr:uid="{00000000-0005-0000-0000-000007590000}"/>
    <cellStyle name="Output 2 7 6 2 2 2 2" xfId="32252" xr:uid="{00000000-0005-0000-0000-000008590000}"/>
    <cellStyle name="Output 2 7 6 2 2 3" xfId="19193" xr:uid="{00000000-0005-0000-0000-000009590000}"/>
    <cellStyle name="Output 2 7 6 2 3" xfId="14234" xr:uid="{00000000-0005-0000-0000-00000A590000}"/>
    <cellStyle name="Output 2 7 6 2 3 2" xfId="29066" xr:uid="{00000000-0005-0000-0000-00000B590000}"/>
    <cellStyle name="Output 2 7 6 2 4" xfId="11036" xr:uid="{00000000-0005-0000-0000-00000C590000}"/>
    <cellStyle name="Output 2 7 6 2 4 2" xfId="25868" xr:uid="{00000000-0005-0000-0000-00000D590000}"/>
    <cellStyle name="Output 2 7 6 3" xfId="4760" xr:uid="{00000000-0005-0000-0000-00000E590000}"/>
    <cellStyle name="Output 2 7 6 3 2" xfId="8799" xr:uid="{00000000-0005-0000-0000-00000F590000}"/>
    <cellStyle name="Output 2 7 6 3 2 2" xfId="17871" xr:uid="{00000000-0005-0000-0000-000010590000}"/>
    <cellStyle name="Output 2 7 6 3 2 2 2" xfId="32703" xr:uid="{00000000-0005-0000-0000-000011590000}"/>
    <cellStyle name="Output 2 7 6 3 2 3" xfId="19488" xr:uid="{00000000-0005-0000-0000-000012590000}"/>
    <cellStyle name="Output 2 7 6 3 3" xfId="15084" xr:uid="{00000000-0005-0000-0000-000013590000}"/>
    <cellStyle name="Output 2 7 6 3 3 2" xfId="29916" xr:uid="{00000000-0005-0000-0000-000014590000}"/>
    <cellStyle name="Output 2 7 6 3 4" xfId="11474" xr:uid="{00000000-0005-0000-0000-000015590000}"/>
    <cellStyle name="Output 2 7 6 3 4 2" xfId="26306" xr:uid="{00000000-0005-0000-0000-000016590000}"/>
    <cellStyle name="Output 2 7 6 4" xfId="2750" xr:uid="{00000000-0005-0000-0000-000017590000}"/>
    <cellStyle name="Output 2 7 6 4 2" xfId="6841" xr:uid="{00000000-0005-0000-0000-000018590000}"/>
    <cellStyle name="Output 2 7 6 4 2 2" xfId="16765" xr:uid="{00000000-0005-0000-0000-000019590000}"/>
    <cellStyle name="Output 2 7 6 4 2 2 2" xfId="31597" xr:uid="{00000000-0005-0000-0000-00001A590000}"/>
    <cellStyle name="Output 2 7 6 4 2 3" xfId="18779" xr:uid="{00000000-0005-0000-0000-00001B590000}"/>
    <cellStyle name="Output 2 7 6 4 3" xfId="13088" xr:uid="{00000000-0005-0000-0000-00001C590000}"/>
    <cellStyle name="Output 2 7 6 4 3 2" xfId="27920" xr:uid="{00000000-0005-0000-0000-00001D590000}"/>
    <cellStyle name="Output 2 7 6 4 4" xfId="10418" xr:uid="{00000000-0005-0000-0000-00001E590000}"/>
    <cellStyle name="Output 2 7 6 4 4 2" xfId="25250" xr:uid="{00000000-0005-0000-0000-00001F590000}"/>
    <cellStyle name="Output 2 7 6 5" xfId="5914" xr:uid="{00000000-0005-0000-0000-000020590000}"/>
    <cellStyle name="Output 2 7 6 5 2" xfId="16106" xr:uid="{00000000-0005-0000-0000-000021590000}"/>
    <cellStyle name="Output 2 7 6 5 2 2" xfId="30938" xr:uid="{00000000-0005-0000-0000-000022590000}"/>
    <cellStyle name="Output 2 7 6 5 3" xfId="18421" xr:uid="{00000000-0005-0000-0000-000023590000}"/>
    <cellStyle name="Output 2 7 6 6" xfId="12176" xr:uid="{00000000-0005-0000-0000-000024590000}"/>
    <cellStyle name="Output 2 7 6 6 2" xfId="27008" xr:uid="{00000000-0005-0000-0000-000025590000}"/>
    <cellStyle name="Output 2 7 6 7" xfId="9772" xr:uid="{00000000-0005-0000-0000-000026590000}"/>
    <cellStyle name="Output 2 7 6 7 2" xfId="24729" xr:uid="{00000000-0005-0000-0000-000027590000}"/>
    <cellStyle name="Output 2 7 7" xfId="2184" xr:uid="{00000000-0005-0000-0000-000028590000}"/>
    <cellStyle name="Output 2 7 7 2" xfId="4067" xr:uid="{00000000-0005-0000-0000-000029590000}"/>
    <cellStyle name="Output 2 7 7 2 2" xfId="8114" xr:uid="{00000000-0005-0000-0000-00002A590000}"/>
    <cellStyle name="Output 2 7 7 2 2 2" xfId="17503" xr:uid="{00000000-0005-0000-0000-00002B590000}"/>
    <cellStyle name="Output 2 7 7 2 2 2 2" xfId="32335" xr:uid="{00000000-0005-0000-0000-00002C590000}"/>
    <cellStyle name="Output 2 7 7 2 2 3" xfId="19255" xr:uid="{00000000-0005-0000-0000-00002D590000}"/>
    <cellStyle name="Output 2 7 7 2 3" xfId="14399" xr:uid="{00000000-0005-0000-0000-00002E590000}"/>
    <cellStyle name="Output 2 7 7 2 3 2" xfId="29231" xr:uid="{00000000-0005-0000-0000-00002F590000}"/>
    <cellStyle name="Output 2 7 7 2 4" xfId="11119" xr:uid="{00000000-0005-0000-0000-000030590000}"/>
    <cellStyle name="Output 2 7 7 2 4 2" xfId="25951" xr:uid="{00000000-0005-0000-0000-000031590000}"/>
    <cellStyle name="Output 2 7 7 3" xfId="5152" xr:uid="{00000000-0005-0000-0000-000032590000}"/>
    <cellStyle name="Output 2 7 7 3 2" xfId="9191" xr:uid="{00000000-0005-0000-0000-000033590000}"/>
    <cellStyle name="Output 2 7 7 3 2 2" xfId="18114" xr:uid="{00000000-0005-0000-0000-000034590000}"/>
    <cellStyle name="Output 2 7 7 3 2 2 2" xfId="32946" xr:uid="{00000000-0005-0000-0000-000035590000}"/>
    <cellStyle name="Output 2 7 7 3 2 3" xfId="19665" xr:uid="{00000000-0005-0000-0000-000036590000}"/>
    <cellStyle name="Output 2 7 7 3 3" xfId="15470" xr:uid="{00000000-0005-0000-0000-000037590000}"/>
    <cellStyle name="Output 2 7 7 3 3 2" xfId="30302" xr:uid="{00000000-0005-0000-0000-000038590000}"/>
    <cellStyle name="Output 2 7 7 3 4" xfId="11711" xr:uid="{00000000-0005-0000-0000-000039590000}"/>
    <cellStyle name="Output 2 7 7 3 4 2" xfId="26543" xr:uid="{00000000-0005-0000-0000-00003A590000}"/>
    <cellStyle name="Output 2 7 7 4" xfId="4182" xr:uid="{00000000-0005-0000-0000-00003B590000}"/>
    <cellStyle name="Output 2 7 7 4 2" xfId="8223" xr:uid="{00000000-0005-0000-0000-00003C590000}"/>
    <cellStyle name="Output 2 7 7 4 2 2" xfId="17570" xr:uid="{00000000-0005-0000-0000-00003D590000}"/>
    <cellStyle name="Output 2 7 7 4 2 2 2" xfId="32402" xr:uid="{00000000-0005-0000-0000-00003E590000}"/>
    <cellStyle name="Output 2 7 7 4 2 3" xfId="19308" xr:uid="{00000000-0005-0000-0000-00003F590000}"/>
    <cellStyle name="Output 2 7 7 4 3" xfId="14514" xr:uid="{00000000-0005-0000-0000-000040590000}"/>
    <cellStyle name="Output 2 7 7 4 3 2" xfId="29346" xr:uid="{00000000-0005-0000-0000-000041590000}"/>
    <cellStyle name="Output 2 7 7 4 4" xfId="11190" xr:uid="{00000000-0005-0000-0000-000042590000}"/>
    <cellStyle name="Output 2 7 7 4 4 2" xfId="26022" xr:uid="{00000000-0005-0000-0000-000043590000}"/>
    <cellStyle name="Output 2 7 7 5" xfId="6298" xr:uid="{00000000-0005-0000-0000-000044590000}"/>
    <cellStyle name="Output 2 7 7 5 2" xfId="16482" xr:uid="{00000000-0005-0000-0000-000045590000}"/>
    <cellStyle name="Output 2 7 7 5 2 2" xfId="31314" xr:uid="{00000000-0005-0000-0000-000046590000}"/>
    <cellStyle name="Output 2 7 7 5 3" xfId="18601" xr:uid="{00000000-0005-0000-0000-000047590000}"/>
    <cellStyle name="Output 2 7 7 6" xfId="12552" xr:uid="{00000000-0005-0000-0000-000048590000}"/>
    <cellStyle name="Output 2 7 7 6 2" xfId="27384" xr:uid="{00000000-0005-0000-0000-000049590000}"/>
    <cellStyle name="Output 2 7 7 7" xfId="10134" xr:uid="{00000000-0005-0000-0000-00004A590000}"/>
    <cellStyle name="Output 2 7 7 7 2" xfId="24966" xr:uid="{00000000-0005-0000-0000-00004B590000}"/>
    <cellStyle name="Output 2 7 8" xfId="3277" xr:uid="{00000000-0005-0000-0000-00004C590000}"/>
    <cellStyle name="Output 2 7 8 2" xfId="7341" xr:uid="{00000000-0005-0000-0000-00004D590000}"/>
    <cellStyle name="Output 2 7 8 2 2" xfId="17085" xr:uid="{00000000-0005-0000-0000-00004E590000}"/>
    <cellStyle name="Output 2 7 8 2 2 2" xfId="31917" xr:uid="{00000000-0005-0000-0000-00004F590000}"/>
    <cellStyle name="Output 2 7 8 2 3" xfId="18980" xr:uid="{00000000-0005-0000-0000-000050590000}"/>
    <cellStyle name="Output 2 7 8 3" xfId="13614" xr:uid="{00000000-0005-0000-0000-000051590000}"/>
    <cellStyle name="Output 2 7 8 3 2" xfId="28446" xr:uid="{00000000-0005-0000-0000-000052590000}"/>
    <cellStyle name="Output 2 7 8 4" xfId="10713" xr:uid="{00000000-0005-0000-0000-000053590000}"/>
    <cellStyle name="Output 2 7 8 4 2" xfId="25545" xr:uid="{00000000-0005-0000-0000-000054590000}"/>
    <cellStyle name="Output 2 7 9" xfId="3129" xr:uid="{00000000-0005-0000-0000-000055590000}"/>
    <cellStyle name="Output 2 7 9 2" xfId="7193" xr:uid="{00000000-0005-0000-0000-000056590000}"/>
    <cellStyle name="Output 2 7 9 2 2" xfId="16984" xr:uid="{00000000-0005-0000-0000-000057590000}"/>
    <cellStyle name="Output 2 7 9 2 2 2" xfId="31816" xr:uid="{00000000-0005-0000-0000-000058590000}"/>
    <cellStyle name="Output 2 7 9 2 3" xfId="18938" xr:uid="{00000000-0005-0000-0000-000059590000}"/>
    <cellStyle name="Output 2 7 9 3" xfId="13467" xr:uid="{00000000-0005-0000-0000-00005A590000}"/>
    <cellStyle name="Output 2 7 9 3 2" xfId="28299" xr:uid="{00000000-0005-0000-0000-00005B590000}"/>
    <cellStyle name="Output 2 7 9 4" xfId="10640" xr:uid="{00000000-0005-0000-0000-00005C590000}"/>
    <cellStyle name="Output 2 7 9 4 2" xfId="25472" xr:uid="{00000000-0005-0000-0000-00005D590000}"/>
    <cellStyle name="Output 2 8" xfId="1238" xr:uid="{00000000-0005-0000-0000-00005E590000}"/>
    <cellStyle name="Output 2 8 10" xfId="2324" xr:uid="{00000000-0005-0000-0000-00005F590000}"/>
    <cellStyle name="Output 2 8 10 2" xfId="6436" xr:uid="{00000000-0005-0000-0000-000060590000}"/>
    <cellStyle name="Output 2 8 10 2 2" xfId="16529" xr:uid="{00000000-0005-0000-0000-000061590000}"/>
    <cellStyle name="Output 2 8 10 2 2 2" xfId="31361" xr:uid="{00000000-0005-0000-0000-000062590000}"/>
    <cellStyle name="Output 2 8 10 2 3" xfId="18617" xr:uid="{00000000-0005-0000-0000-000063590000}"/>
    <cellStyle name="Output 2 8 10 3" xfId="12664" xr:uid="{00000000-0005-0000-0000-000064590000}"/>
    <cellStyle name="Output 2 8 10 3 2" xfId="27496" xr:uid="{00000000-0005-0000-0000-000065590000}"/>
    <cellStyle name="Output 2 8 10 4" xfId="10180" xr:uid="{00000000-0005-0000-0000-000066590000}"/>
    <cellStyle name="Output 2 8 10 4 2" xfId="25012" xr:uid="{00000000-0005-0000-0000-000067590000}"/>
    <cellStyle name="Output 2 8 11" xfId="5287" xr:uid="{00000000-0005-0000-0000-000068590000}"/>
    <cellStyle name="Output 2 8 11 2" xfId="9295" xr:uid="{00000000-0005-0000-0000-000069590000}"/>
    <cellStyle name="Output 2 8 11 2 2" xfId="18162" xr:uid="{00000000-0005-0000-0000-00006A590000}"/>
    <cellStyle name="Output 2 8 11 2 2 2" xfId="32994" xr:uid="{00000000-0005-0000-0000-00006B590000}"/>
    <cellStyle name="Output 2 8 11 2 3" xfId="19681" xr:uid="{00000000-0005-0000-0000-00006C590000}"/>
    <cellStyle name="Output 2 8 11 3" xfId="15603" xr:uid="{00000000-0005-0000-0000-00006D590000}"/>
    <cellStyle name="Output 2 8 11 3 2" xfId="30435" xr:uid="{00000000-0005-0000-0000-00006E590000}"/>
    <cellStyle name="Output 2 8 12" xfId="5445" xr:uid="{00000000-0005-0000-0000-00006F590000}"/>
    <cellStyle name="Output 2 8 12 2" xfId="15681" xr:uid="{00000000-0005-0000-0000-000070590000}"/>
    <cellStyle name="Output 2 8 12 2 2" xfId="30513" xr:uid="{00000000-0005-0000-0000-000071590000}"/>
    <cellStyle name="Output 2 8 12 3" xfId="18258" xr:uid="{00000000-0005-0000-0000-000072590000}"/>
    <cellStyle name="Output 2 8 13" xfId="9346" xr:uid="{00000000-0005-0000-0000-000073590000}"/>
    <cellStyle name="Output 2 8 13 2" xfId="24652" xr:uid="{00000000-0005-0000-0000-000074590000}"/>
    <cellStyle name="Output 2 8 14" xfId="5335" xr:uid="{00000000-0005-0000-0000-000075590000}"/>
    <cellStyle name="Output 2 8 14 2" xfId="18209" xr:uid="{00000000-0005-0000-0000-000076590000}"/>
    <cellStyle name="Output 2 8 2" xfId="1357" xr:uid="{00000000-0005-0000-0000-000077590000}"/>
    <cellStyle name="Output 2 8 2 2" xfId="1861" xr:uid="{00000000-0005-0000-0000-000078590000}"/>
    <cellStyle name="Output 2 8 2 2 2" xfId="3909" xr:uid="{00000000-0005-0000-0000-000079590000}"/>
    <cellStyle name="Output 2 8 2 2 2 2" xfId="7960" xr:uid="{00000000-0005-0000-0000-00007A590000}"/>
    <cellStyle name="Output 2 8 2 2 2 2 2" xfId="17425" xr:uid="{00000000-0005-0000-0000-00007B590000}"/>
    <cellStyle name="Output 2 8 2 2 2 2 2 2" xfId="32257" xr:uid="{00000000-0005-0000-0000-00007C590000}"/>
    <cellStyle name="Output 2 8 2 2 2 2 3" xfId="19198" xr:uid="{00000000-0005-0000-0000-00007D590000}"/>
    <cellStyle name="Output 2 8 2 2 2 3" xfId="14242" xr:uid="{00000000-0005-0000-0000-00007E590000}"/>
    <cellStyle name="Output 2 8 2 2 2 3 2" xfId="29074" xr:uid="{00000000-0005-0000-0000-00007F590000}"/>
    <cellStyle name="Output 2 8 2 2 2 4" xfId="11041" xr:uid="{00000000-0005-0000-0000-000080590000}"/>
    <cellStyle name="Output 2 8 2 2 2 4 2" xfId="25873" xr:uid="{00000000-0005-0000-0000-000081590000}"/>
    <cellStyle name="Output 2 8 2 2 3" xfId="4839" xr:uid="{00000000-0005-0000-0000-000082590000}"/>
    <cellStyle name="Output 2 8 2 2 3 2" xfId="8878" xr:uid="{00000000-0005-0000-0000-000083590000}"/>
    <cellStyle name="Output 2 8 2 2 3 2 2" xfId="17919" xr:uid="{00000000-0005-0000-0000-000084590000}"/>
    <cellStyle name="Output 2 8 2 2 3 2 2 2" xfId="32751" xr:uid="{00000000-0005-0000-0000-000085590000}"/>
    <cellStyle name="Output 2 8 2 2 3 2 3" xfId="19521" xr:uid="{00000000-0005-0000-0000-000086590000}"/>
    <cellStyle name="Output 2 8 2 2 3 3" xfId="15163" xr:uid="{00000000-0005-0000-0000-000087590000}"/>
    <cellStyle name="Output 2 8 2 2 3 3 2" xfId="29995" xr:uid="{00000000-0005-0000-0000-000088590000}"/>
    <cellStyle name="Output 2 8 2 2 3 4" xfId="11522" xr:uid="{00000000-0005-0000-0000-000089590000}"/>
    <cellStyle name="Output 2 8 2 2 3 4 2" xfId="26354" xr:uid="{00000000-0005-0000-0000-00008A590000}"/>
    <cellStyle name="Output 2 8 2 2 4" xfId="2829" xr:uid="{00000000-0005-0000-0000-00008B590000}"/>
    <cellStyle name="Output 2 8 2 2 4 2" xfId="6920" xr:uid="{00000000-0005-0000-0000-00008C590000}"/>
    <cellStyle name="Output 2 8 2 2 4 2 2" xfId="16813" xr:uid="{00000000-0005-0000-0000-00008D590000}"/>
    <cellStyle name="Output 2 8 2 2 4 2 2 2" xfId="31645" xr:uid="{00000000-0005-0000-0000-00008E590000}"/>
    <cellStyle name="Output 2 8 2 2 4 2 3" xfId="18812" xr:uid="{00000000-0005-0000-0000-00008F590000}"/>
    <cellStyle name="Output 2 8 2 2 4 3" xfId="13167" xr:uid="{00000000-0005-0000-0000-000090590000}"/>
    <cellStyle name="Output 2 8 2 2 4 3 2" xfId="27999" xr:uid="{00000000-0005-0000-0000-000091590000}"/>
    <cellStyle name="Output 2 8 2 2 4 4" xfId="10466" xr:uid="{00000000-0005-0000-0000-000092590000}"/>
    <cellStyle name="Output 2 8 2 2 4 4 2" xfId="25298" xr:uid="{00000000-0005-0000-0000-000093590000}"/>
    <cellStyle name="Output 2 8 2 2 5" xfId="5993" xr:uid="{00000000-0005-0000-0000-000094590000}"/>
    <cellStyle name="Output 2 8 2 2 5 2" xfId="16185" xr:uid="{00000000-0005-0000-0000-000095590000}"/>
    <cellStyle name="Output 2 8 2 2 5 2 2" xfId="31017" xr:uid="{00000000-0005-0000-0000-000096590000}"/>
    <cellStyle name="Output 2 8 2 2 5 3" xfId="18454" xr:uid="{00000000-0005-0000-0000-000097590000}"/>
    <cellStyle name="Output 2 8 2 2 6" xfId="12255" xr:uid="{00000000-0005-0000-0000-000098590000}"/>
    <cellStyle name="Output 2 8 2 2 6 2" xfId="27087" xr:uid="{00000000-0005-0000-0000-000099590000}"/>
    <cellStyle name="Output 2 8 2 2 7" xfId="9851" xr:uid="{00000000-0005-0000-0000-00009A590000}"/>
    <cellStyle name="Output 2 8 2 2 7 2" xfId="24777" xr:uid="{00000000-0005-0000-0000-00009B590000}"/>
    <cellStyle name="Output 2 8 2 3" xfId="4092" xr:uid="{00000000-0005-0000-0000-00009C590000}"/>
    <cellStyle name="Output 2 8 2 3 2" xfId="8138" xr:uid="{00000000-0005-0000-0000-00009D590000}"/>
    <cellStyle name="Output 2 8 2 3 2 2" xfId="17513" xr:uid="{00000000-0005-0000-0000-00009E590000}"/>
    <cellStyle name="Output 2 8 2 3 2 2 2" xfId="32345" xr:uid="{00000000-0005-0000-0000-00009F590000}"/>
    <cellStyle name="Output 2 8 2 3 2 3" xfId="19263" xr:uid="{00000000-0005-0000-0000-0000A0590000}"/>
    <cellStyle name="Output 2 8 2 3 3" xfId="14424" xr:uid="{00000000-0005-0000-0000-0000A1590000}"/>
    <cellStyle name="Output 2 8 2 3 3 2" xfId="29256" xr:uid="{00000000-0005-0000-0000-0000A2590000}"/>
    <cellStyle name="Output 2 8 2 3 4" xfId="11130" xr:uid="{00000000-0005-0000-0000-0000A3590000}"/>
    <cellStyle name="Output 2 8 2 3 4 2" xfId="25962" xr:uid="{00000000-0005-0000-0000-0000A4590000}"/>
    <cellStyle name="Output 2 8 2 4" xfId="4419" xr:uid="{00000000-0005-0000-0000-0000A5590000}"/>
    <cellStyle name="Output 2 8 2 4 2" xfId="8458" xr:uid="{00000000-0005-0000-0000-0000A6590000}"/>
    <cellStyle name="Output 2 8 2 4 2 2" xfId="17679" xr:uid="{00000000-0005-0000-0000-0000A7590000}"/>
    <cellStyle name="Output 2 8 2 4 2 2 2" xfId="32511" xr:uid="{00000000-0005-0000-0000-0000A8590000}"/>
    <cellStyle name="Output 2 8 2 4 2 3" xfId="19361" xr:uid="{00000000-0005-0000-0000-0000A9590000}"/>
    <cellStyle name="Output 2 8 2 4 3" xfId="14748" xr:uid="{00000000-0005-0000-0000-0000AA590000}"/>
    <cellStyle name="Output 2 8 2 4 3 2" xfId="29580" xr:uid="{00000000-0005-0000-0000-0000AB590000}"/>
    <cellStyle name="Output 2 8 2 4 4" xfId="11287" xr:uid="{00000000-0005-0000-0000-0000AC590000}"/>
    <cellStyle name="Output 2 8 2 4 4 2" xfId="26119" xr:uid="{00000000-0005-0000-0000-0000AD590000}"/>
    <cellStyle name="Output 2 8 2 5" xfId="2409" xr:uid="{00000000-0005-0000-0000-0000AE590000}"/>
    <cellStyle name="Output 2 8 2 5 2" xfId="6521" xr:uid="{00000000-0005-0000-0000-0000AF590000}"/>
    <cellStyle name="Output 2 8 2 5 2 2" xfId="16577" xr:uid="{00000000-0005-0000-0000-0000B0590000}"/>
    <cellStyle name="Output 2 8 2 5 2 2 2" xfId="31409" xr:uid="{00000000-0005-0000-0000-0000B1590000}"/>
    <cellStyle name="Output 2 8 2 5 2 3" xfId="18649" xr:uid="{00000000-0005-0000-0000-0000B2590000}"/>
    <cellStyle name="Output 2 8 2 5 3" xfId="12748" xr:uid="{00000000-0005-0000-0000-0000B3590000}"/>
    <cellStyle name="Output 2 8 2 5 3 2" xfId="27580" xr:uid="{00000000-0005-0000-0000-0000B4590000}"/>
    <cellStyle name="Output 2 8 2 5 4" xfId="10227" xr:uid="{00000000-0005-0000-0000-0000B5590000}"/>
    <cellStyle name="Output 2 8 2 5 4 2" xfId="25059" xr:uid="{00000000-0005-0000-0000-0000B6590000}"/>
    <cellStyle name="Output 2 8 2 6" xfId="5534" xr:uid="{00000000-0005-0000-0000-0000B7590000}"/>
    <cellStyle name="Output 2 8 2 6 2" xfId="15769" xr:uid="{00000000-0005-0000-0000-0000B8590000}"/>
    <cellStyle name="Output 2 8 2 6 2 2" xfId="30601" xr:uid="{00000000-0005-0000-0000-0000B9590000}"/>
    <cellStyle name="Output 2 8 2 6 3" xfId="18291" xr:uid="{00000000-0005-0000-0000-0000BA590000}"/>
    <cellStyle name="Output 2 8 2 7" xfId="11784" xr:uid="{00000000-0005-0000-0000-0000BB590000}"/>
    <cellStyle name="Output 2 8 2 7 2" xfId="26616" xr:uid="{00000000-0005-0000-0000-0000BC590000}"/>
    <cellStyle name="Output 2 8 2 8" xfId="9455" xr:uid="{00000000-0005-0000-0000-0000BD590000}"/>
    <cellStyle name="Output 2 8 2 8 2" xfId="19759" xr:uid="{00000000-0005-0000-0000-0000BE590000}"/>
    <cellStyle name="Output 2 8 3" xfId="1527" xr:uid="{00000000-0005-0000-0000-0000BF590000}"/>
    <cellStyle name="Output 2 8 3 2" xfId="2024" xr:uid="{00000000-0005-0000-0000-0000C0590000}"/>
    <cellStyle name="Output 2 8 3 2 2" xfId="3903" xr:uid="{00000000-0005-0000-0000-0000C1590000}"/>
    <cellStyle name="Output 2 8 3 2 2 2" xfId="7954" xr:uid="{00000000-0005-0000-0000-0000C2590000}"/>
    <cellStyle name="Output 2 8 3 2 2 2 2" xfId="17421" xr:uid="{00000000-0005-0000-0000-0000C3590000}"/>
    <cellStyle name="Output 2 8 3 2 2 2 2 2" xfId="32253" xr:uid="{00000000-0005-0000-0000-0000C4590000}"/>
    <cellStyle name="Output 2 8 3 2 2 2 3" xfId="19194" xr:uid="{00000000-0005-0000-0000-0000C5590000}"/>
    <cellStyle name="Output 2 8 3 2 2 3" xfId="14236" xr:uid="{00000000-0005-0000-0000-0000C6590000}"/>
    <cellStyle name="Output 2 8 3 2 2 3 2" xfId="29068" xr:uid="{00000000-0005-0000-0000-0000C7590000}"/>
    <cellStyle name="Output 2 8 3 2 2 4" xfId="11037" xr:uid="{00000000-0005-0000-0000-0000C8590000}"/>
    <cellStyle name="Output 2 8 3 2 2 4 2" xfId="25869" xr:uid="{00000000-0005-0000-0000-0000C9590000}"/>
    <cellStyle name="Output 2 8 3 2 3" xfId="4992" xr:uid="{00000000-0005-0000-0000-0000CA590000}"/>
    <cellStyle name="Output 2 8 3 2 3 2" xfId="9031" xr:uid="{00000000-0005-0000-0000-0000CB590000}"/>
    <cellStyle name="Output 2 8 3 2 3 2 2" xfId="17969" xr:uid="{00000000-0005-0000-0000-0000CC590000}"/>
    <cellStyle name="Output 2 8 3 2 3 2 2 2" xfId="32801" xr:uid="{00000000-0005-0000-0000-0000CD590000}"/>
    <cellStyle name="Output 2 8 3 2 3 2 3" xfId="19553" xr:uid="{00000000-0005-0000-0000-0000CE590000}"/>
    <cellStyle name="Output 2 8 3 2 3 3" xfId="15314" xr:uid="{00000000-0005-0000-0000-0000CF590000}"/>
    <cellStyle name="Output 2 8 3 2 3 3 2" xfId="30146" xr:uid="{00000000-0005-0000-0000-0000D0590000}"/>
    <cellStyle name="Output 2 8 3 2 3 4" xfId="11570" xr:uid="{00000000-0005-0000-0000-0000D1590000}"/>
    <cellStyle name="Output 2 8 3 2 3 4 2" xfId="26402" xr:uid="{00000000-0005-0000-0000-0000D2590000}"/>
    <cellStyle name="Output 2 8 3 2 4" xfId="2982" xr:uid="{00000000-0005-0000-0000-0000D3590000}"/>
    <cellStyle name="Output 2 8 3 2 4 2" xfId="7062" xr:uid="{00000000-0005-0000-0000-0000D4590000}"/>
    <cellStyle name="Output 2 8 3 2 4 2 2" xfId="16861" xr:uid="{00000000-0005-0000-0000-0000D5590000}"/>
    <cellStyle name="Output 2 8 3 2 4 2 2 2" xfId="31693" xr:uid="{00000000-0005-0000-0000-0000D6590000}"/>
    <cellStyle name="Output 2 8 3 2 4 2 3" xfId="18845" xr:uid="{00000000-0005-0000-0000-0000D7590000}"/>
    <cellStyle name="Output 2 8 3 2 4 3" xfId="13320" xr:uid="{00000000-0005-0000-0000-0000D8590000}"/>
    <cellStyle name="Output 2 8 3 2 4 3 2" xfId="28152" xr:uid="{00000000-0005-0000-0000-0000D9590000}"/>
    <cellStyle name="Output 2 8 3 2 4 4" xfId="10516" xr:uid="{00000000-0005-0000-0000-0000DA590000}"/>
    <cellStyle name="Output 2 8 3 2 4 4 2" xfId="25348" xr:uid="{00000000-0005-0000-0000-0000DB590000}"/>
    <cellStyle name="Output 2 8 3 2 5" xfId="6154" xr:uid="{00000000-0005-0000-0000-0000DC590000}"/>
    <cellStyle name="Output 2 8 3 2 5 2" xfId="16341" xr:uid="{00000000-0005-0000-0000-0000DD590000}"/>
    <cellStyle name="Output 2 8 3 2 5 2 2" xfId="31173" xr:uid="{00000000-0005-0000-0000-0000DE590000}"/>
    <cellStyle name="Output 2 8 3 2 5 3" xfId="18486" xr:uid="{00000000-0005-0000-0000-0000DF590000}"/>
    <cellStyle name="Output 2 8 3 2 6" xfId="12411" xr:uid="{00000000-0005-0000-0000-0000E0590000}"/>
    <cellStyle name="Output 2 8 3 2 6 2" xfId="27243" xr:uid="{00000000-0005-0000-0000-0000E1590000}"/>
    <cellStyle name="Output 2 8 3 2 7" xfId="9993" xr:uid="{00000000-0005-0000-0000-0000E2590000}"/>
    <cellStyle name="Output 2 8 3 2 7 2" xfId="24825" xr:uid="{00000000-0005-0000-0000-0000E3590000}"/>
    <cellStyle name="Output 2 8 3 3" xfId="4302" xr:uid="{00000000-0005-0000-0000-0000E4590000}"/>
    <cellStyle name="Output 2 8 3 3 2" xfId="8341" xr:uid="{00000000-0005-0000-0000-0000E5590000}"/>
    <cellStyle name="Output 2 8 3 3 2 2" xfId="17620" xr:uid="{00000000-0005-0000-0000-0000E6590000}"/>
    <cellStyle name="Output 2 8 3 3 2 2 2" xfId="32452" xr:uid="{00000000-0005-0000-0000-0000E7590000}"/>
    <cellStyle name="Output 2 8 3 3 2 3" xfId="19326" xr:uid="{00000000-0005-0000-0000-0000E8590000}"/>
    <cellStyle name="Output 2 8 3 3 3" xfId="14633" xr:uid="{00000000-0005-0000-0000-0000E9590000}"/>
    <cellStyle name="Output 2 8 3 3 3 2" xfId="29465" xr:uid="{00000000-0005-0000-0000-0000EA590000}"/>
    <cellStyle name="Output 2 8 3 3 4" xfId="11232" xr:uid="{00000000-0005-0000-0000-0000EB590000}"/>
    <cellStyle name="Output 2 8 3 3 4 2" xfId="26064" xr:uid="{00000000-0005-0000-0000-0000EC590000}"/>
    <cellStyle name="Output 2 8 3 4" xfId="4572" xr:uid="{00000000-0005-0000-0000-0000ED590000}"/>
    <cellStyle name="Output 2 8 3 4 2" xfId="8611" xr:uid="{00000000-0005-0000-0000-0000EE590000}"/>
    <cellStyle name="Output 2 8 3 4 2 2" xfId="17729" xr:uid="{00000000-0005-0000-0000-0000EF590000}"/>
    <cellStyle name="Output 2 8 3 4 2 2 2" xfId="32561" xr:uid="{00000000-0005-0000-0000-0000F0590000}"/>
    <cellStyle name="Output 2 8 3 4 2 3" xfId="19393" xr:uid="{00000000-0005-0000-0000-0000F1590000}"/>
    <cellStyle name="Output 2 8 3 4 3" xfId="14899" xr:uid="{00000000-0005-0000-0000-0000F2590000}"/>
    <cellStyle name="Output 2 8 3 4 3 2" xfId="29731" xr:uid="{00000000-0005-0000-0000-0000F3590000}"/>
    <cellStyle name="Output 2 8 3 4 4" xfId="11335" xr:uid="{00000000-0005-0000-0000-0000F4590000}"/>
    <cellStyle name="Output 2 8 3 4 4 2" xfId="26167" xr:uid="{00000000-0005-0000-0000-0000F5590000}"/>
    <cellStyle name="Output 2 8 3 5" xfId="2562" xr:uid="{00000000-0005-0000-0000-0000F6590000}"/>
    <cellStyle name="Output 2 8 3 5 2" xfId="6668" xr:uid="{00000000-0005-0000-0000-0000F7590000}"/>
    <cellStyle name="Output 2 8 3 5 2 2" xfId="16626" xr:uid="{00000000-0005-0000-0000-0000F8590000}"/>
    <cellStyle name="Output 2 8 3 5 2 2 2" xfId="31458" xr:uid="{00000000-0005-0000-0000-0000F9590000}"/>
    <cellStyle name="Output 2 8 3 5 2 3" xfId="18681" xr:uid="{00000000-0005-0000-0000-0000FA590000}"/>
    <cellStyle name="Output 2 8 3 5 3" xfId="12900" xr:uid="{00000000-0005-0000-0000-0000FB590000}"/>
    <cellStyle name="Output 2 8 3 5 3 2" xfId="27732" xr:uid="{00000000-0005-0000-0000-0000FC590000}"/>
    <cellStyle name="Output 2 8 3 5 4" xfId="10276" xr:uid="{00000000-0005-0000-0000-0000FD590000}"/>
    <cellStyle name="Output 2 8 3 5 4 2" xfId="25108" xr:uid="{00000000-0005-0000-0000-0000FE590000}"/>
    <cellStyle name="Output 2 8 3 6" xfId="5685" xr:uid="{00000000-0005-0000-0000-0000FF590000}"/>
    <cellStyle name="Output 2 8 3 6 2" xfId="15920" xr:uid="{00000000-0005-0000-0000-0000005A0000}"/>
    <cellStyle name="Output 2 8 3 6 2 2" xfId="30752" xr:uid="{00000000-0005-0000-0000-0000015A0000}"/>
    <cellStyle name="Output 2 8 3 6 3" xfId="18323" xr:uid="{00000000-0005-0000-0000-0000025A0000}"/>
    <cellStyle name="Output 2 8 3 7" xfId="11940" xr:uid="{00000000-0005-0000-0000-0000035A0000}"/>
    <cellStyle name="Output 2 8 3 7 2" xfId="26772" xr:uid="{00000000-0005-0000-0000-0000045A0000}"/>
    <cellStyle name="Output 2 8 3 8" xfId="9598" xr:uid="{00000000-0005-0000-0000-0000055A0000}"/>
    <cellStyle name="Output 2 8 3 8 2" xfId="19900" xr:uid="{00000000-0005-0000-0000-0000065A0000}"/>
    <cellStyle name="Output 2 8 4" xfId="1582" xr:uid="{00000000-0005-0000-0000-0000075A0000}"/>
    <cellStyle name="Output 2 8 4 2" xfId="2079" xr:uid="{00000000-0005-0000-0000-0000085A0000}"/>
    <cellStyle name="Output 2 8 4 2 2" xfId="3936" xr:uid="{00000000-0005-0000-0000-0000095A0000}"/>
    <cellStyle name="Output 2 8 4 2 2 2" xfId="7986" xr:uid="{00000000-0005-0000-0000-00000A5A0000}"/>
    <cellStyle name="Output 2 8 4 2 2 2 2" xfId="17440" xr:uid="{00000000-0005-0000-0000-00000B5A0000}"/>
    <cellStyle name="Output 2 8 4 2 2 2 2 2" xfId="32272" xr:uid="{00000000-0005-0000-0000-00000C5A0000}"/>
    <cellStyle name="Output 2 8 4 2 2 2 3" xfId="19209" xr:uid="{00000000-0005-0000-0000-00000D5A0000}"/>
    <cellStyle name="Output 2 8 4 2 2 3" xfId="14269" xr:uid="{00000000-0005-0000-0000-00000E5A0000}"/>
    <cellStyle name="Output 2 8 4 2 2 3 2" xfId="29101" xr:uid="{00000000-0005-0000-0000-00000F5A0000}"/>
    <cellStyle name="Output 2 8 4 2 2 4" xfId="11055" xr:uid="{00000000-0005-0000-0000-0000105A0000}"/>
    <cellStyle name="Output 2 8 4 2 2 4 2" xfId="25887" xr:uid="{00000000-0005-0000-0000-0000115A0000}"/>
    <cellStyle name="Output 2 8 4 2 3" xfId="5047" xr:uid="{00000000-0005-0000-0000-0000125A0000}"/>
    <cellStyle name="Output 2 8 4 2 3 2" xfId="9086" xr:uid="{00000000-0005-0000-0000-0000135A0000}"/>
    <cellStyle name="Output 2 8 4 2 3 2 2" xfId="18019" xr:uid="{00000000-0005-0000-0000-0000145A0000}"/>
    <cellStyle name="Output 2 8 4 2 3 2 2 2" xfId="32851" xr:uid="{00000000-0005-0000-0000-0000155A0000}"/>
    <cellStyle name="Output 2 8 4 2 3 2 3" xfId="19585" xr:uid="{00000000-0005-0000-0000-0000165A0000}"/>
    <cellStyle name="Output 2 8 4 2 3 3" xfId="15368" xr:uid="{00000000-0005-0000-0000-0000175A0000}"/>
    <cellStyle name="Output 2 8 4 2 3 3 2" xfId="30200" xr:uid="{00000000-0005-0000-0000-0000185A0000}"/>
    <cellStyle name="Output 2 8 4 2 3 4" xfId="11619" xr:uid="{00000000-0005-0000-0000-0000195A0000}"/>
    <cellStyle name="Output 2 8 4 2 3 4 2" xfId="26451" xr:uid="{00000000-0005-0000-0000-00001A5A0000}"/>
    <cellStyle name="Output 2 8 4 2 4" xfId="3037" xr:uid="{00000000-0005-0000-0000-00001B5A0000}"/>
    <cellStyle name="Output 2 8 4 2 4 2" xfId="7112" xr:uid="{00000000-0005-0000-0000-00001C5A0000}"/>
    <cellStyle name="Output 2 8 4 2 4 2 2" xfId="16910" xr:uid="{00000000-0005-0000-0000-00001D5A0000}"/>
    <cellStyle name="Output 2 8 4 2 4 2 2 2" xfId="31742" xr:uid="{00000000-0005-0000-0000-00001E5A0000}"/>
    <cellStyle name="Output 2 8 4 2 4 2 3" xfId="18878" xr:uid="{00000000-0005-0000-0000-00001F5A0000}"/>
    <cellStyle name="Output 2 8 4 2 4 3" xfId="13375" xr:uid="{00000000-0005-0000-0000-0000205A0000}"/>
    <cellStyle name="Output 2 8 4 2 4 3 2" xfId="28207" xr:uid="{00000000-0005-0000-0000-0000215A0000}"/>
    <cellStyle name="Output 2 8 4 2 4 4" xfId="10566" xr:uid="{00000000-0005-0000-0000-0000225A0000}"/>
    <cellStyle name="Output 2 8 4 2 4 4 2" xfId="25398" xr:uid="{00000000-0005-0000-0000-0000235A0000}"/>
    <cellStyle name="Output 2 8 4 2 5" xfId="6204" xr:uid="{00000000-0005-0000-0000-0000245A0000}"/>
    <cellStyle name="Output 2 8 4 2 5 2" xfId="16390" xr:uid="{00000000-0005-0000-0000-0000255A0000}"/>
    <cellStyle name="Output 2 8 4 2 5 2 2" xfId="31222" xr:uid="{00000000-0005-0000-0000-0000265A0000}"/>
    <cellStyle name="Output 2 8 4 2 5 3" xfId="18519" xr:uid="{00000000-0005-0000-0000-0000275A0000}"/>
    <cellStyle name="Output 2 8 4 2 6" xfId="12460" xr:uid="{00000000-0005-0000-0000-0000285A0000}"/>
    <cellStyle name="Output 2 8 4 2 6 2" xfId="27292" xr:uid="{00000000-0005-0000-0000-0000295A0000}"/>
    <cellStyle name="Output 2 8 4 2 7" xfId="10042" xr:uid="{00000000-0005-0000-0000-00002A5A0000}"/>
    <cellStyle name="Output 2 8 4 2 7 2" xfId="24874" xr:uid="{00000000-0005-0000-0000-00002B5A0000}"/>
    <cellStyle name="Output 2 8 4 3" xfId="4329" xr:uid="{00000000-0005-0000-0000-00002C5A0000}"/>
    <cellStyle name="Output 2 8 4 3 2" xfId="8368" xr:uid="{00000000-0005-0000-0000-00002D5A0000}"/>
    <cellStyle name="Output 2 8 4 3 2 2" xfId="17646" xr:uid="{00000000-0005-0000-0000-00002E5A0000}"/>
    <cellStyle name="Output 2 8 4 3 2 2 2" xfId="32478" xr:uid="{00000000-0005-0000-0000-00002F5A0000}"/>
    <cellStyle name="Output 2 8 4 3 2 3" xfId="19346" xr:uid="{00000000-0005-0000-0000-0000305A0000}"/>
    <cellStyle name="Output 2 8 4 3 3" xfId="14660" xr:uid="{00000000-0005-0000-0000-0000315A0000}"/>
    <cellStyle name="Output 2 8 4 3 3 2" xfId="29492" xr:uid="{00000000-0005-0000-0000-0000325A0000}"/>
    <cellStyle name="Output 2 8 4 3 4" xfId="11256" xr:uid="{00000000-0005-0000-0000-0000335A0000}"/>
    <cellStyle name="Output 2 8 4 3 4 2" xfId="26088" xr:uid="{00000000-0005-0000-0000-0000345A0000}"/>
    <cellStyle name="Output 2 8 4 4" xfId="4627" xr:uid="{00000000-0005-0000-0000-0000355A0000}"/>
    <cellStyle name="Output 2 8 4 4 2" xfId="8666" xr:uid="{00000000-0005-0000-0000-0000365A0000}"/>
    <cellStyle name="Output 2 8 4 4 2 2" xfId="17779" xr:uid="{00000000-0005-0000-0000-0000375A0000}"/>
    <cellStyle name="Output 2 8 4 4 2 2 2" xfId="32611" xr:uid="{00000000-0005-0000-0000-0000385A0000}"/>
    <cellStyle name="Output 2 8 4 4 2 3" xfId="19425" xr:uid="{00000000-0005-0000-0000-0000395A0000}"/>
    <cellStyle name="Output 2 8 4 4 3" xfId="14953" xr:uid="{00000000-0005-0000-0000-00003A5A0000}"/>
    <cellStyle name="Output 2 8 4 4 3 2" xfId="29785" xr:uid="{00000000-0005-0000-0000-00003B5A0000}"/>
    <cellStyle name="Output 2 8 4 4 4" xfId="11384" xr:uid="{00000000-0005-0000-0000-00003C5A0000}"/>
    <cellStyle name="Output 2 8 4 4 4 2" xfId="26216" xr:uid="{00000000-0005-0000-0000-00003D5A0000}"/>
    <cellStyle name="Output 2 8 4 5" xfId="2617" xr:uid="{00000000-0005-0000-0000-00003E5A0000}"/>
    <cellStyle name="Output 2 8 4 5 2" xfId="6718" xr:uid="{00000000-0005-0000-0000-00003F5A0000}"/>
    <cellStyle name="Output 2 8 4 5 2 2" xfId="16675" xr:uid="{00000000-0005-0000-0000-0000405A0000}"/>
    <cellStyle name="Output 2 8 4 5 2 2 2" xfId="31507" xr:uid="{00000000-0005-0000-0000-0000415A0000}"/>
    <cellStyle name="Output 2 8 4 5 2 3" xfId="18714" xr:uid="{00000000-0005-0000-0000-0000425A0000}"/>
    <cellStyle name="Output 2 8 4 5 3" xfId="12955" xr:uid="{00000000-0005-0000-0000-0000435A0000}"/>
    <cellStyle name="Output 2 8 4 5 3 2" xfId="27787" xr:uid="{00000000-0005-0000-0000-0000445A0000}"/>
    <cellStyle name="Output 2 8 4 5 4" xfId="10326" xr:uid="{00000000-0005-0000-0000-0000455A0000}"/>
    <cellStyle name="Output 2 8 4 5 4 2" xfId="25158" xr:uid="{00000000-0005-0000-0000-0000465A0000}"/>
    <cellStyle name="Output 2 8 4 6" xfId="5734" xr:uid="{00000000-0005-0000-0000-0000475A0000}"/>
    <cellStyle name="Output 2 8 4 6 2" xfId="15969" xr:uid="{00000000-0005-0000-0000-0000485A0000}"/>
    <cellStyle name="Output 2 8 4 6 2 2" xfId="30801" xr:uid="{00000000-0005-0000-0000-0000495A0000}"/>
    <cellStyle name="Output 2 8 4 6 3" xfId="18355" xr:uid="{00000000-0005-0000-0000-00004A5A0000}"/>
    <cellStyle name="Output 2 8 4 7" xfId="11989" xr:uid="{00000000-0005-0000-0000-00004B5A0000}"/>
    <cellStyle name="Output 2 8 4 7 2" xfId="26821" xr:uid="{00000000-0005-0000-0000-00004C5A0000}"/>
    <cellStyle name="Output 2 8 4 8" xfId="9648" xr:uid="{00000000-0005-0000-0000-00004D5A0000}"/>
    <cellStyle name="Output 2 8 4 8 2" xfId="19949" xr:uid="{00000000-0005-0000-0000-00004E5A0000}"/>
    <cellStyle name="Output 2 8 5" xfId="1632" xr:uid="{00000000-0005-0000-0000-00004F5A0000}"/>
    <cellStyle name="Output 2 8 5 2" xfId="2129" xr:uid="{00000000-0005-0000-0000-0000505A0000}"/>
    <cellStyle name="Output 2 8 5 2 2" xfId="3907" xr:uid="{00000000-0005-0000-0000-0000515A0000}"/>
    <cellStyle name="Output 2 8 5 2 2 2" xfId="7958" xr:uid="{00000000-0005-0000-0000-0000525A0000}"/>
    <cellStyle name="Output 2 8 5 2 2 2 2" xfId="17424" xr:uid="{00000000-0005-0000-0000-0000535A0000}"/>
    <cellStyle name="Output 2 8 5 2 2 2 2 2" xfId="32256" xr:uid="{00000000-0005-0000-0000-0000545A0000}"/>
    <cellStyle name="Output 2 8 5 2 2 2 3" xfId="19197" xr:uid="{00000000-0005-0000-0000-0000555A0000}"/>
    <cellStyle name="Output 2 8 5 2 2 3" xfId="14240" xr:uid="{00000000-0005-0000-0000-0000565A0000}"/>
    <cellStyle name="Output 2 8 5 2 2 3 2" xfId="29072" xr:uid="{00000000-0005-0000-0000-0000575A0000}"/>
    <cellStyle name="Output 2 8 5 2 2 4" xfId="11040" xr:uid="{00000000-0005-0000-0000-0000585A0000}"/>
    <cellStyle name="Output 2 8 5 2 2 4 2" xfId="25872" xr:uid="{00000000-0005-0000-0000-0000595A0000}"/>
    <cellStyle name="Output 2 8 5 2 3" xfId="5097" xr:uid="{00000000-0005-0000-0000-00005A5A0000}"/>
    <cellStyle name="Output 2 8 5 2 3 2" xfId="9136" xr:uid="{00000000-0005-0000-0000-00005B5A0000}"/>
    <cellStyle name="Output 2 8 5 2 3 2 2" xfId="18064" xr:uid="{00000000-0005-0000-0000-00005C5A0000}"/>
    <cellStyle name="Output 2 8 5 2 3 2 2 2" xfId="32896" xr:uid="{00000000-0005-0000-0000-00005D5A0000}"/>
    <cellStyle name="Output 2 8 5 2 3 2 3" xfId="19617" xr:uid="{00000000-0005-0000-0000-00005E5A0000}"/>
    <cellStyle name="Output 2 8 5 2 3 3" xfId="15417" xr:uid="{00000000-0005-0000-0000-00005F5A0000}"/>
    <cellStyle name="Output 2 8 5 2 3 3 2" xfId="30249" xr:uid="{00000000-0005-0000-0000-0000605A0000}"/>
    <cellStyle name="Output 2 8 5 2 3 4" xfId="11663" xr:uid="{00000000-0005-0000-0000-0000615A0000}"/>
    <cellStyle name="Output 2 8 5 2 3 4 2" xfId="26495" xr:uid="{00000000-0005-0000-0000-0000625A0000}"/>
    <cellStyle name="Output 2 8 5 2 4" xfId="3087" xr:uid="{00000000-0005-0000-0000-0000635A0000}"/>
    <cellStyle name="Output 2 8 5 2 4 2" xfId="7157" xr:uid="{00000000-0005-0000-0000-0000645A0000}"/>
    <cellStyle name="Output 2 8 5 2 4 2 2" xfId="16954" xr:uid="{00000000-0005-0000-0000-0000655A0000}"/>
    <cellStyle name="Output 2 8 5 2 4 2 2 2" xfId="31786" xr:uid="{00000000-0005-0000-0000-0000665A0000}"/>
    <cellStyle name="Output 2 8 5 2 4 2 3" xfId="18911" xr:uid="{00000000-0005-0000-0000-0000675A0000}"/>
    <cellStyle name="Output 2 8 5 2 4 3" xfId="13425" xr:uid="{00000000-0005-0000-0000-0000685A0000}"/>
    <cellStyle name="Output 2 8 5 2 4 3 2" xfId="28257" xr:uid="{00000000-0005-0000-0000-0000695A0000}"/>
    <cellStyle name="Output 2 8 5 2 4 4" xfId="10611" xr:uid="{00000000-0005-0000-0000-00006A5A0000}"/>
    <cellStyle name="Output 2 8 5 2 4 4 2" xfId="25443" xr:uid="{00000000-0005-0000-0000-00006B5A0000}"/>
    <cellStyle name="Output 2 8 5 2 5" xfId="6249" xr:uid="{00000000-0005-0000-0000-00006C5A0000}"/>
    <cellStyle name="Output 2 8 5 2 5 2" xfId="16434" xr:uid="{00000000-0005-0000-0000-00006D5A0000}"/>
    <cellStyle name="Output 2 8 5 2 5 2 2" xfId="31266" xr:uid="{00000000-0005-0000-0000-00006E5A0000}"/>
    <cellStyle name="Output 2 8 5 2 5 3" xfId="18552" xr:uid="{00000000-0005-0000-0000-00006F5A0000}"/>
    <cellStyle name="Output 2 8 5 2 6" xfId="12504" xr:uid="{00000000-0005-0000-0000-0000705A0000}"/>
    <cellStyle name="Output 2 8 5 2 6 2" xfId="27336" xr:uid="{00000000-0005-0000-0000-0000715A0000}"/>
    <cellStyle name="Output 2 8 5 2 7" xfId="10086" xr:uid="{00000000-0005-0000-0000-0000725A0000}"/>
    <cellStyle name="Output 2 8 5 2 7 2" xfId="24918" xr:uid="{00000000-0005-0000-0000-0000735A0000}"/>
    <cellStyle name="Output 2 8 5 3" xfId="3453" xr:uid="{00000000-0005-0000-0000-0000745A0000}"/>
    <cellStyle name="Output 2 8 5 3 2" xfId="7516" xr:uid="{00000000-0005-0000-0000-0000755A0000}"/>
    <cellStyle name="Output 2 8 5 3 2 2" xfId="17197" xr:uid="{00000000-0005-0000-0000-0000765A0000}"/>
    <cellStyle name="Output 2 8 5 3 2 2 2" xfId="32029" xr:uid="{00000000-0005-0000-0000-0000775A0000}"/>
    <cellStyle name="Output 2 8 5 3 2 3" xfId="19040" xr:uid="{00000000-0005-0000-0000-0000785A0000}"/>
    <cellStyle name="Output 2 8 5 3 3" xfId="13790" xr:uid="{00000000-0005-0000-0000-0000795A0000}"/>
    <cellStyle name="Output 2 8 5 3 3 2" xfId="28622" xr:uid="{00000000-0005-0000-0000-00007A5A0000}"/>
    <cellStyle name="Output 2 8 5 3 4" xfId="10816" xr:uid="{00000000-0005-0000-0000-00007B5A0000}"/>
    <cellStyle name="Output 2 8 5 3 4 2" xfId="25648" xr:uid="{00000000-0005-0000-0000-00007C5A0000}"/>
    <cellStyle name="Output 2 8 5 4" xfId="4677" xr:uid="{00000000-0005-0000-0000-00007D5A0000}"/>
    <cellStyle name="Output 2 8 5 4 2" xfId="8716" xr:uid="{00000000-0005-0000-0000-00007E5A0000}"/>
    <cellStyle name="Output 2 8 5 4 2 2" xfId="17824" xr:uid="{00000000-0005-0000-0000-00007F5A0000}"/>
    <cellStyle name="Output 2 8 5 4 2 2 2" xfId="32656" xr:uid="{00000000-0005-0000-0000-0000805A0000}"/>
    <cellStyle name="Output 2 8 5 4 2 3" xfId="19457" xr:uid="{00000000-0005-0000-0000-0000815A0000}"/>
    <cellStyle name="Output 2 8 5 4 3" xfId="15002" xr:uid="{00000000-0005-0000-0000-0000825A0000}"/>
    <cellStyle name="Output 2 8 5 4 3 2" xfId="29834" xr:uid="{00000000-0005-0000-0000-0000835A0000}"/>
    <cellStyle name="Output 2 8 5 4 4" xfId="11428" xr:uid="{00000000-0005-0000-0000-0000845A0000}"/>
    <cellStyle name="Output 2 8 5 4 4 2" xfId="26260" xr:uid="{00000000-0005-0000-0000-0000855A0000}"/>
    <cellStyle name="Output 2 8 5 5" xfId="2667" xr:uid="{00000000-0005-0000-0000-0000865A0000}"/>
    <cellStyle name="Output 2 8 5 5 2" xfId="6763" xr:uid="{00000000-0005-0000-0000-0000875A0000}"/>
    <cellStyle name="Output 2 8 5 5 2 2" xfId="16719" xr:uid="{00000000-0005-0000-0000-0000885A0000}"/>
    <cellStyle name="Output 2 8 5 5 2 2 2" xfId="31551" xr:uid="{00000000-0005-0000-0000-0000895A0000}"/>
    <cellStyle name="Output 2 8 5 5 2 3" xfId="18747" xr:uid="{00000000-0005-0000-0000-00008A5A0000}"/>
    <cellStyle name="Output 2 8 5 5 3" xfId="13005" xr:uid="{00000000-0005-0000-0000-00008B5A0000}"/>
    <cellStyle name="Output 2 8 5 5 3 2" xfId="27837" xr:uid="{00000000-0005-0000-0000-00008C5A0000}"/>
    <cellStyle name="Output 2 8 5 5 4" xfId="10371" xr:uid="{00000000-0005-0000-0000-00008D5A0000}"/>
    <cellStyle name="Output 2 8 5 5 4 2" xfId="25203" xr:uid="{00000000-0005-0000-0000-00008E5A0000}"/>
    <cellStyle name="Output 2 8 5 6" xfId="5779" xr:uid="{00000000-0005-0000-0000-00008F5A0000}"/>
    <cellStyle name="Output 2 8 5 6 2" xfId="16013" xr:uid="{00000000-0005-0000-0000-0000905A0000}"/>
    <cellStyle name="Output 2 8 5 6 2 2" xfId="30845" xr:uid="{00000000-0005-0000-0000-0000915A0000}"/>
    <cellStyle name="Output 2 8 5 6 3" xfId="18388" xr:uid="{00000000-0005-0000-0000-0000925A0000}"/>
    <cellStyle name="Output 2 8 5 7" xfId="12033" xr:uid="{00000000-0005-0000-0000-0000935A0000}"/>
    <cellStyle name="Output 2 8 5 7 2" xfId="26865" xr:uid="{00000000-0005-0000-0000-0000945A0000}"/>
    <cellStyle name="Output 2 8 5 8" xfId="9693" xr:uid="{00000000-0005-0000-0000-0000955A0000}"/>
    <cellStyle name="Output 2 8 5 8 2" xfId="19993" xr:uid="{00000000-0005-0000-0000-0000965A0000}"/>
    <cellStyle name="Output 2 8 6" xfId="1783" xr:uid="{00000000-0005-0000-0000-0000975A0000}"/>
    <cellStyle name="Output 2 8 6 2" xfId="4028" xr:uid="{00000000-0005-0000-0000-0000985A0000}"/>
    <cellStyle name="Output 2 8 6 2 2" xfId="8075" xr:uid="{00000000-0005-0000-0000-0000995A0000}"/>
    <cellStyle name="Output 2 8 6 2 2 2" xfId="17485" xr:uid="{00000000-0005-0000-0000-00009A5A0000}"/>
    <cellStyle name="Output 2 8 6 2 2 2 2" xfId="32317" xr:uid="{00000000-0005-0000-0000-00009B5A0000}"/>
    <cellStyle name="Output 2 8 6 2 2 3" xfId="19241" xr:uid="{00000000-0005-0000-0000-00009C5A0000}"/>
    <cellStyle name="Output 2 8 6 2 3" xfId="14360" xr:uid="{00000000-0005-0000-0000-00009D5A0000}"/>
    <cellStyle name="Output 2 8 6 2 3 2" xfId="29192" xr:uid="{00000000-0005-0000-0000-00009E5A0000}"/>
    <cellStyle name="Output 2 8 6 2 4" xfId="11101" xr:uid="{00000000-0005-0000-0000-00009F5A0000}"/>
    <cellStyle name="Output 2 8 6 2 4 2" xfId="25933" xr:uid="{00000000-0005-0000-0000-0000A05A0000}"/>
    <cellStyle name="Output 2 8 6 3" xfId="4761" xr:uid="{00000000-0005-0000-0000-0000A15A0000}"/>
    <cellStyle name="Output 2 8 6 3 2" xfId="8800" xr:uid="{00000000-0005-0000-0000-0000A25A0000}"/>
    <cellStyle name="Output 2 8 6 3 2 2" xfId="17872" xr:uid="{00000000-0005-0000-0000-0000A35A0000}"/>
    <cellStyle name="Output 2 8 6 3 2 2 2" xfId="32704" xr:uid="{00000000-0005-0000-0000-0000A45A0000}"/>
    <cellStyle name="Output 2 8 6 3 2 3" xfId="19489" xr:uid="{00000000-0005-0000-0000-0000A55A0000}"/>
    <cellStyle name="Output 2 8 6 3 3" xfId="15085" xr:uid="{00000000-0005-0000-0000-0000A65A0000}"/>
    <cellStyle name="Output 2 8 6 3 3 2" xfId="29917" xr:uid="{00000000-0005-0000-0000-0000A75A0000}"/>
    <cellStyle name="Output 2 8 6 3 4" xfId="11475" xr:uid="{00000000-0005-0000-0000-0000A85A0000}"/>
    <cellStyle name="Output 2 8 6 3 4 2" xfId="26307" xr:uid="{00000000-0005-0000-0000-0000A95A0000}"/>
    <cellStyle name="Output 2 8 6 4" xfId="2751" xr:uid="{00000000-0005-0000-0000-0000AA5A0000}"/>
    <cellStyle name="Output 2 8 6 4 2" xfId="6842" xr:uid="{00000000-0005-0000-0000-0000AB5A0000}"/>
    <cellStyle name="Output 2 8 6 4 2 2" xfId="16766" xr:uid="{00000000-0005-0000-0000-0000AC5A0000}"/>
    <cellStyle name="Output 2 8 6 4 2 2 2" xfId="31598" xr:uid="{00000000-0005-0000-0000-0000AD5A0000}"/>
    <cellStyle name="Output 2 8 6 4 2 3" xfId="18780" xr:uid="{00000000-0005-0000-0000-0000AE5A0000}"/>
    <cellStyle name="Output 2 8 6 4 3" xfId="13089" xr:uid="{00000000-0005-0000-0000-0000AF5A0000}"/>
    <cellStyle name="Output 2 8 6 4 3 2" xfId="27921" xr:uid="{00000000-0005-0000-0000-0000B05A0000}"/>
    <cellStyle name="Output 2 8 6 4 4" xfId="10419" xr:uid="{00000000-0005-0000-0000-0000B15A0000}"/>
    <cellStyle name="Output 2 8 6 4 4 2" xfId="25251" xr:uid="{00000000-0005-0000-0000-0000B25A0000}"/>
    <cellStyle name="Output 2 8 6 5" xfId="5915" xr:uid="{00000000-0005-0000-0000-0000B35A0000}"/>
    <cellStyle name="Output 2 8 6 5 2" xfId="16107" xr:uid="{00000000-0005-0000-0000-0000B45A0000}"/>
    <cellStyle name="Output 2 8 6 5 2 2" xfId="30939" xr:uid="{00000000-0005-0000-0000-0000B55A0000}"/>
    <cellStyle name="Output 2 8 6 5 3" xfId="18422" xr:uid="{00000000-0005-0000-0000-0000B65A0000}"/>
    <cellStyle name="Output 2 8 6 6" xfId="12177" xr:uid="{00000000-0005-0000-0000-0000B75A0000}"/>
    <cellStyle name="Output 2 8 6 6 2" xfId="27009" xr:uid="{00000000-0005-0000-0000-0000B85A0000}"/>
    <cellStyle name="Output 2 8 6 7" xfId="9773" xr:uid="{00000000-0005-0000-0000-0000B95A0000}"/>
    <cellStyle name="Output 2 8 6 7 2" xfId="24730" xr:uid="{00000000-0005-0000-0000-0000BA5A0000}"/>
    <cellStyle name="Output 2 8 7" xfId="2183" xr:uid="{00000000-0005-0000-0000-0000BB5A0000}"/>
    <cellStyle name="Output 2 8 7 2" xfId="3540" xr:uid="{00000000-0005-0000-0000-0000BC5A0000}"/>
    <cellStyle name="Output 2 8 7 2 2" xfId="7602" xr:uid="{00000000-0005-0000-0000-0000BD5A0000}"/>
    <cellStyle name="Output 2 8 7 2 2 2" xfId="17246" xr:uid="{00000000-0005-0000-0000-0000BE5A0000}"/>
    <cellStyle name="Output 2 8 7 2 2 2 2" xfId="32078" xr:uid="{00000000-0005-0000-0000-0000BF5A0000}"/>
    <cellStyle name="Output 2 8 7 2 2 3" xfId="19072" xr:uid="{00000000-0005-0000-0000-0000C05A0000}"/>
    <cellStyle name="Output 2 8 7 2 3" xfId="13876" xr:uid="{00000000-0005-0000-0000-0000C15A0000}"/>
    <cellStyle name="Output 2 8 7 2 3 2" xfId="28708" xr:uid="{00000000-0005-0000-0000-0000C25A0000}"/>
    <cellStyle name="Output 2 8 7 2 4" xfId="10863" xr:uid="{00000000-0005-0000-0000-0000C35A0000}"/>
    <cellStyle name="Output 2 8 7 2 4 2" xfId="25695" xr:uid="{00000000-0005-0000-0000-0000C45A0000}"/>
    <cellStyle name="Output 2 8 7 3" xfId="5151" xr:uid="{00000000-0005-0000-0000-0000C55A0000}"/>
    <cellStyle name="Output 2 8 7 3 2" xfId="9190" xr:uid="{00000000-0005-0000-0000-0000C65A0000}"/>
    <cellStyle name="Output 2 8 7 3 2 2" xfId="18113" xr:uid="{00000000-0005-0000-0000-0000C75A0000}"/>
    <cellStyle name="Output 2 8 7 3 2 2 2" xfId="32945" xr:uid="{00000000-0005-0000-0000-0000C85A0000}"/>
    <cellStyle name="Output 2 8 7 3 2 3" xfId="19664" xr:uid="{00000000-0005-0000-0000-0000C95A0000}"/>
    <cellStyle name="Output 2 8 7 3 3" xfId="15469" xr:uid="{00000000-0005-0000-0000-0000CA5A0000}"/>
    <cellStyle name="Output 2 8 7 3 3 2" xfId="30301" xr:uid="{00000000-0005-0000-0000-0000CB5A0000}"/>
    <cellStyle name="Output 2 8 7 3 4" xfId="11710" xr:uid="{00000000-0005-0000-0000-0000CC5A0000}"/>
    <cellStyle name="Output 2 8 7 3 4 2" xfId="26542" xr:uid="{00000000-0005-0000-0000-0000CD5A0000}"/>
    <cellStyle name="Output 2 8 7 4" xfId="4181" xr:uid="{00000000-0005-0000-0000-0000CE5A0000}"/>
    <cellStyle name="Output 2 8 7 4 2" xfId="8222" xr:uid="{00000000-0005-0000-0000-0000CF5A0000}"/>
    <cellStyle name="Output 2 8 7 4 2 2" xfId="17569" xr:uid="{00000000-0005-0000-0000-0000D05A0000}"/>
    <cellStyle name="Output 2 8 7 4 2 2 2" xfId="32401" xr:uid="{00000000-0005-0000-0000-0000D15A0000}"/>
    <cellStyle name="Output 2 8 7 4 2 3" xfId="19307" xr:uid="{00000000-0005-0000-0000-0000D25A0000}"/>
    <cellStyle name="Output 2 8 7 4 3" xfId="14513" xr:uid="{00000000-0005-0000-0000-0000D35A0000}"/>
    <cellStyle name="Output 2 8 7 4 3 2" xfId="29345" xr:uid="{00000000-0005-0000-0000-0000D45A0000}"/>
    <cellStyle name="Output 2 8 7 4 4" xfId="11189" xr:uid="{00000000-0005-0000-0000-0000D55A0000}"/>
    <cellStyle name="Output 2 8 7 4 4 2" xfId="26021" xr:uid="{00000000-0005-0000-0000-0000D65A0000}"/>
    <cellStyle name="Output 2 8 7 5" xfId="6297" xr:uid="{00000000-0005-0000-0000-0000D75A0000}"/>
    <cellStyle name="Output 2 8 7 5 2" xfId="16481" xr:uid="{00000000-0005-0000-0000-0000D85A0000}"/>
    <cellStyle name="Output 2 8 7 5 2 2" xfId="31313" xr:uid="{00000000-0005-0000-0000-0000D95A0000}"/>
    <cellStyle name="Output 2 8 7 5 3" xfId="18600" xr:uid="{00000000-0005-0000-0000-0000DA5A0000}"/>
    <cellStyle name="Output 2 8 7 6" xfId="12551" xr:uid="{00000000-0005-0000-0000-0000DB5A0000}"/>
    <cellStyle name="Output 2 8 7 6 2" xfId="27383" xr:uid="{00000000-0005-0000-0000-0000DC5A0000}"/>
    <cellStyle name="Output 2 8 7 7" xfId="10133" xr:uid="{00000000-0005-0000-0000-0000DD5A0000}"/>
    <cellStyle name="Output 2 8 7 7 2" xfId="24965" xr:uid="{00000000-0005-0000-0000-0000DE5A0000}"/>
    <cellStyle name="Output 2 8 8" xfId="4295" xr:uid="{00000000-0005-0000-0000-0000DF5A0000}"/>
    <cellStyle name="Output 2 8 8 2" xfId="8334" xr:uid="{00000000-0005-0000-0000-0000E05A0000}"/>
    <cellStyle name="Output 2 8 8 2 2" xfId="17614" xr:uid="{00000000-0005-0000-0000-0000E15A0000}"/>
    <cellStyle name="Output 2 8 8 2 2 2" xfId="32446" xr:uid="{00000000-0005-0000-0000-0000E25A0000}"/>
    <cellStyle name="Output 2 8 8 2 3" xfId="19323" xr:uid="{00000000-0005-0000-0000-0000E35A0000}"/>
    <cellStyle name="Output 2 8 8 3" xfId="14626" xr:uid="{00000000-0005-0000-0000-0000E45A0000}"/>
    <cellStyle name="Output 2 8 8 3 2" xfId="29458" xr:uid="{00000000-0005-0000-0000-0000E55A0000}"/>
    <cellStyle name="Output 2 8 8 4" xfId="11227" xr:uid="{00000000-0005-0000-0000-0000E65A0000}"/>
    <cellStyle name="Output 2 8 8 4 2" xfId="26059" xr:uid="{00000000-0005-0000-0000-0000E75A0000}"/>
    <cellStyle name="Output 2 8 9" xfId="3243" xr:uid="{00000000-0005-0000-0000-0000E85A0000}"/>
    <cellStyle name="Output 2 8 9 2" xfId="7307" xr:uid="{00000000-0005-0000-0000-0000E95A0000}"/>
    <cellStyle name="Output 2 8 9 2 2" xfId="17063" xr:uid="{00000000-0005-0000-0000-0000EA5A0000}"/>
    <cellStyle name="Output 2 8 9 2 2 2" xfId="31895" xr:uid="{00000000-0005-0000-0000-0000EB5A0000}"/>
    <cellStyle name="Output 2 8 9 2 3" xfId="18971" xr:uid="{00000000-0005-0000-0000-0000EC5A0000}"/>
    <cellStyle name="Output 2 8 9 3" xfId="13580" xr:uid="{00000000-0005-0000-0000-0000ED5A0000}"/>
    <cellStyle name="Output 2 8 9 3 2" xfId="28412" xr:uid="{00000000-0005-0000-0000-0000EE5A0000}"/>
    <cellStyle name="Output 2 8 9 4" xfId="10697" xr:uid="{00000000-0005-0000-0000-0000EF5A0000}"/>
    <cellStyle name="Output 2 8 9 4 2" xfId="25529" xr:uid="{00000000-0005-0000-0000-0000F05A0000}"/>
    <cellStyle name="Output 2 9" xfId="1350" xr:uid="{00000000-0005-0000-0000-0000F15A0000}"/>
    <cellStyle name="Output 2 9 2" xfId="1854" xr:uid="{00000000-0005-0000-0000-0000F25A0000}"/>
    <cellStyle name="Output 2 9 2 2" xfId="3605" xr:uid="{00000000-0005-0000-0000-0000F35A0000}"/>
    <cellStyle name="Output 2 9 2 2 2" xfId="7666" xr:uid="{00000000-0005-0000-0000-0000F45A0000}"/>
    <cellStyle name="Output 2 9 2 2 2 2" xfId="17281" xr:uid="{00000000-0005-0000-0000-0000F55A0000}"/>
    <cellStyle name="Output 2 9 2 2 2 2 2" xfId="32113" xr:uid="{00000000-0005-0000-0000-0000F65A0000}"/>
    <cellStyle name="Output 2 9 2 2 2 3" xfId="19100" xr:uid="{00000000-0005-0000-0000-0000F75A0000}"/>
    <cellStyle name="Output 2 9 2 2 3" xfId="13941" xr:uid="{00000000-0005-0000-0000-0000F85A0000}"/>
    <cellStyle name="Output 2 9 2 2 3 2" xfId="28773" xr:uid="{00000000-0005-0000-0000-0000F95A0000}"/>
    <cellStyle name="Output 2 9 2 2 4" xfId="10898" xr:uid="{00000000-0005-0000-0000-0000FA5A0000}"/>
    <cellStyle name="Output 2 9 2 2 4 2" xfId="25730" xr:uid="{00000000-0005-0000-0000-0000FB5A0000}"/>
    <cellStyle name="Output 2 9 2 3" xfId="4832" xr:uid="{00000000-0005-0000-0000-0000FC5A0000}"/>
    <cellStyle name="Output 2 9 2 3 2" xfId="8871" xr:uid="{00000000-0005-0000-0000-0000FD5A0000}"/>
    <cellStyle name="Output 2 9 2 3 2 2" xfId="17912" xr:uid="{00000000-0005-0000-0000-0000FE5A0000}"/>
    <cellStyle name="Output 2 9 2 3 2 2 2" xfId="32744" xr:uid="{00000000-0005-0000-0000-0000FF5A0000}"/>
    <cellStyle name="Output 2 9 2 3 2 3" xfId="19514" xr:uid="{00000000-0005-0000-0000-0000005B0000}"/>
    <cellStyle name="Output 2 9 2 3 3" xfId="15156" xr:uid="{00000000-0005-0000-0000-0000015B0000}"/>
    <cellStyle name="Output 2 9 2 3 3 2" xfId="29988" xr:uid="{00000000-0005-0000-0000-0000025B0000}"/>
    <cellStyle name="Output 2 9 2 3 4" xfId="11515" xr:uid="{00000000-0005-0000-0000-0000035B0000}"/>
    <cellStyle name="Output 2 9 2 3 4 2" xfId="26347" xr:uid="{00000000-0005-0000-0000-0000045B0000}"/>
    <cellStyle name="Output 2 9 2 4" xfId="2822" xr:uid="{00000000-0005-0000-0000-0000055B0000}"/>
    <cellStyle name="Output 2 9 2 4 2" xfId="6913" xr:uid="{00000000-0005-0000-0000-0000065B0000}"/>
    <cellStyle name="Output 2 9 2 4 2 2" xfId="16806" xr:uid="{00000000-0005-0000-0000-0000075B0000}"/>
    <cellStyle name="Output 2 9 2 4 2 2 2" xfId="31638" xr:uid="{00000000-0005-0000-0000-0000085B0000}"/>
    <cellStyle name="Output 2 9 2 4 2 3" xfId="18805" xr:uid="{00000000-0005-0000-0000-0000095B0000}"/>
    <cellStyle name="Output 2 9 2 4 3" xfId="13160" xr:uid="{00000000-0005-0000-0000-00000A5B0000}"/>
    <cellStyle name="Output 2 9 2 4 3 2" xfId="27992" xr:uid="{00000000-0005-0000-0000-00000B5B0000}"/>
    <cellStyle name="Output 2 9 2 4 4" xfId="10459" xr:uid="{00000000-0005-0000-0000-00000C5B0000}"/>
    <cellStyle name="Output 2 9 2 4 4 2" xfId="25291" xr:uid="{00000000-0005-0000-0000-00000D5B0000}"/>
    <cellStyle name="Output 2 9 2 5" xfId="5986" xr:uid="{00000000-0005-0000-0000-00000E5B0000}"/>
    <cellStyle name="Output 2 9 2 5 2" xfId="16178" xr:uid="{00000000-0005-0000-0000-00000F5B0000}"/>
    <cellStyle name="Output 2 9 2 5 2 2" xfId="31010" xr:uid="{00000000-0005-0000-0000-0000105B0000}"/>
    <cellStyle name="Output 2 9 2 5 3" xfId="18447" xr:uid="{00000000-0005-0000-0000-0000115B0000}"/>
    <cellStyle name="Output 2 9 2 6" xfId="12248" xr:uid="{00000000-0005-0000-0000-0000125B0000}"/>
    <cellStyle name="Output 2 9 2 6 2" xfId="27080" xr:uid="{00000000-0005-0000-0000-0000135B0000}"/>
    <cellStyle name="Output 2 9 2 7" xfId="9844" xr:uid="{00000000-0005-0000-0000-0000145B0000}"/>
    <cellStyle name="Output 2 9 2 7 2" xfId="24770" xr:uid="{00000000-0005-0000-0000-0000155B0000}"/>
    <cellStyle name="Output 2 9 3" xfId="3831" xr:uid="{00000000-0005-0000-0000-0000165B0000}"/>
    <cellStyle name="Output 2 9 3 2" xfId="7884" xr:uid="{00000000-0005-0000-0000-0000175B0000}"/>
    <cellStyle name="Output 2 9 3 2 2" xfId="17385" xr:uid="{00000000-0005-0000-0000-0000185B0000}"/>
    <cellStyle name="Output 2 9 3 2 2 2" xfId="32217" xr:uid="{00000000-0005-0000-0000-0000195B0000}"/>
    <cellStyle name="Output 2 9 3 2 3" xfId="19169" xr:uid="{00000000-0005-0000-0000-00001A5B0000}"/>
    <cellStyle name="Output 2 9 3 3" xfId="14166" xr:uid="{00000000-0005-0000-0000-00001B5B0000}"/>
    <cellStyle name="Output 2 9 3 3 2" xfId="28998" xr:uid="{00000000-0005-0000-0000-00001C5B0000}"/>
    <cellStyle name="Output 2 9 3 4" xfId="11004" xr:uid="{00000000-0005-0000-0000-00001D5B0000}"/>
    <cellStyle name="Output 2 9 3 4 2" xfId="25836" xr:uid="{00000000-0005-0000-0000-00001E5B0000}"/>
    <cellStyle name="Output 2 9 4" xfId="4412" xr:uid="{00000000-0005-0000-0000-00001F5B0000}"/>
    <cellStyle name="Output 2 9 4 2" xfId="8451" xr:uid="{00000000-0005-0000-0000-0000205B0000}"/>
    <cellStyle name="Output 2 9 4 2 2" xfId="17672" xr:uid="{00000000-0005-0000-0000-0000215B0000}"/>
    <cellStyle name="Output 2 9 4 2 2 2" xfId="32504" xr:uid="{00000000-0005-0000-0000-0000225B0000}"/>
    <cellStyle name="Output 2 9 4 2 3" xfId="19354" xr:uid="{00000000-0005-0000-0000-0000235B0000}"/>
    <cellStyle name="Output 2 9 4 3" xfId="14741" xr:uid="{00000000-0005-0000-0000-0000245B0000}"/>
    <cellStyle name="Output 2 9 4 3 2" xfId="29573" xr:uid="{00000000-0005-0000-0000-0000255B0000}"/>
    <cellStyle name="Output 2 9 4 4" xfId="11280" xr:uid="{00000000-0005-0000-0000-0000265B0000}"/>
    <cellStyle name="Output 2 9 4 4 2" xfId="26112" xr:uid="{00000000-0005-0000-0000-0000275B0000}"/>
    <cellStyle name="Output 2 9 5" xfId="2402" xr:uid="{00000000-0005-0000-0000-0000285B0000}"/>
    <cellStyle name="Output 2 9 5 2" xfId="6514" xr:uid="{00000000-0005-0000-0000-0000295B0000}"/>
    <cellStyle name="Output 2 9 5 2 2" xfId="16570" xr:uid="{00000000-0005-0000-0000-00002A5B0000}"/>
    <cellStyle name="Output 2 9 5 2 2 2" xfId="31402" xr:uid="{00000000-0005-0000-0000-00002B5B0000}"/>
    <cellStyle name="Output 2 9 5 2 3" xfId="18642" xr:uid="{00000000-0005-0000-0000-00002C5B0000}"/>
    <cellStyle name="Output 2 9 5 3" xfId="12741" xr:uid="{00000000-0005-0000-0000-00002D5B0000}"/>
    <cellStyle name="Output 2 9 5 3 2" xfId="27573" xr:uid="{00000000-0005-0000-0000-00002E5B0000}"/>
    <cellStyle name="Output 2 9 5 4" xfId="10220" xr:uid="{00000000-0005-0000-0000-00002F5B0000}"/>
    <cellStyle name="Output 2 9 5 4 2" xfId="25052" xr:uid="{00000000-0005-0000-0000-0000305B0000}"/>
    <cellStyle name="Output 2 9 6" xfId="5527" xr:uid="{00000000-0005-0000-0000-0000315B0000}"/>
    <cellStyle name="Output 2 9 6 2" xfId="15762" xr:uid="{00000000-0005-0000-0000-0000325B0000}"/>
    <cellStyle name="Output 2 9 6 2 2" xfId="30594" xr:uid="{00000000-0005-0000-0000-0000335B0000}"/>
    <cellStyle name="Output 2 9 6 3" xfId="18284" xr:uid="{00000000-0005-0000-0000-0000345B0000}"/>
    <cellStyle name="Output 2 9 7" xfId="11777" xr:uid="{00000000-0005-0000-0000-0000355B0000}"/>
    <cellStyle name="Output 2 9 7 2" xfId="26609" xr:uid="{00000000-0005-0000-0000-0000365B0000}"/>
    <cellStyle name="Output 2 9 8" xfId="9448" xr:uid="{00000000-0005-0000-0000-0000375B0000}"/>
    <cellStyle name="Output 2 9 8 2" xfId="19752" xr:uid="{00000000-0005-0000-0000-0000385B0000}"/>
    <cellStyle name="Output 3" xfId="1239" xr:uid="{00000000-0005-0000-0000-0000395B0000}"/>
    <cellStyle name="Output 3 10" xfId="2325" xr:uid="{00000000-0005-0000-0000-00003A5B0000}"/>
    <cellStyle name="Output 3 10 2" xfId="6437" xr:uid="{00000000-0005-0000-0000-00003B5B0000}"/>
    <cellStyle name="Output 3 10 2 2" xfId="16530" xr:uid="{00000000-0005-0000-0000-00003C5B0000}"/>
    <cellStyle name="Output 3 10 2 2 2" xfId="31362" xr:uid="{00000000-0005-0000-0000-00003D5B0000}"/>
    <cellStyle name="Output 3 10 2 3" xfId="18618" xr:uid="{00000000-0005-0000-0000-00003E5B0000}"/>
    <cellStyle name="Output 3 10 3" xfId="12665" xr:uid="{00000000-0005-0000-0000-00003F5B0000}"/>
    <cellStyle name="Output 3 10 3 2" xfId="27497" xr:uid="{00000000-0005-0000-0000-0000405B0000}"/>
    <cellStyle name="Output 3 10 4" xfId="10181" xr:uid="{00000000-0005-0000-0000-0000415B0000}"/>
    <cellStyle name="Output 3 10 4 2" xfId="25013" xr:uid="{00000000-0005-0000-0000-0000425B0000}"/>
    <cellStyle name="Output 3 11" xfId="5288" xr:uid="{00000000-0005-0000-0000-0000435B0000}"/>
    <cellStyle name="Output 3 11 2" xfId="9296" xr:uid="{00000000-0005-0000-0000-0000445B0000}"/>
    <cellStyle name="Output 3 11 2 2" xfId="18163" xr:uid="{00000000-0005-0000-0000-0000455B0000}"/>
    <cellStyle name="Output 3 11 2 2 2" xfId="32995" xr:uid="{00000000-0005-0000-0000-0000465B0000}"/>
    <cellStyle name="Output 3 11 2 3" xfId="19682" xr:uid="{00000000-0005-0000-0000-0000475B0000}"/>
    <cellStyle name="Output 3 11 3" xfId="15604" xr:uid="{00000000-0005-0000-0000-0000485B0000}"/>
    <cellStyle name="Output 3 11 3 2" xfId="30436" xr:uid="{00000000-0005-0000-0000-0000495B0000}"/>
    <cellStyle name="Output 3 12" xfId="5446" xr:uid="{00000000-0005-0000-0000-00004A5B0000}"/>
    <cellStyle name="Output 3 12 2" xfId="15682" xr:uid="{00000000-0005-0000-0000-00004B5B0000}"/>
    <cellStyle name="Output 3 12 2 2" xfId="30514" xr:uid="{00000000-0005-0000-0000-00004C5B0000}"/>
    <cellStyle name="Output 3 12 3" xfId="18259" xr:uid="{00000000-0005-0000-0000-00004D5B0000}"/>
    <cellStyle name="Output 3 13" xfId="9345" xr:uid="{00000000-0005-0000-0000-00004E5B0000}"/>
    <cellStyle name="Output 3 13 2" xfId="24651" xr:uid="{00000000-0005-0000-0000-00004F5B0000}"/>
    <cellStyle name="Output 3 14" xfId="5334" xr:uid="{00000000-0005-0000-0000-0000505B0000}"/>
    <cellStyle name="Output 3 14 2" xfId="18208" xr:uid="{00000000-0005-0000-0000-0000515B0000}"/>
    <cellStyle name="Output 3 2" xfId="1358" xr:uid="{00000000-0005-0000-0000-0000525B0000}"/>
    <cellStyle name="Output 3 2 2" xfId="1862" xr:uid="{00000000-0005-0000-0000-0000535B0000}"/>
    <cellStyle name="Output 3 2 2 2" xfId="3821" xr:uid="{00000000-0005-0000-0000-0000545B0000}"/>
    <cellStyle name="Output 3 2 2 2 2" xfId="7874" xr:uid="{00000000-0005-0000-0000-0000555B0000}"/>
    <cellStyle name="Output 3 2 2 2 2 2" xfId="17380" xr:uid="{00000000-0005-0000-0000-0000565B0000}"/>
    <cellStyle name="Output 3 2 2 2 2 2 2" xfId="32212" xr:uid="{00000000-0005-0000-0000-0000575B0000}"/>
    <cellStyle name="Output 3 2 2 2 2 3" xfId="19164" xr:uid="{00000000-0005-0000-0000-0000585B0000}"/>
    <cellStyle name="Output 3 2 2 2 3" xfId="14156" xr:uid="{00000000-0005-0000-0000-0000595B0000}"/>
    <cellStyle name="Output 3 2 2 2 3 2" xfId="28988" xr:uid="{00000000-0005-0000-0000-00005A5B0000}"/>
    <cellStyle name="Output 3 2 2 2 4" xfId="10999" xr:uid="{00000000-0005-0000-0000-00005B5B0000}"/>
    <cellStyle name="Output 3 2 2 2 4 2" xfId="25831" xr:uid="{00000000-0005-0000-0000-00005C5B0000}"/>
    <cellStyle name="Output 3 2 2 3" xfId="4840" xr:uid="{00000000-0005-0000-0000-00005D5B0000}"/>
    <cellStyle name="Output 3 2 2 3 2" xfId="8879" xr:uid="{00000000-0005-0000-0000-00005E5B0000}"/>
    <cellStyle name="Output 3 2 2 3 2 2" xfId="17920" xr:uid="{00000000-0005-0000-0000-00005F5B0000}"/>
    <cellStyle name="Output 3 2 2 3 2 2 2" xfId="32752" xr:uid="{00000000-0005-0000-0000-0000605B0000}"/>
    <cellStyle name="Output 3 2 2 3 2 3" xfId="19522" xr:uid="{00000000-0005-0000-0000-0000615B0000}"/>
    <cellStyle name="Output 3 2 2 3 3" xfId="15164" xr:uid="{00000000-0005-0000-0000-0000625B0000}"/>
    <cellStyle name="Output 3 2 2 3 3 2" xfId="29996" xr:uid="{00000000-0005-0000-0000-0000635B0000}"/>
    <cellStyle name="Output 3 2 2 3 4" xfId="11523" xr:uid="{00000000-0005-0000-0000-0000645B0000}"/>
    <cellStyle name="Output 3 2 2 3 4 2" xfId="26355" xr:uid="{00000000-0005-0000-0000-0000655B0000}"/>
    <cellStyle name="Output 3 2 2 4" xfId="2830" xr:uid="{00000000-0005-0000-0000-0000665B0000}"/>
    <cellStyle name="Output 3 2 2 4 2" xfId="6921" xr:uid="{00000000-0005-0000-0000-0000675B0000}"/>
    <cellStyle name="Output 3 2 2 4 2 2" xfId="16814" xr:uid="{00000000-0005-0000-0000-0000685B0000}"/>
    <cellStyle name="Output 3 2 2 4 2 2 2" xfId="31646" xr:uid="{00000000-0005-0000-0000-0000695B0000}"/>
    <cellStyle name="Output 3 2 2 4 2 3" xfId="18813" xr:uid="{00000000-0005-0000-0000-00006A5B0000}"/>
    <cellStyle name="Output 3 2 2 4 3" xfId="13168" xr:uid="{00000000-0005-0000-0000-00006B5B0000}"/>
    <cellStyle name="Output 3 2 2 4 3 2" xfId="28000" xr:uid="{00000000-0005-0000-0000-00006C5B0000}"/>
    <cellStyle name="Output 3 2 2 4 4" xfId="10467" xr:uid="{00000000-0005-0000-0000-00006D5B0000}"/>
    <cellStyle name="Output 3 2 2 4 4 2" xfId="25299" xr:uid="{00000000-0005-0000-0000-00006E5B0000}"/>
    <cellStyle name="Output 3 2 2 5" xfId="5994" xr:uid="{00000000-0005-0000-0000-00006F5B0000}"/>
    <cellStyle name="Output 3 2 2 5 2" xfId="16186" xr:uid="{00000000-0005-0000-0000-0000705B0000}"/>
    <cellStyle name="Output 3 2 2 5 2 2" xfId="31018" xr:uid="{00000000-0005-0000-0000-0000715B0000}"/>
    <cellStyle name="Output 3 2 2 5 3" xfId="18455" xr:uid="{00000000-0005-0000-0000-0000725B0000}"/>
    <cellStyle name="Output 3 2 2 6" xfId="12256" xr:uid="{00000000-0005-0000-0000-0000735B0000}"/>
    <cellStyle name="Output 3 2 2 6 2" xfId="27088" xr:uid="{00000000-0005-0000-0000-0000745B0000}"/>
    <cellStyle name="Output 3 2 2 7" xfId="9852" xr:uid="{00000000-0005-0000-0000-0000755B0000}"/>
    <cellStyle name="Output 3 2 2 7 2" xfId="24778" xr:uid="{00000000-0005-0000-0000-0000765B0000}"/>
    <cellStyle name="Output 3 2 3" xfId="3462" xr:uid="{00000000-0005-0000-0000-0000775B0000}"/>
    <cellStyle name="Output 3 2 3 2" xfId="7525" xr:uid="{00000000-0005-0000-0000-0000785B0000}"/>
    <cellStyle name="Output 3 2 3 2 2" xfId="17201" xr:uid="{00000000-0005-0000-0000-0000795B0000}"/>
    <cellStyle name="Output 3 2 3 2 2 2" xfId="32033" xr:uid="{00000000-0005-0000-0000-00007A5B0000}"/>
    <cellStyle name="Output 3 2 3 2 3" xfId="19043" xr:uid="{00000000-0005-0000-0000-00007B5B0000}"/>
    <cellStyle name="Output 3 2 3 3" xfId="13799" xr:uid="{00000000-0005-0000-0000-00007C5B0000}"/>
    <cellStyle name="Output 3 2 3 3 2" xfId="28631" xr:uid="{00000000-0005-0000-0000-00007D5B0000}"/>
    <cellStyle name="Output 3 2 3 4" xfId="10820" xr:uid="{00000000-0005-0000-0000-00007E5B0000}"/>
    <cellStyle name="Output 3 2 3 4 2" xfId="25652" xr:uid="{00000000-0005-0000-0000-00007F5B0000}"/>
    <cellStyle name="Output 3 2 4" xfId="4420" xr:uid="{00000000-0005-0000-0000-0000805B0000}"/>
    <cellStyle name="Output 3 2 4 2" xfId="8459" xr:uid="{00000000-0005-0000-0000-0000815B0000}"/>
    <cellStyle name="Output 3 2 4 2 2" xfId="17680" xr:uid="{00000000-0005-0000-0000-0000825B0000}"/>
    <cellStyle name="Output 3 2 4 2 2 2" xfId="32512" xr:uid="{00000000-0005-0000-0000-0000835B0000}"/>
    <cellStyle name="Output 3 2 4 2 3" xfId="19362" xr:uid="{00000000-0005-0000-0000-0000845B0000}"/>
    <cellStyle name="Output 3 2 4 3" xfId="14749" xr:uid="{00000000-0005-0000-0000-0000855B0000}"/>
    <cellStyle name="Output 3 2 4 3 2" xfId="29581" xr:uid="{00000000-0005-0000-0000-0000865B0000}"/>
    <cellStyle name="Output 3 2 4 4" xfId="11288" xr:uid="{00000000-0005-0000-0000-0000875B0000}"/>
    <cellStyle name="Output 3 2 4 4 2" xfId="26120" xr:uid="{00000000-0005-0000-0000-0000885B0000}"/>
    <cellStyle name="Output 3 2 5" xfId="2410" xr:uid="{00000000-0005-0000-0000-0000895B0000}"/>
    <cellStyle name="Output 3 2 5 2" xfId="6522" xr:uid="{00000000-0005-0000-0000-00008A5B0000}"/>
    <cellStyle name="Output 3 2 5 2 2" xfId="16578" xr:uid="{00000000-0005-0000-0000-00008B5B0000}"/>
    <cellStyle name="Output 3 2 5 2 2 2" xfId="31410" xr:uid="{00000000-0005-0000-0000-00008C5B0000}"/>
    <cellStyle name="Output 3 2 5 2 3" xfId="18650" xr:uid="{00000000-0005-0000-0000-00008D5B0000}"/>
    <cellStyle name="Output 3 2 5 3" xfId="12749" xr:uid="{00000000-0005-0000-0000-00008E5B0000}"/>
    <cellStyle name="Output 3 2 5 3 2" xfId="27581" xr:uid="{00000000-0005-0000-0000-00008F5B0000}"/>
    <cellStyle name="Output 3 2 5 4" xfId="10228" xr:uid="{00000000-0005-0000-0000-0000905B0000}"/>
    <cellStyle name="Output 3 2 5 4 2" xfId="25060" xr:uid="{00000000-0005-0000-0000-0000915B0000}"/>
    <cellStyle name="Output 3 2 6" xfId="5535" xr:uid="{00000000-0005-0000-0000-0000925B0000}"/>
    <cellStyle name="Output 3 2 6 2" xfId="15770" xr:uid="{00000000-0005-0000-0000-0000935B0000}"/>
    <cellStyle name="Output 3 2 6 2 2" xfId="30602" xr:uid="{00000000-0005-0000-0000-0000945B0000}"/>
    <cellStyle name="Output 3 2 6 3" xfId="18292" xr:uid="{00000000-0005-0000-0000-0000955B0000}"/>
    <cellStyle name="Output 3 2 7" xfId="11785" xr:uid="{00000000-0005-0000-0000-0000965B0000}"/>
    <cellStyle name="Output 3 2 7 2" xfId="26617" xr:uid="{00000000-0005-0000-0000-0000975B0000}"/>
    <cellStyle name="Output 3 2 8" xfId="9456" xr:uid="{00000000-0005-0000-0000-0000985B0000}"/>
    <cellStyle name="Output 3 2 8 2" xfId="19760" xr:uid="{00000000-0005-0000-0000-0000995B0000}"/>
    <cellStyle name="Output 3 3" xfId="1528" xr:uid="{00000000-0005-0000-0000-00009A5B0000}"/>
    <cellStyle name="Output 3 3 2" xfId="2025" xr:uid="{00000000-0005-0000-0000-00009B5B0000}"/>
    <cellStyle name="Output 3 3 2 2" xfId="3486" xr:uid="{00000000-0005-0000-0000-00009C5B0000}"/>
    <cellStyle name="Output 3 3 2 2 2" xfId="7548" xr:uid="{00000000-0005-0000-0000-00009D5B0000}"/>
    <cellStyle name="Output 3 3 2 2 2 2" xfId="17210" xr:uid="{00000000-0005-0000-0000-00009E5B0000}"/>
    <cellStyle name="Output 3 3 2 2 2 2 2" xfId="32042" xr:uid="{00000000-0005-0000-0000-00009F5B0000}"/>
    <cellStyle name="Output 3 3 2 2 2 3" xfId="19047" xr:uid="{00000000-0005-0000-0000-0000A05B0000}"/>
    <cellStyle name="Output 3 3 2 2 3" xfId="13823" xr:uid="{00000000-0005-0000-0000-0000A15B0000}"/>
    <cellStyle name="Output 3 3 2 2 3 2" xfId="28655" xr:uid="{00000000-0005-0000-0000-0000A25B0000}"/>
    <cellStyle name="Output 3 3 2 2 4" xfId="10828" xr:uid="{00000000-0005-0000-0000-0000A35B0000}"/>
    <cellStyle name="Output 3 3 2 2 4 2" xfId="25660" xr:uid="{00000000-0005-0000-0000-0000A45B0000}"/>
    <cellStyle name="Output 3 3 2 3" xfId="4993" xr:uid="{00000000-0005-0000-0000-0000A55B0000}"/>
    <cellStyle name="Output 3 3 2 3 2" xfId="9032" xr:uid="{00000000-0005-0000-0000-0000A65B0000}"/>
    <cellStyle name="Output 3 3 2 3 2 2" xfId="17970" xr:uid="{00000000-0005-0000-0000-0000A75B0000}"/>
    <cellStyle name="Output 3 3 2 3 2 2 2" xfId="32802" xr:uid="{00000000-0005-0000-0000-0000A85B0000}"/>
    <cellStyle name="Output 3 3 2 3 2 3" xfId="19554" xr:uid="{00000000-0005-0000-0000-0000A95B0000}"/>
    <cellStyle name="Output 3 3 2 3 3" xfId="15315" xr:uid="{00000000-0005-0000-0000-0000AA5B0000}"/>
    <cellStyle name="Output 3 3 2 3 3 2" xfId="30147" xr:uid="{00000000-0005-0000-0000-0000AB5B0000}"/>
    <cellStyle name="Output 3 3 2 3 4" xfId="11571" xr:uid="{00000000-0005-0000-0000-0000AC5B0000}"/>
    <cellStyle name="Output 3 3 2 3 4 2" xfId="26403" xr:uid="{00000000-0005-0000-0000-0000AD5B0000}"/>
    <cellStyle name="Output 3 3 2 4" xfId="2983" xr:uid="{00000000-0005-0000-0000-0000AE5B0000}"/>
    <cellStyle name="Output 3 3 2 4 2" xfId="7063" xr:uid="{00000000-0005-0000-0000-0000AF5B0000}"/>
    <cellStyle name="Output 3 3 2 4 2 2" xfId="16862" xr:uid="{00000000-0005-0000-0000-0000B05B0000}"/>
    <cellStyle name="Output 3 3 2 4 2 2 2" xfId="31694" xr:uid="{00000000-0005-0000-0000-0000B15B0000}"/>
    <cellStyle name="Output 3 3 2 4 2 3" xfId="18846" xr:uid="{00000000-0005-0000-0000-0000B25B0000}"/>
    <cellStyle name="Output 3 3 2 4 3" xfId="13321" xr:uid="{00000000-0005-0000-0000-0000B35B0000}"/>
    <cellStyle name="Output 3 3 2 4 3 2" xfId="28153" xr:uid="{00000000-0005-0000-0000-0000B45B0000}"/>
    <cellStyle name="Output 3 3 2 4 4" xfId="10517" xr:uid="{00000000-0005-0000-0000-0000B55B0000}"/>
    <cellStyle name="Output 3 3 2 4 4 2" xfId="25349" xr:uid="{00000000-0005-0000-0000-0000B65B0000}"/>
    <cellStyle name="Output 3 3 2 5" xfId="6155" xr:uid="{00000000-0005-0000-0000-0000B75B0000}"/>
    <cellStyle name="Output 3 3 2 5 2" xfId="16342" xr:uid="{00000000-0005-0000-0000-0000B85B0000}"/>
    <cellStyle name="Output 3 3 2 5 2 2" xfId="31174" xr:uid="{00000000-0005-0000-0000-0000B95B0000}"/>
    <cellStyle name="Output 3 3 2 5 3" xfId="18487" xr:uid="{00000000-0005-0000-0000-0000BA5B0000}"/>
    <cellStyle name="Output 3 3 2 6" xfId="12412" xr:uid="{00000000-0005-0000-0000-0000BB5B0000}"/>
    <cellStyle name="Output 3 3 2 6 2" xfId="27244" xr:uid="{00000000-0005-0000-0000-0000BC5B0000}"/>
    <cellStyle name="Output 3 3 2 7" xfId="9994" xr:uid="{00000000-0005-0000-0000-0000BD5B0000}"/>
    <cellStyle name="Output 3 3 2 7 2" xfId="24826" xr:uid="{00000000-0005-0000-0000-0000BE5B0000}"/>
    <cellStyle name="Output 3 3 3" xfId="3227" xr:uid="{00000000-0005-0000-0000-0000BF5B0000}"/>
    <cellStyle name="Output 3 3 3 2" xfId="7291" xr:uid="{00000000-0005-0000-0000-0000C05B0000}"/>
    <cellStyle name="Output 3 3 3 2 2" xfId="17051" xr:uid="{00000000-0005-0000-0000-0000C15B0000}"/>
    <cellStyle name="Output 3 3 3 2 2 2" xfId="31883" xr:uid="{00000000-0005-0000-0000-0000C25B0000}"/>
    <cellStyle name="Output 3 3 3 2 3" xfId="18968" xr:uid="{00000000-0005-0000-0000-0000C35B0000}"/>
    <cellStyle name="Output 3 3 3 3" xfId="13565" xr:uid="{00000000-0005-0000-0000-0000C45B0000}"/>
    <cellStyle name="Output 3 3 3 3 2" xfId="28397" xr:uid="{00000000-0005-0000-0000-0000C55B0000}"/>
    <cellStyle name="Output 3 3 3 4" xfId="10691" xr:uid="{00000000-0005-0000-0000-0000C65B0000}"/>
    <cellStyle name="Output 3 3 3 4 2" xfId="25523" xr:uid="{00000000-0005-0000-0000-0000C75B0000}"/>
    <cellStyle name="Output 3 3 4" xfId="4573" xr:uid="{00000000-0005-0000-0000-0000C85B0000}"/>
    <cellStyle name="Output 3 3 4 2" xfId="8612" xr:uid="{00000000-0005-0000-0000-0000C95B0000}"/>
    <cellStyle name="Output 3 3 4 2 2" xfId="17730" xr:uid="{00000000-0005-0000-0000-0000CA5B0000}"/>
    <cellStyle name="Output 3 3 4 2 2 2" xfId="32562" xr:uid="{00000000-0005-0000-0000-0000CB5B0000}"/>
    <cellStyle name="Output 3 3 4 2 3" xfId="19394" xr:uid="{00000000-0005-0000-0000-0000CC5B0000}"/>
    <cellStyle name="Output 3 3 4 3" xfId="14900" xr:uid="{00000000-0005-0000-0000-0000CD5B0000}"/>
    <cellStyle name="Output 3 3 4 3 2" xfId="29732" xr:uid="{00000000-0005-0000-0000-0000CE5B0000}"/>
    <cellStyle name="Output 3 3 4 4" xfId="11336" xr:uid="{00000000-0005-0000-0000-0000CF5B0000}"/>
    <cellStyle name="Output 3 3 4 4 2" xfId="26168" xr:uid="{00000000-0005-0000-0000-0000D05B0000}"/>
    <cellStyle name="Output 3 3 5" xfId="2563" xr:uid="{00000000-0005-0000-0000-0000D15B0000}"/>
    <cellStyle name="Output 3 3 5 2" xfId="6669" xr:uid="{00000000-0005-0000-0000-0000D25B0000}"/>
    <cellStyle name="Output 3 3 5 2 2" xfId="16627" xr:uid="{00000000-0005-0000-0000-0000D35B0000}"/>
    <cellStyle name="Output 3 3 5 2 2 2" xfId="31459" xr:uid="{00000000-0005-0000-0000-0000D45B0000}"/>
    <cellStyle name="Output 3 3 5 2 3" xfId="18682" xr:uid="{00000000-0005-0000-0000-0000D55B0000}"/>
    <cellStyle name="Output 3 3 5 3" xfId="12901" xr:uid="{00000000-0005-0000-0000-0000D65B0000}"/>
    <cellStyle name="Output 3 3 5 3 2" xfId="27733" xr:uid="{00000000-0005-0000-0000-0000D75B0000}"/>
    <cellStyle name="Output 3 3 5 4" xfId="10277" xr:uid="{00000000-0005-0000-0000-0000D85B0000}"/>
    <cellStyle name="Output 3 3 5 4 2" xfId="25109" xr:uid="{00000000-0005-0000-0000-0000D95B0000}"/>
    <cellStyle name="Output 3 3 6" xfId="5686" xr:uid="{00000000-0005-0000-0000-0000DA5B0000}"/>
    <cellStyle name="Output 3 3 6 2" xfId="15921" xr:uid="{00000000-0005-0000-0000-0000DB5B0000}"/>
    <cellStyle name="Output 3 3 6 2 2" xfId="30753" xr:uid="{00000000-0005-0000-0000-0000DC5B0000}"/>
    <cellStyle name="Output 3 3 6 3" xfId="18324" xr:uid="{00000000-0005-0000-0000-0000DD5B0000}"/>
    <cellStyle name="Output 3 3 7" xfId="11941" xr:uid="{00000000-0005-0000-0000-0000DE5B0000}"/>
    <cellStyle name="Output 3 3 7 2" xfId="26773" xr:uid="{00000000-0005-0000-0000-0000DF5B0000}"/>
    <cellStyle name="Output 3 3 8" xfId="9599" xr:uid="{00000000-0005-0000-0000-0000E05B0000}"/>
    <cellStyle name="Output 3 3 8 2" xfId="19901" xr:uid="{00000000-0005-0000-0000-0000E15B0000}"/>
    <cellStyle name="Output 3 4" xfId="1583" xr:uid="{00000000-0005-0000-0000-0000E25B0000}"/>
    <cellStyle name="Output 3 4 2" xfId="2080" xr:uid="{00000000-0005-0000-0000-0000E35B0000}"/>
    <cellStyle name="Output 3 4 2 2" xfId="4069" xr:uid="{00000000-0005-0000-0000-0000E45B0000}"/>
    <cellStyle name="Output 3 4 2 2 2" xfId="8116" xr:uid="{00000000-0005-0000-0000-0000E55B0000}"/>
    <cellStyle name="Output 3 4 2 2 2 2" xfId="17505" xr:uid="{00000000-0005-0000-0000-0000E65B0000}"/>
    <cellStyle name="Output 3 4 2 2 2 2 2" xfId="32337" xr:uid="{00000000-0005-0000-0000-0000E75B0000}"/>
    <cellStyle name="Output 3 4 2 2 2 3" xfId="19257" xr:uid="{00000000-0005-0000-0000-0000E85B0000}"/>
    <cellStyle name="Output 3 4 2 2 3" xfId="14401" xr:uid="{00000000-0005-0000-0000-0000E95B0000}"/>
    <cellStyle name="Output 3 4 2 2 3 2" xfId="29233" xr:uid="{00000000-0005-0000-0000-0000EA5B0000}"/>
    <cellStyle name="Output 3 4 2 2 4" xfId="11121" xr:uid="{00000000-0005-0000-0000-0000EB5B0000}"/>
    <cellStyle name="Output 3 4 2 2 4 2" xfId="25953" xr:uid="{00000000-0005-0000-0000-0000EC5B0000}"/>
    <cellStyle name="Output 3 4 2 3" xfId="5048" xr:uid="{00000000-0005-0000-0000-0000ED5B0000}"/>
    <cellStyle name="Output 3 4 2 3 2" xfId="9087" xr:uid="{00000000-0005-0000-0000-0000EE5B0000}"/>
    <cellStyle name="Output 3 4 2 3 2 2" xfId="18020" xr:uid="{00000000-0005-0000-0000-0000EF5B0000}"/>
    <cellStyle name="Output 3 4 2 3 2 2 2" xfId="32852" xr:uid="{00000000-0005-0000-0000-0000F05B0000}"/>
    <cellStyle name="Output 3 4 2 3 2 3" xfId="19586" xr:uid="{00000000-0005-0000-0000-0000F15B0000}"/>
    <cellStyle name="Output 3 4 2 3 3" xfId="15369" xr:uid="{00000000-0005-0000-0000-0000F25B0000}"/>
    <cellStyle name="Output 3 4 2 3 3 2" xfId="30201" xr:uid="{00000000-0005-0000-0000-0000F35B0000}"/>
    <cellStyle name="Output 3 4 2 3 4" xfId="11620" xr:uid="{00000000-0005-0000-0000-0000F45B0000}"/>
    <cellStyle name="Output 3 4 2 3 4 2" xfId="26452" xr:uid="{00000000-0005-0000-0000-0000F55B0000}"/>
    <cellStyle name="Output 3 4 2 4" xfId="3038" xr:uid="{00000000-0005-0000-0000-0000F65B0000}"/>
    <cellStyle name="Output 3 4 2 4 2" xfId="7113" xr:uid="{00000000-0005-0000-0000-0000F75B0000}"/>
    <cellStyle name="Output 3 4 2 4 2 2" xfId="16911" xr:uid="{00000000-0005-0000-0000-0000F85B0000}"/>
    <cellStyle name="Output 3 4 2 4 2 2 2" xfId="31743" xr:uid="{00000000-0005-0000-0000-0000F95B0000}"/>
    <cellStyle name="Output 3 4 2 4 2 3" xfId="18879" xr:uid="{00000000-0005-0000-0000-0000FA5B0000}"/>
    <cellStyle name="Output 3 4 2 4 3" xfId="13376" xr:uid="{00000000-0005-0000-0000-0000FB5B0000}"/>
    <cellStyle name="Output 3 4 2 4 3 2" xfId="28208" xr:uid="{00000000-0005-0000-0000-0000FC5B0000}"/>
    <cellStyle name="Output 3 4 2 4 4" xfId="10567" xr:uid="{00000000-0005-0000-0000-0000FD5B0000}"/>
    <cellStyle name="Output 3 4 2 4 4 2" xfId="25399" xr:uid="{00000000-0005-0000-0000-0000FE5B0000}"/>
    <cellStyle name="Output 3 4 2 5" xfId="6205" xr:uid="{00000000-0005-0000-0000-0000FF5B0000}"/>
    <cellStyle name="Output 3 4 2 5 2" xfId="16391" xr:uid="{00000000-0005-0000-0000-0000005C0000}"/>
    <cellStyle name="Output 3 4 2 5 2 2" xfId="31223" xr:uid="{00000000-0005-0000-0000-0000015C0000}"/>
    <cellStyle name="Output 3 4 2 5 3" xfId="18520" xr:uid="{00000000-0005-0000-0000-0000025C0000}"/>
    <cellStyle name="Output 3 4 2 6" xfId="12461" xr:uid="{00000000-0005-0000-0000-0000035C0000}"/>
    <cellStyle name="Output 3 4 2 6 2" xfId="27293" xr:uid="{00000000-0005-0000-0000-0000045C0000}"/>
    <cellStyle name="Output 3 4 2 7" xfId="10043" xr:uid="{00000000-0005-0000-0000-0000055C0000}"/>
    <cellStyle name="Output 3 4 2 7 2" xfId="24875" xr:uid="{00000000-0005-0000-0000-0000065C0000}"/>
    <cellStyle name="Output 3 4 3" xfId="4022" xr:uid="{00000000-0005-0000-0000-0000075C0000}"/>
    <cellStyle name="Output 3 4 3 2" xfId="8069" xr:uid="{00000000-0005-0000-0000-0000085C0000}"/>
    <cellStyle name="Output 3 4 3 2 2" xfId="17480" xr:uid="{00000000-0005-0000-0000-0000095C0000}"/>
    <cellStyle name="Output 3 4 3 2 2 2" xfId="32312" xr:uid="{00000000-0005-0000-0000-00000A5C0000}"/>
    <cellStyle name="Output 3 4 3 2 3" xfId="19238" xr:uid="{00000000-0005-0000-0000-00000B5C0000}"/>
    <cellStyle name="Output 3 4 3 3" xfId="14354" xr:uid="{00000000-0005-0000-0000-00000C5C0000}"/>
    <cellStyle name="Output 3 4 3 3 2" xfId="29186" xr:uid="{00000000-0005-0000-0000-00000D5C0000}"/>
    <cellStyle name="Output 3 4 3 4" xfId="11096" xr:uid="{00000000-0005-0000-0000-00000E5C0000}"/>
    <cellStyle name="Output 3 4 3 4 2" xfId="25928" xr:uid="{00000000-0005-0000-0000-00000F5C0000}"/>
    <cellStyle name="Output 3 4 4" xfId="4628" xr:uid="{00000000-0005-0000-0000-0000105C0000}"/>
    <cellStyle name="Output 3 4 4 2" xfId="8667" xr:uid="{00000000-0005-0000-0000-0000115C0000}"/>
    <cellStyle name="Output 3 4 4 2 2" xfId="17780" xr:uid="{00000000-0005-0000-0000-0000125C0000}"/>
    <cellStyle name="Output 3 4 4 2 2 2" xfId="32612" xr:uid="{00000000-0005-0000-0000-0000135C0000}"/>
    <cellStyle name="Output 3 4 4 2 3" xfId="19426" xr:uid="{00000000-0005-0000-0000-0000145C0000}"/>
    <cellStyle name="Output 3 4 4 3" xfId="14954" xr:uid="{00000000-0005-0000-0000-0000155C0000}"/>
    <cellStyle name="Output 3 4 4 3 2" xfId="29786" xr:uid="{00000000-0005-0000-0000-0000165C0000}"/>
    <cellStyle name="Output 3 4 4 4" xfId="11385" xr:uid="{00000000-0005-0000-0000-0000175C0000}"/>
    <cellStyle name="Output 3 4 4 4 2" xfId="26217" xr:uid="{00000000-0005-0000-0000-0000185C0000}"/>
    <cellStyle name="Output 3 4 5" xfId="2618" xr:uid="{00000000-0005-0000-0000-0000195C0000}"/>
    <cellStyle name="Output 3 4 5 2" xfId="6719" xr:uid="{00000000-0005-0000-0000-00001A5C0000}"/>
    <cellStyle name="Output 3 4 5 2 2" xfId="16676" xr:uid="{00000000-0005-0000-0000-00001B5C0000}"/>
    <cellStyle name="Output 3 4 5 2 2 2" xfId="31508" xr:uid="{00000000-0005-0000-0000-00001C5C0000}"/>
    <cellStyle name="Output 3 4 5 2 3" xfId="18715" xr:uid="{00000000-0005-0000-0000-00001D5C0000}"/>
    <cellStyle name="Output 3 4 5 3" xfId="12956" xr:uid="{00000000-0005-0000-0000-00001E5C0000}"/>
    <cellStyle name="Output 3 4 5 3 2" xfId="27788" xr:uid="{00000000-0005-0000-0000-00001F5C0000}"/>
    <cellStyle name="Output 3 4 5 4" xfId="10327" xr:uid="{00000000-0005-0000-0000-0000205C0000}"/>
    <cellStyle name="Output 3 4 5 4 2" xfId="25159" xr:uid="{00000000-0005-0000-0000-0000215C0000}"/>
    <cellStyle name="Output 3 4 6" xfId="5735" xr:uid="{00000000-0005-0000-0000-0000225C0000}"/>
    <cellStyle name="Output 3 4 6 2" xfId="15970" xr:uid="{00000000-0005-0000-0000-0000235C0000}"/>
    <cellStyle name="Output 3 4 6 2 2" xfId="30802" xr:uid="{00000000-0005-0000-0000-0000245C0000}"/>
    <cellStyle name="Output 3 4 6 3" xfId="18356" xr:uid="{00000000-0005-0000-0000-0000255C0000}"/>
    <cellStyle name="Output 3 4 7" xfId="11990" xr:uid="{00000000-0005-0000-0000-0000265C0000}"/>
    <cellStyle name="Output 3 4 7 2" xfId="26822" xr:uid="{00000000-0005-0000-0000-0000275C0000}"/>
    <cellStyle name="Output 3 4 8" xfId="9649" xr:uid="{00000000-0005-0000-0000-0000285C0000}"/>
    <cellStyle name="Output 3 4 8 2" xfId="19950" xr:uid="{00000000-0005-0000-0000-0000295C0000}"/>
    <cellStyle name="Output 3 5" xfId="1633" xr:uid="{00000000-0005-0000-0000-00002A5C0000}"/>
    <cellStyle name="Output 3 5 2" xfId="2130" xr:uid="{00000000-0005-0000-0000-00002B5C0000}"/>
    <cellStyle name="Output 3 5 2 2" xfId="3535" xr:uid="{00000000-0005-0000-0000-00002C5C0000}"/>
    <cellStyle name="Output 3 5 2 2 2" xfId="7597" xr:uid="{00000000-0005-0000-0000-00002D5C0000}"/>
    <cellStyle name="Output 3 5 2 2 2 2" xfId="17241" xr:uid="{00000000-0005-0000-0000-00002E5C0000}"/>
    <cellStyle name="Output 3 5 2 2 2 2 2" xfId="32073" xr:uid="{00000000-0005-0000-0000-00002F5C0000}"/>
    <cellStyle name="Output 3 5 2 2 2 3" xfId="19068" xr:uid="{00000000-0005-0000-0000-0000305C0000}"/>
    <cellStyle name="Output 3 5 2 2 3" xfId="13872" xr:uid="{00000000-0005-0000-0000-0000315C0000}"/>
    <cellStyle name="Output 3 5 2 2 3 2" xfId="28704" xr:uid="{00000000-0005-0000-0000-0000325C0000}"/>
    <cellStyle name="Output 3 5 2 2 4" xfId="10859" xr:uid="{00000000-0005-0000-0000-0000335C0000}"/>
    <cellStyle name="Output 3 5 2 2 4 2" xfId="25691" xr:uid="{00000000-0005-0000-0000-0000345C0000}"/>
    <cellStyle name="Output 3 5 2 3" xfId="5098" xr:uid="{00000000-0005-0000-0000-0000355C0000}"/>
    <cellStyle name="Output 3 5 2 3 2" xfId="9137" xr:uid="{00000000-0005-0000-0000-0000365C0000}"/>
    <cellStyle name="Output 3 5 2 3 2 2" xfId="18065" xr:uid="{00000000-0005-0000-0000-0000375C0000}"/>
    <cellStyle name="Output 3 5 2 3 2 2 2" xfId="32897" xr:uid="{00000000-0005-0000-0000-0000385C0000}"/>
    <cellStyle name="Output 3 5 2 3 2 3" xfId="19618" xr:uid="{00000000-0005-0000-0000-0000395C0000}"/>
    <cellStyle name="Output 3 5 2 3 3" xfId="15418" xr:uid="{00000000-0005-0000-0000-00003A5C0000}"/>
    <cellStyle name="Output 3 5 2 3 3 2" xfId="30250" xr:uid="{00000000-0005-0000-0000-00003B5C0000}"/>
    <cellStyle name="Output 3 5 2 3 4" xfId="11664" xr:uid="{00000000-0005-0000-0000-00003C5C0000}"/>
    <cellStyle name="Output 3 5 2 3 4 2" xfId="26496" xr:uid="{00000000-0005-0000-0000-00003D5C0000}"/>
    <cellStyle name="Output 3 5 2 4" xfId="3088" xr:uid="{00000000-0005-0000-0000-00003E5C0000}"/>
    <cellStyle name="Output 3 5 2 4 2" xfId="7158" xr:uid="{00000000-0005-0000-0000-00003F5C0000}"/>
    <cellStyle name="Output 3 5 2 4 2 2" xfId="16955" xr:uid="{00000000-0005-0000-0000-0000405C0000}"/>
    <cellStyle name="Output 3 5 2 4 2 2 2" xfId="31787" xr:uid="{00000000-0005-0000-0000-0000415C0000}"/>
    <cellStyle name="Output 3 5 2 4 2 3" xfId="18912" xr:uid="{00000000-0005-0000-0000-0000425C0000}"/>
    <cellStyle name="Output 3 5 2 4 3" xfId="13426" xr:uid="{00000000-0005-0000-0000-0000435C0000}"/>
    <cellStyle name="Output 3 5 2 4 3 2" xfId="28258" xr:uid="{00000000-0005-0000-0000-0000445C0000}"/>
    <cellStyle name="Output 3 5 2 4 4" xfId="10612" xr:uid="{00000000-0005-0000-0000-0000455C0000}"/>
    <cellStyle name="Output 3 5 2 4 4 2" xfId="25444" xr:uid="{00000000-0005-0000-0000-0000465C0000}"/>
    <cellStyle name="Output 3 5 2 5" xfId="6250" xr:uid="{00000000-0005-0000-0000-0000475C0000}"/>
    <cellStyle name="Output 3 5 2 5 2" xfId="16435" xr:uid="{00000000-0005-0000-0000-0000485C0000}"/>
    <cellStyle name="Output 3 5 2 5 2 2" xfId="31267" xr:uid="{00000000-0005-0000-0000-0000495C0000}"/>
    <cellStyle name="Output 3 5 2 5 3" xfId="18553" xr:uid="{00000000-0005-0000-0000-00004A5C0000}"/>
    <cellStyle name="Output 3 5 2 6" xfId="12505" xr:uid="{00000000-0005-0000-0000-00004B5C0000}"/>
    <cellStyle name="Output 3 5 2 6 2" xfId="27337" xr:uid="{00000000-0005-0000-0000-00004C5C0000}"/>
    <cellStyle name="Output 3 5 2 7" xfId="10087" xr:uid="{00000000-0005-0000-0000-00004D5C0000}"/>
    <cellStyle name="Output 3 5 2 7 2" xfId="24919" xr:uid="{00000000-0005-0000-0000-00004E5C0000}"/>
    <cellStyle name="Output 3 5 3" xfId="3829" xr:uid="{00000000-0005-0000-0000-00004F5C0000}"/>
    <cellStyle name="Output 3 5 3 2" xfId="7882" xr:uid="{00000000-0005-0000-0000-0000505C0000}"/>
    <cellStyle name="Output 3 5 3 2 2" xfId="17384" xr:uid="{00000000-0005-0000-0000-0000515C0000}"/>
    <cellStyle name="Output 3 5 3 2 2 2" xfId="32216" xr:uid="{00000000-0005-0000-0000-0000525C0000}"/>
    <cellStyle name="Output 3 5 3 2 3" xfId="19168" xr:uid="{00000000-0005-0000-0000-0000535C0000}"/>
    <cellStyle name="Output 3 5 3 3" xfId="14164" xr:uid="{00000000-0005-0000-0000-0000545C0000}"/>
    <cellStyle name="Output 3 5 3 3 2" xfId="28996" xr:uid="{00000000-0005-0000-0000-0000555C0000}"/>
    <cellStyle name="Output 3 5 3 4" xfId="11003" xr:uid="{00000000-0005-0000-0000-0000565C0000}"/>
    <cellStyle name="Output 3 5 3 4 2" xfId="25835" xr:uid="{00000000-0005-0000-0000-0000575C0000}"/>
    <cellStyle name="Output 3 5 4" xfId="4678" xr:uid="{00000000-0005-0000-0000-0000585C0000}"/>
    <cellStyle name="Output 3 5 4 2" xfId="8717" xr:uid="{00000000-0005-0000-0000-0000595C0000}"/>
    <cellStyle name="Output 3 5 4 2 2" xfId="17825" xr:uid="{00000000-0005-0000-0000-00005A5C0000}"/>
    <cellStyle name="Output 3 5 4 2 2 2" xfId="32657" xr:uid="{00000000-0005-0000-0000-00005B5C0000}"/>
    <cellStyle name="Output 3 5 4 2 3" xfId="19458" xr:uid="{00000000-0005-0000-0000-00005C5C0000}"/>
    <cellStyle name="Output 3 5 4 3" xfId="15003" xr:uid="{00000000-0005-0000-0000-00005D5C0000}"/>
    <cellStyle name="Output 3 5 4 3 2" xfId="29835" xr:uid="{00000000-0005-0000-0000-00005E5C0000}"/>
    <cellStyle name="Output 3 5 4 4" xfId="11429" xr:uid="{00000000-0005-0000-0000-00005F5C0000}"/>
    <cellStyle name="Output 3 5 4 4 2" xfId="26261" xr:uid="{00000000-0005-0000-0000-0000605C0000}"/>
    <cellStyle name="Output 3 5 5" xfId="2668" xr:uid="{00000000-0005-0000-0000-0000615C0000}"/>
    <cellStyle name="Output 3 5 5 2" xfId="6764" xr:uid="{00000000-0005-0000-0000-0000625C0000}"/>
    <cellStyle name="Output 3 5 5 2 2" xfId="16720" xr:uid="{00000000-0005-0000-0000-0000635C0000}"/>
    <cellStyle name="Output 3 5 5 2 2 2" xfId="31552" xr:uid="{00000000-0005-0000-0000-0000645C0000}"/>
    <cellStyle name="Output 3 5 5 2 3" xfId="18748" xr:uid="{00000000-0005-0000-0000-0000655C0000}"/>
    <cellStyle name="Output 3 5 5 3" xfId="13006" xr:uid="{00000000-0005-0000-0000-0000665C0000}"/>
    <cellStyle name="Output 3 5 5 3 2" xfId="27838" xr:uid="{00000000-0005-0000-0000-0000675C0000}"/>
    <cellStyle name="Output 3 5 5 4" xfId="10372" xr:uid="{00000000-0005-0000-0000-0000685C0000}"/>
    <cellStyle name="Output 3 5 5 4 2" xfId="25204" xr:uid="{00000000-0005-0000-0000-0000695C0000}"/>
    <cellStyle name="Output 3 5 6" xfId="5780" xr:uid="{00000000-0005-0000-0000-00006A5C0000}"/>
    <cellStyle name="Output 3 5 6 2" xfId="16014" xr:uid="{00000000-0005-0000-0000-00006B5C0000}"/>
    <cellStyle name="Output 3 5 6 2 2" xfId="30846" xr:uid="{00000000-0005-0000-0000-00006C5C0000}"/>
    <cellStyle name="Output 3 5 6 3" xfId="18389" xr:uid="{00000000-0005-0000-0000-00006D5C0000}"/>
    <cellStyle name="Output 3 5 7" xfId="12034" xr:uid="{00000000-0005-0000-0000-00006E5C0000}"/>
    <cellStyle name="Output 3 5 7 2" xfId="26866" xr:uid="{00000000-0005-0000-0000-00006F5C0000}"/>
    <cellStyle name="Output 3 5 8" xfId="9694" xr:uid="{00000000-0005-0000-0000-0000705C0000}"/>
    <cellStyle name="Output 3 5 8 2" xfId="19994" xr:uid="{00000000-0005-0000-0000-0000715C0000}"/>
    <cellStyle name="Output 3 6" xfId="1784" xr:uid="{00000000-0005-0000-0000-0000725C0000}"/>
    <cellStyle name="Output 3 6 2" xfId="3651" xr:uid="{00000000-0005-0000-0000-0000735C0000}"/>
    <cellStyle name="Output 3 6 2 2" xfId="7710" xr:uid="{00000000-0005-0000-0000-0000745C0000}"/>
    <cellStyle name="Output 3 6 2 2 2" xfId="17301" xr:uid="{00000000-0005-0000-0000-0000755C0000}"/>
    <cellStyle name="Output 3 6 2 2 2 2" xfId="32133" xr:uid="{00000000-0005-0000-0000-0000765C0000}"/>
    <cellStyle name="Output 3 6 2 2 3" xfId="19112" xr:uid="{00000000-0005-0000-0000-0000775C0000}"/>
    <cellStyle name="Output 3 6 2 3" xfId="13986" xr:uid="{00000000-0005-0000-0000-0000785C0000}"/>
    <cellStyle name="Output 3 6 2 3 2" xfId="28818" xr:uid="{00000000-0005-0000-0000-0000795C0000}"/>
    <cellStyle name="Output 3 6 2 4" xfId="10917" xr:uid="{00000000-0005-0000-0000-00007A5C0000}"/>
    <cellStyle name="Output 3 6 2 4 2" xfId="25749" xr:uid="{00000000-0005-0000-0000-00007B5C0000}"/>
    <cellStyle name="Output 3 6 3" xfId="4762" xr:uid="{00000000-0005-0000-0000-00007C5C0000}"/>
    <cellStyle name="Output 3 6 3 2" xfId="8801" xr:uid="{00000000-0005-0000-0000-00007D5C0000}"/>
    <cellStyle name="Output 3 6 3 2 2" xfId="17873" xr:uid="{00000000-0005-0000-0000-00007E5C0000}"/>
    <cellStyle name="Output 3 6 3 2 2 2" xfId="32705" xr:uid="{00000000-0005-0000-0000-00007F5C0000}"/>
    <cellStyle name="Output 3 6 3 2 3" xfId="19490" xr:uid="{00000000-0005-0000-0000-0000805C0000}"/>
    <cellStyle name="Output 3 6 3 3" xfId="15086" xr:uid="{00000000-0005-0000-0000-0000815C0000}"/>
    <cellStyle name="Output 3 6 3 3 2" xfId="29918" xr:uid="{00000000-0005-0000-0000-0000825C0000}"/>
    <cellStyle name="Output 3 6 3 4" xfId="11476" xr:uid="{00000000-0005-0000-0000-0000835C0000}"/>
    <cellStyle name="Output 3 6 3 4 2" xfId="26308" xr:uid="{00000000-0005-0000-0000-0000845C0000}"/>
    <cellStyle name="Output 3 6 4" xfId="2752" xr:uid="{00000000-0005-0000-0000-0000855C0000}"/>
    <cellStyle name="Output 3 6 4 2" xfId="6843" xr:uid="{00000000-0005-0000-0000-0000865C0000}"/>
    <cellStyle name="Output 3 6 4 2 2" xfId="16767" xr:uid="{00000000-0005-0000-0000-0000875C0000}"/>
    <cellStyle name="Output 3 6 4 2 2 2" xfId="31599" xr:uid="{00000000-0005-0000-0000-0000885C0000}"/>
    <cellStyle name="Output 3 6 4 2 3" xfId="18781" xr:uid="{00000000-0005-0000-0000-0000895C0000}"/>
    <cellStyle name="Output 3 6 4 3" xfId="13090" xr:uid="{00000000-0005-0000-0000-00008A5C0000}"/>
    <cellStyle name="Output 3 6 4 3 2" xfId="27922" xr:uid="{00000000-0005-0000-0000-00008B5C0000}"/>
    <cellStyle name="Output 3 6 4 4" xfId="10420" xr:uid="{00000000-0005-0000-0000-00008C5C0000}"/>
    <cellStyle name="Output 3 6 4 4 2" xfId="25252" xr:uid="{00000000-0005-0000-0000-00008D5C0000}"/>
    <cellStyle name="Output 3 6 5" xfId="5916" xr:uid="{00000000-0005-0000-0000-00008E5C0000}"/>
    <cellStyle name="Output 3 6 5 2" xfId="16108" xr:uid="{00000000-0005-0000-0000-00008F5C0000}"/>
    <cellStyle name="Output 3 6 5 2 2" xfId="30940" xr:uid="{00000000-0005-0000-0000-0000905C0000}"/>
    <cellStyle name="Output 3 6 5 3" xfId="18423" xr:uid="{00000000-0005-0000-0000-0000915C0000}"/>
    <cellStyle name="Output 3 6 6" xfId="12178" xr:uid="{00000000-0005-0000-0000-0000925C0000}"/>
    <cellStyle name="Output 3 6 6 2" xfId="27010" xr:uid="{00000000-0005-0000-0000-0000935C0000}"/>
    <cellStyle name="Output 3 6 7" xfId="9774" xr:uid="{00000000-0005-0000-0000-0000945C0000}"/>
    <cellStyle name="Output 3 6 7 2" xfId="24731" xr:uid="{00000000-0005-0000-0000-0000955C0000}"/>
    <cellStyle name="Output 3 7" xfId="2182" xr:uid="{00000000-0005-0000-0000-0000965C0000}"/>
    <cellStyle name="Output 3 7 2" xfId="4062" xr:uid="{00000000-0005-0000-0000-0000975C0000}"/>
    <cellStyle name="Output 3 7 2 2" xfId="8109" xr:uid="{00000000-0005-0000-0000-0000985C0000}"/>
    <cellStyle name="Output 3 7 2 2 2" xfId="17499" xr:uid="{00000000-0005-0000-0000-0000995C0000}"/>
    <cellStyle name="Output 3 7 2 2 2 2" xfId="32331" xr:uid="{00000000-0005-0000-0000-00009A5C0000}"/>
    <cellStyle name="Output 3 7 2 2 3" xfId="19252" xr:uid="{00000000-0005-0000-0000-00009B5C0000}"/>
    <cellStyle name="Output 3 7 2 3" xfId="14394" xr:uid="{00000000-0005-0000-0000-00009C5C0000}"/>
    <cellStyle name="Output 3 7 2 3 2" xfId="29226" xr:uid="{00000000-0005-0000-0000-00009D5C0000}"/>
    <cellStyle name="Output 3 7 2 4" xfId="11115" xr:uid="{00000000-0005-0000-0000-00009E5C0000}"/>
    <cellStyle name="Output 3 7 2 4 2" xfId="25947" xr:uid="{00000000-0005-0000-0000-00009F5C0000}"/>
    <cellStyle name="Output 3 7 3" xfId="5150" xr:uid="{00000000-0005-0000-0000-0000A05C0000}"/>
    <cellStyle name="Output 3 7 3 2" xfId="9189" xr:uid="{00000000-0005-0000-0000-0000A15C0000}"/>
    <cellStyle name="Output 3 7 3 2 2" xfId="18112" xr:uid="{00000000-0005-0000-0000-0000A25C0000}"/>
    <cellStyle name="Output 3 7 3 2 2 2" xfId="32944" xr:uid="{00000000-0005-0000-0000-0000A35C0000}"/>
    <cellStyle name="Output 3 7 3 2 3" xfId="19663" xr:uid="{00000000-0005-0000-0000-0000A45C0000}"/>
    <cellStyle name="Output 3 7 3 3" xfId="15468" xr:uid="{00000000-0005-0000-0000-0000A55C0000}"/>
    <cellStyle name="Output 3 7 3 3 2" xfId="30300" xr:uid="{00000000-0005-0000-0000-0000A65C0000}"/>
    <cellStyle name="Output 3 7 3 4" xfId="11709" xr:uid="{00000000-0005-0000-0000-0000A75C0000}"/>
    <cellStyle name="Output 3 7 3 4 2" xfId="26541" xr:uid="{00000000-0005-0000-0000-0000A85C0000}"/>
    <cellStyle name="Output 3 7 4" xfId="4180" xr:uid="{00000000-0005-0000-0000-0000A95C0000}"/>
    <cellStyle name="Output 3 7 4 2" xfId="8221" xr:uid="{00000000-0005-0000-0000-0000AA5C0000}"/>
    <cellStyle name="Output 3 7 4 2 2" xfId="17568" xr:uid="{00000000-0005-0000-0000-0000AB5C0000}"/>
    <cellStyle name="Output 3 7 4 2 2 2" xfId="32400" xr:uid="{00000000-0005-0000-0000-0000AC5C0000}"/>
    <cellStyle name="Output 3 7 4 2 3" xfId="19306" xr:uid="{00000000-0005-0000-0000-0000AD5C0000}"/>
    <cellStyle name="Output 3 7 4 3" xfId="14512" xr:uid="{00000000-0005-0000-0000-0000AE5C0000}"/>
    <cellStyle name="Output 3 7 4 3 2" xfId="29344" xr:uid="{00000000-0005-0000-0000-0000AF5C0000}"/>
    <cellStyle name="Output 3 7 4 4" xfId="11188" xr:uid="{00000000-0005-0000-0000-0000B05C0000}"/>
    <cellStyle name="Output 3 7 4 4 2" xfId="26020" xr:uid="{00000000-0005-0000-0000-0000B15C0000}"/>
    <cellStyle name="Output 3 7 5" xfId="6296" xr:uid="{00000000-0005-0000-0000-0000B25C0000}"/>
    <cellStyle name="Output 3 7 5 2" xfId="16480" xr:uid="{00000000-0005-0000-0000-0000B35C0000}"/>
    <cellStyle name="Output 3 7 5 2 2" xfId="31312" xr:uid="{00000000-0005-0000-0000-0000B45C0000}"/>
    <cellStyle name="Output 3 7 5 3" xfId="18599" xr:uid="{00000000-0005-0000-0000-0000B55C0000}"/>
    <cellStyle name="Output 3 7 6" xfId="12550" xr:uid="{00000000-0005-0000-0000-0000B65C0000}"/>
    <cellStyle name="Output 3 7 6 2" xfId="27382" xr:uid="{00000000-0005-0000-0000-0000B75C0000}"/>
    <cellStyle name="Output 3 7 7" xfId="10132" xr:uid="{00000000-0005-0000-0000-0000B85C0000}"/>
    <cellStyle name="Output 3 7 7 2" xfId="24964" xr:uid="{00000000-0005-0000-0000-0000B95C0000}"/>
    <cellStyle name="Output 3 8" xfId="3634" xr:uid="{00000000-0005-0000-0000-0000BA5C0000}"/>
    <cellStyle name="Output 3 8 2" xfId="7693" xr:uid="{00000000-0005-0000-0000-0000BB5C0000}"/>
    <cellStyle name="Output 3 8 2 2" xfId="17292" xr:uid="{00000000-0005-0000-0000-0000BC5C0000}"/>
    <cellStyle name="Output 3 8 2 2 2" xfId="32124" xr:uid="{00000000-0005-0000-0000-0000BD5C0000}"/>
    <cellStyle name="Output 3 8 2 3" xfId="19106" xr:uid="{00000000-0005-0000-0000-0000BE5C0000}"/>
    <cellStyle name="Output 3 8 3" xfId="13969" xr:uid="{00000000-0005-0000-0000-0000BF5C0000}"/>
    <cellStyle name="Output 3 8 3 2" xfId="28801" xr:uid="{00000000-0005-0000-0000-0000C05C0000}"/>
    <cellStyle name="Output 3 8 4" xfId="10908" xr:uid="{00000000-0005-0000-0000-0000C15C0000}"/>
    <cellStyle name="Output 3 8 4 2" xfId="25740" xr:uid="{00000000-0005-0000-0000-0000C25C0000}"/>
    <cellStyle name="Output 3 9" xfId="3314" xr:uid="{00000000-0005-0000-0000-0000C35C0000}"/>
    <cellStyle name="Output 3 9 2" xfId="7377" xr:uid="{00000000-0005-0000-0000-0000C45C0000}"/>
    <cellStyle name="Output 3 9 2 2" xfId="17112" xr:uid="{00000000-0005-0000-0000-0000C55C0000}"/>
    <cellStyle name="Output 3 9 2 2 2" xfId="31944" xr:uid="{00000000-0005-0000-0000-0000C65C0000}"/>
    <cellStyle name="Output 3 9 2 3" xfId="18993" xr:uid="{00000000-0005-0000-0000-0000C75C0000}"/>
    <cellStyle name="Output 3 9 3" xfId="13651" xr:uid="{00000000-0005-0000-0000-0000C85C0000}"/>
    <cellStyle name="Output 3 9 3 2" xfId="28483" xr:uid="{00000000-0005-0000-0000-0000C95C0000}"/>
    <cellStyle name="Output 3 9 4" xfId="10734" xr:uid="{00000000-0005-0000-0000-0000CA5C0000}"/>
    <cellStyle name="Output 3 9 4 2" xfId="25566" xr:uid="{00000000-0005-0000-0000-0000CB5C0000}"/>
    <cellStyle name="Output 4" xfId="1240" xr:uid="{00000000-0005-0000-0000-0000CC5C0000}"/>
    <cellStyle name="Output 4 10" xfId="2326" xr:uid="{00000000-0005-0000-0000-0000CD5C0000}"/>
    <cellStyle name="Output 4 10 2" xfId="6438" xr:uid="{00000000-0005-0000-0000-0000CE5C0000}"/>
    <cellStyle name="Output 4 10 2 2" xfId="16531" xr:uid="{00000000-0005-0000-0000-0000CF5C0000}"/>
    <cellStyle name="Output 4 10 2 2 2" xfId="31363" xr:uid="{00000000-0005-0000-0000-0000D05C0000}"/>
    <cellStyle name="Output 4 10 2 3" xfId="18619" xr:uid="{00000000-0005-0000-0000-0000D15C0000}"/>
    <cellStyle name="Output 4 10 3" xfId="12666" xr:uid="{00000000-0005-0000-0000-0000D25C0000}"/>
    <cellStyle name="Output 4 10 3 2" xfId="27498" xr:uid="{00000000-0005-0000-0000-0000D35C0000}"/>
    <cellStyle name="Output 4 10 4" xfId="10182" xr:uid="{00000000-0005-0000-0000-0000D45C0000}"/>
    <cellStyle name="Output 4 10 4 2" xfId="25014" xr:uid="{00000000-0005-0000-0000-0000D55C0000}"/>
    <cellStyle name="Output 4 11" xfId="5289" xr:uid="{00000000-0005-0000-0000-0000D65C0000}"/>
    <cellStyle name="Output 4 11 2" xfId="9297" xr:uid="{00000000-0005-0000-0000-0000D75C0000}"/>
    <cellStyle name="Output 4 11 2 2" xfId="18164" xr:uid="{00000000-0005-0000-0000-0000D85C0000}"/>
    <cellStyle name="Output 4 11 2 2 2" xfId="32996" xr:uid="{00000000-0005-0000-0000-0000D95C0000}"/>
    <cellStyle name="Output 4 11 2 3" xfId="19683" xr:uid="{00000000-0005-0000-0000-0000DA5C0000}"/>
    <cellStyle name="Output 4 11 3" xfId="15605" xr:uid="{00000000-0005-0000-0000-0000DB5C0000}"/>
    <cellStyle name="Output 4 11 3 2" xfId="30437" xr:uid="{00000000-0005-0000-0000-0000DC5C0000}"/>
    <cellStyle name="Output 4 12" xfId="5447" xr:uid="{00000000-0005-0000-0000-0000DD5C0000}"/>
    <cellStyle name="Output 4 12 2" xfId="15683" xr:uid="{00000000-0005-0000-0000-0000DE5C0000}"/>
    <cellStyle name="Output 4 12 2 2" xfId="30515" xr:uid="{00000000-0005-0000-0000-0000DF5C0000}"/>
    <cellStyle name="Output 4 12 3" xfId="18260" xr:uid="{00000000-0005-0000-0000-0000E05C0000}"/>
    <cellStyle name="Output 4 13" xfId="9344" xr:uid="{00000000-0005-0000-0000-0000E15C0000}"/>
    <cellStyle name="Output 4 13 2" xfId="24650" xr:uid="{00000000-0005-0000-0000-0000E25C0000}"/>
    <cellStyle name="Output 4 14" xfId="5333" xr:uid="{00000000-0005-0000-0000-0000E35C0000}"/>
    <cellStyle name="Output 4 14 2" xfId="18207" xr:uid="{00000000-0005-0000-0000-0000E45C0000}"/>
    <cellStyle name="Output 4 2" xfId="1359" xr:uid="{00000000-0005-0000-0000-0000E55C0000}"/>
    <cellStyle name="Output 4 2 2" xfId="1863" xr:uid="{00000000-0005-0000-0000-0000E65C0000}"/>
    <cellStyle name="Output 4 2 2 2" xfId="3914" xr:uid="{00000000-0005-0000-0000-0000E75C0000}"/>
    <cellStyle name="Output 4 2 2 2 2" xfId="7965" xr:uid="{00000000-0005-0000-0000-0000E85C0000}"/>
    <cellStyle name="Output 4 2 2 2 2 2" xfId="17428" xr:uid="{00000000-0005-0000-0000-0000E95C0000}"/>
    <cellStyle name="Output 4 2 2 2 2 2 2" xfId="32260" xr:uid="{00000000-0005-0000-0000-0000EA5C0000}"/>
    <cellStyle name="Output 4 2 2 2 2 3" xfId="19201" xr:uid="{00000000-0005-0000-0000-0000EB5C0000}"/>
    <cellStyle name="Output 4 2 2 2 3" xfId="14247" xr:uid="{00000000-0005-0000-0000-0000EC5C0000}"/>
    <cellStyle name="Output 4 2 2 2 3 2" xfId="29079" xr:uid="{00000000-0005-0000-0000-0000ED5C0000}"/>
    <cellStyle name="Output 4 2 2 2 4" xfId="11044" xr:uid="{00000000-0005-0000-0000-0000EE5C0000}"/>
    <cellStyle name="Output 4 2 2 2 4 2" xfId="25876" xr:uid="{00000000-0005-0000-0000-0000EF5C0000}"/>
    <cellStyle name="Output 4 2 2 3" xfId="4841" xr:uid="{00000000-0005-0000-0000-0000F05C0000}"/>
    <cellStyle name="Output 4 2 2 3 2" xfId="8880" xr:uid="{00000000-0005-0000-0000-0000F15C0000}"/>
    <cellStyle name="Output 4 2 2 3 2 2" xfId="17921" xr:uid="{00000000-0005-0000-0000-0000F25C0000}"/>
    <cellStyle name="Output 4 2 2 3 2 2 2" xfId="32753" xr:uid="{00000000-0005-0000-0000-0000F35C0000}"/>
    <cellStyle name="Output 4 2 2 3 2 3" xfId="19523" xr:uid="{00000000-0005-0000-0000-0000F45C0000}"/>
    <cellStyle name="Output 4 2 2 3 3" xfId="15165" xr:uid="{00000000-0005-0000-0000-0000F55C0000}"/>
    <cellStyle name="Output 4 2 2 3 3 2" xfId="29997" xr:uid="{00000000-0005-0000-0000-0000F65C0000}"/>
    <cellStyle name="Output 4 2 2 3 4" xfId="11524" xr:uid="{00000000-0005-0000-0000-0000F75C0000}"/>
    <cellStyle name="Output 4 2 2 3 4 2" xfId="26356" xr:uid="{00000000-0005-0000-0000-0000F85C0000}"/>
    <cellStyle name="Output 4 2 2 4" xfId="2831" xr:uid="{00000000-0005-0000-0000-0000F95C0000}"/>
    <cellStyle name="Output 4 2 2 4 2" xfId="6922" xr:uid="{00000000-0005-0000-0000-0000FA5C0000}"/>
    <cellStyle name="Output 4 2 2 4 2 2" xfId="16815" xr:uid="{00000000-0005-0000-0000-0000FB5C0000}"/>
    <cellStyle name="Output 4 2 2 4 2 2 2" xfId="31647" xr:uid="{00000000-0005-0000-0000-0000FC5C0000}"/>
    <cellStyle name="Output 4 2 2 4 2 3" xfId="18814" xr:uid="{00000000-0005-0000-0000-0000FD5C0000}"/>
    <cellStyle name="Output 4 2 2 4 3" xfId="13169" xr:uid="{00000000-0005-0000-0000-0000FE5C0000}"/>
    <cellStyle name="Output 4 2 2 4 3 2" xfId="28001" xr:uid="{00000000-0005-0000-0000-0000FF5C0000}"/>
    <cellStyle name="Output 4 2 2 4 4" xfId="10468" xr:uid="{00000000-0005-0000-0000-0000005D0000}"/>
    <cellStyle name="Output 4 2 2 4 4 2" xfId="25300" xr:uid="{00000000-0005-0000-0000-0000015D0000}"/>
    <cellStyle name="Output 4 2 2 5" xfId="5995" xr:uid="{00000000-0005-0000-0000-0000025D0000}"/>
    <cellStyle name="Output 4 2 2 5 2" xfId="16187" xr:uid="{00000000-0005-0000-0000-0000035D0000}"/>
    <cellStyle name="Output 4 2 2 5 2 2" xfId="31019" xr:uid="{00000000-0005-0000-0000-0000045D0000}"/>
    <cellStyle name="Output 4 2 2 5 3" xfId="18456" xr:uid="{00000000-0005-0000-0000-0000055D0000}"/>
    <cellStyle name="Output 4 2 2 6" xfId="12257" xr:uid="{00000000-0005-0000-0000-0000065D0000}"/>
    <cellStyle name="Output 4 2 2 6 2" xfId="27089" xr:uid="{00000000-0005-0000-0000-0000075D0000}"/>
    <cellStyle name="Output 4 2 2 7" xfId="9853" xr:uid="{00000000-0005-0000-0000-0000085D0000}"/>
    <cellStyle name="Output 4 2 2 7 2" xfId="24779" xr:uid="{00000000-0005-0000-0000-0000095D0000}"/>
    <cellStyle name="Output 4 2 3" xfId="3566" xr:uid="{00000000-0005-0000-0000-00000A5D0000}"/>
    <cellStyle name="Output 4 2 3 2" xfId="7628" xr:uid="{00000000-0005-0000-0000-00000B5D0000}"/>
    <cellStyle name="Output 4 2 3 2 2" xfId="17260" xr:uid="{00000000-0005-0000-0000-00000C5D0000}"/>
    <cellStyle name="Output 4 2 3 2 2 2" xfId="32092" xr:uid="{00000000-0005-0000-0000-00000D5D0000}"/>
    <cellStyle name="Output 4 2 3 2 3" xfId="19083" xr:uid="{00000000-0005-0000-0000-00000E5D0000}"/>
    <cellStyle name="Output 4 2 3 3" xfId="13902" xr:uid="{00000000-0005-0000-0000-00000F5D0000}"/>
    <cellStyle name="Output 4 2 3 3 2" xfId="28734" xr:uid="{00000000-0005-0000-0000-0000105D0000}"/>
    <cellStyle name="Output 4 2 3 4" xfId="10877" xr:uid="{00000000-0005-0000-0000-0000115D0000}"/>
    <cellStyle name="Output 4 2 3 4 2" xfId="25709" xr:uid="{00000000-0005-0000-0000-0000125D0000}"/>
    <cellStyle name="Output 4 2 4" xfId="4421" xr:uid="{00000000-0005-0000-0000-0000135D0000}"/>
    <cellStyle name="Output 4 2 4 2" xfId="8460" xr:uid="{00000000-0005-0000-0000-0000145D0000}"/>
    <cellStyle name="Output 4 2 4 2 2" xfId="17681" xr:uid="{00000000-0005-0000-0000-0000155D0000}"/>
    <cellStyle name="Output 4 2 4 2 2 2" xfId="32513" xr:uid="{00000000-0005-0000-0000-0000165D0000}"/>
    <cellStyle name="Output 4 2 4 2 3" xfId="19363" xr:uid="{00000000-0005-0000-0000-0000175D0000}"/>
    <cellStyle name="Output 4 2 4 3" xfId="14750" xr:uid="{00000000-0005-0000-0000-0000185D0000}"/>
    <cellStyle name="Output 4 2 4 3 2" xfId="29582" xr:uid="{00000000-0005-0000-0000-0000195D0000}"/>
    <cellStyle name="Output 4 2 4 4" xfId="11289" xr:uid="{00000000-0005-0000-0000-00001A5D0000}"/>
    <cellStyle name="Output 4 2 4 4 2" xfId="26121" xr:uid="{00000000-0005-0000-0000-00001B5D0000}"/>
    <cellStyle name="Output 4 2 5" xfId="2411" xr:uid="{00000000-0005-0000-0000-00001C5D0000}"/>
    <cellStyle name="Output 4 2 5 2" xfId="6523" xr:uid="{00000000-0005-0000-0000-00001D5D0000}"/>
    <cellStyle name="Output 4 2 5 2 2" xfId="16579" xr:uid="{00000000-0005-0000-0000-00001E5D0000}"/>
    <cellStyle name="Output 4 2 5 2 2 2" xfId="31411" xr:uid="{00000000-0005-0000-0000-00001F5D0000}"/>
    <cellStyle name="Output 4 2 5 2 3" xfId="18651" xr:uid="{00000000-0005-0000-0000-0000205D0000}"/>
    <cellStyle name="Output 4 2 5 3" xfId="12750" xr:uid="{00000000-0005-0000-0000-0000215D0000}"/>
    <cellStyle name="Output 4 2 5 3 2" xfId="27582" xr:uid="{00000000-0005-0000-0000-0000225D0000}"/>
    <cellStyle name="Output 4 2 5 4" xfId="10229" xr:uid="{00000000-0005-0000-0000-0000235D0000}"/>
    <cellStyle name="Output 4 2 5 4 2" xfId="25061" xr:uid="{00000000-0005-0000-0000-0000245D0000}"/>
    <cellStyle name="Output 4 2 6" xfId="5536" xr:uid="{00000000-0005-0000-0000-0000255D0000}"/>
    <cellStyle name="Output 4 2 6 2" xfId="15771" xr:uid="{00000000-0005-0000-0000-0000265D0000}"/>
    <cellStyle name="Output 4 2 6 2 2" xfId="30603" xr:uid="{00000000-0005-0000-0000-0000275D0000}"/>
    <cellStyle name="Output 4 2 6 3" xfId="18293" xr:uid="{00000000-0005-0000-0000-0000285D0000}"/>
    <cellStyle name="Output 4 2 7" xfId="11786" xr:uid="{00000000-0005-0000-0000-0000295D0000}"/>
    <cellStyle name="Output 4 2 7 2" xfId="26618" xr:uid="{00000000-0005-0000-0000-00002A5D0000}"/>
    <cellStyle name="Output 4 2 8" xfId="9457" xr:uid="{00000000-0005-0000-0000-00002B5D0000}"/>
    <cellStyle name="Output 4 2 8 2" xfId="19761" xr:uid="{00000000-0005-0000-0000-00002C5D0000}"/>
    <cellStyle name="Output 4 3" xfId="1529" xr:uid="{00000000-0005-0000-0000-00002D5D0000}"/>
    <cellStyle name="Output 4 3 2" xfId="2026" xr:uid="{00000000-0005-0000-0000-00002E5D0000}"/>
    <cellStyle name="Output 4 3 2 2" xfId="3761" xr:uid="{00000000-0005-0000-0000-00002F5D0000}"/>
    <cellStyle name="Output 4 3 2 2 2" xfId="7817" xr:uid="{00000000-0005-0000-0000-0000305D0000}"/>
    <cellStyle name="Output 4 3 2 2 2 2" xfId="17352" xr:uid="{00000000-0005-0000-0000-0000315D0000}"/>
    <cellStyle name="Output 4 3 2 2 2 2 2" xfId="32184" xr:uid="{00000000-0005-0000-0000-0000325D0000}"/>
    <cellStyle name="Output 4 3 2 2 2 3" xfId="19146" xr:uid="{00000000-0005-0000-0000-0000335D0000}"/>
    <cellStyle name="Output 4 3 2 2 3" xfId="14096" xr:uid="{00000000-0005-0000-0000-0000345D0000}"/>
    <cellStyle name="Output 4 3 2 2 3 2" xfId="28928" xr:uid="{00000000-0005-0000-0000-0000355D0000}"/>
    <cellStyle name="Output 4 3 2 2 4" xfId="10968" xr:uid="{00000000-0005-0000-0000-0000365D0000}"/>
    <cellStyle name="Output 4 3 2 2 4 2" xfId="25800" xr:uid="{00000000-0005-0000-0000-0000375D0000}"/>
    <cellStyle name="Output 4 3 2 3" xfId="4994" xr:uid="{00000000-0005-0000-0000-0000385D0000}"/>
    <cellStyle name="Output 4 3 2 3 2" xfId="9033" xr:uid="{00000000-0005-0000-0000-0000395D0000}"/>
    <cellStyle name="Output 4 3 2 3 2 2" xfId="17971" xr:uid="{00000000-0005-0000-0000-00003A5D0000}"/>
    <cellStyle name="Output 4 3 2 3 2 2 2" xfId="32803" xr:uid="{00000000-0005-0000-0000-00003B5D0000}"/>
    <cellStyle name="Output 4 3 2 3 2 3" xfId="19555" xr:uid="{00000000-0005-0000-0000-00003C5D0000}"/>
    <cellStyle name="Output 4 3 2 3 3" xfId="15316" xr:uid="{00000000-0005-0000-0000-00003D5D0000}"/>
    <cellStyle name="Output 4 3 2 3 3 2" xfId="30148" xr:uid="{00000000-0005-0000-0000-00003E5D0000}"/>
    <cellStyle name="Output 4 3 2 3 4" xfId="11572" xr:uid="{00000000-0005-0000-0000-00003F5D0000}"/>
    <cellStyle name="Output 4 3 2 3 4 2" xfId="26404" xr:uid="{00000000-0005-0000-0000-0000405D0000}"/>
    <cellStyle name="Output 4 3 2 4" xfId="2984" xr:uid="{00000000-0005-0000-0000-0000415D0000}"/>
    <cellStyle name="Output 4 3 2 4 2" xfId="7064" xr:uid="{00000000-0005-0000-0000-0000425D0000}"/>
    <cellStyle name="Output 4 3 2 4 2 2" xfId="16863" xr:uid="{00000000-0005-0000-0000-0000435D0000}"/>
    <cellStyle name="Output 4 3 2 4 2 2 2" xfId="31695" xr:uid="{00000000-0005-0000-0000-0000445D0000}"/>
    <cellStyle name="Output 4 3 2 4 2 3" xfId="18847" xr:uid="{00000000-0005-0000-0000-0000455D0000}"/>
    <cellStyle name="Output 4 3 2 4 3" xfId="13322" xr:uid="{00000000-0005-0000-0000-0000465D0000}"/>
    <cellStyle name="Output 4 3 2 4 3 2" xfId="28154" xr:uid="{00000000-0005-0000-0000-0000475D0000}"/>
    <cellStyle name="Output 4 3 2 4 4" xfId="10518" xr:uid="{00000000-0005-0000-0000-0000485D0000}"/>
    <cellStyle name="Output 4 3 2 4 4 2" xfId="25350" xr:uid="{00000000-0005-0000-0000-0000495D0000}"/>
    <cellStyle name="Output 4 3 2 5" xfId="6156" xr:uid="{00000000-0005-0000-0000-00004A5D0000}"/>
    <cellStyle name="Output 4 3 2 5 2" xfId="16343" xr:uid="{00000000-0005-0000-0000-00004B5D0000}"/>
    <cellStyle name="Output 4 3 2 5 2 2" xfId="31175" xr:uid="{00000000-0005-0000-0000-00004C5D0000}"/>
    <cellStyle name="Output 4 3 2 5 3" xfId="18488" xr:uid="{00000000-0005-0000-0000-00004D5D0000}"/>
    <cellStyle name="Output 4 3 2 6" xfId="12413" xr:uid="{00000000-0005-0000-0000-00004E5D0000}"/>
    <cellStyle name="Output 4 3 2 6 2" xfId="27245" xr:uid="{00000000-0005-0000-0000-00004F5D0000}"/>
    <cellStyle name="Output 4 3 2 7" xfId="9995" xr:uid="{00000000-0005-0000-0000-0000505D0000}"/>
    <cellStyle name="Output 4 3 2 7 2" xfId="24827" xr:uid="{00000000-0005-0000-0000-0000515D0000}"/>
    <cellStyle name="Output 4 3 3" xfId="3166" xr:uid="{00000000-0005-0000-0000-0000525D0000}"/>
    <cellStyle name="Output 4 3 3 2" xfId="7230" xr:uid="{00000000-0005-0000-0000-0000535D0000}"/>
    <cellStyle name="Output 4 3 3 2 2" xfId="17006" xr:uid="{00000000-0005-0000-0000-0000545D0000}"/>
    <cellStyle name="Output 4 3 3 2 2 2" xfId="31838" xr:uid="{00000000-0005-0000-0000-0000555D0000}"/>
    <cellStyle name="Output 4 3 3 2 3" xfId="18948" xr:uid="{00000000-0005-0000-0000-0000565D0000}"/>
    <cellStyle name="Output 4 3 3 3" xfId="13504" xr:uid="{00000000-0005-0000-0000-0000575D0000}"/>
    <cellStyle name="Output 4 3 3 3 2" xfId="28336" xr:uid="{00000000-0005-0000-0000-0000585D0000}"/>
    <cellStyle name="Output 4 3 3 4" xfId="10657" xr:uid="{00000000-0005-0000-0000-0000595D0000}"/>
    <cellStyle name="Output 4 3 3 4 2" xfId="25489" xr:uid="{00000000-0005-0000-0000-00005A5D0000}"/>
    <cellStyle name="Output 4 3 4" xfId="4574" xr:uid="{00000000-0005-0000-0000-00005B5D0000}"/>
    <cellStyle name="Output 4 3 4 2" xfId="8613" xr:uid="{00000000-0005-0000-0000-00005C5D0000}"/>
    <cellStyle name="Output 4 3 4 2 2" xfId="17731" xr:uid="{00000000-0005-0000-0000-00005D5D0000}"/>
    <cellStyle name="Output 4 3 4 2 2 2" xfId="32563" xr:uid="{00000000-0005-0000-0000-00005E5D0000}"/>
    <cellStyle name="Output 4 3 4 2 3" xfId="19395" xr:uid="{00000000-0005-0000-0000-00005F5D0000}"/>
    <cellStyle name="Output 4 3 4 3" xfId="14901" xr:uid="{00000000-0005-0000-0000-0000605D0000}"/>
    <cellStyle name="Output 4 3 4 3 2" xfId="29733" xr:uid="{00000000-0005-0000-0000-0000615D0000}"/>
    <cellStyle name="Output 4 3 4 4" xfId="11337" xr:uid="{00000000-0005-0000-0000-0000625D0000}"/>
    <cellStyle name="Output 4 3 4 4 2" xfId="26169" xr:uid="{00000000-0005-0000-0000-0000635D0000}"/>
    <cellStyle name="Output 4 3 5" xfId="2564" xr:uid="{00000000-0005-0000-0000-0000645D0000}"/>
    <cellStyle name="Output 4 3 5 2" xfId="6670" xr:uid="{00000000-0005-0000-0000-0000655D0000}"/>
    <cellStyle name="Output 4 3 5 2 2" xfId="16628" xr:uid="{00000000-0005-0000-0000-0000665D0000}"/>
    <cellStyle name="Output 4 3 5 2 2 2" xfId="31460" xr:uid="{00000000-0005-0000-0000-0000675D0000}"/>
    <cellStyle name="Output 4 3 5 2 3" xfId="18683" xr:uid="{00000000-0005-0000-0000-0000685D0000}"/>
    <cellStyle name="Output 4 3 5 3" xfId="12902" xr:uid="{00000000-0005-0000-0000-0000695D0000}"/>
    <cellStyle name="Output 4 3 5 3 2" xfId="27734" xr:uid="{00000000-0005-0000-0000-00006A5D0000}"/>
    <cellStyle name="Output 4 3 5 4" xfId="10278" xr:uid="{00000000-0005-0000-0000-00006B5D0000}"/>
    <cellStyle name="Output 4 3 5 4 2" xfId="25110" xr:uid="{00000000-0005-0000-0000-00006C5D0000}"/>
    <cellStyle name="Output 4 3 6" xfId="5687" xr:uid="{00000000-0005-0000-0000-00006D5D0000}"/>
    <cellStyle name="Output 4 3 6 2" xfId="15922" xr:uid="{00000000-0005-0000-0000-00006E5D0000}"/>
    <cellStyle name="Output 4 3 6 2 2" xfId="30754" xr:uid="{00000000-0005-0000-0000-00006F5D0000}"/>
    <cellStyle name="Output 4 3 6 3" xfId="18325" xr:uid="{00000000-0005-0000-0000-0000705D0000}"/>
    <cellStyle name="Output 4 3 7" xfId="11942" xr:uid="{00000000-0005-0000-0000-0000715D0000}"/>
    <cellStyle name="Output 4 3 7 2" xfId="26774" xr:uid="{00000000-0005-0000-0000-0000725D0000}"/>
    <cellStyle name="Output 4 3 8" xfId="9600" xr:uid="{00000000-0005-0000-0000-0000735D0000}"/>
    <cellStyle name="Output 4 3 8 2" xfId="19902" xr:uid="{00000000-0005-0000-0000-0000745D0000}"/>
    <cellStyle name="Output 4 4" xfId="1584" xr:uid="{00000000-0005-0000-0000-0000755D0000}"/>
    <cellStyle name="Output 4 4 2" xfId="2081" xr:uid="{00000000-0005-0000-0000-0000765D0000}"/>
    <cellStyle name="Output 4 4 2 2" xfId="3411" xr:uid="{00000000-0005-0000-0000-0000775D0000}"/>
    <cellStyle name="Output 4 4 2 2 2" xfId="7474" xr:uid="{00000000-0005-0000-0000-0000785D0000}"/>
    <cellStyle name="Output 4 4 2 2 2 2" xfId="17173" xr:uid="{00000000-0005-0000-0000-0000795D0000}"/>
    <cellStyle name="Output 4 4 2 2 2 2 2" xfId="32005" xr:uid="{00000000-0005-0000-0000-00007A5D0000}"/>
    <cellStyle name="Output 4 4 2 2 2 3" xfId="19023" xr:uid="{00000000-0005-0000-0000-00007B5D0000}"/>
    <cellStyle name="Output 4 4 2 2 3" xfId="13748" xr:uid="{00000000-0005-0000-0000-00007C5D0000}"/>
    <cellStyle name="Output 4 4 2 2 3 2" xfId="28580" xr:uid="{00000000-0005-0000-0000-00007D5D0000}"/>
    <cellStyle name="Output 4 4 2 2 4" xfId="10792" xr:uid="{00000000-0005-0000-0000-00007E5D0000}"/>
    <cellStyle name="Output 4 4 2 2 4 2" xfId="25624" xr:uid="{00000000-0005-0000-0000-00007F5D0000}"/>
    <cellStyle name="Output 4 4 2 3" xfId="5049" xr:uid="{00000000-0005-0000-0000-0000805D0000}"/>
    <cellStyle name="Output 4 4 2 3 2" xfId="9088" xr:uid="{00000000-0005-0000-0000-0000815D0000}"/>
    <cellStyle name="Output 4 4 2 3 2 2" xfId="18021" xr:uid="{00000000-0005-0000-0000-0000825D0000}"/>
    <cellStyle name="Output 4 4 2 3 2 2 2" xfId="32853" xr:uid="{00000000-0005-0000-0000-0000835D0000}"/>
    <cellStyle name="Output 4 4 2 3 2 3" xfId="19587" xr:uid="{00000000-0005-0000-0000-0000845D0000}"/>
    <cellStyle name="Output 4 4 2 3 3" xfId="15370" xr:uid="{00000000-0005-0000-0000-0000855D0000}"/>
    <cellStyle name="Output 4 4 2 3 3 2" xfId="30202" xr:uid="{00000000-0005-0000-0000-0000865D0000}"/>
    <cellStyle name="Output 4 4 2 3 4" xfId="11621" xr:uid="{00000000-0005-0000-0000-0000875D0000}"/>
    <cellStyle name="Output 4 4 2 3 4 2" xfId="26453" xr:uid="{00000000-0005-0000-0000-0000885D0000}"/>
    <cellStyle name="Output 4 4 2 4" xfId="3039" xr:uid="{00000000-0005-0000-0000-0000895D0000}"/>
    <cellStyle name="Output 4 4 2 4 2" xfId="7114" xr:uid="{00000000-0005-0000-0000-00008A5D0000}"/>
    <cellStyle name="Output 4 4 2 4 2 2" xfId="16912" xr:uid="{00000000-0005-0000-0000-00008B5D0000}"/>
    <cellStyle name="Output 4 4 2 4 2 2 2" xfId="31744" xr:uid="{00000000-0005-0000-0000-00008C5D0000}"/>
    <cellStyle name="Output 4 4 2 4 2 3" xfId="18880" xr:uid="{00000000-0005-0000-0000-00008D5D0000}"/>
    <cellStyle name="Output 4 4 2 4 3" xfId="13377" xr:uid="{00000000-0005-0000-0000-00008E5D0000}"/>
    <cellStyle name="Output 4 4 2 4 3 2" xfId="28209" xr:uid="{00000000-0005-0000-0000-00008F5D0000}"/>
    <cellStyle name="Output 4 4 2 4 4" xfId="10568" xr:uid="{00000000-0005-0000-0000-0000905D0000}"/>
    <cellStyle name="Output 4 4 2 4 4 2" xfId="25400" xr:uid="{00000000-0005-0000-0000-0000915D0000}"/>
    <cellStyle name="Output 4 4 2 5" xfId="6206" xr:uid="{00000000-0005-0000-0000-0000925D0000}"/>
    <cellStyle name="Output 4 4 2 5 2" xfId="16392" xr:uid="{00000000-0005-0000-0000-0000935D0000}"/>
    <cellStyle name="Output 4 4 2 5 2 2" xfId="31224" xr:uid="{00000000-0005-0000-0000-0000945D0000}"/>
    <cellStyle name="Output 4 4 2 5 3" xfId="18521" xr:uid="{00000000-0005-0000-0000-0000955D0000}"/>
    <cellStyle name="Output 4 4 2 6" xfId="12462" xr:uid="{00000000-0005-0000-0000-0000965D0000}"/>
    <cellStyle name="Output 4 4 2 6 2" xfId="27294" xr:uid="{00000000-0005-0000-0000-0000975D0000}"/>
    <cellStyle name="Output 4 4 2 7" xfId="10044" xr:uid="{00000000-0005-0000-0000-0000985D0000}"/>
    <cellStyle name="Output 4 4 2 7 2" xfId="24876" xr:uid="{00000000-0005-0000-0000-0000995D0000}"/>
    <cellStyle name="Output 4 4 3" xfId="3581" xr:uid="{00000000-0005-0000-0000-00009A5D0000}"/>
    <cellStyle name="Output 4 4 3 2" xfId="7643" xr:uid="{00000000-0005-0000-0000-00009B5D0000}"/>
    <cellStyle name="Output 4 4 3 2 2" xfId="17267" xr:uid="{00000000-0005-0000-0000-00009C5D0000}"/>
    <cellStyle name="Output 4 4 3 2 2 2" xfId="32099" xr:uid="{00000000-0005-0000-0000-00009D5D0000}"/>
    <cellStyle name="Output 4 4 3 2 3" xfId="19089" xr:uid="{00000000-0005-0000-0000-00009E5D0000}"/>
    <cellStyle name="Output 4 4 3 3" xfId="13917" xr:uid="{00000000-0005-0000-0000-00009F5D0000}"/>
    <cellStyle name="Output 4 4 3 3 2" xfId="28749" xr:uid="{00000000-0005-0000-0000-0000A05D0000}"/>
    <cellStyle name="Output 4 4 3 4" xfId="10884" xr:uid="{00000000-0005-0000-0000-0000A15D0000}"/>
    <cellStyle name="Output 4 4 3 4 2" xfId="25716" xr:uid="{00000000-0005-0000-0000-0000A25D0000}"/>
    <cellStyle name="Output 4 4 4" xfId="4629" xr:uid="{00000000-0005-0000-0000-0000A35D0000}"/>
    <cellStyle name="Output 4 4 4 2" xfId="8668" xr:uid="{00000000-0005-0000-0000-0000A45D0000}"/>
    <cellStyle name="Output 4 4 4 2 2" xfId="17781" xr:uid="{00000000-0005-0000-0000-0000A55D0000}"/>
    <cellStyle name="Output 4 4 4 2 2 2" xfId="32613" xr:uid="{00000000-0005-0000-0000-0000A65D0000}"/>
    <cellStyle name="Output 4 4 4 2 3" xfId="19427" xr:uid="{00000000-0005-0000-0000-0000A75D0000}"/>
    <cellStyle name="Output 4 4 4 3" xfId="14955" xr:uid="{00000000-0005-0000-0000-0000A85D0000}"/>
    <cellStyle name="Output 4 4 4 3 2" xfId="29787" xr:uid="{00000000-0005-0000-0000-0000A95D0000}"/>
    <cellStyle name="Output 4 4 4 4" xfId="11386" xr:uid="{00000000-0005-0000-0000-0000AA5D0000}"/>
    <cellStyle name="Output 4 4 4 4 2" xfId="26218" xr:uid="{00000000-0005-0000-0000-0000AB5D0000}"/>
    <cellStyle name="Output 4 4 5" xfId="2619" xr:uid="{00000000-0005-0000-0000-0000AC5D0000}"/>
    <cellStyle name="Output 4 4 5 2" xfId="6720" xr:uid="{00000000-0005-0000-0000-0000AD5D0000}"/>
    <cellStyle name="Output 4 4 5 2 2" xfId="16677" xr:uid="{00000000-0005-0000-0000-0000AE5D0000}"/>
    <cellStyle name="Output 4 4 5 2 2 2" xfId="31509" xr:uid="{00000000-0005-0000-0000-0000AF5D0000}"/>
    <cellStyle name="Output 4 4 5 2 3" xfId="18716" xr:uid="{00000000-0005-0000-0000-0000B05D0000}"/>
    <cellStyle name="Output 4 4 5 3" xfId="12957" xr:uid="{00000000-0005-0000-0000-0000B15D0000}"/>
    <cellStyle name="Output 4 4 5 3 2" xfId="27789" xr:uid="{00000000-0005-0000-0000-0000B25D0000}"/>
    <cellStyle name="Output 4 4 5 4" xfId="10328" xr:uid="{00000000-0005-0000-0000-0000B35D0000}"/>
    <cellStyle name="Output 4 4 5 4 2" xfId="25160" xr:uid="{00000000-0005-0000-0000-0000B45D0000}"/>
    <cellStyle name="Output 4 4 6" xfId="5736" xr:uid="{00000000-0005-0000-0000-0000B55D0000}"/>
    <cellStyle name="Output 4 4 6 2" xfId="15971" xr:uid="{00000000-0005-0000-0000-0000B65D0000}"/>
    <cellStyle name="Output 4 4 6 2 2" xfId="30803" xr:uid="{00000000-0005-0000-0000-0000B75D0000}"/>
    <cellStyle name="Output 4 4 6 3" xfId="18357" xr:uid="{00000000-0005-0000-0000-0000B85D0000}"/>
    <cellStyle name="Output 4 4 7" xfId="11991" xr:uid="{00000000-0005-0000-0000-0000B95D0000}"/>
    <cellStyle name="Output 4 4 7 2" xfId="26823" xr:uid="{00000000-0005-0000-0000-0000BA5D0000}"/>
    <cellStyle name="Output 4 4 8" xfId="9650" xr:uid="{00000000-0005-0000-0000-0000BB5D0000}"/>
    <cellStyle name="Output 4 4 8 2" xfId="19951" xr:uid="{00000000-0005-0000-0000-0000BC5D0000}"/>
    <cellStyle name="Output 4 5" xfId="1634" xr:uid="{00000000-0005-0000-0000-0000BD5D0000}"/>
    <cellStyle name="Output 4 5 2" xfId="2131" xr:uid="{00000000-0005-0000-0000-0000BE5D0000}"/>
    <cellStyle name="Output 4 5 2 2" xfId="3911" xr:uid="{00000000-0005-0000-0000-0000BF5D0000}"/>
    <cellStyle name="Output 4 5 2 2 2" xfId="7962" xr:uid="{00000000-0005-0000-0000-0000C05D0000}"/>
    <cellStyle name="Output 4 5 2 2 2 2" xfId="17426" xr:uid="{00000000-0005-0000-0000-0000C15D0000}"/>
    <cellStyle name="Output 4 5 2 2 2 2 2" xfId="32258" xr:uid="{00000000-0005-0000-0000-0000C25D0000}"/>
    <cellStyle name="Output 4 5 2 2 2 3" xfId="19199" xr:uid="{00000000-0005-0000-0000-0000C35D0000}"/>
    <cellStyle name="Output 4 5 2 2 3" xfId="14244" xr:uid="{00000000-0005-0000-0000-0000C45D0000}"/>
    <cellStyle name="Output 4 5 2 2 3 2" xfId="29076" xr:uid="{00000000-0005-0000-0000-0000C55D0000}"/>
    <cellStyle name="Output 4 5 2 2 4" xfId="11042" xr:uid="{00000000-0005-0000-0000-0000C65D0000}"/>
    <cellStyle name="Output 4 5 2 2 4 2" xfId="25874" xr:uid="{00000000-0005-0000-0000-0000C75D0000}"/>
    <cellStyle name="Output 4 5 2 3" xfId="5099" xr:uid="{00000000-0005-0000-0000-0000C85D0000}"/>
    <cellStyle name="Output 4 5 2 3 2" xfId="9138" xr:uid="{00000000-0005-0000-0000-0000C95D0000}"/>
    <cellStyle name="Output 4 5 2 3 2 2" xfId="18066" xr:uid="{00000000-0005-0000-0000-0000CA5D0000}"/>
    <cellStyle name="Output 4 5 2 3 2 2 2" xfId="32898" xr:uid="{00000000-0005-0000-0000-0000CB5D0000}"/>
    <cellStyle name="Output 4 5 2 3 2 3" xfId="19619" xr:uid="{00000000-0005-0000-0000-0000CC5D0000}"/>
    <cellStyle name="Output 4 5 2 3 3" xfId="15419" xr:uid="{00000000-0005-0000-0000-0000CD5D0000}"/>
    <cellStyle name="Output 4 5 2 3 3 2" xfId="30251" xr:uid="{00000000-0005-0000-0000-0000CE5D0000}"/>
    <cellStyle name="Output 4 5 2 3 4" xfId="11665" xr:uid="{00000000-0005-0000-0000-0000CF5D0000}"/>
    <cellStyle name="Output 4 5 2 3 4 2" xfId="26497" xr:uid="{00000000-0005-0000-0000-0000D05D0000}"/>
    <cellStyle name="Output 4 5 2 4" xfId="3089" xr:uid="{00000000-0005-0000-0000-0000D15D0000}"/>
    <cellStyle name="Output 4 5 2 4 2" xfId="7159" xr:uid="{00000000-0005-0000-0000-0000D25D0000}"/>
    <cellStyle name="Output 4 5 2 4 2 2" xfId="16956" xr:uid="{00000000-0005-0000-0000-0000D35D0000}"/>
    <cellStyle name="Output 4 5 2 4 2 2 2" xfId="31788" xr:uid="{00000000-0005-0000-0000-0000D45D0000}"/>
    <cellStyle name="Output 4 5 2 4 2 3" xfId="18913" xr:uid="{00000000-0005-0000-0000-0000D55D0000}"/>
    <cellStyle name="Output 4 5 2 4 3" xfId="13427" xr:uid="{00000000-0005-0000-0000-0000D65D0000}"/>
    <cellStyle name="Output 4 5 2 4 3 2" xfId="28259" xr:uid="{00000000-0005-0000-0000-0000D75D0000}"/>
    <cellStyle name="Output 4 5 2 4 4" xfId="10613" xr:uid="{00000000-0005-0000-0000-0000D85D0000}"/>
    <cellStyle name="Output 4 5 2 4 4 2" xfId="25445" xr:uid="{00000000-0005-0000-0000-0000D95D0000}"/>
    <cellStyle name="Output 4 5 2 5" xfId="6251" xr:uid="{00000000-0005-0000-0000-0000DA5D0000}"/>
    <cellStyle name="Output 4 5 2 5 2" xfId="16436" xr:uid="{00000000-0005-0000-0000-0000DB5D0000}"/>
    <cellStyle name="Output 4 5 2 5 2 2" xfId="31268" xr:uid="{00000000-0005-0000-0000-0000DC5D0000}"/>
    <cellStyle name="Output 4 5 2 5 3" xfId="18554" xr:uid="{00000000-0005-0000-0000-0000DD5D0000}"/>
    <cellStyle name="Output 4 5 2 6" xfId="12506" xr:uid="{00000000-0005-0000-0000-0000DE5D0000}"/>
    <cellStyle name="Output 4 5 2 6 2" xfId="27338" xr:uid="{00000000-0005-0000-0000-0000DF5D0000}"/>
    <cellStyle name="Output 4 5 2 7" xfId="10088" xr:uid="{00000000-0005-0000-0000-0000E05D0000}"/>
    <cellStyle name="Output 4 5 2 7 2" xfId="24920" xr:uid="{00000000-0005-0000-0000-0000E15D0000}"/>
    <cellStyle name="Output 4 5 3" xfId="3933" xr:uid="{00000000-0005-0000-0000-0000E25D0000}"/>
    <cellStyle name="Output 4 5 3 2" xfId="7983" xr:uid="{00000000-0005-0000-0000-0000E35D0000}"/>
    <cellStyle name="Output 4 5 3 2 2" xfId="17438" xr:uid="{00000000-0005-0000-0000-0000E45D0000}"/>
    <cellStyle name="Output 4 5 3 2 2 2" xfId="32270" xr:uid="{00000000-0005-0000-0000-0000E55D0000}"/>
    <cellStyle name="Output 4 5 3 2 3" xfId="19207" xr:uid="{00000000-0005-0000-0000-0000E65D0000}"/>
    <cellStyle name="Output 4 5 3 3" xfId="14266" xr:uid="{00000000-0005-0000-0000-0000E75D0000}"/>
    <cellStyle name="Output 4 5 3 3 2" xfId="29098" xr:uid="{00000000-0005-0000-0000-0000E85D0000}"/>
    <cellStyle name="Output 4 5 3 4" xfId="11053" xr:uid="{00000000-0005-0000-0000-0000E95D0000}"/>
    <cellStyle name="Output 4 5 3 4 2" xfId="25885" xr:uid="{00000000-0005-0000-0000-0000EA5D0000}"/>
    <cellStyle name="Output 4 5 4" xfId="4679" xr:uid="{00000000-0005-0000-0000-0000EB5D0000}"/>
    <cellStyle name="Output 4 5 4 2" xfId="8718" xr:uid="{00000000-0005-0000-0000-0000EC5D0000}"/>
    <cellStyle name="Output 4 5 4 2 2" xfId="17826" xr:uid="{00000000-0005-0000-0000-0000ED5D0000}"/>
    <cellStyle name="Output 4 5 4 2 2 2" xfId="32658" xr:uid="{00000000-0005-0000-0000-0000EE5D0000}"/>
    <cellStyle name="Output 4 5 4 2 3" xfId="19459" xr:uid="{00000000-0005-0000-0000-0000EF5D0000}"/>
    <cellStyle name="Output 4 5 4 3" xfId="15004" xr:uid="{00000000-0005-0000-0000-0000F05D0000}"/>
    <cellStyle name="Output 4 5 4 3 2" xfId="29836" xr:uid="{00000000-0005-0000-0000-0000F15D0000}"/>
    <cellStyle name="Output 4 5 4 4" xfId="11430" xr:uid="{00000000-0005-0000-0000-0000F25D0000}"/>
    <cellStyle name="Output 4 5 4 4 2" xfId="26262" xr:uid="{00000000-0005-0000-0000-0000F35D0000}"/>
    <cellStyle name="Output 4 5 5" xfId="2669" xr:uid="{00000000-0005-0000-0000-0000F45D0000}"/>
    <cellStyle name="Output 4 5 5 2" xfId="6765" xr:uid="{00000000-0005-0000-0000-0000F55D0000}"/>
    <cellStyle name="Output 4 5 5 2 2" xfId="16721" xr:uid="{00000000-0005-0000-0000-0000F65D0000}"/>
    <cellStyle name="Output 4 5 5 2 2 2" xfId="31553" xr:uid="{00000000-0005-0000-0000-0000F75D0000}"/>
    <cellStyle name="Output 4 5 5 2 3" xfId="18749" xr:uid="{00000000-0005-0000-0000-0000F85D0000}"/>
    <cellStyle name="Output 4 5 5 3" xfId="13007" xr:uid="{00000000-0005-0000-0000-0000F95D0000}"/>
    <cellStyle name="Output 4 5 5 3 2" xfId="27839" xr:uid="{00000000-0005-0000-0000-0000FA5D0000}"/>
    <cellStyle name="Output 4 5 5 4" xfId="10373" xr:uid="{00000000-0005-0000-0000-0000FB5D0000}"/>
    <cellStyle name="Output 4 5 5 4 2" xfId="25205" xr:uid="{00000000-0005-0000-0000-0000FC5D0000}"/>
    <cellStyle name="Output 4 5 6" xfId="5781" xr:uid="{00000000-0005-0000-0000-0000FD5D0000}"/>
    <cellStyle name="Output 4 5 6 2" xfId="16015" xr:uid="{00000000-0005-0000-0000-0000FE5D0000}"/>
    <cellStyle name="Output 4 5 6 2 2" xfId="30847" xr:uid="{00000000-0005-0000-0000-0000FF5D0000}"/>
    <cellStyle name="Output 4 5 6 3" xfId="18390" xr:uid="{00000000-0005-0000-0000-0000005E0000}"/>
    <cellStyle name="Output 4 5 7" xfId="12035" xr:uid="{00000000-0005-0000-0000-0000015E0000}"/>
    <cellStyle name="Output 4 5 7 2" xfId="26867" xr:uid="{00000000-0005-0000-0000-0000025E0000}"/>
    <cellStyle name="Output 4 5 8" xfId="9695" xr:uid="{00000000-0005-0000-0000-0000035E0000}"/>
    <cellStyle name="Output 4 5 8 2" xfId="19995" xr:uid="{00000000-0005-0000-0000-0000045E0000}"/>
    <cellStyle name="Output 4 6" xfId="1785" xr:uid="{00000000-0005-0000-0000-0000055E0000}"/>
    <cellStyle name="Output 4 6 2" xfId="3512" xr:uid="{00000000-0005-0000-0000-0000065E0000}"/>
    <cellStyle name="Output 4 6 2 2" xfId="7574" xr:uid="{00000000-0005-0000-0000-0000075E0000}"/>
    <cellStyle name="Output 4 6 2 2 2" xfId="17229" xr:uid="{00000000-0005-0000-0000-0000085E0000}"/>
    <cellStyle name="Output 4 6 2 2 2 2" xfId="32061" xr:uid="{00000000-0005-0000-0000-0000095E0000}"/>
    <cellStyle name="Output 4 6 2 2 3" xfId="19059" xr:uid="{00000000-0005-0000-0000-00000A5E0000}"/>
    <cellStyle name="Output 4 6 2 3" xfId="13849" xr:uid="{00000000-0005-0000-0000-00000B5E0000}"/>
    <cellStyle name="Output 4 6 2 3 2" xfId="28681" xr:uid="{00000000-0005-0000-0000-00000C5E0000}"/>
    <cellStyle name="Output 4 6 2 4" xfId="10847" xr:uid="{00000000-0005-0000-0000-00000D5E0000}"/>
    <cellStyle name="Output 4 6 2 4 2" xfId="25679" xr:uid="{00000000-0005-0000-0000-00000E5E0000}"/>
    <cellStyle name="Output 4 6 3" xfId="4763" xr:uid="{00000000-0005-0000-0000-00000F5E0000}"/>
    <cellStyle name="Output 4 6 3 2" xfId="8802" xr:uid="{00000000-0005-0000-0000-0000105E0000}"/>
    <cellStyle name="Output 4 6 3 2 2" xfId="17874" xr:uid="{00000000-0005-0000-0000-0000115E0000}"/>
    <cellStyle name="Output 4 6 3 2 2 2" xfId="32706" xr:uid="{00000000-0005-0000-0000-0000125E0000}"/>
    <cellStyle name="Output 4 6 3 2 3" xfId="19491" xr:uid="{00000000-0005-0000-0000-0000135E0000}"/>
    <cellStyle name="Output 4 6 3 3" xfId="15087" xr:uid="{00000000-0005-0000-0000-0000145E0000}"/>
    <cellStyle name="Output 4 6 3 3 2" xfId="29919" xr:uid="{00000000-0005-0000-0000-0000155E0000}"/>
    <cellStyle name="Output 4 6 3 4" xfId="11477" xr:uid="{00000000-0005-0000-0000-0000165E0000}"/>
    <cellStyle name="Output 4 6 3 4 2" xfId="26309" xr:uid="{00000000-0005-0000-0000-0000175E0000}"/>
    <cellStyle name="Output 4 6 4" xfId="2753" xr:uid="{00000000-0005-0000-0000-0000185E0000}"/>
    <cellStyle name="Output 4 6 4 2" xfId="6844" xr:uid="{00000000-0005-0000-0000-0000195E0000}"/>
    <cellStyle name="Output 4 6 4 2 2" xfId="16768" xr:uid="{00000000-0005-0000-0000-00001A5E0000}"/>
    <cellStyle name="Output 4 6 4 2 2 2" xfId="31600" xr:uid="{00000000-0005-0000-0000-00001B5E0000}"/>
    <cellStyle name="Output 4 6 4 2 3" xfId="18782" xr:uid="{00000000-0005-0000-0000-00001C5E0000}"/>
    <cellStyle name="Output 4 6 4 3" xfId="13091" xr:uid="{00000000-0005-0000-0000-00001D5E0000}"/>
    <cellStyle name="Output 4 6 4 3 2" xfId="27923" xr:uid="{00000000-0005-0000-0000-00001E5E0000}"/>
    <cellStyle name="Output 4 6 4 4" xfId="10421" xr:uid="{00000000-0005-0000-0000-00001F5E0000}"/>
    <cellStyle name="Output 4 6 4 4 2" xfId="25253" xr:uid="{00000000-0005-0000-0000-0000205E0000}"/>
    <cellStyle name="Output 4 6 5" xfId="5917" xr:uid="{00000000-0005-0000-0000-0000215E0000}"/>
    <cellStyle name="Output 4 6 5 2" xfId="16109" xr:uid="{00000000-0005-0000-0000-0000225E0000}"/>
    <cellStyle name="Output 4 6 5 2 2" xfId="30941" xr:uid="{00000000-0005-0000-0000-0000235E0000}"/>
    <cellStyle name="Output 4 6 5 3" xfId="18424" xr:uid="{00000000-0005-0000-0000-0000245E0000}"/>
    <cellStyle name="Output 4 6 6" xfId="12179" xr:uid="{00000000-0005-0000-0000-0000255E0000}"/>
    <cellStyle name="Output 4 6 6 2" xfId="27011" xr:uid="{00000000-0005-0000-0000-0000265E0000}"/>
    <cellStyle name="Output 4 6 7" xfId="9775" xr:uid="{00000000-0005-0000-0000-0000275E0000}"/>
    <cellStyle name="Output 4 6 7 2" xfId="24732" xr:uid="{00000000-0005-0000-0000-0000285E0000}"/>
    <cellStyle name="Output 4 7" xfId="2181" xr:uid="{00000000-0005-0000-0000-0000295E0000}"/>
    <cellStyle name="Output 4 7 2" xfId="3497" xr:uid="{00000000-0005-0000-0000-00002A5E0000}"/>
    <cellStyle name="Output 4 7 2 2" xfId="7559" xr:uid="{00000000-0005-0000-0000-00002B5E0000}"/>
    <cellStyle name="Output 4 7 2 2 2" xfId="17220" xr:uid="{00000000-0005-0000-0000-00002C5E0000}"/>
    <cellStyle name="Output 4 7 2 2 2 2" xfId="32052" xr:uid="{00000000-0005-0000-0000-00002D5E0000}"/>
    <cellStyle name="Output 4 7 2 2 3" xfId="19056" xr:uid="{00000000-0005-0000-0000-00002E5E0000}"/>
    <cellStyle name="Output 4 7 2 3" xfId="13834" xr:uid="{00000000-0005-0000-0000-00002F5E0000}"/>
    <cellStyle name="Output 4 7 2 3 2" xfId="28666" xr:uid="{00000000-0005-0000-0000-0000305E0000}"/>
    <cellStyle name="Output 4 7 2 4" xfId="10838" xr:uid="{00000000-0005-0000-0000-0000315E0000}"/>
    <cellStyle name="Output 4 7 2 4 2" xfId="25670" xr:uid="{00000000-0005-0000-0000-0000325E0000}"/>
    <cellStyle name="Output 4 7 3" xfId="5149" xr:uid="{00000000-0005-0000-0000-0000335E0000}"/>
    <cellStyle name="Output 4 7 3 2" xfId="9188" xr:uid="{00000000-0005-0000-0000-0000345E0000}"/>
    <cellStyle name="Output 4 7 3 2 2" xfId="18111" xr:uid="{00000000-0005-0000-0000-0000355E0000}"/>
    <cellStyle name="Output 4 7 3 2 2 2" xfId="32943" xr:uid="{00000000-0005-0000-0000-0000365E0000}"/>
    <cellStyle name="Output 4 7 3 2 3" xfId="19662" xr:uid="{00000000-0005-0000-0000-0000375E0000}"/>
    <cellStyle name="Output 4 7 3 3" xfId="15467" xr:uid="{00000000-0005-0000-0000-0000385E0000}"/>
    <cellStyle name="Output 4 7 3 3 2" xfId="30299" xr:uid="{00000000-0005-0000-0000-0000395E0000}"/>
    <cellStyle name="Output 4 7 3 4" xfId="11708" xr:uid="{00000000-0005-0000-0000-00003A5E0000}"/>
    <cellStyle name="Output 4 7 3 4 2" xfId="26540" xr:uid="{00000000-0005-0000-0000-00003B5E0000}"/>
    <cellStyle name="Output 4 7 4" xfId="4179" xr:uid="{00000000-0005-0000-0000-00003C5E0000}"/>
    <cellStyle name="Output 4 7 4 2" xfId="8220" xr:uid="{00000000-0005-0000-0000-00003D5E0000}"/>
    <cellStyle name="Output 4 7 4 2 2" xfId="17567" xr:uid="{00000000-0005-0000-0000-00003E5E0000}"/>
    <cellStyle name="Output 4 7 4 2 2 2" xfId="32399" xr:uid="{00000000-0005-0000-0000-00003F5E0000}"/>
    <cellStyle name="Output 4 7 4 2 3" xfId="19305" xr:uid="{00000000-0005-0000-0000-0000405E0000}"/>
    <cellStyle name="Output 4 7 4 3" xfId="14511" xr:uid="{00000000-0005-0000-0000-0000415E0000}"/>
    <cellStyle name="Output 4 7 4 3 2" xfId="29343" xr:uid="{00000000-0005-0000-0000-0000425E0000}"/>
    <cellStyle name="Output 4 7 4 4" xfId="11187" xr:uid="{00000000-0005-0000-0000-0000435E0000}"/>
    <cellStyle name="Output 4 7 4 4 2" xfId="26019" xr:uid="{00000000-0005-0000-0000-0000445E0000}"/>
    <cellStyle name="Output 4 7 5" xfId="6295" xr:uid="{00000000-0005-0000-0000-0000455E0000}"/>
    <cellStyle name="Output 4 7 5 2" xfId="16479" xr:uid="{00000000-0005-0000-0000-0000465E0000}"/>
    <cellStyle name="Output 4 7 5 2 2" xfId="31311" xr:uid="{00000000-0005-0000-0000-0000475E0000}"/>
    <cellStyle name="Output 4 7 5 3" xfId="18598" xr:uid="{00000000-0005-0000-0000-0000485E0000}"/>
    <cellStyle name="Output 4 7 6" xfId="12549" xr:uid="{00000000-0005-0000-0000-0000495E0000}"/>
    <cellStyle name="Output 4 7 6 2" xfId="27381" xr:uid="{00000000-0005-0000-0000-00004A5E0000}"/>
    <cellStyle name="Output 4 7 7" xfId="10131" xr:uid="{00000000-0005-0000-0000-00004B5E0000}"/>
    <cellStyle name="Output 4 7 7 2" xfId="24963" xr:uid="{00000000-0005-0000-0000-00004C5E0000}"/>
    <cellStyle name="Output 4 8" xfId="3946" xr:uid="{00000000-0005-0000-0000-00004D5E0000}"/>
    <cellStyle name="Output 4 8 2" xfId="7996" xr:uid="{00000000-0005-0000-0000-00004E5E0000}"/>
    <cellStyle name="Output 4 8 2 2" xfId="17443" xr:uid="{00000000-0005-0000-0000-00004F5E0000}"/>
    <cellStyle name="Output 4 8 2 2 2" xfId="32275" xr:uid="{00000000-0005-0000-0000-0000505E0000}"/>
    <cellStyle name="Output 4 8 2 3" xfId="19210" xr:uid="{00000000-0005-0000-0000-0000515E0000}"/>
    <cellStyle name="Output 4 8 3" xfId="14279" xr:uid="{00000000-0005-0000-0000-0000525E0000}"/>
    <cellStyle name="Output 4 8 3 2" xfId="29111" xr:uid="{00000000-0005-0000-0000-0000535E0000}"/>
    <cellStyle name="Output 4 8 4" xfId="11058" xr:uid="{00000000-0005-0000-0000-0000545E0000}"/>
    <cellStyle name="Output 4 8 4 2" xfId="25890" xr:uid="{00000000-0005-0000-0000-0000555E0000}"/>
    <cellStyle name="Output 4 9" xfId="3336" xr:uid="{00000000-0005-0000-0000-0000565E0000}"/>
    <cellStyle name="Output 4 9 2" xfId="7399" xr:uid="{00000000-0005-0000-0000-0000575E0000}"/>
    <cellStyle name="Output 4 9 2 2" xfId="17132" xr:uid="{00000000-0005-0000-0000-0000585E0000}"/>
    <cellStyle name="Output 4 9 2 2 2" xfId="31964" xr:uid="{00000000-0005-0000-0000-0000595E0000}"/>
    <cellStyle name="Output 4 9 2 3" xfId="19005" xr:uid="{00000000-0005-0000-0000-00005A5E0000}"/>
    <cellStyle name="Output 4 9 3" xfId="13673" xr:uid="{00000000-0005-0000-0000-00005B5E0000}"/>
    <cellStyle name="Output 4 9 3 2" xfId="28505" xr:uid="{00000000-0005-0000-0000-00005C5E0000}"/>
    <cellStyle name="Output 4 9 4" xfId="10753" xr:uid="{00000000-0005-0000-0000-00005D5E0000}"/>
    <cellStyle name="Output 4 9 4 2" xfId="25585" xr:uid="{00000000-0005-0000-0000-00005E5E0000}"/>
    <cellStyle name="Output 5" xfId="1241" xr:uid="{00000000-0005-0000-0000-00005F5E0000}"/>
    <cellStyle name="Output 5 10" xfId="2327" xr:uid="{00000000-0005-0000-0000-0000605E0000}"/>
    <cellStyle name="Output 5 10 2" xfId="6439" xr:uid="{00000000-0005-0000-0000-0000615E0000}"/>
    <cellStyle name="Output 5 10 2 2" xfId="16532" xr:uid="{00000000-0005-0000-0000-0000625E0000}"/>
    <cellStyle name="Output 5 10 2 2 2" xfId="31364" xr:uid="{00000000-0005-0000-0000-0000635E0000}"/>
    <cellStyle name="Output 5 10 2 3" xfId="18620" xr:uid="{00000000-0005-0000-0000-0000645E0000}"/>
    <cellStyle name="Output 5 10 3" xfId="12667" xr:uid="{00000000-0005-0000-0000-0000655E0000}"/>
    <cellStyle name="Output 5 10 3 2" xfId="27499" xr:uid="{00000000-0005-0000-0000-0000665E0000}"/>
    <cellStyle name="Output 5 10 4" xfId="10183" xr:uid="{00000000-0005-0000-0000-0000675E0000}"/>
    <cellStyle name="Output 5 10 4 2" xfId="25015" xr:uid="{00000000-0005-0000-0000-0000685E0000}"/>
    <cellStyle name="Output 5 11" xfId="5290" xr:uid="{00000000-0005-0000-0000-0000695E0000}"/>
    <cellStyle name="Output 5 11 2" xfId="9298" xr:uid="{00000000-0005-0000-0000-00006A5E0000}"/>
    <cellStyle name="Output 5 11 2 2" xfId="18165" xr:uid="{00000000-0005-0000-0000-00006B5E0000}"/>
    <cellStyle name="Output 5 11 2 2 2" xfId="32997" xr:uid="{00000000-0005-0000-0000-00006C5E0000}"/>
    <cellStyle name="Output 5 11 2 3" xfId="19684" xr:uid="{00000000-0005-0000-0000-00006D5E0000}"/>
    <cellStyle name="Output 5 11 3" xfId="15606" xr:uid="{00000000-0005-0000-0000-00006E5E0000}"/>
    <cellStyle name="Output 5 11 3 2" xfId="30438" xr:uid="{00000000-0005-0000-0000-00006F5E0000}"/>
    <cellStyle name="Output 5 12" xfId="5448" xr:uid="{00000000-0005-0000-0000-0000705E0000}"/>
    <cellStyle name="Output 5 12 2" xfId="15684" xr:uid="{00000000-0005-0000-0000-0000715E0000}"/>
    <cellStyle name="Output 5 12 2 2" xfId="30516" xr:uid="{00000000-0005-0000-0000-0000725E0000}"/>
    <cellStyle name="Output 5 12 3" xfId="18261" xr:uid="{00000000-0005-0000-0000-0000735E0000}"/>
    <cellStyle name="Output 5 13" xfId="9343" xr:uid="{00000000-0005-0000-0000-0000745E0000}"/>
    <cellStyle name="Output 5 13 2" xfId="24649" xr:uid="{00000000-0005-0000-0000-0000755E0000}"/>
    <cellStyle name="Output 5 14" xfId="5332" xr:uid="{00000000-0005-0000-0000-0000765E0000}"/>
    <cellStyle name="Output 5 14 2" xfId="18206" xr:uid="{00000000-0005-0000-0000-0000775E0000}"/>
    <cellStyle name="Output 5 2" xfId="1360" xr:uid="{00000000-0005-0000-0000-0000785E0000}"/>
    <cellStyle name="Output 5 2 2" xfId="1864" xr:uid="{00000000-0005-0000-0000-0000795E0000}"/>
    <cellStyle name="Output 5 2 2 2" xfId="3381" xr:uid="{00000000-0005-0000-0000-00007A5E0000}"/>
    <cellStyle name="Output 5 2 2 2 2" xfId="7444" xr:uid="{00000000-0005-0000-0000-00007B5E0000}"/>
    <cellStyle name="Output 5 2 2 2 2 2" xfId="17151" xr:uid="{00000000-0005-0000-0000-00007C5E0000}"/>
    <cellStyle name="Output 5 2 2 2 2 2 2" xfId="31983" xr:uid="{00000000-0005-0000-0000-00007D5E0000}"/>
    <cellStyle name="Output 5 2 2 2 2 3" xfId="19017" xr:uid="{00000000-0005-0000-0000-00007E5E0000}"/>
    <cellStyle name="Output 5 2 2 2 3" xfId="13718" xr:uid="{00000000-0005-0000-0000-00007F5E0000}"/>
    <cellStyle name="Output 5 2 2 2 3 2" xfId="28550" xr:uid="{00000000-0005-0000-0000-0000805E0000}"/>
    <cellStyle name="Output 5 2 2 2 4" xfId="10770" xr:uid="{00000000-0005-0000-0000-0000815E0000}"/>
    <cellStyle name="Output 5 2 2 2 4 2" xfId="25602" xr:uid="{00000000-0005-0000-0000-0000825E0000}"/>
    <cellStyle name="Output 5 2 2 3" xfId="4842" xr:uid="{00000000-0005-0000-0000-0000835E0000}"/>
    <cellStyle name="Output 5 2 2 3 2" xfId="8881" xr:uid="{00000000-0005-0000-0000-0000845E0000}"/>
    <cellStyle name="Output 5 2 2 3 2 2" xfId="17922" xr:uid="{00000000-0005-0000-0000-0000855E0000}"/>
    <cellStyle name="Output 5 2 2 3 2 2 2" xfId="32754" xr:uid="{00000000-0005-0000-0000-0000865E0000}"/>
    <cellStyle name="Output 5 2 2 3 2 3" xfId="19524" xr:uid="{00000000-0005-0000-0000-0000875E0000}"/>
    <cellStyle name="Output 5 2 2 3 3" xfId="15166" xr:uid="{00000000-0005-0000-0000-0000885E0000}"/>
    <cellStyle name="Output 5 2 2 3 3 2" xfId="29998" xr:uid="{00000000-0005-0000-0000-0000895E0000}"/>
    <cellStyle name="Output 5 2 2 3 4" xfId="11525" xr:uid="{00000000-0005-0000-0000-00008A5E0000}"/>
    <cellStyle name="Output 5 2 2 3 4 2" xfId="26357" xr:uid="{00000000-0005-0000-0000-00008B5E0000}"/>
    <cellStyle name="Output 5 2 2 4" xfId="2832" xr:uid="{00000000-0005-0000-0000-00008C5E0000}"/>
    <cellStyle name="Output 5 2 2 4 2" xfId="6923" xr:uid="{00000000-0005-0000-0000-00008D5E0000}"/>
    <cellStyle name="Output 5 2 2 4 2 2" xfId="16816" xr:uid="{00000000-0005-0000-0000-00008E5E0000}"/>
    <cellStyle name="Output 5 2 2 4 2 2 2" xfId="31648" xr:uid="{00000000-0005-0000-0000-00008F5E0000}"/>
    <cellStyle name="Output 5 2 2 4 2 3" xfId="18815" xr:uid="{00000000-0005-0000-0000-0000905E0000}"/>
    <cellStyle name="Output 5 2 2 4 3" xfId="13170" xr:uid="{00000000-0005-0000-0000-0000915E0000}"/>
    <cellStyle name="Output 5 2 2 4 3 2" xfId="28002" xr:uid="{00000000-0005-0000-0000-0000925E0000}"/>
    <cellStyle name="Output 5 2 2 4 4" xfId="10469" xr:uid="{00000000-0005-0000-0000-0000935E0000}"/>
    <cellStyle name="Output 5 2 2 4 4 2" xfId="25301" xr:uid="{00000000-0005-0000-0000-0000945E0000}"/>
    <cellStyle name="Output 5 2 2 5" xfId="5996" xr:uid="{00000000-0005-0000-0000-0000955E0000}"/>
    <cellStyle name="Output 5 2 2 5 2" xfId="16188" xr:uid="{00000000-0005-0000-0000-0000965E0000}"/>
    <cellStyle name="Output 5 2 2 5 2 2" xfId="31020" xr:uid="{00000000-0005-0000-0000-0000975E0000}"/>
    <cellStyle name="Output 5 2 2 5 3" xfId="18457" xr:uid="{00000000-0005-0000-0000-0000985E0000}"/>
    <cellStyle name="Output 5 2 2 6" xfId="12258" xr:uid="{00000000-0005-0000-0000-0000995E0000}"/>
    <cellStyle name="Output 5 2 2 6 2" xfId="27090" xr:uid="{00000000-0005-0000-0000-00009A5E0000}"/>
    <cellStyle name="Output 5 2 2 7" xfId="9854" xr:uid="{00000000-0005-0000-0000-00009B5E0000}"/>
    <cellStyle name="Output 5 2 2 7 2" xfId="24780" xr:uid="{00000000-0005-0000-0000-00009C5E0000}"/>
    <cellStyle name="Output 5 2 3" xfId="3301" xr:uid="{00000000-0005-0000-0000-00009D5E0000}"/>
    <cellStyle name="Output 5 2 3 2" xfId="7365" xr:uid="{00000000-0005-0000-0000-00009E5E0000}"/>
    <cellStyle name="Output 5 2 3 2 2" xfId="17104" xr:uid="{00000000-0005-0000-0000-00009F5E0000}"/>
    <cellStyle name="Output 5 2 3 2 2 2" xfId="31936" xr:uid="{00000000-0005-0000-0000-0000A05E0000}"/>
    <cellStyle name="Output 5 2 3 2 3" xfId="18988" xr:uid="{00000000-0005-0000-0000-0000A15E0000}"/>
    <cellStyle name="Output 5 2 3 3" xfId="13638" xr:uid="{00000000-0005-0000-0000-0000A25E0000}"/>
    <cellStyle name="Output 5 2 3 3 2" xfId="28470" xr:uid="{00000000-0005-0000-0000-0000A35E0000}"/>
    <cellStyle name="Output 5 2 3 4" xfId="10728" xr:uid="{00000000-0005-0000-0000-0000A45E0000}"/>
    <cellStyle name="Output 5 2 3 4 2" xfId="25560" xr:uid="{00000000-0005-0000-0000-0000A55E0000}"/>
    <cellStyle name="Output 5 2 4" xfId="4422" xr:uid="{00000000-0005-0000-0000-0000A65E0000}"/>
    <cellStyle name="Output 5 2 4 2" xfId="8461" xr:uid="{00000000-0005-0000-0000-0000A75E0000}"/>
    <cellStyle name="Output 5 2 4 2 2" xfId="17682" xr:uid="{00000000-0005-0000-0000-0000A85E0000}"/>
    <cellStyle name="Output 5 2 4 2 2 2" xfId="32514" xr:uid="{00000000-0005-0000-0000-0000A95E0000}"/>
    <cellStyle name="Output 5 2 4 2 3" xfId="19364" xr:uid="{00000000-0005-0000-0000-0000AA5E0000}"/>
    <cellStyle name="Output 5 2 4 3" xfId="14751" xr:uid="{00000000-0005-0000-0000-0000AB5E0000}"/>
    <cellStyle name="Output 5 2 4 3 2" xfId="29583" xr:uid="{00000000-0005-0000-0000-0000AC5E0000}"/>
    <cellStyle name="Output 5 2 4 4" xfId="11290" xr:uid="{00000000-0005-0000-0000-0000AD5E0000}"/>
    <cellStyle name="Output 5 2 4 4 2" xfId="26122" xr:uid="{00000000-0005-0000-0000-0000AE5E0000}"/>
    <cellStyle name="Output 5 2 5" xfId="2412" xr:uid="{00000000-0005-0000-0000-0000AF5E0000}"/>
    <cellStyle name="Output 5 2 5 2" xfId="6524" xr:uid="{00000000-0005-0000-0000-0000B05E0000}"/>
    <cellStyle name="Output 5 2 5 2 2" xfId="16580" xr:uid="{00000000-0005-0000-0000-0000B15E0000}"/>
    <cellStyle name="Output 5 2 5 2 2 2" xfId="31412" xr:uid="{00000000-0005-0000-0000-0000B25E0000}"/>
    <cellStyle name="Output 5 2 5 2 3" xfId="18652" xr:uid="{00000000-0005-0000-0000-0000B35E0000}"/>
    <cellStyle name="Output 5 2 5 3" xfId="12751" xr:uid="{00000000-0005-0000-0000-0000B45E0000}"/>
    <cellStyle name="Output 5 2 5 3 2" xfId="27583" xr:uid="{00000000-0005-0000-0000-0000B55E0000}"/>
    <cellStyle name="Output 5 2 5 4" xfId="10230" xr:uid="{00000000-0005-0000-0000-0000B65E0000}"/>
    <cellStyle name="Output 5 2 5 4 2" xfId="25062" xr:uid="{00000000-0005-0000-0000-0000B75E0000}"/>
    <cellStyle name="Output 5 2 6" xfId="5537" xr:uid="{00000000-0005-0000-0000-0000B85E0000}"/>
    <cellStyle name="Output 5 2 6 2" xfId="15772" xr:uid="{00000000-0005-0000-0000-0000B95E0000}"/>
    <cellStyle name="Output 5 2 6 2 2" xfId="30604" xr:uid="{00000000-0005-0000-0000-0000BA5E0000}"/>
    <cellStyle name="Output 5 2 6 3" xfId="18294" xr:uid="{00000000-0005-0000-0000-0000BB5E0000}"/>
    <cellStyle name="Output 5 2 7" xfId="11787" xr:uid="{00000000-0005-0000-0000-0000BC5E0000}"/>
    <cellStyle name="Output 5 2 7 2" xfId="26619" xr:uid="{00000000-0005-0000-0000-0000BD5E0000}"/>
    <cellStyle name="Output 5 2 8" xfId="9458" xr:uid="{00000000-0005-0000-0000-0000BE5E0000}"/>
    <cellStyle name="Output 5 2 8 2" xfId="19762" xr:uid="{00000000-0005-0000-0000-0000BF5E0000}"/>
    <cellStyle name="Output 5 3" xfId="1530" xr:uid="{00000000-0005-0000-0000-0000C05E0000}"/>
    <cellStyle name="Output 5 3 2" xfId="2027" xr:uid="{00000000-0005-0000-0000-0000C15E0000}"/>
    <cellStyle name="Output 5 3 2 2" xfId="3529" xr:uid="{00000000-0005-0000-0000-0000C25E0000}"/>
    <cellStyle name="Output 5 3 2 2 2" xfId="7591" xr:uid="{00000000-0005-0000-0000-0000C35E0000}"/>
    <cellStyle name="Output 5 3 2 2 2 2" xfId="17236" xr:uid="{00000000-0005-0000-0000-0000C45E0000}"/>
    <cellStyle name="Output 5 3 2 2 2 2 2" xfId="32068" xr:uid="{00000000-0005-0000-0000-0000C55E0000}"/>
    <cellStyle name="Output 5 3 2 2 2 3" xfId="19064" xr:uid="{00000000-0005-0000-0000-0000C65E0000}"/>
    <cellStyle name="Output 5 3 2 2 3" xfId="13866" xr:uid="{00000000-0005-0000-0000-0000C75E0000}"/>
    <cellStyle name="Output 5 3 2 2 3 2" xfId="28698" xr:uid="{00000000-0005-0000-0000-0000C85E0000}"/>
    <cellStyle name="Output 5 3 2 2 4" xfId="10854" xr:uid="{00000000-0005-0000-0000-0000C95E0000}"/>
    <cellStyle name="Output 5 3 2 2 4 2" xfId="25686" xr:uid="{00000000-0005-0000-0000-0000CA5E0000}"/>
    <cellStyle name="Output 5 3 2 3" xfId="4995" xr:uid="{00000000-0005-0000-0000-0000CB5E0000}"/>
    <cellStyle name="Output 5 3 2 3 2" xfId="9034" xr:uid="{00000000-0005-0000-0000-0000CC5E0000}"/>
    <cellStyle name="Output 5 3 2 3 2 2" xfId="17972" xr:uid="{00000000-0005-0000-0000-0000CD5E0000}"/>
    <cellStyle name="Output 5 3 2 3 2 2 2" xfId="32804" xr:uid="{00000000-0005-0000-0000-0000CE5E0000}"/>
    <cellStyle name="Output 5 3 2 3 2 3" xfId="19556" xr:uid="{00000000-0005-0000-0000-0000CF5E0000}"/>
    <cellStyle name="Output 5 3 2 3 3" xfId="15317" xr:uid="{00000000-0005-0000-0000-0000D05E0000}"/>
    <cellStyle name="Output 5 3 2 3 3 2" xfId="30149" xr:uid="{00000000-0005-0000-0000-0000D15E0000}"/>
    <cellStyle name="Output 5 3 2 3 4" xfId="11573" xr:uid="{00000000-0005-0000-0000-0000D25E0000}"/>
    <cellStyle name="Output 5 3 2 3 4 2" xfId="26405" xr:uid="{00000000-0005-0000-0000-0000D35E0000}"/>
    <cellStyle name="Output 5 3 2 4" xfId="2985" xr:uid="{00000000-0005-0000-0000-0000D45E0000}"/>
    <cellStyle name="Output 5 3 2 4 2" xfId="7065" xr:uid="{00000000-0005-0000-0000-0000D55E0000}"/>
    <cellStyle name="Output 5 3 2 4 2 2" xfId="16864" xr:uid="{00000000-0005-0000-0000-0000D65E0000}"/>
    <cellStyle name="Output 5 3 2 4 2 2 2" xfId="31696" xr:uid="{00000000-0005-0000-0000-0000D75E0000}"/>
    <cellStyle name="Output 5 3 2 4 2 3" xfId="18848" xr:uid="{00000000-0005-0000-0000-0000D85E0000}"/>
    <cellStyle name="Output 5 3 2 4 3" xfId="13323" xr:uid="{00000000-0005-0000-0000-0000D95E0000}"/>
    <cellStyle name="Output 5 3 2 4 3 2" xfId="28155" xr:uid="{00000000-0005-0000-0000-0000DA5E0000}"/>
    <cellStyle name="Output 5 3 2 4 4" xfId="10519" xr:uid="{00000000-0005-0000-0000-0000DB5E0000}"/>
    <cellStyle name="Output 5 3 2 4 4 2" xfId="25351" xr:uid="{00000000-0005-0000-0000-0000DC5E0000}"/>
    <cellStyle name="Output 5 3 2 5" xfId="6157" xr:uid="{00000000-0005-0000-0000-0000DD5E0000}"/>
    <cellStyle name="Output 5 3 2 5 2" xfId="16344" xr:uid="{00000000-0005-0000-0000-0000DE5E0000}"/>
    <cellStyle name="Output 5 3 2 5 2 2" xfId="31176" xr:uid="{00000000-0005-0000-0000-0000DF5E0000}"/>
    <cellStyle name="Output 5 3 2 5 3" xfId="18489" xr:uid="{00000000-0005-0000-0000-0000E05E0000}"/>
    <cellStyle name="Output 5 3 2 6" xfId="12414" xr:uid="{00000000-0005-0000-0000-0000E15E0000}"/>
    <cellStyle name="Output 5 3 2 6 2" xfId="27246" xr:uid="{00000000-0005-0000-0000-0000E25E0000}"/>
    <cellStyle name="Output 5 3 2 7" xfId="9996" xr:uid="{00000000-0005-0000-0000-0000E35E0000}"/>
    <cellStyle name="Output 5 3 2 7 2" xfId="24828" xr:uid="{00000000-0005-0000-0000-0000E45E0000}"/>
    <cellStyle name="Output 5 3 3" xfId="3282" xr:uid="{00000000-0005-0000-0000-0000E55E0000}"/>
    <cellStyle name="Output 5 3 3 2" xfId="7346" xr:uid="{00000000-0005-0000-0000-0000E65E0000}"/>
    <cellStyle name="Output 5 3 3 2 2" xfId="17089" xr:uid="{00000000-0005-0000-0000-0000E75E0000}"/>
    <cellStyle name="Output 5 3 3 2 2 2" xfId="31921" xr:uid="{00000000-0005-0000-0000-0000E85E0000}"/>
    <cellStyle name="Output 5 3 3 2 3" xfId="18982" xr:uid="{00000000-0005-0000-0000-0000E95E0000}"/>
    <cellStyle name="Output 5 3 3 3" xfId="13619" xr:uid="{00000000-0005-0000-0000-0000EA5E0000}"/>
    <cellStyle name="Output 5 3 3 3 2" xfId="28451" xr:uid="{00000000-0005-0000-0000-0000EB5E0000}"/>
    <cellStyle name="Output 5 3 3 4" xfId="10716" xr:uid="{00000000-0005-0000-0000-0000EC5E0000}"/>
    <cellStyle name="Output 5 3 3 4 2" xfId="25548" xr:uid="{00000000-0005-0000-0000-0000ED5E0000}"/>
    <cellStyle name="Output 5 3 4" xfId="4575" xr:uid="{00000000-0005-0000-0000-0000EE5E0000}"/>
    <cellStyle name="Output 5 3 4 2" xfId="8614" xr:uid="{00000000-0005-0000-0000-0000EF5E0000}"/>
    <cellStyle name="Output 5 3 4 2 2" xfId="17732" xr:uid="{00000000-0005-0000-0000-0000F05E0000}"/>
    <cellStyle name="Output 5 3 4 2 2 2" xfId="32564" xr:uid="{00000000-0005-0000-0000-0000F15E0000}"/>
    <cellStyle name="Output 5 3 4 2 3" xfId="19396" xr:uid="{00000000-0005-0000-0000-0000F25E0000}"/>
    <cellStyle name="Output 5 3 4 3" xfId="14902" xr:uid="{00000000-0005-0000-0000-0000F35E0000}"/>
    <cellStyle name="Output 5 3 4 3 2" xfId="29734" xr:uid="{00000000-0005-0000-0000-0000F45E0000}"/>
    <cellStyle name="Output 5 3 4 4" xfId="11338" xr:uid="{00000000-0005-0000-0000-0000F55E0000}"/>
    <cellStyle name="Output 5 3 4 4 2" xfId="26170" xr:uid="{00000000-0005-0000-0000-0000F65E0000}"/>
    <cellStyle name="Output 5 3 5" xfId="2565" xr:uid="{00000000-0005-0000-0000-0000F75E0000}"/>
    <cellStyle name="Output 5 3 5 2" xfId="6671" xr:uid="{00000000-0005-0000-0000-0000F85E0000}"/>
    <cellStyle name="Output 5 3 5 2 2" xfId="16629" xr:uid="{00000000-0005-0000-0000-0000F95E0000}"/>
    <cellStyle name="Output 5 3 5 2 2 2" xfId="31461" xr:uid="{00000000-0005-0000-0000-0000FA5E0000}"/>
    <cellStyle name="Output 5 3 5 2 3" xfId="18684" xr:uid="{00000000-0005-0000-0000-0000FB5E0000}"/>
    <cellStyle name="Output 5 3 5 3" xfId="12903" xr:uid="{00000000-0005-0000-0000-0000FC5E0000}"/>
    <cellStyle name="Output 5 3 5 3 2" xfId="27735" xr:uid="{00000000-0005-0000-0000-0000FD5E0000}"/>
    <cellStyle name="Output 5 3 5 4" xfId="10279" xr:uid="{00000000-0005-0000-0000-0000FE5E0000}"/>
    <cellStyle name="Output 5 3 5 4 2" xfId="25111" xr:uid="{00000000-0005-0000-0000-0000FF5E0000}"/>
    <cellStyle name="Output 5 3 6" xfId="5688" xr:uid="{00000000-0005-0000-0000-0000005F0000}"/>
    <cellStyle name="Output 5 3 6 2" xfId="15923" xr:uid="{00000000-0005-0000-0000-0000015F0000}"/>
    <cellStyle name="Output 5 3 6 2 2" xfId="30755" xr:uid="{00000000-0005-0000-0000-0000025F0000}"/>
    <cellStyle name="Output 5 3 6 3" xfId="18326" xr:uid="{00000000-0005-0000-0000-0000035F0000}"/>
    <cellStyle name="Output 5 3 7" xfId="11943" xr:uid="{00000000-0005-0000-0000-0000045F0000}"/>
    <cellStyle name="Output 5 3 7 2" xfId="26775" xr:uid="{00000000-0005-0000-0000-0000055F0000}"/>
    <cellStyle name="Output 5 3 8" xfId="9601" xr:uid="{00000000-0005-0000-0000-0000065F0000}"/>
    <cellStyle name="Output 5 3 8 2" xfId="19903" xr:uid="{00000000-0005-0000-0000-0000075F0000}"/>
    <cellStyle name="Output 5 4" xfId="1585" xr:uid="{00000000-0005-0000-0000-0000085F0000}"/>
    <cellStyle name="Output 5 4 2" xfId="2082" xr:uid="{00000000-0005-0000-0000-0000095F0000}"/>
    <cellStyle name="Output 5 4 2 2" xfId="3729" xr:uid="{00000000-0005-0000-0000-00000A5F0000}"/>
    <cellStyle name="Output 5 4 2 2 2" xfId="7785" xr:uid="{00000000-0005-0000-0000-00000B5F0000}"/>
    <cellStyle name="Output 5 4 2 2 2 2" xfId="17338" xr:uid="{00000000-0005-0000-0000-00000C5F0000}"/>
    <cellStyle name="Output 5 4 2 2 2 2 2" xfId="32170" xr:uid="{00000000-0005-0000-0000-00000D5F0000}"/>
    <cellStyle name="Output 5 4 2 2 2 3" xfId="19134" xr:uid="{00000000-0005-0000-0000-00000E5F0000}"/>
    <cellStyle name="Output 5 4 2 2 3" xfId="14064" xr:uid="{00000000-0005-0000-0000-00000F5F0000}"/>
    <cellStyle name="Output 5 4 2 2 3 2" xfId="28896" xr:uid="{00000000-0005-0000-0000-0000105F0000}"/>
    <cellStyle name="Output 5 4 2 2 4" xfId="10954" xr:uid="{00000000-0005-0000-0000-0000115F0000}"/>
    <cellStyle name="Output 5 4 2 2 4 2" xfId="25786" xr:uid="{00000000-0005-0000-0000-0000125F0000}"/>
    <cellStyle name="Output 5 4 2 3" xfId="5050" xr:uid="{00000000-0005-0000-0000-0000135F0000}"/>
    <cellStyle name="Output 5 4 2 3 2" xfId="9089" xr:uid="{00000000-0005-0000-0000-0000145F0000}"/>
    <cellStyle name="Output 5 4 2 3 2 2" xfId="18022" xr:uid="{00000000-0005-0000-0000-0000155F0000}"/>
    <cellStyle name="Output 5 4 2 3 2 2 2" xfId="32854" xr:uid="{00000000-0005-0000-0000-0000165F0000}"/>
    <cellStyle name="Output 5 4 2 3 2 3" xfId="19588" xr:uid="{00000000-0005-0000-0000-0000175F0000}"/>
    <cellStyle name="Output 5 4 2 3 3" xfId="15371" xr:uid="{00000000-0005-0000-0000-0000185F0000}"/>
    <cellStyle name="Output 5 4 2 3 3 2" xfId="30203" xr:uid="{00000000-0005-0000-0000-0000195F0000}"/>
    <cellStyle name="Output 5 4 2 3 4" xfId="11622" xr:uid="{00000000-0005-0000-0000-00001A5F0000}"/>
    <cellStyle name="Output 5 4 2 3 4 2" xfId="26454" xr:uid="{00000000-0005-0000-0000-00001B5F0000}"/>
    <cellStyle name="Output 5 4 2 4" xfId="3040" xr:uid="{00000000-0005-0000-0000-00001C5F0000}"/>
    <cellStyle name="Output 5 4 2 4 2" xfId="7115" xr:uid="{00000000-0005-0000-0000-00001D5F0000}"/>
    <cellStyle name="Output 5 4 2 4 2 2" xfId="16913" xr:uid="{00000000-0005-0000-0000-00001E5F0000}"/>
    <cellStyle name="Output 5 4 2 4 2 2 2" xfId="31745" xr:uid="{00000000-0005-0000-0000-00001F5F0000}"/>
    <cellStyle name="Output 5 4 2 4 2 3" xfId="18881" xr:uid="{00000000-0005-0000-0000-0000205F0000}"/>
    <cellStyle name="Output 5 4 2 4 3" xfId="13378" xr:uid="{00000000-0005-0000-0000-0000215F0000}"/>
    <cellStyle name="Output 5 4 2 4 3 2" xfId="28210" xr:uid="{00000000-0005-0000-0000-0000225F0000}"/>
    <cellStyle name="Output 5 4 2 4 4" xfId="10569" xr:uid="{00000000-0005-0000-0000-0000235F0000}"/>
    <cellStyle name="Output 5 4 2 4 4 2" xfId="25401" xr:uid="{00000000-0005-0000-0000-0000245F0000}"/>
    <cellStyle name="Output 5 4 2 5" xfId="6207" xr:uid="{00000000-0005-0000-0000-0000255F0000}"/>
    <cellStyle name="Output 5 4 2 5 2" xfId="16393" xr:uid="{00000000-0005-0000-0000-0000265F0000}"/>
    <cellStyle name="Output 5 4 2 5 2 2" xfId="31225" xr:uid="{00000000-0005-0000-0000-0000275F0000}"/>
    <cellStyle name="Output 5 4 2 5 3" xfId="18522" xr:uid="{00000000-0005-0000-0000-0000285F0000}"/>
    <cellStyle name="Output 5 4 2 6" xfId="12463" xr:uid="{00000000-0005-0000-0000-0000295F0000}"/>
    <cellStyle name="Output 5 4 2 6 2" xfId="27295" xr:uid="{00000000-0005-0000-0000-00002A5F0000}"/>
    <cellStyle name="Output 5 4 2 7" xfId="10045" xr:uid="{00000000-0005-0000-0000-00002B5F0000}"/>
    <cellStyle name="Output 5 4 2 7 2" xfId="24877" xr:uid="{00000000-0005-0000-0000-00002C5F0000}"/>
    <cellStyle name="Output 5 4 3" xfId="3504" xr:uid="{00000000-0005-0000-0000-00002D5F0000}"/>
    <cellStyle name="Output 5 4 3 2" xfId="7566" xr:uid="{00000000-0005-0000-0000-00002E5F0000}"/>
    <cellStyle name="Output 5 4 3 2 2" xfId="17224" xr:uid="{00000000-0005-0000-0000-00002F5F0000}"/>
    <cellStyle name="Output 5 4 3 2 2 2" xfId="32056" xr:uid="{00000000-0005-0000-0000-0000305F0000}"/>
    <cellStyle name="Output 5 4 3 2 3" xfId="19057" xr:uid="{00000000-0005-0000-0000-0000315F0000}"/>
    <cellStyle name="Output 5 4 3 3" xfId="13841" xr:uid="{00000000-0005-0000-0000-0000325F0000}"/>
    <cellStyle name="Output 5 4 3 3 2" xfId="28673" xr:uid="{00000000-0005-0000-0000-0000335F0000}"/>
    <cellStyle name="Output 5 4 3 4" xfId="10842" xr:uid="{00000000-0005-0000-0000-0000345F0000}"/>
    <cellStyle name="Output 5 4 3 4 2" xfId="25674" xr:uid="{00000000-0005-0000-0000-0000355F0000}"/>
    <cellStyle name="Output 5 4 4" xfId="4630" xr:uid="{00000000-0005-0000-0000-0000365F0000}"/>
    <cellStyle name="Output 5 4 4 2" xfId="8669" xr:uid="{00000000-0005-0000-0000-0000375F0000}"/>
    <cellStyle name="Output 5 4 4 2 2" xfId="17782" xr:uid="{00000000-0005-0000-0000-0000385F0000}"/>
    <cellStyle name="Output 5 4 4 2 2 2" xfId="32614" xr:uid="{00000000-0005-0000-0000-0000395F0000}"/>
    <cellStyle name="Output 5 4 4 2 3" xfId="19428" xr:uid="{00000000-0005-0000-0000-00003A5F0000}"/>
    <cellStyle name="Output 5 4 4 3" xfId="14956" xr:uid="{00000000-0005-0000-0000-00003B5F0000}"/>
    <cellStyle name="Output 5 4 4 3 2" xfId="29788" xr:uid="{00000000-0005-0000-0000-00003C5F0000}"/>
    <cellStyle name="Output 5 4 4 4" xfId="11387" xr:uid="{00000000-0005-0000-0000-00003D5F0000}"/>
    <cellStyle name="Output 5 4 4 4 2" xfId="26219" xr:uid="{00000000-0005-0000-0000-00003E5F0000}"/>
    <cellStyle name="Output 5 4 5" xfId="2620" xr:uid="{00000000-0005-0000-0000-00003F5F0000}"/>
    <cellStyle name="Output 5 4 5 2" xfId="6721" xr:uid="{00000000-0005-0000-0000-0000405F0000}"/>
    <cellStyle name="Output 5 4 5 2 2" xfId="16678" xr:uid="{00000000-0005-0000-0000-0000415F0000}"/>
    <cellStyle name="Output 5 4 5 2 2 2" xfId="31510" xr:uid="{00000000-0005-0000-0000-0000425F0000}"/>
    <cellStyle name="Output 5 4 5 2 3" xfId="18717" xr:uid="{00000000-0005-0000-0000-0000435F0000}"/>
    <cellStyle name="Output 5 4 5 3" xfId="12958" xr:uid="{00000000-0005-0000-0000-0000445F0000}"/>
    <cellStyle name="Output 5 4 5 3 2" xfId="27790" xr:uid="{00000000-0005-0000-0000-0000455F0000}"/>
    <cellStyle name="Output 5 4 5 4" xfId="10329" xr:uid="{00000000-0005-0000-0000-0000465F0000}"/>
    <cellStyle name="Output 5 4 5 4 2" xfId="25161" xr:uid="{00000000-0005-0000-0000-0000475F0000}"/>
    <cellStyle name="Output 5 4 6" xfId="5737" xr:uid="{00000000-0005-0000-0000-0000485F0000}"/>
    <cellStyle name="Output 5 4 6 2" xfId="15972" xr:uid="{00000000-0005-0000-0000-0000495F0000}"/>
    <cellStyle name="Output 5 4 6 2 2" xfId="30804" xr:uid="{00000000-0005-0000-0000-00004A5F0000}"/>
    <cellStyle name="Output 5 4 6 3" xfId="18358" xr:uid="{00000000-0005-0000-0000-00004B5F0000}"/>
    <cellStyle name="Output 5 4 7" xfId="11992" xr:uid="{00000000-0005-0000-0000-00004C5F0000}"/>
    <cellStyle name="Output 5 4 7 2" xfId="26824" xr:uid="{00000000-0005-0000-0000-00004D5F0000}"/>
    <cellStyle name="Output 5 4 8" xfId="9651" xr:uid="{00000000-0005-0000-0000-00004E5F0000}"/>
    <cellStyle name="Output 5 4 8 2" xfId="19952" xr:uid="{00000000-0005-0000-0000-00004F5F0000}"/>
    <cellStyle name="Output 5 5" xfId="1635" xr:uid="{00000000-0005-0000-0000-0000505F0000}"/>
    <cellStyle name="Output 5 5 2" xfId="2132" xr:uid="{00000000-0005-0000-0000-0000515F0000}"/>
    <cellStyle name="Output 5 5 2 2" xfId="3823" xr:uid="{00000000-0005-0000-0000-0000525F0000}"/>
    <cellStyle name="Output 5 5 2 2 2" xfId="7876" xr:uid="{00000000-0005-0000-0000-0000535F0000}"/>
    <cellStyle name="Output 5 5 2 2 2 2" xfId="17381" xr:uid="{00000000-0005-0000-0000-0000545F0000}"/>
    <cellStyle name="Output 5 5 2 2 2 2 2" xfId="32213" xr:uid="{00000000-0005-0000-0000-0000555F0000}"/>
    <cellStyle name="Output 5 5 2 2 2 3" xfId="19165" xr:uid="{00000000-0005-0000-0000-0000565F0000}"/>
    <cellStyle name="Output 5 5 2 2 3" xfId="14158" xr:uid="{00000000-0005-0000-0000-0000575F0000}"/>
    <cellStyle name="Output 5 5 2 2 3 2" xfId="28990" xr:uid="{00000000-0005-0000-0000-0000585F0000}"/>
    <cellStyle name="Output 5 5 2 2 4" xfId="11000" xr:uid="{00000000-0005-0000-0000-0000595F0000}"/>
    <cellStyle name="Output 5 5 2 2 4 2" xfId="25832" xr:uid="{00000000-0005-0000-0000-00005A5F0000}"/>
    <cellStyle name="Output 5 5 2 3" xfId="5100" xr:uid="{00000000-0005-0000-0000-00005B5F0000}"/>
    <cellStyle name="Output 5 5 2 3 2" xfId="9139" xr:uid="{00000000-0005-0000-0000-00005C5F0000}"/>
    <cellStyle name="Output 5 5 2 3 2 2" xfId="18067" xr:uid="{00000000-0005-0000-0000-00005D5F0000}"/>
    <cellStyle name="Output 5 5 2 3 2 2 2" xfId="32899" xr:uid="{00000000-0005-0000-0000-00005E5F0000}"/>
    <cellStyle name="Output 5 5 2 3 2 3" xfId="19620" xr:uid="{00000000-0005-0000-0000-00005F5F0000}"/>
    <cellStyle name="Output 5 5 2 3 3" xfId="15420" xr:uid="{00000000-0005-0000-0000-0000605F0000}"/>
    <cellStyle name="Output 5 5 2 3 3 2" xfId="30252" xr:uid="{00000000-0005-0000-0000-0000615F0000}"/>
    <cellStyle name="Output 5 5 2 3 4" xfId="11666" xr:uid="{00000000-0005-0000-0000-0000625F0000}"/>
    <cellStyle name="Output 5 5 2 3 4 2" xfId="26498" xr:uid="{00000000-0005-0000-0000-0000635F0000}"/>
    <cellStyle name="Output 5 5 2 4" xfId="3090" xr:uid="{00000000-0005-0000-0000-0000645F0000}"/>
    <cellStyle name="Output 5 5 2 4 2" xfId="7160" xr:uid="{00000000-0005-0000-0000-0000655F0000}"/>
    <cellStyle name="Output 5 5 2 4 2 2" xfId="16957" xr:uid="{00000000-0005-0000-0000-0000665F0000}"/>
    <cellStyle name="Output 5 5 2 4 2 2 2" xfId="31789" xr:uid="{00000000-0005-0000-0000-0000675F0000}"/>
    <cellStyle name="Output 5 5 2 4 2 3" xfId="18914" xr:uid="{00000000-0005-0000-0000-0000685F0000}"/>
    <cellStyle name="Output 5 5 2 4 3" xfId="13428" xr:uid="{00000000-0005-0000-0000-0000695F0000}"/>
    <cellStyle name="Output 5 5 2 4 3 2" xfId="28260" xr:uid="{00000000-0005-0000-0000-00006A5F0000}"/>
    <cellStyle name="Output 5 5 2 4 4" xfId="10614" xr:uid="{00000000-0005-0000-0000-00006B5F0000}"/>
    <cellStyle name="Output 5 5 2 4 4 2" xfId="25446" xr:uid="{00000000-0005-0000-0000-00006C5F0000}"/>
    <cellStyle name="Output 5 5 2 5" xfId="6252" xr:uid="{00000000-0005-0000-0000-00006D5F0000}"/>
    <cellStyle name="Output 5 5 2 5 2" xfId="16437" xr:uid="{00000000-0005-0000-0000-00006E5F0000}"/>
    <cellStyle name="Output 5 5 2 5 2 2" xfId="31269" xr:uid="{00000000-0005-0000-0000-00006F5F0000}"/>
    <cellStyle name="Output 5 5 2 5 3" xfId="18555" xr:uid="{00000000-0005-0000-0000-0000705F0000}"/>
    <cellStyle name="Output 5 5 2 6" xfId="12507" xr:uid="{00000000-0005-0000-0000-0000715F0000}"/>
    <cellStyle name="Output 5 5 2 6 2" xfId="27339" xr:uid="{00000000-0005-0000-0000-0000725F0000}"/>
    <cellStyle name="Output 5 5 2 7" xfId="10089" xr:uid="{00000000-0005-0000-0000-0000735F0000}"/>
    <cellStyle name="Output 5 5 2 7 2" xfId="24921" xr:uid="{00000000-0005-0000-0000-0000745F0000}"/>
    <cellStyle name="Output 5 5 3" xfId="4072" xr:uid="{00000000-0005-0000-0000-0000755F0000}"/>
    <cellStyle name="Output 5 5 3 2" xfId="8119" xr:uid="{00000000-0005-0000-0000-0000765F0000}"/>
    <cellStyle name="Output 5 5 3 2 2" xfId="17507" xr:uid="{00000000-0005-0000-0000-0000775F0000}"/>
    <cellStyle name="Output 5 5 3 2 2 2" xfId="32339" xr:uid="{00000000-0005-0000-0000-0000785F0000}"/>
    <cellStyle name="Output 5 5 3 2 3" xfId="19259" xr:uid="{00000000-0005-0000-0000-0000795F0000}"/>
    <cellStyle name="Output 5 5 3 3" xfId="14404" xr:uid="{00000000-0005-0000-0000-00007A5F0000}"/>
    <cellStyle name="Output 5 5 3 3 2" xfId="29236" xr:uid="{00000000-0005-0000-0000-00007B5F0000}"/>
    <cellStyle name="Output 5 5 3 4" xfId="11123" xr:uid="{00000000-0005-0000-0000-00007C5F0000}"/>
    <cellStyle name="Output 5 5 3 4 2" xfId="25955" xr:uid="{00000000-0005-0000-0000-00007D5F0000}"/>
    <cellStyle name="Output 5 5 4" xfId="4680" xr:uid="{00000000-0005-0000-0000-00007E5F0000}"/>
    <cellStyle name="Output 5 5 4 2" xfId="8719" xr:uid="{00000000-0005-0000-0000-00007F5F0000}"/>
    <cellStyle name="Output 5 5 4 2 2" xfId="17827" xr:uid="{00000000-0005-0000-0000-0000805F0000}"/>
    <cellStyle name="Output 5 5 4 2 2 2" xfId="32659" xr:uid="{00000000-0005-0000-0000-0000815F0000}"/>
    <cellStyle name="Output 5 5 4 2 3" xfId="19460" xr:uid="{00000000-0005-0000-0000-0000825F0000}"/>
    <cellStyle name="Output 5 5 4 3" xfId="15005" xr:uid="{00000000-0005-0000-0000-0000835F0000}"/>
    <cellStyle name="Output 5 5 4 3 2" xfId="29837" xr:uid="{00000000-0005-0000-0000-0000845F0000}"/>
    <cellStyle name="Output 5 5 4 4" xfId="11431" xr:uid="{00000000-0005-0000-0000-0000855F0000}"/>
    <cellStyle name="Output 5 5 4 4 2" xfId="26263" xr:uid="{00000000-0005-0000-0000-0000865F0000}"/>
    <cellStyle name="Output 5 5 5" xfId="2670" xr:uid="{00000000-0005-0000-0000-0000875F0000}"/>
    <cellStyle name="Output 5 5 5 2" xfId="6766" xr:uid="{00000000-0005-0000-0000-0000885F0000}"/>
    <cellStyle name="Output 5 5 5 2 2" xfId="16722" xr:uid="{00000000-0005-0000-0000-0000895F0000}"/>
    <cellStyle name="Output 5 5 5 2 2 2" xfId="31554" xr:uid="{00000000-0005-0000-0000-00008A5F0000}"/>
    <cellStyle name="Output 5 5 5 2 3" xfId="18750" xr:uid="{00000000-0005-0000-0000-00008B5F0000}"/>
    <cellStyle name="Output 5 5 5 3" xfId="13008" xr:uid="{00000000-0005-0000-0000-00008C5F0000}"/>
    <cellStyle name="Output 5 5 5 3 2" xfId="27840" xr:uid="{00000000-0005-0000-0000-00008D5F0000}"/>
    <cellStyle name="Output 5 5 5 4" xfId="10374" xr:uid="{00000000-0005-0000-0000-00008E5F0000}"/>
    <cellStyle name="Output 5 5 5 4 2" xfId="25206" xr:uid="{00000000-0005-0000-0000-00008F5F0000}"/>
    <cellStyle name="Output 5 5 6" xfId="5782" xr:uid="{00000000-0005-0000-0000-0000905F0000}"/>
    <cellStyle name="Output 5 5 6 2" xfId="16016" xr:uid="{00000000-0005-0000-0000-0000915F0000}"/>
    <cellStyle name="Output 5 5 6 2 2" xfId="30848" xr:uid="{00000000-0005-0000-0000-0000925F0000}"/>
    <cellStyle name="Output 5 5 6 3" xfId="18391" xr:uid="{00000000-0005-0000-0000-0000935F0000}"/>
    <cellStyle name="Output 5 5 7" xfId="12036" xr:uid="{00000000-0005-0000-0000-0000945F0000}"/>
    <cellStyle name="Output 5 5 7 2" xfId="26868" xr:uid="{00000000-0005-0000-0000-0000955F0000}"/>
    <cellStyle name="Output 5 5 8" xfId="9696" xr:uid="{00000000-0005-0000-0000-0000965F0000}"/>
    <cellStyle name="Output 5 5 8 2" xfId="19996" xr:uid="{00000000-0005-0000-0000-0000975F0000}"/>
    <cellStyle name="Output 5 6" xfId="1786" xr:uid="{00000000-0005-0000-0000-0000985F0000}"/>
    <cellStyle name="Output 5 6 2" xfId="3764" xr:uid="{00000000-0005-0000-0000-0000995F0000}"/>
    <cellStyle name="Output 5 6 2 2" xfId="7820" xr:uid="{00000000-0005-0000-0000-00009A5F0000}"/>
    <cellStyle name="Output 5 6 2 2 2" xfId="17355" xr:uid="{00000000-0005-0000-0000-00009B5F0000}"/>
    <cellStyle name="Output 5 6 2 2 2 2" xfId="32187" xr:uid="{00000000-0005-0000-0000-00009C5F0000}"/>
    <cellStyle name="Output 5 6 2 2 3" xfId="19149" xr:uid="{00000000-0005-0000-0000-00009D5F0000}"/>
    <cellStyle name="Output 5 6 2 3" xfId="14099" xr:uid="{00000000-0005-0000-0000-00009E5F0000}"/>
    <cellStyle name="Output 5 6 2 3 2" xfId="28931" xr:uid="{00000000-0005-0000-0000-00009F5F0000}"/>
    <cellStyle name="Output 5 6 2 4" xfId="10971" xr:uid="{00000000-0005-0000-0000-0000A05F0000}"/>
    <cellStyle name="Output 5 6 2 4 2" xfId="25803" xr:uid="{00000000-0005-0000-0000-0000A15F0000}"/>
    <cellStyle name="Output 5 6 3" xfId="4764" xr:uid="{00000000-0005-0000-0000-0000A25F0000}"/>
    <cellStyle name="Output 5 6 3 2" xfId="8803" xr:uid="{00000000-0005-0000-0000-0000A35F0000}"/>
    <cellStyle name="Output 5 6 3 2 2" xfId="17875" xr:uid="{00000000-0005-0000-0000-0000A45F0000}"/>
    <cellStyle name="Output 5 6 3 2 2 2" xfId="32707" xr:uid="{00000000-0005-0000-0000-0000A55F0000}"/>
    <cellStyle name="Output 5 6 3 2 3" xfId="19492" xr:uid="{00000000-0005-0000-0000-0000A65F0000}"/>
    <cellStyle name="Output 5 6 3 3" xfId="15088" xr:uid="{00000000-0005-0000-0000-0000A75F0000}"/>
    <cellStyle name="Output 5 6 3 3 2" xfId="29920" xr:uid="{00000000-0005-0000-0000-0000A85F0000}"/>
    <cellStyle name="Output 5 6 3 4" xfId="11478" xr:uid="{00000000-0005-0000-0000-0000A95F0000}"/>
    <cellStyle name="Output 5 6 3 4 2" xfId="26310" xr:uid="{00000000-0005-0000-0000-0000AA5F0000}"/>
    <cellStyle name="Output 5 6 4" xfId="2754" xr:uid="{00000000-0005-0000-0000-0000AB5F0000}"/>
    <cellStyle name="Output 5 6 4 2" xfId="6845" xr:uid="{00000000-0005-0000-0000-0000AC5F0000}"/>
    <cellStyle name="Output 5 6 4 2 2" xfId="16769" xr:uid="{00000000-0005-0000-0000-0000AD5F0000}"/>
    <cellStyle name="Output 5 6 4 2 2 2" xfId="31601" xr:uid="{00000000-0005-0000-0000-0000AE5F0000}"/>
    <cellStyle name="Output 5 6 4 2 3" xfId="18783" xr:uid="{00000000-0005-0000-0000-0000AF5F0000}"/>
    <cellStyle name="Output 5 6 4 3" xfId="13092" xr:uid="{00000000-0005-0000-0000-0000B05F0000}"/>
    <cellStyle name="Output 5 6 4 3 2" xfId="27924" xr:uid="{00000000-0005-0000-0000-0000B15F0000}"/>
    <cellStyle name="Output 5 6 4 4" xfId="10422" xr:uid="{00000000-0005-0000-0000-0000B25F0000}"/>
    <cellStyle name="Output 5 6 4 4 2" xfId="25254" xr:uid="{00000000-0005-0000-0000-0000B35F0000}"/>
    <cellStyle name="Output 5 6 5" xfId="5918" xr:uid="{00000000-0005-0000-0000-0000B45F0000}"/>
    <cellStyle name="Output 5 6 5 2" xfId="16110" xr:uid="{00000000-0005-0000-0000-0000B55F0000}"/>
    <cellStyle name="Output 5 6 5 2 2" xfId="30942" xr:uid="{00000000-0005-0000-0000-0000B65F0000}"/>
    <cellStyle name="Output 5 6 5 3" xfId="18425" xr:uid="{00000000-0005-0000-0000-0000B75F0000}"/>
    <cellStyle name="Output 5 6 6" xfId="12180" xr:uid="{00000000-0005-0000-0000-0000B85F0000}"/>
    <cellStyle name="Output 5 6 6 2" xfId="27012" xr:uid="{00000000-0005-0000-0000-0000B95F0000}"/>
    <cellStyle name="Output 5 6 7" xfId="9776" xr:uid="{00000000-0005-0000-0000-0000BA5F0000}"/>
    <cellStyle name="Output 5 6 7 2" xfId="24733" xr:uid="{00000000-0005-0000-0000-0000BB5F0000}"/>
    <cellStyle name="Output 5 7" xfId="2180" xr:uid="{00000000-0005-0000-0000-0000BC5F0000}"/>
    <cellStyle name="Output 5 7 2" xfId="3577" xr:uid="{00000000-0005-0000-0000-0000BD5F0000}"/>
    <cellStyle name="Output 5 7 2 2" xfId="7639" xr:uid="{00000000-0005-0000-0000-0000BE5F0000}"/>
    <cellStyle name="Output 5 7 2 2 2" xfId="17265" xr:uid="{00000000-0005-0000-0000-0000BF5F0000}"/>
    <cellStyle name="Output 5 7 2 2 2 2" xfId="32097" xr:uid="{00000000-0005-0000-0000-0000C05F0000}"/>
    <cellStyle name="Output 5 7 2 2 3" xfId="19088" xr:uid="{00000000-0005-0000-0000-0000C15F0000}"/>
    <cellStyle name="Output 5 7 2 3" xfId="13913" xr:uid="{00000000-0005-0000-0000-0000C25F0000}"/>
    <cellStyle name="Output 5 7 2 3 2" xfId="28745" xr:uid="{00000000-0005-0000-0000-0000C35F0000}"/>
    <cellStyle name="Output 5 7 2 4" xfId="10882" xr:uid="{00000000-0005-0000-0000-0000C45F0000}"/>
    <cellStyle name="Output 5 7 2 4 2" xfId="25714" xr:uid="{00000000-0005-0000-0000-0000C55F0000}"/>
    <cellStyle name="Output 5 7 3" xfId="5148" xr:uid="{00000000-0005-0000-0000-0000C65F0000}"/>
    <cellStyle name="Output 5 7 3 2" xfId="9187" xr:uid="{00000000-0005-0000-0000-0000C75F0000}"/>
    <cellStyle name="Output 5 7 3 2 2" xfId="18110" xr:uid="{00000000-0005-0000-0000-0000C85F0000}"/>
    <cellStyle name="Output 5 7 3 2 2 2" xfId="32942" xr:uid="{00000000-0005-0000-0000-0000C95F0000}"/>
    <cellStyle name="Output 5 7 3 2 3" xfId="19661" xr:uid="{00000000-0005-0000-0000-0000CA5F0000}"/>
    <cellStyle name="Output 5 7 3 3" xfId="15466" xr:uid="{00000000-0005-0000-0000-0000CB5F0000}"/>
    <cellStyle name="Output 5 7 3 3 2" xfId="30298" xr:uid="{00000000-0005-0000-0000-0000CC5F0000}"/>
    <cellStyle name="Output 5 7 3 4" xfId="11707" xr:uid="{00000000-0005-0000-0000-0000CD5F0000}"/>
    <cellStyle name="Output 5 7 3 4 2" xfId="26539" xr:uid="{00000000-0005-0000-0000-0000CE5F0000}"/>
    <cellStyle name="Output 5 7 4" xfId="4178" xr:uid="{00000000-0005-0000-0000-0000CF5F0000}"/>
    <cellStyle name="Output 5 7 4 2" xfId="8219" xr:uid="{00000000-0005-0000-0000-0000D05F0000}"/>
    <cellStyle name="Output 5 7 4 2 2" xfId="17566" xr:uid="{00000000-0005-0000-0000-0000D15F0000}"/>
    <cellStyle name="Output 5 7 4 2 2 2" xfId="32398" xr:uid="{00000000-0005-0000-0000-0000D25F0000}"/>
    <cellStyle name="Output 5 7 4 2 3" xfId="19304" xr:uid="{00000000-0005-0000-0000-0000D35F0000}"/>
    <cellStyle name="Output 5 7 4 3" xfId="14510" xr:uid="{00000000-0005-0000-0000-0000D45F0000}"/>
    <cellStyle name="Output 5 7 4 3 2" xfId="29342" xr:uid="{00000000-0005-0000-0000-0000D55F0000}"/>
    <cellStyle name="Output 5 7 4 4" xfId="11186" xr:uid="{00000000-0005-0000-0000-0000D65F0000}"/>
    <cellStyle name="Output 5 7 4 4 2" xfId="26018" xr:uid="{00000000-0005-0000-0000-0000D75F0000}"/>
    <cellStyle name="Output 5 7 5" xfId="6294" xr:uid="{00000000-0005-0000-0000-0000D85F0000}"/>
    <cellStyle name="Output 5 7 5 2" xfId="16478" xr:uid="{00000000-0005-0000-0000-0000D95F0000}"/>
    <cellStyle name="Output 5 7 5 2 2" xfId="31310" xr:uid="{00000000-0005-0000-0000-0000DA5F0000}"/>
    <cellStyle name="Output 5 7 5 3" xfId="18597" xr:uid="{00000000-0005-0000-0000-0000DB5F0000}"/>
    <cellStyle name="Output 5 7 6" xfId="12548" xr:uid="{00000000-0005-0000-0000-0000DC5F0000}"/>
    <cellStyle name="Output 5 7 6 2" xfId="27380" xr:uid="{00000000-0005-0000-0000-0000DD5F0000}"/>
    <cellStyle name="Output 5 7 7" xfId="10130" xr:uid="{00000000-0005-0000-0000-0000DE5F0000}"/>
    <cellStyle name="Output 5 7 7 2" xfId="24962" xr:uid="{00000000-0005-0000-0000-0000DF5F0000}"/>
    <cellStyle name="Output 5 8" xfId="3932" xr:uid="{00000000-0005-0000-0000-0000E05F0000}"/>
    <cellStyle name="Output 5 8 2" xfId="7982" xr:uid="{00000000-0005-0000-0000-0000E15F0000}"/>
    <cellStyle name="Output 5 8 2 2" xfId="17437" xr:uid="{00000000-0005-0000-0000-0000E25F0000}"/>
    <cellStyle name="Output 5 8 2 2 2" xfId="32269" xr:uid="{00000000-0005-0000-0000-0000E35F0000}"/>
    <cellStyle name="Output 5 8 2 3" xfId="19206" xr:uid="{00000000-0005-0000-0000-0000E45F0000}"/>
    <cellStyle name="Output 5 8 3" xfId="14265" xr:uid="{00000000-0005-0000-0000-0000E55F0000}"/>
    <cellStyle name="Output 5 8 3 2" xfId="29097" xr:uid="{00000000-0005-0000-0000-0000E65F0000}"/>
    <cellStyle name="Output 5 8 4" xfId="11052" xr:uid="{00000000-0005-0000-0000-0000E75F0000}"/>
    <cellStyle name="Output 5 8 4 2" xfId="25884" xr:uid="{00000000-0005-0000-0000-0000E85F0000}"/>
    <cellStyle name="Output 5 9" xfId="4288" xr:uid="{00000000-0005-0000-0000-0000E95F0000}"/>
    <cellStyle name="Output 5 9 2" xfId="8327" xr:uid="{00000000-0005-0000-0000-0000EA5F0000}"/>
    <cellStyle name="Output 5 9 2 2" xfId="17609" xr:uid="{00000000-0005-0000-0000-0000EB5F0000}"/>
    <cellStyle name="Output 5 9 2 2 2" xfId="32441" xr:uid="{00000000-0005-0000-0000-0000EC5F0000}"/>
    <cellStyle name="Output 5 9 2 3" xfId="19322" xr:uid="{00000000-0005-0000-0000-0000ED5F0000}"/>
    <cellStyle name="Output 5 9 3" xfId="14620" xr:uid="{00000000-0005-0000-0000-0000EE5F0000}"/>
    <cellStyle name="Output 5 9 3 2" xfId="29452" xr:uid="{00000000-0005-0000-0000-0000EF5F0000}"/>
    <cellStyle name="Output 5 9 4" xfId="11224" xr:uid="{00000000-0005-0000-0000-0000F05F0000}"/>
    <cellStyle name="Output 5 9 4 2" xfId="26056" xr:uid="{00000000-0005-0000-0000-0000F15F0000}"/>
    <cellStyle name="Output 6" xfId="1242" xr:uid="{00000000-0005-0000-0000-0000F25F0000}"/>
    <cellStyle name="Output 6 10" xfId="2328" xr:uid="{00000000-0005-0000-0000-0000F35F0000}"/>
    <cellStyle name="Output 6 10 2" xfId="6440" xr:uid="{00000000-0005-0000-0000-0000F45F0000}"/>
    <cellStyle name="Output 6 10 2 2" xfId="16533" xr:uid="{00000000-0005-0000-0000-0000F55F0000}"/>
    <cellStyle name="Output 6 10 2 2 2" xfId="31365" xr:uid="{00000000-0005-0000-0000-0000F65F0000}"/>
    <cellStyle name="Output 6 10 2 3" xfId="18621" xr:uid="{00000000-0005-0000-0000-0000F75F0000}"/>
    <cellStyle name="Output 6 10 3" xfId="12668" xr:uid="{00000000-0005-0000-0000-0000F85F0000}"/>
    <cellStyle name="Output 6 10 3 2" xfId="27500" xr:uid="{00000000-0005-0000-0000-0000F95F0000}"/>
    <cellStyle name="Output 6 10 4" xfId="10184" xr:uid="{00000000-0005-0000-0000-0000FA5F0000}"/>
    <cellStyle name="Output 6 10 4 2" xfId="25016" xr:uid="{00000000-0005-0000-0000-0000FB5F0000}"/>
    <cellStyle name="Output 6 11" xfId="5291" xr:uid="{00000000-0005-0000-0000-0000FC5F0000}"/>
    <cellStyle name="Output 6 11 2" xfId="9299" xr:uid="{00000000-0005-0000-0000-0000FD5F0000}"/>
    <cellStyle name="Output 6 11 2 2" xfId="18166" xr:uid="{00000000-0005-0000-0000-0000FE5F0000}"/>
    <cellStyle name="Output 6 11 2 2 2" xfId="32998" xr:uid="{00000000-0005-0000-0000-0000FF5F0000}"/>
    <cellStyle name="Output 6 11 2 3" xfId="19685" xr:uid="{00000000-0005-0000-0000-000000600000}"/>
    <cellStyle name="Output 6 11 3" xfId="15607" xr:uid="{00000000-0005-0000-0000-000001600000}"/>
    <cellStyle name="Output 6 11 3 2" xfId="30439" xr:uid="{00000000-0005-0000-0000-000002600000}"/>
    <cellStyle name="Output 6 12" xfId="5449" xr:uid="{00000000-0005-0000-0000-000003600000}"/>
    <cellStyle name="Output 6 12 2" xfId="15685" xr:uid="{00000000-0005-0000-0000-000004600000}"/>
    <cellStyle name="Output 6 12 2 2" xfId="30517" xr:uid="{00000000-0005-0000-0000-000005600000}"/>
    <cellStyle name="Output 6 12 3" xfId="18262" xr:uid="{00000000-0005-0000-0000-000006600000}"/>
    <cellStyle name="Output 6 13" xfId="9342" xr:uid="{00000000-0005-0000-0000-000007600000}"/>
    <cellStyle name="Output 6 13 2" xfId="24648" xr:uid="{00000000-0005-0000-0000-000008600000}"/>
    <cellStyle name="Output 6 14" xfId="5331" xr:uid="{00000000-0005-0000-0000-000009600000}"/>
    <cellStyle name="Output 6 14 2" xfId="18205" xr:uid="{00000000-0005-0000-0000-00000A600000}"/>
    <cellStyle name="Output 6 2" xfId="1361" xr:uid="{00000000-0005-0000-0000-00000B600000}"/>
    <cellStyle name="Output 6 2 2" xfId="1865" xr:uid="{00000000-0005-0000-0000-00000C600000}"/>
    <cellStyle name="Output 6 2 2 2" xfId="3869" xr:uid="{00000000-0005-0000-0000-00000D600000}"/>
    <cellStyle name="Output 6 2 2 2 2" xfId="7921" xr:uid="{00000000-0005-0000-0000-00000E600000}"/>
    <cellStyle name="Output 6 2 2 2 2 2" xfId="17402" xr:uid="{00000000-0005-0000-0000-00000F600000}"/>
    <cellStyle name="Output 6 2 2 2 2 2 2" xfId="32234" xr:uid="{00000000-0005-0000-0000-000010600000}"/>
    <cellStyle name="Output 6 2 2 2 2 3" xfId="19181" xr:uid="{00000000-0005-0000-0000-000011600000}"/>
    <cellStyle name="Output 6 2 2 2 3" xfId="14204" xr:uid="{00000000-0005-0000-0000-000012600000}"/>
    <cellStyle name="Output 6 2 2 2 3 2" xfId="29036" xr:uid="{00000000-0005-0000-0000-000013600000}"/>
    <cellStyle name="Output 6 2 2 2 4" xfId="11021" xr:uid="{00000000-0005-0000-0000-000014600000}"/>
    <cellStyle name="Output 6 2 2 2 4 2" xfId="25853" xr:uid="{00000000-0005-0000-0000-000015600000}"/>
    <cellStyle name="Output 6 2 2 3" xfId="4843" xr:uid="{00000000-0005-0000-0000-000016600000}"/>
    <cellStyle name="Output 6 2 2 3 2" xfId="8882" xr:uid="{00000000-0005-0000-0000-000017600000}"/>
    <cellStyle name="Output 6 2 2 3 2 2" xfId="17923" xr:uid="{00000000-0005-0000-0000-000018600000}"/>
    <cellStyle name="Output 6 2 2 3 2 2 2" xfId="32755" xr:uid="{00000000-0005-0000-0000-000019600000}"/>
    <cellStyle name="Output 6 2 2 3 2 3" xfId="19525" xr:uid="{00000000-0005-0000-0000-00001A600000}"/>
    <cellStyle name="Output 6 2 2 3 3" xfId="15167" xr:uid="{00000000-0005-0000-0000-00001B600000}"/>
    <cellStyle name="Output 6 2 2 3 3 2" xfId="29999" xr:uid="{00000000-0005-0000-0000-00001C600000}"/>
    <cellStyle name="Output 6 2 2 3 4" xfId="11526" xr:uid="{00000000-0005-0000-0000-00001D600000}"/>
    <cellStyle name="Output 6 2 2 3 4 2" xfId="26358" xr:uid="{00000000-0005-0000-0000-00001E600000}"/>
    <cellStyle name="Output 6 2 2 4" xfId="2833" xr:uid="{00000000-0005-0000-0000-00001F600000}"/>
    <cellStyle name="Output 6 2 2 4 2" xfId="6924" xr:uid="{00000000-0005-0000-0000-000020600000}"/>
    <cellStyle name="Output 6 2 2 4 2 2" xfId="16817" xr:uid="{00000000-0005-0000-0000-000021600000}"/>
    <cellStyle name="Output 6 2 2 4 2 2 2" xfId="31649" xr:uid="{00000000-0005-0000-0000-000022600000}"/>
    <cellStyle name="Output 6 2 2 4 2 3" xfId="18816" xr:uid="{00000000-0005-0000-0000-000023600000}"/>
    <cellStyle name="Output 6 2 2 4 3" xfId="13171" xr:uid="{00000000-0005-0000-0000-000024600000}"/>
    <cellStyle name="Output 6 2 2 4 3 2" xfId="28003" xr:uid="{00000000-0005-0000-0000-000025600000}"/>
    <cellStyle name="Output 6 2 2 4 4" xfId="10470" xr:uid="{00000000-0005-0000-0000-000026600000}"/>
    <cellStyle name="Output 6 2 2 4 4 2" xfId="25302" xr:uid="{00000000-0005-0000-0000-000027600000}"/>
    <cellStyle name="Output 6 2 2 5" xfId="5997" xr:uid="{00000000-0005-0000-0000-000028600000}"/>
    <cellStyle name="Output 6 2 2 5 2" xfId="16189" xr:uid="{00000000-0005-0000-0000-000029600000}"/>
    <cellStyle name="Output 6 2 2 5 2 2" xfId="31021" xr:uid="{00000000-0005-0000-0000-00002A600000}"/>
    <cellStyle name="Output 6 2 2 5 3" xfId="18458" xr:uid="{00000000-0005-0000-0000-00002B600000}"/>
    <cellStyle name="Output 6 2 2 6" xfId="12259" xr:uid="{00000000-0005-0000-0000-00002C600000}"/>
    <cellStyle name="Output 6 2 2 6 2" xfId="27091" xr:uid="{00000000-0005-0000-0000-00002D600000}"/>
    <cellStyle name="Output 6 2 2 7" xfId="9855" xr:uid="{00000000-0005-0000-0000-00002E600000}"/>
    <cellStyle name="Output 6 2 2 7 2" xfId="24781" xr:uid="{00000000-0005-0000-0000-00002F600000}"/>
    <cellStyle name="Output 6 2 3" xfId="4130" xr:uid="{00000000-0005-0000-0000-000030600000}"/>
    <cellStyle name="Output 6 2 3 2" xfId="8174" xr:uid="{00000000-0005-0000-0000-000031600000}"/>
    <cellStyle name="Output 6 2 3 2 2" xfId="17533" xr:uid="{00000000-0005-0000-0000-000032600000}"/>
    <cellStyle name="Output 6 2 3 2 2 2" xfId="32365" xr:uid="{00000000-0005-0000-0000-000033600000}"/>
    <cellStyle name="Output 6 2 3 2 3" xfId="19277" xr:uid="{00000000-0005-0000-0000-000034600000}"/>
    <cellStyle name="Output 6 2 3 3" xfId="14462" xr:uid="{00000000-0005-0000-0000-000035600000}"/>
    <cellStyle name="Output 6 2 3 3 2" xfId="29294" xr:uid="{00000000-0005-0000-0000-000036600000}"/>
    <cellStyle name="Output 6 2 3 4" xfId="11151" xr:uid="{00000000-0005-0000-0000-000037600000}"/>
    <cellStyle name="Output 6 2 3 4 2" xfId="25983" xr:uid="{00000000-0005-0000-0000-000038600000}"/>
    <cellStyle name="Output 6 2 4" xfId="4423" xr:uid="{00000000-0005-0000-0000-000039600000}"/>
    <cellStyle name="Output 6 2 4 2" xfId="8462" xr:uid="{00000000-0005-0000-0000-00003A600000}"/>
    <cellStyle name="Output 6 2 4 2 2" xfId="17683" xr:uid="{00000000-0005-0000-0000-00003B600000}"/>
    <cellStyle name="Output 6 2 4 2 2 2" xfId="32515" xr:uid="{00000000-0005-0000-0000-00003C600000}"/>
    <cellStyle name="Output 6 2 4 2 3" xfId="19365" xr:uid="{00000000-0005-0000-0000-00003D600000}"/>
    <cellStyle name="Output 6 2 4 3" xfId="14752" xr:uid="{00000000-0005-0000-0000-00003E600000}"/>
    <cellStyle name="Output 6 2 4 3 2" xfId="29584" xr:uid="{00000000-0005-0000-0000-00003F600000}"/>
    <cellStyle name="Output 6 2 4 4" xfId="11291" xr:uid="{00000000-0005-0000-0000-000040600000}"/>
    <cellStyle name="Output 6 2 4 4 2" xfId="26123" xr:uid="{00000000-0005-0000-0000-000041600000}"/>
    <cellStyle name="Output 6 2 5" xfId="2413" xr:uid="{00000000-0005-0000-0000-000042600000}"/>
    <cellStyle name="Output 6 2 5 2" xfId="6525" xr:uid="{00000000-0005-0000-0000-000043600000}"/>
    <cellStyle name="Output 6 2 5 2 2" xfId="16581" xr:uid="{00000000-0005-0000-0000-000044600000}"/>
    <cellStyle name="Output 6 2 5 2 2 2" xfId="31413" xr:uid="{00000000-0005-0000-0000-000045600000}"/>
    <cellStyle name="Output 6 2 5 2 3" xfId="18653" xr:uid="{00000000-0005-0000-0000-000046600000}"/>
    <cellStyle name="Output 6 2 5 3" xfId="12752" xr:uid="{00000000-0005-0000-0000-000047600000}"/>
    <cellStyle name="Output 6 2 5 3 2" xfId="27584" xr:uid="{00000000-0005-0000-0000-000048600000}"/>
    <cellStyle name="Output 6 2 5 4" xfId="10231" xr:uid="{00000000-0005-0000-0000-000049600000}"/>
    <cellStyle name="Output 6 2 5 4 2" xfId="25063" xr:uid="{00000000-0005-0000-0000-00004A600000}"/>
    <cellStyle name="Output 6 2 6" xfId="5538" xr:uid="{00000000-0005-0000-0000-00004B600000}"/>
    <cellStyle name="Output 6 2 6 2" xfId="15773" xr:uid="{00000000-0005-0000-0000-00004C600000}"/>
    <cellStyle name="Output 6 2 6 2 2" xfId="30605" xr:uid="{00000000-0005-0000-0000-00004D600000}"/>
    <cellStyle name="Output 6 2 6 3" xfId="18295" xr:uid="{00000000-0005-0000-0000-00004E600000}"/>
    <cellStyle name="Output 6 2 7" xfId="11788" xr:uid="{00000000-0005-0000-0000-00004F600000}"/>
    <cellStyle name="Output 6 2 7 2" xfId="26620" xr:uid="{00000000-0005-0000-0000-000050600000}"/>
    <cellStyle name="Output 6 2 8" xfId="9459" xr:uid="{00000000-0005-0000-0000-000051600000}"/>
    <cellStyle name="Output 6 2 8 2" xfId="19763" xr:uid="{00000000-0005-0000-0000-000052600000}"/>
    <cellStyle name="Output 6 3" xfId="1531" xr:uid="{00000000-0005-0000-0000-000053600000}"/>
    <cellStyle name="Output 6 3 2" xfId="2028" xr:uid="{00000000-0005-0000-0000-000054600000}"/>
    <cellStyle name="Output 6 3 2 2" xfId="3766" xr:uid="{00000000-0005-0000-0000-000055600000}"/>
    <cellStyle name="Output 6 3 2 2 2" xfId="7822" xr:uid="{00000000-0005-0000-0000-000056600000}"/>
    <cellStyle name="Output 6 3 2 2 2 2" xfId="17356" xr:uid="{00000000-0005-0000-0000-000057600000}"/>
    <cellStyle name="Output 6 3 2 2 2 2 2" xfId="32188" xr:uid="{00000000-0005-0000-0000-000058600000}"/>
    <cellStyle name="Output 6 3 2 2 2 3" xfId="19150" xr:uid="{00000000-0005-0000-0000-000059600000}"/>
    <cellStyle name="Output 6 3 2 2 3" xfId="14101" xr:uid="{00000000-0005-0000-0000-00005A600000}"/>
    <cellStyle name="Output 6 3 2 2 3 2" xfId="28933" xr:uid="{00000000-0005-0000-0000-00005B600000}"/>
    <cellStyle name="Output 6 3 2 2 4" xfId="10972" xr:uid="{00000000-0005-0000-0000-00005C600000}"/>
    <cellStyle name="Output 6 3 2 2 4 2" xfId="25804" xr:uid="{00000000-0005-0000-0000-00005D600000}"/>
    <cellStyle name="Output 6 3 2 3" xfId="4996" xr:uid="{00000000-0005-0000-0000-00005E600000}"/>
    <cellStyle name="Output 6 3 2 3 2" xfId="9035" xr:uid="{00000000-0005-0000-0000-00005F600000}"/>
    <cellStyle name="Output 6 3 2 3 2 2" xfId="17973" xr:uid="{00000000-0005-0000-0000-000060600000}"/>
    <cellStyle name="Output 6 3 2 3 2 2 2" xfId="32805" xr:uid="{00000000-0005-0000-0000-000061600000}"/>
    <cellStyle name="Output 6 3 2 3 2 3" xfId="19557" xr:uid="{00000000-0005-0000-0000-000062600000}"/>
    <cellStyle name="Output 6 3 2 3 3" xfId="15318" xr:uid="{00000000-0005-0000-0000-000063600000}"/>
    <cellStyle name="Output 6 3 2 3 3 2" xfId="30150" xr:uid="{00000000-0005-0000-0000-000064600000}"/>
    <cellStyle name="Output 6 3 2 3 4" xfId="11574" xr:uid="{00000000-0005-0000-0000-000065600000}"/>
    <cellStyle name="Output 6 3 2 3 4 2" xfId="26406" xr:uid="{00000000-0005-0000-0000-000066600000}"/>
    <cellStyle name="Output 6 3 2 4" xfId="2986" xr:uid="{00000000-0005-0000-0000-000067600000}"/>
    <cellStyle name="Output 6 3 2 4 2" xfId="7066" xr:uid="{00000000-0005-0000-0000-000068600000}"/>
    <cellStyle name="Output 6 3 2 4 2 2" xfId="16865" xr:uid="{00000000-0005-0000-0000-000069600000}"/>
    <cellStyle name="Output 6 3 2 4 2 2 2" xfId="31697" xr:uid="{00000000-0005-0000-0000-00006A600000}"/>
    <cellStyle name="Output 6 3 2 4 2 3" xfId="18849" xr:uid="{00000000-0005-0000-0000-00006B600000}"/>
    <cellStyle name="Output 6 3 2 4 3" xfId="13324" xr:uid="{00000000-0005-0000-0000-00006C600000}"/>
    <cellStyle name="Output 6 3 2 4 3 2" xfId="28156" xr:uid="{00000000-0005-0000-0000-00006D600000}"/>
    <cellStyle name="Output 6 3 2 4 4" xfId="10520" xr:uid="{00000000-0005-0000-0000-00006E600000}"/>
    <cellStyle name="Output 6 3 2 4 4 2" xfId="25352" xr:uid="{00000000-0005-0000-0000-00006F600000}"/>
    <cellStyle name="Output 6 3 2 5" xfId="6158" xr:uid="{00000000-0005-0000-0000-000070600000}"/>
    <cellStyle name="Output 6 3 2 5 2" xfId="16345" xr:uid="{00000000-0005-0000-0000-000071600000}"/>
    <cellStyle name="Output 6 3 2 5 2 2" xfId="31177" xr:uid="{00000000-0005-0000-0000-000072600000}"/>
    <cellStyle name="Output 6 3 2 5 3" xfId="18490" xr:uid="{00000000-0005-0000-0000-000073600000}"/>
    <cellStyle name="Output 6 3 2 6" xfId="12415" xr:uid="{00000000-0005-0000-0000-000074600000}"/>
    <cellStyle name="Output 6 3 2 6 2" xfId="27247" xr:uid="{00000000-0005-0000-0000-000075600000}"/>
    <cellStyle name="Output 6 3 2 7" xfId="9997" xr:uid="{00000000-0005-0000-0000-000076600000}"/>
    <cellStyle name="Output 6 3 2 7 2" xfId="24829" xr:uid="{00000000-0005-0000-0000-000077600000}"/>
    <cellStyle name="Output 6 3 3" xfId="3176" xr:uid="{00000000-0005-0000-0000-000078600000}"/>
    <cellStyle name="Output 6 3 3 2" xfId="7240" xr:uid="{00000000-0005-0000-0000-000079600000}"/>
    <cellStyle name="Output 6 3 3 2 2" xfId="17014" xr:uid="{00000000-0005-0000-0000-00007A600000}"/>
    <cellStyle name="Output 6 3 3 2 2 2" xfId="31846" xr:uid="{00000000-0005-0000-0000-00007B600000}"/>
    <cellStyle name="Output 6 3 3 2 3" xfId="18952" xr:uid="{00000000-0005-0000-0000-00007C600000}"/>
    <cellStyle name="Output 6 3 3 3" xfId="13514" xr:uid="{00000000-0005-0000-0000-00007D600000}"/>
    <cellStyle name="Output 6 3 3 3 2" xfId="28346" xr:uid="{00000000-0005-0000-0000-00007E600000}"/>
    <cellStyle name="Output 6 3 3 4" xfId="10664" xr:uid="{00000000-0005-0000-0000-00007F600000}"/>
    <cellStyle name="Output 6 3 3 4 2" xfId="25496" xr:uid="{00000000-0005-0000-0000-000080600000}"/>
    <cellStyle name="Output 6 3 4" xfId="4576" xr:uid="{00000000-0005-0000-0000-000081600000}"/>
    <cellStyle name="Output 6 3 4 2" xfId="8615" xr:uid="{00000000-0005-0000-0000-000082600000}"/>
    <cellStyle name="Output 6 3 4 2 2" xfId="17733" xr:uid="{00000000-0005-0000-0000-000083600000}"/>
    <cellStyle name="Output 6 3 4 2 2 2" xfId="32565" xr:uid="{00000000-0005-0000-0000-000084600000}"/>
    <cellStyle name="Output 6 3 4 2 3" xfId="19397" xr:uid="{00000000-0005-0000-0000-000085600000}"/>
    <cellStyle name="Output 6 3 4 3" xfId="14903" xr:uid="{00000000-0005-0000-0000-000086600000}"/>
    <cellStyle name="Output 6 3 4 3 2" xfId="29735" xr:uid="{00000000-0005-0000-0000-000087600000}"/>
    <cellStyle name="Output 6 3 4 4" xfId="11339" xr:uid="{00000000-0005-0000-0000-000088600000}"/>
    <cellStyle name="Output 6 3 4 4 2" xfId="26171" xr:uid="{00000000-0005-0000-0000-000089600000}"/>
    <cellStyle name="Output 6 3 5" xfId="2566" xr:uid="{00000000-0005-0000-0000-00008A600000}"/>
    <cellStyle name="Output 6 3 5 2" xfId="6672" xr:uid="{00000000-0005-0000-0000-00008B600000}"/>
    <cellStyle name="Output 6 3 5 2 2" xfId="16630" xr:uid="{00000000-0005-0000-0000-00008C600000}"/>
    <cellStyle name="Output 6 3 5 2 2 2" xfId="31462" xr:uid="{00000000-0005-0000-0000-00008D600000}"/>
    <cellStyle name="Output 6 3 5 2 3" xfId="18685" xr:uid="{00000000-0005-0000-0000-00008E600000}"/>
    <cellStyle name="Output 6 3 5 3" xfId="12904" xr:uid="{00000000-0005-0000-0000-00008F600000}"/>
    <cellStyle name="Output 6 3 5 3 2" xfId="27736" xr:uid="{00000000-0005-0000-0000-000090600000}"/>
    <cellStyle name="Output 6 3 5 4" xfId="10280" xr:uid="{00000000-0005-0000-0000-000091600000}"/>
    <cellStyle name="Output 6 3 5 4 2" xfId="25112" xr:uid="{00000000-0005-0000-0000-000092600000}"/>
    <cellStyle name="Output 6 3 6" xfId="5689" xr:uid="{00000000-0005-0000-0000-000093600000}"/>
    <cellStyle name="Output 6 3 6 2" xfId="15924" xr:uid="{00000000-0005-0000-0000-000094600000}"/>
    <cellStyle name="Output 6 3 6 2 2" xfId="30756" xr:uid="{00000000-0005-0000-0000-000095600000}"/>
    <cellStyle name="Output 6 3 6 3" xfId="18327" xr:uid="{00000000-0005-0000-0000-000096600000}"/>
    <cellStyle name="Output 6 3 7" xfId="11944" xr:uid="{00000000-0005-0000-0000-000097600000}"/>
    <cellStyle name="Output 6 3 7 2" xfId="26776" xr:uid="{00000000-0005-0000-0000-000098600000}"/>
    <cellStyle name="Output 6 3 8" xfId="9602" xr:uid="{00000000-0005-0000-0000-000099600000}"/>
    <cellStyle name="Output 6 3 8 2" xfId="19904" xr:uid="{00000000-0005-0000-0000-00009A600000}"/>
    <cellStyle name="Output 6 4" xfId="1586" xr:uid="{00000000-0005-0000-0000-00009B600000}"/>
    <cellStyle name="Output 6 4 2" xfId="2083" xr:uid="{00000000-0005-0000-0000-00009C600000}"/>
    <cellStyle name="Output 6 4 2 2" xfId="3757" xr:uid="{00000000-0005-0000-0000-00009D600000}"/>
    <cellStyle name="Output 6 4 2 2 2" xfId="7813" xr:uid="{00000000-0005-0000-0000-00009E600000}"/>
    <cellStyle name="Output 6 4 2 2 2 2" xfId="17349" xr:uid="{00000000-0005-0000-0000-00009F600000}"/>
    <cellStyle name="Output 6 4 2 2 2 2 2" xfId="32181" xr:uid="{00000000-0005-0000-0000-0000A0600000}"/>
    <cellStyle name="Output 6 4 2 2 2 3" xfId="19143" xr:uid="{00000000-0005-0000-0000-0000A1600000}"/>
    <cellStyle name="Output 6 4 2 2 3" xfId="14092" xr:uid="{00000000-0005-0000-0000-0000A2600000}"/>
    <cellStyle name="Output 6 4 2 2 3 2" xfId="28924" xr:uid="{00000000-0005-0000-0000-0000A3600000}"/>
    <cellStyle name="Output 6 4 2 2 4" xfId="10965" xr:uid="{00000000-0005-0000-0000-0000A4600000}"/>
    <cellStyle name="Output 6 4 2 2 4 2" xfId="25797" xr:uid="{00000000-0005-0000-0000-0000A5600000}"/>
    <cellStyle name="Output 6 4 2 3" xfId="5051" xr:uid="{00000000-0005-0000-0000-0000A6600000}"/>
    <cellStyle name="Output 6 4 2 3 2" xfId="9090" xr:uid="{00000000-0005-0000-0000-0000A7600000}"/>
    <cellStyle name="Output 6 4 2 3 2 2" xfId="18023" xr:uid="{00000000-0005-0000-0000-0000A8600000}"/>
    <cellStyle name="Output 6 4 2 3 2 2 2" xfId="32855" xr:uid="{00000000-0005-0000-0000-0000A9600000}"/>
    <cellStyle name="Output 6 4 2 3 2 3" xfId="19589" xr:uid="{00000000-0005-0000-0000-0000AA600000}"/>
    <cellStyle name="Output 6 4 2 3 3" xfId="15372" xr:uid="{00000000-0005-0000-0000-0000AB600000}"/>
    <cellStyle name="Output 6 4 2 3 3 2" xfId="30204" xr:uid="{00000000-0005-0000-0000-0000AC600000}"/>
    <cellStyle name="Output 6 4 2 3 4" xfId="11623" xr:uid="{00000000-0005-0000-0000-0000AD600000}"/>
    <cellStyle name="Output 6 4 2 3 4 2" xfId="26455" xr:uid="{00000000-0005-0000-0000-0000AE600000}"/>
    <cellStyle name="Output 6 4 2 4" xfId="3041" xr:uid="{00000000-0005-0000-0000-0000AF600000}"/>
    <cellStyle name="Output 6 4 2 4 2" xfId="7116" xr:uid="{00000000-0005-0000-0000-0000B0600000}"/>
    <cellStyle name="Output 6 4 2 4 2 2" xfId="16914" xr:uid="{00000000-0005-0000-0000-0000B1600000}"/>
    <cellStyle name="Output 6 4 2 4 2 2 2" xfId="31746" xr:uid="{00000000-0005-0000-0000-0000B2600000}"/>
    <cellStyle name="Output 6 4 2 4 2 3" xfId="18882" xr:uid="{00000000-0005-0000-0000-0000B3600000}"/>
    <cellStyle name="Output 6 4 2 4 3" xfId="13379" xr:uid="{00000000-0005-0000-0000-0000B4600000}"/>
    <cellStyle name="Output 6 4 2 4 3 2" xfId="28211" xr:uid="{00000000-0005-0000-0000-0000B5600000}"/>
    <cellStyle name="Output 6 4 2 4 4" xfId="10570" xr:uid="{00000000-0005-0000-0000-0000B6600000}"/>
    <cellStyle name="Output 6 4 2 4 4 2" xfId="25402" xr:uid="{00000000-0005-0000-0000-0000B7600000}"/>
    <cellStyle name="Output 6 4 2 5" xfId="6208" xr:uid="{00000000-0005-0000-0000-0000B8600000}"/>
    <cellStyle name="Output 6 4 2 5 2" xfId="16394" xr:uid="{00000000-0005-0000-0000-0000B9600000}"/>
    <cellStyle name="Output 6 4 2 5 2 2" xfId="31226" xr:uid="{00000000-0005-0000-0000-0000BA600000}"/>
    <cellStyle name="Output 6 4 2 5 3" xfId="18523" xr:uid="{00000000-0005-0000-0000-0000BB600000}"/>
    <cellStyle name="Output 6 4 2 6" xfId="12464" xr:uid="{00000000-0005-0000-0000-0000BC600000}"/>
    <cellStyle name="Output 6 4 2 6 2" xfId="27296" xr:uid="{00000000-0005-0000-0000-0000BD600000}"/>
    <cellStyle name="Output 6 4 2 7" xfId="10046" xr:uid="{00000000-0005-0000-0000-0000BE600000}"/>
    <cellStyle name="Output 6 4 2 7 2" xfId="24878" xr:uid="{00000000-0005-0000-0000-0000BF600000}"/>
    <cellStyle name="Output 6 4 3" xfId="3955" xr:uid="{00000000-0005-0000-0000-0000C0600000}"/>
    <cellStyle name="Output 6 4 3 2" xfId="8005" xr:uid="{00000000-0005-0000-0000-0000C1600000}"/>
    <cellStyle name="Output 6 4 3 2 2" xfId="17447" xr:uid="{00000000-0005-0000-0000-0000C2600000}"/>
    <cellStyle name="Output 6 4 3 2 2 2" xfId="32279" xr:uid="{00000000-0005-0000-0000-0000C3600000}"/>
    <cellStyle name="Output 6 4 3 2 3" xfId="19213" xr:uid="{00000000-0005-0000-0000-0000C4600000}"/>
    <cellStyle name="Output 6 4 3 3" xfId="14288" xr:uid="{00000000-0005-0000-0000-0000C5600000}"/>
    <cellStyle name="Output 6 4 3 3 2" xfId="29120" xr:uid="{00000000-0005-0000-0000-0000C6600000}"/>
    <cellStyle name="Output 6 4 3 4" xfId="11062" xr:uid="{00000000-0005-0000-0000-0000C7600000}"/>
    <cellStyle name="Output 6 4 3 4 2" xfId="25894" xr:uid="{00000000-0005-0000-0000-0000C8600000}"/>
    <cellStyle name="Output 6 4 4" xfId="4631" xr:uid="{00000000-0005-0000-0000-0000C9600000}"/>
    <cellStyle name="Output 6 4 4 2" xfId="8670" xr:uid="{00000000-0005-0000-0000-0000CA600000}"/>
    <cellStyle name="Output 6 4 4 2 2" xfId="17783" xr:uid="{00000000-0005-0000-0000-0000CB600000}"/>
    <cellStyle name="Output 6 4 4 2 2 2" xfId="32615" xr:uid="{00000000-0005-0000-0000-0000CC600000}"/>
    <cellStyle name="Output 6 4 4 2 3" xfId="19429" xr:uid="{00000000-0005-0000-0000-0000CD600000}"/>
    <cellStyle name="Output 6 4 4 3" xfId="14957" xr:uid="{00000000-0005-0000-0000-0000CE600000}"/>
    <cellStyle name="Output 6 4 4 3 2" xfId="29789" xr:uid="{00000000-0005-0000-0000-0000CF600000}"/>
    <cellStyle name="Output 6 4 4 4" xfId="11388" xr:uid="{00000000-0005-0000-0000-0000D0600000}"/>
    <cellStyle name="Output 6 4 4 4 2" xfId="26220" xr:uid="{00000000-0005-0000-0000-0000D1600000}"/>
    <cellStyle name="Output 6 4 5" xfId="2621" xr:uid="{00000000-0005-0000-0000-0000D2600000}"/>
    <cellStyle name="Output 6 4 5 2" xfId="6722" xr:uid="{00000000-0005-0000-0000-0000D3600000}"/>
    <cellStyle name="Output 6 4 5 2 2" xfId="16679" xr:uid="{00000000-0005-0000-0000-0000D4600000}"/>
    <cellStyle name="Output 6 4 5 2 2 2" xfId="31511" xr:uid="{00000000-0005-0000-0000-0000D5600000}"/>
    <cellStyle name="Output 6 4 5 2 3" xfId="18718" xr:uid="{00000000-0005-0000-0000-0000D6600000}"/>
    <cellStyle name="Output 6 4 5 3" xfId="12959" xr:uid="{00000000-0005-0000-0000-0000D7600000}"/>
    <cellStyle name="Output 6 4 5 3 2" xfId="27791" xr:uid="{00000000-0005-0000-0000-0000D8600000}"/>
    <cellStyle name="Output 6 4 5 4" xfId="10330" xr:uid="{00000000-0005-0000-0000-0000D9600000}"/>
    <cellStyle name="Output 6 4 5 4 2" xfId="25162" xr:uid="{00000000-0005-0000-0000-0000DA600000}"/>
    <cellStyle name="Output 6 4 6" xfId="5738" xr:uid="{00000000-0005-0000-0000-0000DB600000}"/>
    <cellStyle name="Output 6 4 6 2" xfId="15973" xr:uid="{00000000-0005-0000-0000-0000DC600000}"/>
    <cellStyle name="Output 6 4 6 2 2" xfId="30805" xr:uid="{00000000-0005-0000-0000-0000DD600000}"/>
    <cellStyle name="Output 6 4 6 3" xfId="18359" xr:uid="{00000000-0005-0000-0000-0000DE600000}"/>
    <cellStyle name="Output 6 4 7" xfId="11993" xr:uid="{00000000-0005-0000-0000-0000DF600000}"/>
    <cellStyle name="Output 6 4 7 2" xfId="26825" xr:uid="{00000000-0005-0000-0000-0000E0600000}"/>
    <cellStyle name="Output 6 4 8" xfId="9652" xr:uid="{00000000-0005-0000-0000-0000E1600000}"/>
    <cellStyle name="Output 6 4 8 2" xfId="19953" xr:uid="{00000000-0005-0000-0000-0000E2600000}"/>
    <cellStyle name="Output 6 5" xfId="1636" xr:uid="{00000000-0005-0000-0000-0000E3600000}"/>
    <cellStyle name="Output 6 5 2" xfId="2133" xr:uid="{00000000-0005-0000-0000-0000E4600000}"/>
    <cellStyle name="Output 6 5 2 2" xfId="3912" xr:uid="{00000000-0005-0000-0000-0000E5600000}"/>
    <cellStyle name="Output 6 5 2 2 2" xfId="7963" xr:uid="{00000000-0005-0000-0000-0000E6600000}"/>
    <cellStyle name="Output 6 5 2 2 2 2" xfId="17427" xr:uid="{00000000-0005-0000-0000-0000E7600000}"/>
    <cellStyle name="Output 6 5 2 2 2 2 2" xfId="32259" xr:uid="{00000000-0005-0000-0000-0000E8600000}"/>
    <cellStyle name="Output 6 5 2 2 2 3" xfId="19200" xr:uid="{00000000-0005-0000-0000-0000E9600000}"/>
    <cellStyle name="Output 6 5 2 2 3" xfId="14245" xr:uid="{00000000-0005-0000-0000-0000EA600000}"/>
    <cellStyle name="Output 6 5 2 2 3 2" xfId="29077" xr:uid="{00000000-0005-0000-0000-0000EB600000}"/>
    <cellStyle name="Output 6 5 2 2 4" xfId="11043" xr:uid="{00000000-0005-0000-0000-0000EC600000}"/>
    <cellStyle name="Output 6 5 2 2 4 2" xfId="25875" xr:uid="{00000000-0005-0000-0000-0000ED600000}"/>
    <cellStyle name="Output 6 5 2 3" xfId="5101" xr:uid="{00000000-0005-0000-0000-0000EE600000}"/>
    <cellStyle name="Output 6 5 2 3 2" xfId="9140" xr:uid="{00000000-0005-0000-0000-0000EF600000}"/>
    <cellStyle name="Output 6 5 2 3 2 2" xfId="18068" xr:uid="{00000000-0005-0000-0000-0000F0600000}"/>
    <cellStyle name="Output 6 5 2 3 2 2 2" xfId="32900" xr:uid="{00000000-0005-0000-0000-0000F1600000}"/>
    <cellStyle name="Output 6 5 2 3 2 3" xfId="19621" xr:uid="{00000000-0005-0000-0000-0000F2600000}"/>
    <cellStyle name="Output 6 5 2 3 3" xfId="15421" xr:uid="{00000000-0005-0000-0000-0000F3600000}"/>
    <cellStyle name="Output 6 5 2 3 3 2" xfId="30253" xr:uid="{00000000-0005-0000-0000-0000F4600000}"/>
    <cellStyle name="Output 6 5 2 3 4" xfId="11667" xr:uid="{00000000-0005-0000-0000-0000F5600000}"/>
    <cellStyle name="Output 6 5 2 3 4 2" xfId="26499" xr:uid="{00000000-0005-0000-0000-0000F6600000}"/>
    <cellStyle name="Output 6 5 2 4" xfId="3091" xr:uid="{00000000-0005-0000-0000-0000F7600000}"/>
    <cellStyle name="Output 6 5 2 4 2" xfId="7161" xr:uid="{00000000-0005-0000-0000-0000F8600000}"/>
    <cellStyle name="Output 6 5 2 4 2 2" xfId="16958" xr:uid="{00000000-0005-0000-0000-0000F9600000}"/>
    <cellStyle name="Output 6 5 2 4 2 2 2" xfId="31790" xr:uid="{00000000-0005-0000-0000-0000FA600000}"/>
    <cellStyle name="Output 6 5 2 4 2 3" xfId="18915" xr:uid="{00000000-0005-0000-0000-0000FB600000}"/>
    <cellStyle name="Output 6 5 2 4 3" xfId="13429" xr:uid="{00000000-0005-0000-0000-0000FC600000}"/>
    <cellStyle name="Output 6 5 2 4 3 2" xfId="28261" xr:uid="{00000000-0005-0000-0000-0000FD600000}"/>
    <cellStyle name="Output 6 5 2 4 4" xfId="10615" xr:uid="{00000000-0005-0000-0000-0000FE600000}"/>
    <cellStyle name="Output 6 5 2 4 4 2" xfId="25447" xr:uid="{00000000-0005-0000-0000-0000FF600000}"/>
    <cellStyle name="Output 6 5 2 5" xfId="6253" xr:uid="{00000000-0005-0000-0000-000000610000}"/>
    <cellStyle name="Output 6 5 2 5 2" xfId="16438" xr:uid="{00000000-0005-0000-0000-000001610000}"/>
    <cellStyle name="Output 6 5 2 5 2 2" xfId="31270" xr:uid="{00000000-0005-0000-0000-000002610000}"/>
    <cellStyle name="Output 6 5 2 5 3" xfId="18556" xr:uid="{00000000-0005-0000-0000-000003610000}"/>
    <cellStyle name="Output 6 5 2 6" xfId="12508" xr:uid="{00000000-0005-0000-0000-000004610000}"/>
    <cellStyle name="Output 6 5 2 6 2" xfId="27340" xr:uid="{00000000-0005-0000-0000-000005610000}"/>
    <cellStyle name="Output 6 5 2 7" xfId="10090" xr:uid="{00000000-0005-0000-0000-000006610000}"/>
    <cellStyle name="Output 6 5 2 7 2" xfId="24922" xr:uid="{00000000-0005-0000-0000-000007610000}"/>
    <cellStyle name="Output 6 5 3" xfId="3688" xr:uid="{00000000-0005-0000-0000-000008610000}"/>
    <cellStyle name="Output 6 5 3 2" xfId="7745" xr:uid="{00000000-0005-0000-0000-000009610000}"/>
    <cellStyle name="Output 6 5 3 2 2" xfId="17316" xr:uid="{00000000-0005-0000-0000-00000A610000}"/>
    <cellStyle name="Output 6 5 3 2 2 2" xfId="32148" xr:uid="{00000000-0005-0000-0000-00000B610000}"/>
    <cellStyle name="Output 6 5 3 2 3" xfId="19123" xr:uid="{00000000-0005-0000-0000-00000C610000}"/>
    <cellStyle name="Output 6 5 3 3" xfId="14023" xr:uid="{00000000-0005-0000-0000-00000D610000}"/>
    <cellStyle name="Output 6 5 3 3 2" xfId="28855" xr:uid="{00000000-0005-0000-0000-00000E610000}"/>
    <cellStyle name="Output 6 5 3 4" xfId="10933" xr:uid="{00000000-0005-0000-0000-00000F610000}"/>
    <cellStyle name="Output 6 5 3 4 2" xfId="25765" xr:uid="{00000000-0005-0000-0000-000010610000}"/>
    <cellStyle name="Output 6 5 4" xfId="4681" xr:uid="{00000000-0005-0000-0000-000011610000}"/>
    <cellStyle name="Output 6 5 4 2" xfId="8720" xr:uid="{00000000-0005-0000-0000-000012610000}"/>
    <cellStyle name="Output 6 5 4 2 2" xfId="17828" xr:uid="{00000000-0005-0000-0000-000013610000}"/>
    <cellStyle name="Output 6 5 4 2 2 2" xfId="32660" xr:uid="{00000000-0005-0000-0000-000014610000}"/>
    <cellStyle name="Output 6 5 4 2 3" xfId="19461" xr:uid="{00000000-0005-0000-0000-000015610000}"/>
    <cellStyle name="Output 6 5 4 3" xfId="15006" xr:uid="{00000000-0005-0000-0000-000016610000}"/>
    <cellStyle name="Output 6 5 4 3 2" xfId="29838" xr:uid="{00000000-0005-0000-0000-000017610000}"/>
    <cellStyle name="Output 6 5 4 4" xfId="11432" xr:uid="{00000000-0005-0000-0000-000018610000}"/>
    <cellStyle name="Output 6 5 4 4 2" xfId="26264" xr:uid="{00000000-0005-0000-0000-000019610000}"/>
    <cellStyle name="Output 6 5 5" xfId="2671" xr:uid="{00000000-0005-0000-0000-00001A610000}"/>
    <cellStyle name="Output 6 5 5 2" xfId="6767" xr:uid="{00000000-0005-0000-0000-00001B610000}"/>
    <cellStyle name="Output 6 5 5 2 2" xfId="16723" xr:uid="{00000000-0005-0000-0000-00001C610000}"/>
    <cellStyle name="Output 6 5 5 2 2 2" xfId="31555" xr:uid="{00000000-0005-0000-0000-00001D610000}"/>
    <cellStyle name="Output 6 5 5 2 3" xfId="18751" xr:uid="{00000000-0005-0000-0000-00001E610000}"/>
    <cellStyle name="Output 6 5 5 3" xfId="13009" xr:uid="{00000000-0005-0000-0000-00001F610000}"/>
    <cellStyle name="Output 6 5 5 3 2" xfId="27841" xr:uid="{00000000-0005-0000-0000-000020610000}"/>
    <cellStyle name="Output 6 5 5 4" xfId="10375" xr:uid="{00000000-0005-0000-0000-000021610000}"/>
    <cellStyle name="Output 6 5 5 4 2" xfId="25207" xr:uid="{00000000-0005-0000-0000-000022610000}"/>
    <cellStyle name="Output 6 5 6" xfId="5783" xr:uid="{00000000-0005-0000-0000-000023610000}"/>
    <cellStyle name="Output 6 5 6 2" xfId="16017" xr:uid="{00000000-0005-0000-0000-000024610000}"/>
    <cellStyle name="Output 6 5 6 2 2" xfId="30849" xr:uid="{00000000-0005-0000-0000-000025610000}"/>
    <cellStyle name="Output 6 5 6 3" xfId="18392" xr:uid="{00000000-0005-0000-0000-000026610000}"/>
    <cellStyle name="Output 6 5 7" xfId="12037" xr:uid="{00000000-0005-0000-0000-000027610000}"/>
    <cellStyle name="Output 6 5 7 2" xfId="26869" xr:uid="{00000000-0005-0000-0000-000028610000}"/>
    <cellStyle name="Output 6 5 8" xfId="9697" xr:uid="{00000000-0005-0000-0000-000029610000}"/>
    <cellStyle name="Output 6 5 8 2" xfId="19997" xr:uid="{00000000-0005-0000-0000-00002A610000}"/>
    <cellStyle name="Output 6 6" xfId="1787" xr:uid="{00000000-0005-0000-0000-00002B610000}"/>
    <cellStyle name="Output 6 6 2" xfId="3637" xr:uid="{00000000-0005-0000-0000-00002C610000}"/>
    <cellStyle name="Output 6 6 2 2" xfId="7696" xr:uid="{00000000-0005-0000-0000-00002D610000}"/>
    <cellStyle name="Output 6 6 2 2 2" xfId="17295" xr:uid="{00000000-0005-0000-0000-00002E610000}"/>
    <cellStyle name="Output 6 6 2 2 2 2" xfId="32127" xr:uid="{00000000-0005-0000-0000-00002F610000}"/>
    <cellStyle name="Output 6 6 2 2 3" xfId="19108" xr:uid="{00000000-0005-0000-0000-000030610000}"/>
    <cellStyle name="Output 6 6 2 3" xfId="13972" xr:uid="{00000000-0005-0000-0000-000031610000}"/>
    <cellStyle name="Output 6 6 2 3 2" xfId="28804" xr:uid="{00000000-0005-0000-0000-000032610000}"/>
    <cellStyle name="Output 6 6 2 4" xfId="10911" xr:uid="{00000000-0005-0000-0000-000033610000}"/>
    <cellStyle name="Output 6 6 2 4 2" xfId="25743" xr:uid="{00000000-0005-0000-0000-000034610000}"/>
    <cellStyle name="Output 6 6 3" xfId="4765" xr:uid="{00000000-0005-0000-0000-000035610000}"/>
    <cellStyle name="Output 6 6 3 2" xfId="8804" xr:uid="{00000000-0005-0000-0000-000036610000}"/>
    <cellStyle name="Output 6 6 3 2 2" xfId="17876" xr:uid="{00000000-0005-0000-0000-000037610000}"/>
    <cellStyle name="Output 6 6 3 2 2 2" xfId="32708" xr:uid="{00000000-0005-0000-0000-000038610000}"/>
    <cellStyle name="Output 6 6 3 2 3" xfId="19493" xr:uid="{00000000-0005-0000-0000-000039610000}"/>
    <cellStyle name="Output 6 6 3 3" xfId="15089" xr:uid="{00000000-0005-0000-0000-00003A610000}"/>
    <cellStyle name="Output 6 6 3 3 2" xfId="29921" xr:uid="{00000000-0005-0000-0000-00003B610000}"/>
    <cellStyle name="Output 6 6 3 4" xfId="11479" xr:uid="{00000000-0005-0000-0000-00003C610000}"/>
    <cellStyle name="Output 6 6 3 4 2" xfId="26311" xr:uid="{00000000-0005-0000-0000-00003D610000}"/>
    <cellStyle name="Output 6 6 4" xfId="2755" xr:uid="{00000000-0005-0000-0000-00003E610000}"/>
    <cellStyle name="Output 6 6 4 2" xfId="6846" xr:uid="{00000000-0005-0000-0000-00003F610000}"/>
    <cellStyle name="Output 6 6 4 2 2" xfId="16770" xr:uid="{00000000-0005-0000-0000-000040610000}"/>
    <cellStyle name="Output 6 6 4 2 2 2" xfId="31602" xr:uid="{00000000-0005-0000-0000-000041610000}"/>
    <cellStyle name="Output 6 6 4 2 3" xfId="18784" xr:uid="{00000000-0005-0000-0000-000042610000}"/>
    <cellStyle name="Output 6 6 4 3" xfId="13093" xr:uid="{00000000-0005-0000-0000-000043610000}"/>
    <cellStyle name="Output 6 6 4 3 2" xfId="27925" xr:uid="{00000000-0005-0000-0000-000044610000}"/>
    <cellStyle name="Output 6 6 4 4" xfId="10423" xr:uid="{00000000-0005-0000-0000-000045610000}"/>
    <cellStyle name="Output 6 6 4 4 2" xfId="25255" xr:uid="{00000000-0005-0000-0000-000046610000}"/>
    <cellStyle name="Output 6 6 5" xfId="5919" xr:uid="{00000000-0005-0000-0000-000047610000}"/>
    <cellStyle name="Output 6 6 5 2" xfId="16111" xr:uid="{00000000-0005-0000-0000-000048610000}"/>
    <cellStyle name="Output 6 6 5 2 2" xfId="30943" xr:uid="{00000000-0005-0000-0000-000049610000}"/>
    <cellStyle name="Output 6 6 5 3" xfId="18426" xr:uid="{00000000-0005-0000-0000-00004A610000}"/>
    <cellStyle name="Output 6 6 6" xfId="12181" xr:uid="{00000000-0005-0000-0000-00004B610000}"/>
    <cellStyle name="Output 6 6 6 2" xfId="27013" xr:uid="{00000000-0005-0000-0000-00004C610000}"/>
    <cellStyle name="Output 6 6 7" xfId="9777" xr:uid="{00000000-0005-0000-0000-00004D610000}"/>
    <cellStyle name="Output 6 6 7 2" xfId="24734" xr:uid="{00000000-0005-0000-0000-00004E610000}"/>
    <cellStyle name="Output 6 7" xfId="2179" xr:uid="{00000000-0005-0000-0000-00004F610000}"/>
    <cellStyle name="Output 6 7 2" xfId="3974" xr:uid="{00000000-0005-0000-0000-000050610000}"/>
    <cellStyle name="Output 6 7 2 2" xfId="8023" xr:uid="{00000000-0005-0000-0000-000051610000}"/>
    <cellStyle name="Output 6 7 2 2 2" xfId="17455" xr:uid="{00000000-0005-0000-0000-000052610000}"/>
    <cellStyle name="Output 6 7 2 2 2 2" xfId="32287" xr:uid="{00000000-0005-0000-0000-000053610000}"/>
    <cellStyle name="Output 6 7 2 2 3" xfId="19219" xr:uid="{00000000-0005-0000-0000-000054610000}"/>
    <cellStyle name="Output 6 7 2 3" xfId="14307" xr:uid="{00000000-0005-0000-0000-000055610000}"/>
    <cellStyle name="Output 6 7 2 3 2" xfId="29139" xr:uid="{00000000-0005-0000-0000-000056610000}"/>
    <cellStyle name="Output 6 7 2 4" xfId="11071" xr:uid="{00000000-0005-0000-0000-000057610000}"/>
    <cellStyle name="Output 6 7 2 4 2" xfId="25903" xr:uid="{00000000-0005-0000-0000-000058610000}"/>
    <cellStyle name="Output 6 7 3" xfId="5147" xr:uid="{00000000-0005-0000-0000-000059610000}"/>
    <cellStyle name="Output 6 7 3 2" xfId="9186" xr:uid="{00000000-0005-0000-0000-00005A610000}"/>
    <cellStyle name="Output 6 7 3 2 2" xfId="18109" xr:uid="{00000000-0005-0000-0000-00005B610000}"/>
    <cellStyle name="Output 6 7 3 2 2 2" xfId="32941" xr:uid="{00000000-0005-0000-0000-00005C610000}"/>
    <cellStyle name="Output 6 7 3 2 3" xfId="19660" xr:uid="{00000000-0005-0000-0000-00005D610000}"/>
    <cellStyle name="Output 6 7 3 3" xfId="15465" xr:uid="{00000000-0005-0000-0000-00005E610000}"/>
    <cellStyle name="Output 6 7 3 3 2" xfId="30297" xr:uid="{00000000-0005-0000-0000-00005F610000}"/>
    <cellStyle name="Output 6 7 3 4" xfId="11706" xr:uid="{00000000-0005-0000-0000-000060610000}"/>
    <cellStyle name="Output 6 7 3 4 2" xfId="26538" xr:uid="{00000000-0005-0000-0000-000061610000}"/>
    <cellStyle name="Output 6 7 4" xfId="4177" xr:uid="{00000000-0005-0000-0000-000062610000}"/>
    <cellStyle name="Output 6 7 4 2" xfId="8218" xr:uid="{00000000-0005-0000-0000-000063610000}"/>
    <cellStyle name="Output 6 7 4 2 2" xfId="17565" xr:uid="{00000000-0005-0000-0000-000064610000}"/>
    <cellStyle name="Output 6 7 4 2 2 2" xfId="32397" xr:uid="{00000000-0005-0000-0000-000065610000}"/>
    <cellStyle name="Output 6 7 4 2 3" xfId="19303" xr:uid="{00000000-0005-0000-0000-000066610000}"/>
    <cellStyle name="Output 6 7 4 3" xfId="14509" xr:uid="{00000000-0005-0000-0000-000067610000}"/>
    <cellStyle name="Output 6 7 4 3 2" xfId="29341" xr:uid="{00000000-0005-0000-0000-000068610000}"/>
    <cellStyle name="Output 6 7 4 4" xfId="11185" xr:uid="{00000000-0005-0000-0000-000069610000}"/>
    <cellStyle name="Output 6 7 4 4 2" xfId="26017" xr:uid="{00000000-0005-0000-0000-00006A610000}"/>
    <cellStyle name="Output 6 7 5" xfId="6293" xr:uid="{00000000-0005-0000-0000-00006B610000}"/>
    <cellStyle name="Output 6 7 5 2" xfId="16477" xr:uid="{00000000-0005-0000-0000-00006C610000}"/>
    <cellStyle name="Output 6 7 5 2 2" xfId="31309" xr:uid="{00000000-0005-0000-0000-00006D610000}"/>
    <cellStyle name="Output 6 7 5 3" xfId="18596" xr:uid="{00000000-0005-0000-0000-00006E610000}"/>
    <cellStyle name="Output 6 7 6" xfId="12547" xr:uid="{00000000-0005-0000-0000-00006F610000}"/>
    <cellStyle name="Output 6 7 6 2" xfId="27379" xr:uid="{00000000-0005-0000-0000-000070610000}"/>
    <cellStyle name="Output 6 7 7" xfId="10129" xr:uid="{00000000-0005-0000-0000-000071610000}"/>
    <cellStyle name="Output 6 7 7 2" xfId="24961" xr:uid="{00000000-0005-0000-0000-000072610000}"/>
    <cellStyle name="Output 6 8" xfId="3751" xr:uid="{00000000-0005-0000-0000-000073610000}"/>
    <cellStyle name="Output 6 8 2" xfId="7807" xr:uid="{00000000-0005-0000-0000-000074610000}"/>
    <cellStyle name="Output 6 8 2 2" xfId="17347" xr:uid="{00000000-0005-0000-0000-000075610000}"/>
    <cellStyle name="Output 6 8 2 2 2" xfId="32179" xr:uid="{00000000-0005-0000-0000-000076610000}"/>
    <cellStyle name="Output 6 8 2 3" xfId="19141" xr:uid="{00000000-0005-0000-0000-000077610000}"/>
    <cellStyle name="Output 6 8 3" xfId="14086" xr:uid="{00000000-0005-0000-0000-000078610000}"/>
    <cellStyle name="Output 6 8 3 2" xfId="28918" xr:uid="{00000000-0005-0000-0000-000079610000}"/>
    <cellStyle name="Output 6 8 4" xfId="10963" xr:uid="{00000000-0005-0000-0000-00007A610000}"/>
    <cellStyle name="Output 6 8 4 2" xfId="25795" xr:uid="{00000000-0005-0000-0000-00007B610000}"/>
    <cellStyle name="Output 6 9" xfId="3306" xr:uid="{00000000-0005-0000-0000-00007C610000}"/>
    <cellStyle name="Output 6 9 2" xfId="7370" xr:uid="{00000000-0005-0000-0000-00007D610000}"/>
    <cellStyle name="Output 6 9 2 2" xfId="17107" xr:uid="{00000000-0005-0000-0000-00007E610000}"/>
    <cellStyle name="Output 6 9 2 2 2" xfId="31939" xr:uid="{00000000-0005-0000-0000-00007F610000}"/>
    <cellStyle name="Output 6 9 2 3" xfId="18991" xr:uid="{00000000-0005-0000-0000-000080610000}"/>
    <cellStyle name="Output 6 9 3" xfId="13643" xr:uid="{00000000-0005-0000-0000-000081610000}"/>
    <cellStyle name="Output 6 9 3 2" xfId="28475" xr:uid="{00000000-0005-0000-0000-000082610000}"/>
    <cellStyle name="Output 6 9 4" xfId="10731" xr:uid="{00000000-0005-0000-0000-000083610000}"/>
    <cellStyle name="Output 6 9 4 2" xfId="25563" xr:uid="{00000000-0005-0000-0000-000084610000}"/>
    <cellStyle name="Output 7" xfId="1243" xr:uid="{00000000-0005-0000-0000-000085610000}"/>
    <cellStyle name="Output 7 10" xfId="2329" xr:uid="{00000000-0005-0000-0000-000086610000}"/>
    <cellStyle name="Output 7 10 2" xfId="6441" xr:uid="{00000000-0005-0000-0000-000087610000}"/>
    <cellStyle name="Output 7 10 2 2" xfId="16534" xr:uid="{00000000-0005-0000-0000-000088610000}"/>
    <cellStyle name="Output 7 10 2 2 2" xfId="31366" xr:uid="{00000000-0005-0000-0000-000089610000}"/>
    <cellStyle name="Output 7 10 2 3" xfId="18622" xr:uid="{00000000-0005-0000-0000-00008A610000}"/>
    <cellStyle name="Output 7 10 3" xfId="12669" xr:uid="{00000000-0005-0000-0000-00008B610000}"/>
    <cellStyle name="Output 7 10 3 2" xfId="27501" xr:uid="{00000000-0005-0000-0000-00008C610000}"/>
    <cellStyle name="Output 7 10 4" xfId="10185" xr:uid="{00000000-0005-0000-0000-00008D610000}"/>
    <cellStyle name="Output 7 10 4 2" xfId="25017" xr:uid="{00000000-0005-0000-0000-00008E610000}"/>
    <cellStyle name="Output 7 11" xfId="5292" xr:uid="{00000000-0005-0000-0000-00008F610000}"/>
    <cellStyle name="Output 7 11 2" xfId="9300" xr:uid="{00000000-0005-0000-0000-000090610000}"/>
    <cellStyle name="Output 7 11 2 2" xfId="18167" xr:uid="{00000000-0005-0000-0000-000091610000}"/>
    <cellStyle name="Output 7 11 2 2 2" xfId="32999" xr:uid="{00000000-0005-0000-0000-000092610000}"/>
    <cellStyle name="Output 7 11 2 3" xfId="19686" xr:uid="{00000000-0005-0000-0000-000093610000}"/>
    <cellStyle name="Output 7 11 3" xfId="15608" xr:uid="{00000000-0005-0000-0000-000094610000}"/>
    <cellStyle name="Output 7 11 3 2" xfId="30440" xr:uid="{00000000-0005-0000-0000-000095610000}"/>
    <cellStyle name="Output 7 12" xfId="5450" xr:uid="{00000000-0005-0000-0000-000096610000}"/>
    <cellStyle name="Output 7 12 2" xfId="15686" xr:uid="{00000000-0005-0000-0000-000097610000}"/>
    <cellStyle name="Output 7 12 2 2" xfId="30518" xr:uid="{00000000-0005-0000-0000-000098610000}"/>
    <cellStyle name="Output 7 12 3" xfId="18263" xr:uid="{00000000-0005-0000-0000-000099610000}"/>
    <cellStyle name="Output 7 13" xfId="9341" xr:uid="{00000000-0005-0000-0000-00009A610000}"/>
    <cellStyle name="Output 7 13 2" xfId="24647" xr:uid="{00000000-0005-0000-0000-00009B610000}"/>
    <cellStyle name="Output 7 14" xfId="5330" xr:uid="{00000000-0005-0000-0000-00009C610000}"/>
    <cellStyle name="Output 7 14 2" xfId="18204" xr:uid="{00000000-0005-0000-0000-00009D610000}"/>
    <cellStyle name="Output 7 2" xfId="1362" xr:uid="{00000000-0005-0000-0000-00009E610000}"/>
    <cellStyle name="Output 7 2 2" xfId="1866" xr:uid="{00000000-0005-0000-0000-00009F610000}"/>
    <cellStyle name="Output 7 2 2 2" xfId="4046" xr:uid="{00000000-0005-0000-0000-0000A0610000}"/>
    <cellStyle name="Output 7 2 2 2 2" xfId="8093" xr:uid="{00000000-0005-0000-0000-0000A1610000}"/>
    <cellStyle name="Output 7 2 2 2 2 2" xfId="17490" xr:uid="{00000000-0005-0000-0000-0000A2610000}"/>
    <cellStyle name="Output 7 2 2 2 2 2 2" xfId="32322" xr:uid="{00000000-0005-0000-0000-0000A3610000}"/>
    <cellStyle name="Output 7 2 2 2 2 3" xfId="19246" xr:uid="{00000000-0005-0000-0000-0000A4610000}"/>
    <cellStyle name="Output 7 2 2 2 3" xfId="14378" xr:uid="{00000000-0005-0000-0000-0000A5610000}"/>
    <cellStyle name="Output 7 2 2 2 3 2" xfId="29210" xr:uid="{00000000-0005-0000-0000-0000A6610000}"/>
    <cellStyle name="Output 7 2 2 2 4" xfId="11106" xr:uid="{00000000-0005-0000-0000-0000A7610000}"/>
    <cellStyle name="Output 7 2 2 2 4 2" xfId="25938" xr:uid="{00000000-0005-0000-0000-0000A8610000}"/>
    <cellStyle name="Output 7 2 2 3" xfId="4844" xr:uid="{00000000-0005-0000-0000-0000A9610000}"/>
    <cellStyle name="Output 7 2 2 3 2" xfId="8883" xr:uid="{00000000-0005-0000-0000-0000AA610000}"/>
    <cellStyle name="Output 7 2 2 3 2 2" xfId="17924" xr:uid="{00000000-0005-0000-0000-0000AB610000}"/>
    <cellStyle name="Output 7 2 2 3 2 2 2" xfId="32756" xr:uid="{00000000-0005-0000-0000-0000AC610000}"/>
    <cellStyle name="Output 7 2 2 3 2 3" xfId="19526" xr:uid="{00000000-0005-0000-0000-0000AD610000}"/>
    <cellStyle name="Output 7 2 2 3 3" xfId="15168" xr:uid="{00000000-0005-0000-0000-0000AE610000}"/>
    <cellStyle name="Output 7 2 2 3 3 2" xfId="30000" xr:uid="{00000000-0005-0000-0000-0000AF610000}"/>
    <cellStyle name="Output 7 2 2 3 4" xfId="11527" xr:uid="{00000000-0005-0000-0000-0000B0610000}"/>
    <cellStyle name="Output 7 2 2 3 4 2" xfId="26359" xr:uid="{00000000-0005-0000-0000-0000B1610000}"/>
    <cellStyle name="Output 7 2 2 4" xfId="2834" xr:uid="{00000000-0005-0000-0000-0000B2610000}"/>
    <cellStyle name="Output 7 2 2 4 2" xfId="6925" xr:uid="{00000000-0005-0000-0000-0000B3610000}"/>
    <cellStyle name="Output 7 2 2 4 2 2" xfId="16818" xr:uid="{00000000-0005-0000-0000-0000B4610000}"/>
    <cellStyle name="Output 7 2 2 4 2 2 2" xfId="31650" xr:uid="{00000000-0005-0000-0000-0000B5610000}"/>
    <cellStyle name="Output 7 2 2 4 2 3" xfId="18817" xr:uid="{00000000-0005-0000-0000-0000B6610000}"/>
    <cellStyle name="Output 7 2 2 4 3" xfId="13172" xr:uid="{00000000-0005-0000-0000-0000B7610000}"/>
    <cellStyle name="Output 7 2 2 4 3 2" xfId="28004" xr:uid="{00000000-0005-0000-0000-0000B8610000}"/>
    <cellStyle name="Output 7 2 2 4 4" xfId="10471" xr:uid="{00000000-0005-0000-0000-0000B9610000}"/>
    <cellStyle name="Output 7 2 2 4 4 2" xfId="25303" xr:uid="{00000000-0005-0000-0000-0000BA610000}"/>
    <cellStyle name="Output 7 2 2 5" xfId="5998" xr:uid="{00000000-0005-0000-0000-0000BB610000}"/>
    <cellStyle name="Output 7 2 2 5 2" xfId="16190" xr:uid="{00000000-0005-0000-0000-0000BC610000}"/>
    <cellStyle name="Output 7 2 2 5 2 2" xfId="31022" xr:uid="{00000000-0005-0000-0000-0000BD610000}"/>
    <cellStyle name="Output 7 2 2 5 3" xfId="18459" xr:uid="{00000000-0005-0000-0000-0000BE610000}"/>
    <cellStyle name="Output 7 2 2 6" xfId="12260" xr:uid="{00000000-0005-0000-0000-0000BF610000}"/>
    <cellStyle name="Output 7 2 2 6 2" xfId="27092" xr:uid="{00000000-0005-0000-0000-0000C0610000}"/>
    <cellStyle name="Output 7 2 2 7" xfId="9856" xr:uid="{00000000-0005-0000-0000-0000C1610000}"/>
    <cellStyle name="Output 7 2 2 7 2" xfId="24782" xr:uid="{00000000-0005-0000-0000-0000C2610000}"/>
    <cellStyle name="Output 7 2 3" xfId="3554" xr:uid="{00000000-0005-0000-0000-0000C3610000}"/>
    <cellStyle name="Output 7 2 3 2" xfId="7616" xr:uid="{00000000-0005-0000-0000-0000C4610000}"/>
    <cellStyle name="Output 7 2 3 2 2" xfId="17254" xr:uid="{00000000-0005-0000-0000-0000C5610000}"/>
    <cellStyle name="Output 7 2 3 2 2 2" xfId="32086" xr:uid="{00000000-0005-0000-0000-0000C6610000}"/>
    <cellStyle name="Output 7 2 3 2 3" xfId="19077" xr:uid="{00000000-0005-0000-0000-0000C7610000}"/>
    <cellStyle name="Output 7 2 3 3" xfId="13890" xr:uid="{00000000-0005-0000-0000-0000C8610000}"/>
    <cellStyle name="Output 7 2 3 3 2" xfId="28722" xr:uid="{00000000-0005-0000-0000-0000C9610000}"/>
    <cellStyle name="Output 7 2 3 4" xfId="10871" xr:uid="{00000000-0005-0000-0000-0000CA610000}"/>
    <cellStyle name="Output 7 2 3 4 2" xfId="25703" xr:uid="{00000000-0005-0000-0000-0000CB610000}"/>
    <cellStyle name="Output 7 2 4" xfId="4424" xr:uid="{00000000-0005-0000-0000-0000CC610000}"/>
    <cellStyle name="Output 7 2 4 2" xfId="8463" xr:uid="{00000000-0005-0000-0000-0000CD610000}"/>
    <cellStyle name="Output 7 2 4 2 2" xfId="17684" xr:uid="{00000000-0005-0000-0000-0000CE610000}"/>
    <cellStyle name="Output 7 2 4 2 2 2" xfId="32516" xr:uid="{00000000-0005-0000-0000-0000CF610000}"/>
    <cellStyle name="Output 7 2 4 2 3" xfId="19366" xr:uid="{00000000-0005-0000-0000-0000D0610000}"/>
    <cellStyle name="Output 7 2 4 3" xfId="14753" xr:uid="{00000000-0005-0000-0000-0000D1610000}"/>
    <cellStyle name="Output 7 2 4 3 2" xfId="29585" xr:uid="{00000000-0005-0000-0000-0000D2610000}"/>
    <cellStyle name="Output 7 2 4 4" xfId="11292" xr:uid="{00000000-0005-0000-0000-0000D3610000}"/>
    <cellStyle name="Output 7 2 4 4 2" xfId="26124" xr:uid="{00000000-0005-0000-0000-0000D4610000}"/>
    <cellStyle name="Output 7 2 5" xfId="2414" xr:uid="{00000000-0005-0000-0000-0000D5610000}"/>
    <cellStyle name="Output 7 2 5 2" xfId="6526" xr:uid="{00000000-0005-0000-0000-0000D6610000}"/>
    <cellStyle name="Output 7 2 5 2 2" xfId="16582" xr:uid="{00000000-0005-0000-0000-0000D7610000}"/>
    <cellStyle name="Output 7 2 5 2 2 2" xfId="31414" xr:uid="{00000000-0005-0000-0000-0000D8610000}"/>
    <cellStyle name="Output 7 2 5 2 3" xfId="18654" xr:uid="{00000000-0005-0000-0000-0000D9610000}"/>
    <cellStyle name="Output 7 2 5 3" xfId="12753" xr:uid="{00000000-0005-0000-0000-0000DA610000}"/>
    <cellStyle name="Output 7 2 5 3 2" xfId="27585" xr:uid="{00000000-0005-0000-0000-0000DB610000}"/>
    <cellStyle name="Output 7 2 5 4" xfId="10232" xr:uid="{00000000-0005-0000-0000-0000DC610000}"/>
    <cellStyle name="Output 7 2 5 4 2" xfId="25064" xr:uid="{00000000-0005-0000-0000-0000DD610000}"/>
    <cellStyle name="Output 7 2 6" xfId="5539" xr:uid="{00000000-0005-0000-0000-0000DE610000}"/>
    <cellStyle name="Output 7 2 6 2" xfId="15774" xr:uid="{00000000-0005-0000-0000-0000DF610000}"/>
    <cellStyle name="Output 7 2 6 2 2" xfId="30606" xr:uid="{00000000-0005-0000-0000-0000E0610000}"/>
    <cellStyle name="Output 7 2 6 3" xfId="18296" xr:uid="{00000000-0005-0000-0000-0000E1610000}"/>
    <cellStyle name="Output 7 2 7" xfId="11789" xr:uid="{00000000-0005-0000-0000-0000E2610000}"/>
    <cellStyle name="Output 7 2 7 2" xfId="26621" xr:uid="{00000000-0005-0000-0000-0000E3610000}"/>
    <cellStyle name="Output 7 2 8" xfId="9460" xr:uid="{00000000-0005-0000-0000-0000E4610000}"/>
    <cellStyle name="Output 7 2 8 2" xfId="19764" xr:uid="{00000000-0005-0000-0000-0000E5610000}"/>
    <cellStyle name="Output 7 3" xfId="1532" xr:uid="{00000000-0005-0000-0000-0000E6610000}"/>
    <cellStyle name="Output 7 3 2" xfId="2029" xr:uid="{00000000-0005-0000-0000-0000E7610000}"/>
    <cellStyle name="Output 7 3 2 2" xfId="3639" xr:uid="{00000000-0005-0000-0000-0000E8610000}"/>
    <cellStyle name="Output 7 3 2 2 2" xfId="7698" xr:uid="{00000000-0005-0000-0000-0000E9610000}"/>
    <cellStyle name="Output 7 3 2 2 2 2" xfId="17296" xr:uid="{00000000-0005-0000-0000-0000EA610000}"/>
    <cellStyle name="Output 7 3 2 2 2 2 2" xfId="32128" xr:uid="{00000000-0005-0000-0000-0000EB610000}"/>
    <cellStyle name="Output 7 3 2 2 2 3" xfId="19110" xr:uid="{00000000-0005-0000-0000-0000EC610000}"/>
    <cellStyle name="Output 7 3 2 2 3" xfId="13974" xr:uid="{00000000-0005-0000-0000-0000ED610000}"/>
    <cellStyle name="Output 7 3 2 2 3 2" xfId="28806" xr:uid="{00000000-0005-0000-0000-0000EE610000}"/>
    <cellStyle name="Output 7 3 2 2 4" xfId="10912" xr:uid="{00000000-0005-0000-0000-0000EF610000}"/>
    <cellStyle name="Output 7 3 2 2 4 2" xfId="25744" xr:uid="{00000000-0005-0000-0000-0000F0610000}"/>
    <cellStyle name="Output 7 3 2 3" xfId="4997" xr:uid="{00000000-0005-0000-0000-0000F1610000}"/>
    <cellStyle name="Output 7 3 2 3 2" xfId="9036" xr:uid="{00000000-0005-0000-0000-0000F2610000}"/>
    <cellStyle name="Output 7 3 2 3 2 2" xfId="17974" xr:uid="{00000000-0005-0000-0000-0000F3610000}"/>
    <cellStyle name="Output 7 3 2 3 2 2 2" xfId="32806" xr:uid="{00000000-0005-0000-0000-0000F4610000}"/>
    <cellStyle name="Output 7 3 2 3 2 3" xfId="19558" xr:uid="{00000000-0005-0000-0000-0000F5610000}"/>
    <cellStyle name="Output 7 3 2 3 3" xfId="15319" xr:uid="{00000000-0005-0000-0000-0000F6610000}"/>
    <cellStyle name="Output 7 3 2 3 3 2" xfId="30151" xr:uid="{00000000-0005-0000-0000-0000F7610000}"/>
    <cellStyle name="Output 7 3 2 3 4" xfId="11575" xr:uid="{00000000-0005-0000-0000-0000F8610000}"/>
    <cellStyle name="Output 7 3 2 3 4 2" xfId="26407" xr:uid="{00000000-0005-0000-0000-0000F9610000}"/>
    <cellStyle name="Output 7 3 2 4" xfId="2987" xr:uid="{00000000-0005-0000-0000-0000FA610000}"/>
    <cellStyle name="Output 7 3 2 4 2" xfId="7067" xr:uid="{00000000-0005-0000-0000-0000FB610000}"/>
    <cellStyle name="Output 7 3 2 4 2 2" xfId="16866" xr:uid="{00000000-0005-0000-0000-0000FC610000}"/>
    <cellStyle name="Output 7 3 2 4 2 2 2" xfId="31698" xr:uid="{00000000-0005-0000-0000-0000FD610000}"/>
    <cellStyle name="Output 7 3 2 4 2 3" xfId="18850" xr:uid="{00000000-0005-0000-0000-0000FE610000}"/>
    <cellStyle name="Output 7 3 2 4 3" xfId="13325" xr:uid="{00000000-0005-0000-0000-0000FF610000}"/>
    <cellStyle name="Output 7 3 2 4 3 2" xfId="28157" xr:uid="{00000000-0005-0000-0000-000000620000}"/>
    <cellStyle name="Output 7 3 2 4 4" xfId="10521" xr:uid="{00000000-0005-0000-0000-000001620000}"/>
    <cellStyle name="Output 7 3 2 4 4 2" xfId="25353" xr:uid="{00000000-0005-0000-0000-000002620000}"/>
    <cellStyle name="Output 7 3 2 5" xfId="6159" xr:uid="{00000000-0005-0000-0000-000003620000}"/>
    <cellStyle name="Output 7 3 2 5 2" xfId="16346" xr:uid="{00000000-0005-0000-0000-000004620000}"/>
    <cellStyle name="Output 7 3 2 5 2 2" xfId="31178" xr:uid="{00000000-0005-0000-0000-000005620000}"/>
    <cellStyle name="Output 7 3 2 5 3" xfId="18491" xr:uid="{00000000-0005-0000-0000-000006620000}"/>
    <cellStyle name="Output 7 3 2 6" xfId="12416" xr:uid="{00000000-0005-0000-0000-000007620000}"/>
    <cellStyle name="Output 7 3 2 6 2" xfId="27248" xr:uid="{00000000-0005-0000-0000-000008620000}"/>
    <cellStyle name="Output 7 3 2 7" xfId="9998" xr:uid="{00000000-0005-0000-0000-000009620000}"/>
    <cellStyle name="Output 7 3 2 7 2" xfId="24830" xr:uid="{00000000-0005-0000-0000-00000A620000}"/>
    <cellStyle name="Output 7 3 3" xfId="3303" xr:uid="{00000000-0005-0000-0000-00000B620000}"/>
    <cellStyle name="Output 7 3 3 2" xfId="7367" xr:uid="{00000000-0005-0000-0000-00000C620000}"/>
    <cellStyle name="Output 7 3 3 2 2" xfId="17106" xr:uid="{00000000-0005-0000-0000-00000D620000}"/>
    <cellStyle name="Output 7 3 3 2 2 2" xfId="31938" xr:uid="{00000000-0005-0000-0000-00000E620000}"/>
    <cellStyle name="Output 7 3 3 2 3" xfId="18990" xr:uid="{00000000-0005-0000-0000-00000F620000}"/>
    <cellStyle name="Output 7 3 3 3" xfId="13640" xr:uid="{00000000-0005-0000-0000-000010620000}"/>
    <cellStyle name="Output 7 3 3 3 2" xfId="28472" xr:uid="{00000000-0005-0000-0000-000011620000}"/>
    <cellStyle name="Output 7 3 3 4" xfId="10730" xr:uid="{00000000-0005-0000-0000-000012620000}"/>
    <cellStyle name="Output 7 3 3 4 2" xfId="25562" xr:uid="{00000000-0005-0000-0000-000013620000}"/>
    <cellStyle name="Output 7 3 4" xfId="4577" xr:uid="{00000000-0005-0000-0000-000014620000}"/>
    <cellStyle name="Output 7 3 4 2" xfId="8616" xr:uid="{00000000-0005-0000-0000-000015620000}"/>
    <cellStyle name="Output 7 3 4 2 2" xfId="17734" xr:uid="{00000000-0005-0000-0000-000016620000}"/>
    <cellStyle name="Output 7 3 4 2 2 2" xfId="32566" xr:uid="{00000000-0005-0000-0000-000017620000}"/>
    <cellStyle name="Output 7 3 4 2 3" xfId="19398" xr:uid="{00000000-0005-0000-0000-000018620000}"/>
    <cellStyle name="Output 7 3 4 3" xfId="14904" xr:uid="{00000000-0005-0000-0000-000019620000}"/>
    <cellStyle name="Output 7 3 4 3 2" xfId="29736" xr:uid="{00000000-0005-0000-0000-00001A620000}"/>
    <cellStyle name="Output 7 3 4 4" xfId="11340" xr:uid="{00000000-0005-0000-0000-00001B620000}"/>
    <cellStyle name="Output 7 3 4 4 2" xfId="26172" xr:uid="{00000000-0005-0000-0000-00001C620000}"/>
    <cellStyle name="Output 7 3 5" xfId="2567" xr:uid="{00000000-0005-0000-0000-00001D620000}"/>
    <cellStyle name="Output 7 3 5 2" xfId="6673" xr:uid="{00000000-0005-0000-0000-00001E620000}"/>
    <cellStyle name="Output 7 3 5 2 2" xfId="16631" xr:uid="{00000000-0005-0000-0000-00001F620000}"/>
    <cellStyle name="Output 7 3 5 2 2 2" xfId="31463" xr:uid="{00000000-0005-0000-0000-000020620000}"/>
    <cellStyle name="Output 7 3 5 2 3" xfId="18686" xr:uid="{00000000-0005-0000-0000-000021620000}"/>
    <cellStyle name="Output 7 3 5 3" xfId="12905" xr:uid="{00000000-0005-0000-0000-000022620000}"/>
    <cellStyle name="Output 7 3 5 3 2" xfId="27737" xr:uid="{00000000-0005-0000-0000-000023620000}"/>
    <cellStyle name="Output 7 3 5 4" xfId="10281" xr:uid="{00000000-0005-0000-0000-000024620000}"/>
    <cellStyle name="Output 7 3 5 4 2" xfId="25113" xr:uid="{00000000-0005-0000-0000-000025620000}"/>
    <cellStyle name="Output 7 3 6" xfId="5690" xr:uid="{00000000-0005-0000-0000-000026620000}"/>
    <cellStyle name="Output 7 3 6 2" xfId="15925" xr:uid="{00000000-0005-0000-0000-000027620000}"/>
    <cellStyle name="Output 7 3 6 2 2" xfId="30757" xr:uid="{00000000-0005-0000-0000-000028620000}"/>
    <cellStyle name="Output 7 3 6 3" xfId="18328" xr:uid="{00000000-0005-0000-0000-000029620000}"/>
    <cellStyle name="Output 7 3 7" xfId="11945" xr:uid="{00000000-0005-0000-0000-00002A620000}"/>
    <cellStyle name="Output 7 3 7 2" xfId="26777" xr:uid="{00000000-0005-0000-0000-00002B620000}"/>
    <cellStyle name="Output 7 3 8" xfId="9603" xr:uid="{00000000-0005-0000-0000-00002C620000}"/>
    <cellStyle name="Output 7 3 8 2" xfId="19905" xr:uid="{00000000-0005-0000-0000-00002D620000}"/>
    <cellStyle name="Output 7 4" xfId="1587" xr:uid="{00000000-0005-0000-0000-00002E620000}"/>
    <cellStyle name="Output 7 4 2" xfId="2084" xr:uid="{00000000-0005-0000-0000-00002F620000}"/>
    <cellStyle name="Output 7 4 2 2" xfId="3488" xr:uid="{00000000-0005-0000-0000-000030620000}"/>
    <cellStyle name="Output 7 4 2 2 2" xfId="7550" xr:uid="{00000000-0005-0000-0000-000031620000}"/>
    <cellStyle name="Output 7 4 2 2 2 2" xfId="17212" xr:uid="{00000000-0005-0000-0000-000032620000}"/>
    <cellStyle name="Output 7 4 2 2 2 2 2" xfId="32044" xr:uid="{00000000-0005-0000-0000-000033620000}"/>
    <cellStyle name="Output 7 4 2 2 2 3" xfId="19049" xr:uid="{00000000-0005-0000-0000-000034620000}"/>
    <cellStyle name="Output 7 4 2 2 3" xfId="13825" xr:uid="{00000000-0005-0000-0000-000035620000}"/>
    <cellStyle name="Output 7 4 2 2 3 2" xfId="28657" xr:uid="{00000000-0005-0000-0000-000036620000}"/>
    <cellStyle name="Output 7 4 2 2 4" xfId="10830" xr:uid="{00000000-0005-0000-0000-000037620000}"/>
    <cellStyle name="Output 7 4 2 2 4 2" xfId="25662" xr:uid="{00000000-0005-0000-0000-000038620000}"/>
    <cellStyle name="Output 7 4 2 3" xfId="5052" xr:uid="{00000000-0005-0000-0000-000039620000}"/>
    <cellStyle name="Output 7 4 2 3 2" xfId="9091" xr:uid="{00000000-0005-0000-0000-00003A620000}"/>
    <cellStyle name="Output 7 4 2 3 2 2" xfId="18024" xr:uid="{00000000-0005-0000-0000-00003B620000}"/>
    <cellStyle name="Output 7 4 2 3 2 2 2" xfId="32856" xr:uid="{00000000-0005-0000-0000-00003C620000}"/>
    <cellStyle name="Output 7 4 2 3 2 3" xfId="19590" xr:uid="{00000000-0005-0000-0000-00003D620000}"/>
    <cellStyle name="Output 7 4 2 3 3" xfId="15373" xr:uid="{00000000-0005-0000-0000-00003E620000}"/>
    <cellStyle name="Output 7 4 2 3 3 2" xfId="30205" xr:uid="{00000000-0005-0000-0000-00003F620000}"/>
    <cellStyle name="Output 7 4 2 3 4" xfId="11624" xr:uid="{00000000-0005-0000-0000-000040620000}"/>
    <cellStyle name="Output 7 4 2 3 4 2" xfId="26456" xr:uid="{00000000-0005-0000-0000-000041620000}"/>
    <cellStyle name="Output 7 4 2 4" xfId="3042" xr:uid="{00000000-0005-0000-0000-000042620000}"/>
    <cellStyle name="Output 7 4 2 4 2" xfId="7117" xr:uid="{00000000-0005-0000-0000-000043620000}"/>
    <cellStyle name="Output 7 4 2 4 2 2" xfId="16915" xr:uid="{00000000-0005-0000-0000-000044620000}"/>
    <cellStyle name="Output 7 4 2 4 2 2 2" xfId="31747" xr:uid="{00000000-0005-0000-0000-000045620000}"/>
    <cellStyle name="Output 7 4 2 4 2 3" xfId="18883" xr:uid="{00000000-0005-0000-0000-000046620000}"/>
    <cellStyle name="Output 7 4 2 4 3" xfId="13380" xr:uid="{00000000-0005-0000-0000-000047620000}"/>
    <cellStyle name="Output 7 4 2 4 3 2" xfId="28212" xr:uid="{00000000-0005-0000-0000-000048620000}"/>
    <cellStyle name="Output 7 4 2 4 4" xfId="10571" xr:uid="{00000000-0005-0000-0000-000049620000}"/>
    <cellStyle name="Output 7 4 2 4 4 2" xfId="25403" xr:uid="{00000000-0005-0000-0000-00004A620000}"/>
    <cellStyle name="Output 7 4 2 5" xfId="6209" xr:uid="{00000000-0005-0000-0000-00004B620000}"/>
    <cellStyle name="Output 7 4 2 5 2" xfId="16395" xr:uid="{00000000-0005-0000-0000-00004C620000}"/>
    <cellStyle name="Output 7 4 2 5 2 2" xfId="31227" xr:uid="{00000000-0005-0000-0000-00004D620000}"/>
    <cellStyle name="Output 7 4 2 5 3" xfId="18524" xr:uid="{00000000-0005-0000-0000-00004E620000}"/>
    <cellStyle name="Output 7 4 2 6" xfId="12465" xr:uid="{00000000-0005-0000-0000-00004F620000}"/>
    <cellStyle name="Output 7 4 2 6 2" xfId="27297" xr:uid="{00000000-0005-0000-0000-000050620000}"/>
    <cellStyle name="Output 7 4 2 7" xfId="10047" xr:uid="{00000000-0005-0000-0000-000051620000}"/>
    <cellStyle name="Output 7 4 2 7 2" xfId="24879" xr:uid="{00000000-0005-0000-0000-000052620000}"/>
    <cellStyle name="Output 7 4 3" xfId="3545" xr:uid="{00000000-0005-0000-0000-000053620000}"/>
    <cellStyle name="Output 7 4 3 2" xfId="7607" xr:uid="{00000000-0005-0000-0000-000054620000}"/>
    <cellStyle name="Output 7 4 3 2 2" xfId="17249" xr:uid="{00000000-0005-0000-0000-000055620000}"/>
    <cellStyle name="Output 7 4 3 2 2 2" xfId="32081" xr:uid="{00000000-0005-0000-0000-000056620000}"/>
    <cellStyle name="Output 7 4 3 2 3" xfId="19073" xr:uid="{00000000-0005-0000-0000-000057620000}"/>
    <cellStyle name="Output 7 4 3 3" xfId="13881" xr:uid="{00000000-0005-0000-0000-000058620000}"/>
    <cellStyle name="Output 7 4 3 3 2" xfId="28713" xr:uid="{00000000-0005-0000-0000-000059620000}"/>
    <cellStyle name="Output 7 4 3 4" xfId="10866" xr:uid="{00000000-0005-0000-0000-00005A620000}"/>
    <cellStyle name="Output 7 4 3 4 2" xfId="25698" xr:uid="{00000000-0005-0000-0000-00005B620000}"/>
    <cellStyle name="Output 7 4 4" xfId="4632" xr:uid="{00000000-0005-0000-0000-00005C620000}"/>
    <cellStyle name="Output 7 4 4 2" xfId="8671" xr:uid="{00000000-0005-0000-0000-00005D620000}"/>
    <cellStyle name="Output 7 4 4 2 2" xfId="17784" xr:uid="{00000000-0005-0000-0000-00005E620000}"/>
    <cellStyle name="Output 7 4 4 2 2 2" xfId="32616" xr:uid="{00000000-0005-0000-0000-00005F620000}"/>
    <cellStyle name="Output 7 4 4 2 3" xfId="19430" xr:uid="{00000000-0005-0000-0000-000060620000}"/>
    <cellStyle name="Output 7 4 4 3" xfId="14958" xr:uid="{00000000-0005-0000-0000-000061620000}"/>
    <cellStyle name="Output 7 4 4 3 2" xfId="29790" xr:uid="{00000000-0005-0000-0000-000062620000}"/>
    <cellStyle name="Output 7 4 4 4" xfId="11389" xr:uid="{00000000-0005-0000-0000-000063620000}"/>
    <cellStyle name="Output 7 4 4 4 2" xfId="26221" xr:uid="{00000000-0005-0000-0000-000064620000}"/>
    <cellStyle name="Output 7 4 5" xfId="2622" xr:uid="{00000000-0005-0000-0000-000065620000}"/>
    <cellStyle name="Output 7 4 5 2" xfId="6723" xr:uid="{00000000-0005-0000-0000-000066620000}"/>
    <cellStyle name="Output 7 4 5 2 2" xfId="16680" xr:uid="{00000000-0005-0000-0000-000067620000}"/>
    <cellStyle name="Output 7 4 5 2 2 2" xfId="31512" xr:uid="{00000000-0005-0000-0000-000068620000}"/>
    <cellStyle name="Output 7 4 5 2 3" xfId="18719" xr:uid="{00000000-0005-0000-0000-000069620000}"/>
    <cellStyle name="Output 7 4 5 3" xfId="12960" xr:uid="{00000000-0005-0000-0000-00006A620000}"/>
    <cellStyle name="Output 7 4 5 3 2" xfId="27792" xr:uid="{00000000-0005-0000-0000-00006B620000}"/>
    <cellStyle name="Output 7 4 5 4" xfId="10331" xr:uid="{00000000-0005-0000-0000-00006C620000}"/>
    <cellStyle name="Output 7 4 5 4 2" xfId="25163" xr:uid="{00000000-0005-0000-0000-00006D620000}"/>
    <cellStyle name="Output 7 4 6" xfId="5739" xr:uid="{00000000-0005-0000-0000-00006E620000}"/>
    <cellStyle name="Output 7 4 6 2" xfId="15974" xr:uid="{00000000-0005-0000-0000-00006F620000}"/>
    <cellStyle name="Output 7 4 6 2 2" xfId="30806" xr:uid="{00000000-0005-0000-0000-000070620000}"/>
    <cellStyle name="Output 7 4 6 3" xfId="18360" xr:uid="{00000000-0005-0000-0000-000071620000}"/>
    <cellStyle name="Output 7 4 7" xfId="11994" xr:uid="{00000000-0005-0000-0000-000072620000}"/>
    <cellStyle name="Output 7 4 7 2" xfId="26826" xr:uid="{00000000-0005-0000-0000-000073620000}"/>
    <cellStyle name="Output 7 4 8" xfId="9653" xr:uid="{00000000-0005-0000-0000-000074620000}"/>
    <cellStyle name="Output 7 4 8 2" xfId="19954" xr:uid="{00000000-0005-0000-0000-000075620000}"/>
    <cellStyle name="Output 7 5" xfId="1637" xr:uid="{00000000-0005-0000-0000-000076620000}"/>
    <cellStyle name="Output 7 5 2" xfId="2134" xr:uid="{00000000-0005-0000-0000-000077620000}"/>
    <cellStyle name="Output 7 5 2 2" xfId="3415" xr:uid="{00000000-0005-0000-0000-000078620000}"/>
    <cellStyle name="Output 7 5 2 2 2" xfId="7478" xr:uid="{00000000-0005-0000-0000-000079620000}"/>
    <cellStyle name="Output 7 5 2 2 2 2" xfId="17177" xr:uid="{00000000-0005-0000-0000-00007A620000}"/>
    <cellStyle name="Output 7 5 2 2 2 2 2" xfId="32009" xr:uid="{00000000-0005-0000-0000-00007B620000}"/>
    <cellStyle name="Output 7 5 2 2 2 3" xfId="19026" xr:uid="{00000000-0005-0000-0000-00007C620000}"/>
    <cellStyle name="Output 7 5 2 2 3" xfId="13752" xr:uid="{00000000-0005-0000-0000-00007D620000}"/>
    <cellStyle name="Output 7 5 2 2 3 2" xfId="28584" xr:uid="{00000000-0005-0000-0000-00007E620000}"/>
    <cellStyle name="Output 7 5 2 2 4" xfId="10796" xr:uid="{00000000-0005-0000-0000-00007F620000}"/>
    <cellStyle name="Output 7 5 2 2 4 2" xfId="25628" xr:uid="{00000000-0005-0000-0000-000080620000}"/>
    <cellStyle name="Output 7 5 2 3" xfId="5102" xr:uid="{00000000-0005-0000-0000-000081620000}"/>
    <cellStyle name="Output 7 5 2 3 2" xfId="9141" xr:uid="{00000000-0005-0000-0000-000082620000}"/>
    <cellStyle name="Output 7 5 2 3 2 2" xfId="18069" xr:uid="{00000000-0005-0000-0000-000083620000}"/>
    <cellStyle name="Output 7 5 2 3 2 2 2" xfId="32901" xr:uid="{00000000-0005-0000-0000-000084620000}"/>
    <cellStyle name="Output 7 5 2 3 2 3" xfId="19622" xr:uid="{00000000-0005-0000-0000-000085620000}"/>
    <cellStyle name="Output 7 5 2 3 3" xfId="15422" xr:uid="{00000000-0005-0000-0000-000086620000}"/>
    <cellStyle name="Output 7 5 2 3 3 2" xfId="30254" xr:uid="{00000000-0005-0000-0000-000087620000}"/>
    <cellStyle name="Output 7 5 2 3 4" xfId="11668" xr:uid="{00000000-0005-0000-0000-000088620000}"/>
    <cellStyle name="Output 7 5 2 3 4 2" xfId="26500" xr:uid="{00000000-0005-0000-0000-000089620000}"/>
    <cellStyle name="Output 7 5 2 4" xfId="3092" xr:uid="{00000000-0005-0000-0000-00008A620000}"/>
    <cellStyle name="Output 7 5 2 4 2" xfId="7162" xr:uid="{00000000-0005-0000-0000-00008B620000}"/>
    <cellStyle name="Output 7 5 2 4 2 2" xfId="16959" xr:uid="{00000000-0005-0000-0000-00008C620000}"/>
    <cellStyle name="Output 7 5 2 4 2 2 2" xfId="31791" xr:uid="{00000000-0005-0000-0000-00008D620000}"/>
    <cellStyle name="Output 7 5 2 4 2 3" xfId="18916" xr:uid="{00000000-0005-0000-0000-00008E620000}"/>
    <cellStyle name="Output 7 5 2 4 3" xfId="13430" xr:uid="{00000000-0005-0000-0000-00008F620000}"/>
    <cellStyle name="Output 7 5 2 4 3 2" xfId="28262" xr:uid="{00000000-0005-0000-0000-000090620000}"/>
    <cellStyle name="Output 7 5 2 4 4" xfId="10616" xr:uid="{00000000-0005-0000-0000-000091620000}"/>
    <cellStyle name="Output 7 5 2 4 4 2" xfId="25448" xr:uid="{00000000-0005-0000-0000-000092620000}"/>
    <cellStyle name="Output 7 5 2 5" xfId="6254" xr:uid="{00000000-0005-0000-0000-000093620000}"/>
    <cellStyle name="Output 7 5 2 5 2" xfId="16439" xr:uid="{00000000-0005-0000-0000-000094620000}"/>
    <cellStyle name="Output 7 5 2 5 2 2" xfId="31271" xr:uid="{00000000-0005-0000-0000-000095620000}"/>
    <cellStyle name="Output 7 5 2 5 3" xfId="18557" xr:uid="{00000000-0005-0000-0000-000096620000}"/>
    <cellStyle name="Output 7 5 2 6" xfId="12509" xr:uid="{00000000-0005-0000-0000-000097620000}"/>
    <cellStyle name="Output 7 5 2 6 2" xfId="27341" xr:uid="{00000000-0005-0000-0000-000098620000}"/>
    <cellStyle name="Output 7 5 2 7" xfId="10091" xr:uid="{00000000-0005-0000-0000-000099620000}"/>
    <cellStyle name="Output 7 5 2 7 2" xfId="24923" xr:uid="{00000000-0005-0000-0000-00009A620000}"/>
    <cellStyle name="Output 7 5 3" xfId="4006" xr:uid="{00000000-0005-0000-0000-00009B620000}"/>
    <cellStyle name="Output 7 5 3 2" xfId="8053" xr:uid="{00000000-0005-0000-0000-00009C620000}"/>
    <cellStyle name="Output 7 5 3 2 2" xfId="17470" xr:uid="{00000000-0005-0000-0000-00009D620000}"/>
    <cellStyle name="Output 7 5 3 2 2 2" xfId="32302" xr:uid="{00000000-0005-0000-0000-00009E620000}"/>
    <cellStyle name="Output 7 5 3 2 3" xfId="19231" xr:uid="{00000000-0005-0000-0000-00009F620000}"/>
    <cellStyle name="Output 7 5 3 3" xfId="14338" xr:uid="{00000000-0005-0000-0000-0000A0620000}"/>
    <cellStyle name="Output 7 5 3 3 2" xfId="29170" xr:uid="{00000000-0005-0000-0000-0000A1620000}"/>
    <cellStyle name="Output 7 5 3 4" xfId="11087" xr:uid="{00000000-0005-0000-0000-0000A2620000}"/>
    <cellStyle name="Output 7 5 3 4 2" xfId="25919" xr:uid="{00000000-0005-0000-0000-0000A3620000}"/>
    <cellStyle name="Output 7 5 4" xfId="4682" xr:uid="{00000000-0005-0000-0000-0000A4620000}"/>
    <cellStyle name="Output 7 5 4 2" xfId="8721" xr:uid="{00000000-0005-0000-0000-0000A5620000}"/>
    <cellStyle name="Output 7 5 4 2 2" xfId="17829" xr:uid="{00000000-0005-0000-0000-0000A6620000}"/>
    <cellStyle name="Output 7 5 4 2 2 2" xfId="32661" xr:uid="{00000000-0005-0000-0000-0000A7620000}"/>
    <cellStyle name="Output 7 5 4 2 3" xfId="19462" xr:uid="{00000000-0005-0000-0000-0000A8620000}"/>
    <cellStyle name="Output 7 5 4 3" xfId="15007" xr:uid="{00000000-0005-0000-0000-0000A9620000}"/>
    <cellStyle name="Output 7 5 4 3 2" xfId="29839" xr:uid="{00000000-0005-0000-0000-0000AA620000}"/>
    <cellStyle name="Output 7 5 4 4" xfId="11433" xr:uid="{00000000-0005-0000-0000-0000AB620000}"/>
    <cellStyle name="Output 7 5 4 4 2" xfId="26265" xr:uid="{00000000-0005-0000-0000-0000AC620000}"/>
    <cellStyle name="Output 7 5 5" xfId="2672" xr:uid="{00000000-0005-0000-0000-0000AD620000}"/>
    <cellStyle name="Output 7 5 5 2" xfId="6768" xr:uid="{00000000-0005-0000-0000-0000AE620000}"/>
    <cellStyle name="Output 7 5 5 2 2" xfId="16724" xr:uid="{00000000-0005-0000-0000-0000AF620000}"/>
    <cellStyle name="Output 7 5 5 2 2 2" xfId="31556" xr:uid="{00000000-0005-0000-0000-0000B0620000}"/>
    <cellStyle name="Output 7 5 5 2 3" xfId="18752" xr:uid="{00000000-0005-0000-0000-0000B1620000}"/>
    <cellStyle name="Output 7 5 5 3" xfId="13010" xr:uid="{00000000-0005-0000-0000-0000B2620000}"/>
    <cellStyle name="Output 7 5 5 3 2" xfId="27842" xr:uid="{00000000-0005-0000-0000-0000B3620000}"/>
    <cellStyle name="Output 7 5 5 4" xfId="10376" xr:uid="{00000000-0005-0000-0000-0000B4620000}"/>
    <cellStyle name="Output 7 5 5 4 2" xfId="25208" xr:uid="{00000000-0005-0000-0000-0000B5620000}"/>
    <cellStyle name="Output 7 5 6" xfId="5784" xr:uid="{00000000-0005-0000-0000-0000B6620000}"/>
    <cellStyle name="Output 7 5 6 2" xfId="16018" xr:uid="{00000000-0005-0000-0000-0000B7620000}"/>
    <cellStyle name="Output 7 5 6 2 2" xfId="30850" xr:uid="{00000000-0005-0000-0000-0000B8620000}"/>
    <cellStyle name="Output 7 5 6 3" xfId="18393" xr:uid="{00000000-0005-0000-0000-0000B9620000}"/>
    <cellStyle name="Output 7 5 7" xfId="12038" xr:uid="{00000000-0005-0000-0000-0000BA620000}"/>
    <cellStyle name="Output 7 5 7 2" xfId="26870" xr:uid="{00000000-0005-0000-0000-0000BB620000}"/>
    <cellStyle name="Output 7 5 8" xfId="9698" xr:uid="{00000000-0005-0000-0000-0000BC620000}"/>
    <cellStyle name="Output 7 5 8 2" xfId="19998" xr:uid="{00000000-0005-0000-0000-0000BD620000}"/>
    <cellStyle name="Output 7 6" xfId="1788" xr:uid="{00000000-0005-0000-0000-0000BE620000}"/>
    <cellStyle name="Output 7 6 2" xfId="3810" xr:uid="{00000000-0005-0000-0000-0000BF620000}"/>
    <cellStyle name="Output 7 6 2 2" xfId="7864" xr:uid="{00000000-0005-0000-0000-0000C0620000}"/>
    <cellStyle name="Output 7 6 2 2 2" xfId="17377" xr:uid="{00000000-0005-0000-0000-0000C1620000}"/>
    <cellStyle name="Output 7 6 2 2 2 2" xfId="32209" xr:uid="{00000000-0005-0000-0000-0000C2620000}"/>
    <cellStyle name="Output 7 6 2 2 3" xfId="19162" xr:uid="{00000000-0005-0000-0000-0000C3620000}"/>
    <cellStyle name="Output 7 6 2 3" xfId="14145" xr:uid="{00000000-0005-0000-0000-0000C4620000}"/>
    <cellStyle name="Output 7 6 2 3 2" xfId="28977" xr:uid="{00000000-0005-0000-0000-0000C5620000}"/>
    <cellStyle name="Output 7 6 2 4" xfId="10995" xr:uid="{00000000-0005-0000-0000-0000C6620000}"/>
    <cellStyle name="Output 7 6 2 4 2" xfId="25827" xr:uid="{00000000-0005-0000-0000-0000C7620000}"/>
    <cellStyle name="Output 7 6 3" xfId="4766" xr:uid="{00000000-0005-0000-0000-0000C8620000}"/>
    <cellStyle name="Output 7 6 3 2" xfId="8805" xr:uid="{00000000-0005-0000-0000-0000C9620000}"/>
    <cellStyle name="Output 7 6 3 2 2" xfId="17877" xr:uid="{00000000-0005-0000-0000-0000CA620000}"/>
    <cellStyle name="Output 7 6 3 2 2 2" xfId="32709" xr:uid="{00000000-0005-0000-0000-0000CB620000}"/>
    <cellStyle name="Output 7 6 3 2 3" xfId="19494" xr:uid="{00000000-0005-0000-0000-0000CC620000}"/>
    <cellStyle name="Output 7 6 3 3" xfId="15090" xr:uid="{00000000-0005-0000-0000-0000CD620000}"/>
    <cellStyle name="Output 7 6 3 3 2" xfId="29922" xr:uid="{00000000-0005-0000-0000-0000CE620000}"/>
    <cellStyle name="Output 7 6 3 4" xfId="11480" xr:uid="{00000000-0005-0000-0000-0000CF620000}"/>
    <cellStyle name="Output 7 6 3 4 2" xfId="26312" xr:uid="{00000000-0005-0000-0000-0000D0620000}"/>
    <cellStyle name="Output 7 6 4" xfId="2756" xr:uid="{00000000-0005-0000-0000-0000D1620000}"/>
    <cellStyle name="Output 7 6 4 2" xfId="6847" xr:uid="{00000000-0005-0000-0000-0000D2620000}"/>
    <cellStyle name="Output 7 6 4 2 2" xfId="16771" xr:uid="{00000000-0005-0000-0000-0000D3620000}"/>
    <cellStyle name="Output 7 6 4 2 2 2" xfId="31603" xr:uid="{00000000-0005-0000-0000-0000D4620000}"/>
    <cellStyle name="Output 7 6 4 2 3" xfId="18785" xr:uid="{00000000-0005-0000-0000-0000D5620000}"/>
    <cellStyle name="Output 7 6 4 3" xfId="13094" xr:uid="{00000000-0005-0000-0000-0000D6620000}"/>
    <cellStyle name="Output 7 6 4 3 2" xfId="27926" xr:uid="{00000000-0005-0000-0000-0000D7620000}"/>
    <cellStyle name="Output 7 6 4 4" xfId="10424" xr:uid="{00000000-0005-0000-0000-0000D8620000}"/>
    <cellStyle name="Output 7 6 4 4 2" xfId="25256" xr:uid="{00000000-0005-0000-0000-0000D9620000}"/>
    <cellStyle name="Output 7 6 5" xfId="5920" xr:uid="{00000000-0005-0000-0000-0000DA620000}"/>
    <cellStyle name="Output 7 6 5 2" xfId="16112" xr:uid="{00000000-0005-0000-0000-0000DB620000}"/>
    <cellStyle name="Output 7 6 5 2 2" xfId="30944" xr:uid="{00000000-0005-0000-0000-0000DC620000}"/>
    <cellStyle name="Output 7 6 5 3" xfId="18427" xr:uid="{00000000-0005-0000-0000-0000DD620000}"/>
    <cellStyle name="Output 7 6 6" xfId="12182" xr:uid="{00000000-0005-0000-0000-0000DE620000}"/>
    <cellStyle name="Output 7 6 6 2" xfId="27014" xr:uid="{00000000-0005-0000-0000-0000DF620000}"/>
    <cellStyle name="Output 7 6 7" xfId="9778" xr:uid="{00000000-0005-0000-0000-0000E0620000}"/>
    <cellStyle name="Output 7 6 7 2" xfId="24735" xr:uid="{00000000-0005-0000-0000-0000E1620000}"/>
    <cellStyle name="Output 7 7" xfId="2178" xr:uid="{00000000-0005-0000-0000-0000E2620000}"/>
    <cellStyle name="Output 7 7 2" xfId="4312" xr:uid="{00000000-0005-0000-0000-0000E3620000}"/>
    <cellStyle name="Output 7 7 2 2" xfId="8351" xr:uid="{00000000-0005-0000-0000-0000E4620000}"/>
    <cellStyle name="Output 7 7 2 2 2" xfId="17630" xr:uid="{00000000-0005-0000-0000-0000E5620000}"/>
    <cellStyle name="Output 7 7 2 2 2 2" xfId="32462" xr:uid="{00000000-0005-0000-0000-0000E6620000}"/>
    <cellStyle name="Output 7 7 2 2 3" xfId="19333" xr:uid="{00000000-0005-0000-0000-0000E7620000}"/>
    <cellStyle name="Output 7 7 2 3" xfId="14643" xr:uid="{00000000-0005-0000-0000-0000E8620000}"/>
    <cellStyle name="Output 7 7 2 3 2" xfId="29475" xr:uid="{00000000-0005-0000-0000-0000E9620000}"/>
    <cellStyle name="Output 7 7 2 4" xfId="11240" xr:uid="{00000000-0005-0000-0000-0000EA620000}"/>
    <cellStyle name="Output 7 7 2 4 2" xfId="26072" xr:uid="{00000000-0005-0000-0000-0000EB620000}"/>
    <cellStyle name="Output 7 7 3" xfId="5146" xr:uid="{00000000-0005-0000-0000-0000EC620000}"/>
    <cellStyle name="Output 7 7 3 2" xfId="9185" xr:uid="{00000000-0005-0000-0000-0000ED620000}"/>
    <cellStyle name="Output 7 7 3 2 2" xfId="18108" xr:uid="{00000000-0005-0000-0000-0000EE620000}"/>
    <cellStyle name="Output 7 7 3 2 2 2" xfId="32940" xr:uid="{00000000-0005-0000-0000-0000EF620000}"/>
    <cellStyle name="Output 7 7 3 2 3" xfId="19659" xr:uid="{00000000-0005-0000-0000-0000F0620000}"/>
    <cellStyle name="Output 7 7 3 3" xfId="15464" xr:uid="{00000000-0005-0000-0000-0000F1620000}"/>
    <cellStyle name="Output 7 7 3 3 2" xfId="30296" xr:uid="{00000000-0005-0000-0000-0000F2620000}"/>
    <cellStyle name="Output 7 7 3 4" xfId="11705" xr:uid="{00000000-0005-0000-0000-0000F3620000}"/>
    <cellStyle name="Output 7 7 3 4 2" xfId="26537" xr:uid="{00000000-0005-0000-0000-0000F4620000}"/>
    <cellStyle name="Output 7 7 4" xfId="4176" xr:uid="{00000000-0005-0000-0000-0000F5620000}"/>
    <cellStyle name="Output 7 7 4 2" xfId="8217" xr:uid="{00000000-0005-0000-0000-0000F6620000}"/>
    <cellStyle name="Output 7 7 4 2 2" xfId="17564" xr:uid="{00000000-0005-0000-0000-0000F7620000}"/>
    <cellStyle name="Output 7 7 4 2 2 2" xfId="32396" xr:uid="{00000000-0005-0000-0000-0000F8620000}"/>
    <cellStyle name="Output 7 7 4 2 3" xfId="19302" xr:uid="{00000000-0005-0000-0000-0000F9620000}"/>
    <cellStyle name="Output 7 7 4 3" xfId="14508" xr:uid="{00000000-0005-0000-0000-0000FA620000}"/>
    <cellStyle name="Output 7 7 4 3 2" xfId="29340" xr:uid="{00000000-0005-0000-0000-0000FB620000}"/>
    <cellStyle name="Output 7 7 4 4" xfId="11184" xr:uid="{00000000-0005-0000-0000-0000FC620000}"/>
    <cellStyle name="Output 7 7 4 4 2" xfId="26016" xr:uid="{00000000-0005-0000-0000-0000FD620000}"/>
    <cellStyle name="Output 7 7 5" xfId="6292" xr:uid="{00000000-0005-0000-0000-0000FE620000}"/>
    <cellStyle name="Output 7 7 5 2" xfId="16476" xr:uid="{00000000-0005-0000-0000-0000FF620000}"/>
    <cellStyle name="Output 7 7 5 2 2" xfId="31308" xr:uid="{00000000-0005-0000-0000-000000630000}"/>
    <cellStyle name="Output 7 7 5 3" xfId="18595" xr:uid="{00000000-0005-0000-0000-000001630000}"/>
    <cellStyle name="Output 7 7 6" xfId="12546" xr:uid="{00000000-0005-0000-0000-000002630000}"/>
    <cellStyle name="Output 7 7 6 2" xfId="27378" xr:uid="{00000000-0005-0000-0000-000003630000}"/>
    <cellStyle name="Output 7 7 7" xfId="10128" xr:uid="{00000000-0005-0000-0000-000004630000}"/>
    <cellStyle name="Output 7 7 7 2" xfId="24960" xr:uid="{00000000-0005-0000-0000-000005630000}"/>
    <cellStyle name="Output 7 8" xfId="3739" xr:uid="{00000000-0005-0000-0000-000006630000}"/>
    <cellStyle name="Output 7 8 2" xfId="7795" xr:uid="{00000000-0005-0000-0000-000007630000}"/>
    <cellStyle name="Output 7 8 2 2" xfId="17342" xr:uid="{00000000-0005-0000-0000-000008630000}"/>
    <cellStyle name="Output 7 8 2 2 2" xfId="32174" xr:uid="{00000000-0005-0000-0000-000009630000}"/>
    <cellStyle name="Output 7 8 2 3" xfId="19137" xr:uid="{00000000-0005-0000-0000-00000A630000}"/>
    <cellStyle name="Output 7 8 3" xfId="14074" xr:uid="{00000000-0005-0000-0000-00000B630000}"/>
    <cellStyle name="Output 7 8 3 2" xfId="28906" xr:uid="{00000000-0005-0000-0000-00000C630000}"/>
    <cellStyle name="Output 7 8 4" xfId="10958" xr:uid="{00000000-0005-0000-0000-00000D630000}"/>
    <cellStyle name="Output 7 8 4 2" xfId="25790" xr:uid="{00000000-0005-0000-0000-00000E630000}"/>
    <cellStyle name="Output 7 9" xfId="3687" xr:uid="{00000000-0005-0000-0000-00000F630000}"/>
    <cellStyle name="Output 7 9 2" xfId="7744" xr:uid="{00000000-0005-0000-0000-000010630000}"/>
    <cellStyle name="Output 7 9 2 2" xfId="17315" xr:uid="{00000000-0005-0000-0000-000011630000}"/>
    <cellStyle name="Output 7 9 2 2 2" xfId="32147" xr:uid="{00000000-0005-0000-0000-000012630000}"/>
    <cellStyle name="Output 7 9 2 3" xfId="19122" xr:uid="{00000000-0005-0000-0000-000013630000}"/>
    <cellStyle name="Output 7 9 3" xfId="14022" xr:uid="{00000000-0005-0000-0000-000014630000}"/>
    <cellStyle name="Output 7 9 3 2" xfId="28854" xr:uid="{00000000-0005-0000-0000-000015630000}"/>
    <cellStyle name="Output 7 9 4" xfId="10932" xr:uid="{00000000-0005-0000-0000-000016630000}"/>
    <cellStyle name="Output 7 9 4 2" xfId="25764" xr:uid="{00000000-0005-0000-0000-000017630000}"/>
    <cellStyle name="Output 8" xfId="1244" xr:uid="{00000000-0005-0000-0000-000018630000}"/>
    <cellStyle name="Output 8 10" xfId="2330" xr:uid="{00000000-0005-0000-0000-000019630000}"/>
    <cellStyle name="Output 8 10 2" xfId="6442" xr:uid="{00000000-0005-0000-0000-00001A630000}"/>
    <cellStyle name="Output 8 10 2 2" xfId="16535" xr:uid="{00000000-0005-0000-0000-00001B630000}"/>
    <cellStyle name="Output 8 10 2 2 2" xfId="31367" xr:uid="{00000000-0005-0000-0000-00001C630000}"/>
    <cellStyle name="Output 8 10 2 3" xfId="18623" xr:uid="{00000000-0005-0000-0000-00001D630000}"/>
    <cellStyle name="Output 8 10 3" xfId="12670" xr:uid="{00000000-0005-0000-0000-00001E630000}"/>
    <cellStyle name="Output 8 10 3 2" xfId="27502" xr:uid="{00000000-0005-0000-0000-00001F630000}"/>
    <cellStyle name="Output 8 10 4" xfId="10186" xr:uid="{00000000-0005-0000-0000-000020630000}"/>
    <cellStyle name="Output 8 10 4 2" xfId="25018" xr:uid="{00000000-0005-0000-0000-000021630000}"/>
    <cellStyle name="Output 8 11" xfId="5293" xr:uid="{00000000-0005-0000-0000-000022630000}"/>
    <cellStyle name="Output 8 11 2" xfId="9301" xr:uid="{00000000-0005-0000-0000-000023630000}"/>
    <cellStyle name="Output 8 11 2 2" xfId="18168" xr:uid="{00000000-0005-0000-0000-000024630000}"/>
    <cellStyle name="Output 8 11 2 2 2" xfId="33000" xr:uid="{00000000-0005-0000-0000-000025630000}"/>
    <cellStyle name="Output 8 11 2 3" xfId="19687" xr:uid="{00000000-0005-0000-0000-000026630000}"/>
    <cellStyle name="Output 8 11 3" xfId="15609" xr:uid="{00000000-0005-0000-0000-000027630000}"/>
    <cellStyle name="Output 8 11 3 2" xfId="30441" xr:uid="{00000000-0005-0000-0000-000028630000}"/>
    <cellStyle name="Output 8 12" xfId="5451" xr:uid="{00000000-0005-0000-0000-000029630000}"/>
    <cellStyle name="Output 8 12 2" xfId="15687" xr:uid="{00000000-0005-0000-0000-00002A630000}"/>
    <cellStyle name="Output 8 12 2 2" xfId="30519" xr:uid="{00000000-0005-0000-0000-00002B630000}"/>
    <cellStyle name="Output 8 12 3" xfId="18264" xr:uid="{00000000-0005-0000-0000-00002C630000}"/>
    <cellStyle name="Output 8 13" xfId="9340" xr:uid="{00000000-0005-0000-0000-00002D630000}"/>
    <cellStyle name="Output 8 13 2" xfId="24646" xr:uid="{00000000-0005-0000-0000-00002E630000}"/>
    <cellStyle name="Output 8 14" xfId="5329" xr:uid="{00000000-0005-0000-0000-00002F630000}"/>
    <cellStyle name="Output 8 14 2" xfId="18203" xr:uid="{00000000-0005-0000-0000-000030630000}"/>
    <cellStyle name="Output 8 2" xfId="1363" xr:uid="{00000000-0005-0000-0000-000031630000}"/>
    <cellStyle name="Output 8 2 2" xfId="1867" xr:uid="{00000000-0005-0000-0000-000032630000}"/>
    <cellStyle name="Output 8 2 2 2" xfId="3473" xr:uid="{00000000-0005-0000-0000-000033630000}"/>
    <cellStyle name="Output 8 2 2 2 2" xfId="7535" xr:uid="{00000000-0005-0000-0000-000034630000}"/>
    <cellStyle name="Output 8 2 2 2 2 2" xfId="17205" xr:uid="{00000000-0005-0000-0000-000035630000}"/>
    <cellStyle name="Output 8 2 2 2 2 2 2" xfId="32037" xr:uid="{00000000-0005-0000-0000-000036630000}"/>
    <cellStyle name="Output 8 2 2 2 2 3" xfId="19044" xr:uid="{00000000-0005-0000-0000-000037630000}"/>
    <cellStyle name="Output 8 2 2 2 3" xfId="13810" xr:uid="{00000000-0005-0000-0000-000038630000}"/>
    <cellStyle name="Output 8 2 2 2 3 2" xfId="28642" xr:uid="{00000000-0005-0000-0000-000039630000}"/>
    <cellStyle name="Output 8 2 2 2 4" xfId="10823" xr:uid="{00000000-0005-0000-0000-00003A630000}"/>
    <cellStyle name="Output 8 2 2 2 4 2" xfId="25655" xr:uid="{00000000-0005-0000-0000-00003B630000}"/>
    <cellStyle name="Output 8 2 2 3" xfId="4845" xr:uid="{00000000-0005-0000-0000-00003C630000}"/>
    <cellStyle name="Output 8 2 2 3 2" xfId="8884" xr:uid="{00000000-0005-0000-0000-00003D630000}"/>
    <cellStyle name="Output 8 2 2 3 2 2" xfId="17925" xr:uid="{00000000-0005-0000-0000-00003E630000}"/>
    <cellStyle name="Output 8 2 2 3 2 2 2" xfId="32757" xr:uid="{00000000-0005-0000-0000-00003F630000}"/>
    <cellStyle name="Output 8 2 2 3 2 3" xfId="19527" xr:uid="{00000000-0005-0000-0000-000040630000}"/>
    <cellStyle name="Output 8 2 2 3 3" xfId="15169" xr:uid="{00000000-0005-0000-0000-000041630000}"/>
    <cellStyle name="Output 8 2 2 3 3 2" xfId="30001" xr:uid="{00000000-0005-0000-0000-000042630000}"/>
    <cellStyle name="Output 8 2 2 3 4" xfId="11528" xr:uid="{00000000-0005-0000-0000-000043630000}"/>
    <cellStyle name="Output 8 2 2 3 4 2" xfId="26360" xr:uid="{00000000-0005-0000-0000-000044630000}"/>
    <cellStyle name="Output 8 2 2 4" xfId="2835" xr:uid="{00000000-0005-0000-0000-000045630000}"/>
    <cellStyle name="Output 8 2 2 4 2" xfId="6926" xr:uid="{00000000-0005-0000-0000-000046630000}"/>
    <cellStyle name="Output 8 2 2 4 2 2" xfId="16819" xr:uid="{00000000-0005-0000-0000-000047630000}"/>
    <cellStyle name="Output 8 2 2 4 2 2 2" xfId="31651" xr:uid="{00000000-0005-0000-0000-000048630000}"/>
    <cellStyle name="Output 8 2 2 4 2 3" xfId="18818" xr:uid="{00000000-0005-0000-0000-000049630000}"/>
    <cellStyle name="Output 8 2 2 4 3" xfId="13173" xr:uid="{00000000-0005-0000-0000-00004A630000}"/>
    <cellStyle name="Output 8 2 2 4 3 2" xfId="28005" xr:uid="{00000000-0005-0000-0000-00004B630000}"/>
    <cellStyle name="Output 8 2 2 4 4" xfId="10472" xr:uid="{00000000-0005-0000-0000-00004C630000}"/>
    <cellStyle name="Output 8 2 2 4 4 2" xfId="25304" xr:uid="{00000000-0005-0000-0000-00004D630000}"/>
    <cellStyle name="Output 8 2 2 5" xfId="5999" xr:uid="{00000000-0005-0000-0000-00004E630000}"/>
    <cellStyle name="Output 8 2 2 5 2" xfId="16191" xr:uid="{00000000-0005-0000-0000-00004F630000}"/>
    <cellStyle name="Output 8 2 2 5 2 2" xfId="31023" xr:uid="{00000000-0005-0000-0000-000050630000}"/>
    <cellStyle name="Output 8 2 2 5 3" xfId="18460" xr:uid="{00000000-0005-0000-0000-000051630000}"/>
    <cellStyle name="Output 8 2 2 6" xfId="12261" xr:uid="{00000000-0005-0000-0000-000052630000}"/>
    <cellStyle name="Output 8 2 2 6 2" xfId="27093" xr:uid="{00000000-0005-0000-0000-000053630000}"/>
    <cellStyle name="Output 8 2 2 7" xfId="9857" xr:uid="{00000000-0005-0000-0000-000054630000}"/>
    <cellStyle name="Output 8 2 2 7 2" xfId="24783" xr:uid="{00000000-0005-0000-0000-000055630000}"/>
    <cellStyle name="Output 8 2 3" xfId="4112" xr:uid="{00000000-0005-0000-0000-000056630000}"/>
    <cellStyle name="Output 8 2 3 2" xfId="8158" xr:uid="{00000000-0005-0000-0000-000057630000}"/>
    <cellStyle name="Output 8 2 3 2 2" xfId="17526" xr:uid="{00000000-0005-0000-0000-000058630000}"/>
    <cellStyle name="Output 8 2 3 2 2 2" xfId="32358" xr:uid="{00000000-0005-0000-0000-000059630000}"/>
    <cellStyle name="Output 8 2 3 2 3" xfId="19272" xr:uid="{00000000-0005-0000-0000-00005A630000}"/>
    <cellStyle name="Output 8 2 3 3" xfId="14444" xr:uid="{00000000-0005-0000-0000-00005B630000}"/>
    <cellStyle name="Output 8 2 3 3 2" xfId="29276" xr:uid="{00000000-0005-0000-0000-00005C630000}"/>
    <cellStyle name="Output 8 2 3 4" xfId="11143" xr:uid="{00000000-0005-0000-0000-00005D630000}"/>
    <cellStyle name="Output 8 2 3 4 2" xfId="25975" xr:uid="{00000000-0005-0000-0000-00005E630000}"/>
    <cellStyle name="Output 8 2 4" xfId="4425" xr:uid="{00000000-0005-0000-0000-00005F630000}"/>
    <cellStyle name="Output 8 2 4 2" xfId="8464" xr:uid="{00000000-0005-0000-0000-000060630000}"/>
    <cellStyle name="Output 8 2 4 2 2" xfId="17685" xr:uid="{00000000-0005-0000-0000-000061630000}"/>
    <cellStyle name="Output 8 2 4 2 2 2" xfId="32517" xr:uid="{00000000-0005-0000-0000-000062630000}"/>
    <cellStyle name="Output 8 2 4 2 3" xfId="19367" xr:uid="{00000000-0005-0000-0000-000063630000}"/>
    <cellStyle name="Output 8 2 4 3" xfId="14754" xr:uid="{00000000-0005-0000-0000-000064630000}"/>
    <cellStyle name="Output 8 2 4 3 2" xfId="29586" xr:uid="{00000000-0005-0000-0000-000065630000}"/>
    <cellStyle name="Output 8 2 4 4" xfId="11293" xr:uid="{00000000-0005-0000-0000-000066630000}"/>
    <cellStyle name="Output 8 2 4 4 2" xfId="26125" xr:uid="{00000000-0005-0000-0000-000067630000}"/>
    <cellStyle name="Output 8 2 5" xfId="2415" xr:uid="{00000000-0005-0000-0000-000068630000}"/>
    <cellStyle name="Output 8 2 5 2" xfId="6527" xr:uid="{00000000-0005-0000-0000-000069630000}"/>
    <cellStyle name="Output 8 2 5 2 2" xfId="16583" xr:uid="{00000000-0005-0000-0000-00006A630000}"/>
    <cellStyle name="Output 8 2 5 2 2 2" xfId="31415" xr:uid="{00000000-0005-0000-0000-00006B630000}"/>
    <cellStyle name="Output 8 2 5 2 3" xfId="18655" xr:uid="{00000000-0005-0000-0000-00006C630000}"/>
    <cellStyle name="Output 8 2 5 3" xfId="12754" xr:uid="{00000000-0005-0000-0000-00006D630000}"/>
    <cellStyle name="Output 8 2 5 3 2" xfId="27586" xr:uid="{00000000-0005-0000-0000-00006E630000}"/>
    <cellStyle name="Output 8 2 5 4" xfId="10233" xr:uid="{00000000-0005-0000-0000-00006F630000}"/>
    <cellStyle name="Output 8 2 5 4 2" xfId="25065" xr:uid="{00000000-0005-0000-0000-000070630000}"/>
    <cellStyle name="Output 8 2 6" xfId="5540" xr:uid="{00000000-0005-0000-0000-000071630000}"/>
    <cellStyle name="Output 8 2 6 2" xfId="15775" xr:uid="{00000000-0005-0000-0000-000072630000}"/>
    <cellStyle name="Output 8 2 6 2 2" xfId="30607" xr:uid="{00000000-0005-0000-0000-000073630000}"/>
    <cellStyle name="Output 8 2 6 3" xfId="18297" xr:uid="{00000000-0005-0000-0000-000074630000}"/>
    <cellStyle name="Output 8 2 7" xfId="11790" xr:uid="{00000000-0005-0000-0000-000075630000}"/>
    <cellStyle name="Output 8 2 7 2" xfId="26622" xr:uid="{00000000-0005-0000-0000-000076630000}"/>
    <cellStyle name="Output 8 2 8" xfId="9461" xr:uid="{00000000-0005-0000-0000-000077630000}"/>
    <cellStyle name="Output 8 2 8 2" xfId="19765" xr:uid="{00000000-0005-0000-0000-000078630000}"/>
    <cellStyle name="Output 8 3" xfId="1533" xr:uid="{00000000-0005-0000-0000-000079630000}"/>
    <cellStyle name="Output 8 3 2" xfId="2030" xr:uid="{00000000-0005-0000-0000-00007A630000}"/>
    <cellStyle name="Output 8 3 2 2" xfId="3808" xr:uid="{00000000-0005-0000-0000-00007B630000}"/>
    <cellStyle name="Output 8 3 2 2 2" xfId="7863" xr:uid="{00000000-0005-0000-0000-00007C630000}"/>
    <cellStyle name="Output 8 3 2 2 2 2" xfId="17376" xr:uid="{00000000-0005-0000-0000-00007D630000}"/>
    <cellStyle name="Output 8 3 2 2 2 2 2" xfId="32208" xr:uid="{00000000-0005-0000-0000-00007E630000}"/>
    <cellStyle name="Output 8 3 2 2 2 3" xfId="19161" xr:uid="{00000000-0005-0000-0000-00007F630000}"/>
    <cellStyle name="Output 8 3 2 2 3" xfId="14143" xr:uid="{00000000-0005-0000-0000-000080630000}"/>
    <cellStyle name="Output 8 3 2 2 3 2" xfId="28975" xr:uid="{00000000-0005-0000-0000-000081630000}"/>
    <cellStyle name="Output 8 3 2 2 4" xfId="10993" xr:uid="{00000000-0005-0000-0000-000082630000}"/>
    <cellStyle name="Output 8 3 2 2 4 2" xfId="25825" xr:uid="{00000000-0005-0000-0000-000083630000}"/>
    <cellStyle name="Output 8 3 2 3" xfId="4998" xr:uid="{00000000-0005-0000-0000-000084630000}"/>
    <cellStyle name="Output 8 3 2 3 2" xfId="9037" xr:uid="{00000000-0005-0000-0000-000085630000}"/>
    <cellStyle name="Output 8 3 2 3 2 2" xfId="17975" xr:uid="{00000000-0005-0000-0000-000086630000}"/>
    <cellStyle name="Output 8 3 2 3 2 2 2" xfId="32807" xr:uid="{00000000-0005-0000-0000-000087630000}"/>
    <cellStyle name="Output 8 3 2 3 2 3" xfId="19559" xr:uid="{00000000-0005-0000-0000-000088630000}"/>
    <cellStyle name="Output 8 3 2 3 3" xfId="15320" xr:uid="{00000000-0005-0000-0000-000089630000}"/>
    <cellStyle name="Output 8 3 2 3 3 2" xfId="30152" xr:uid="{00000000-0005-0000-0000-00008A630000}"/>
    <cellStyle name="Output 8 3 2 3 4" xfId="11576" xr:uid="{00000000-0005-0000-0000-00008B630000}"/>
    <cellStyle name="Output 8 3 2 3 4 2" xfId="26408" xr:uid="{00000000-0005-0000-0000-00008C630000}"/>
    <cellStyle name="Output 8 3 2 4" xfId="2988" xr:uid="{00000000-0005-0000-0000-00008D630000}"/>
    <cellStyle name="Output 8 3 2 4 2" xfId="7068" xr:uid="{00000000-0005-0000-0000-00008E630000}"/>
    <cellStyle name="Output 8 3 2 4 2 2" xfId="16867" xr:uid="{00000000-0005-0000-0000-00008F630000}"/>
    <cellStyle name="Output 8 3 2 4 2 2 2" xfId="31699" xr:uid="{00000000-0005-0000-0000-000090630000}"/>
    <cellStyle name="Output 8 3 2 4 2 3" xfId="18851" xr:uid="{00000000-0005-0000-0000-000091630000}"/>
    <cellStyle name="Output 8 3 2 4 3" xfId="13326" xr:uid="{00000000-0005-0000-0000-000092630000}"/>
    <cellStyle name="Output 8 3 2 4 3 2" xfId="28158" xr:uid="{00000000-0005-0000-0000-000093630000}"/>
    <cellStyle name="Output 8 3 2 4 4" xfId="10522" xr:uid="{00000000-0005-0000-0000-000094630000}"/>
    <cellStyle name="Output 8 3 2 4 4 2" xfId="25354" xr:uid="{00000000-0005-0000-0000-000095630000}"/>
    <cellStyle name="Output 8 3 2 5" xfId="6160" xr:uid="{00000000-0005-0000-0000-000096630000}"/>
    <cellStyle name="Output 8 3 2 5 2" xfId="16347" xr:uid="{00000000-0005-0000-0000-000097630000}"/>
    <cellStyle name="Output 8 3 2 5 2 2" xfId="31179" xr:uid="{00000000-0005-0000-0000-000098630000}"/>
    <cellStyle name="Output 8 3 2 5 3" xfId="18492" xr:uid="{00000000-0005-0000-0000-000099630000}"/>
    <cellStyle name="Output 8 3 2 6" xfId="12417" xr:uid="{00000000-0005-0000-0000-00009A630000}"/>
    <cellStyle name="Output 8 3 2 6 2" xfId="27249" xr:uid="{00000000-0005-0000-0000-00009B630000}"/>
    <cellStyle name="Output 8 3 2 7" xfId="9999" xr:uid="{00000000-0005-0000-0000-00009C630000}"/>
    <cellStyle name="Output 8 3 2 7 2" xfId="24831" xr:uid="{00000000-0005-0000-0000-00009D630000}"/>
    <cellStyle name="Output 8 3 3" xfId="3292" xr:uid="{00000000-0005-0000-0000-00009E630000}"/>
    <cellStyle name="Output 8 3 3 2" xfId="7356" xr:uid="{00000000-0005-0000-0000-00009F630000}"/>
    <cellStyle name="Output 8 3 3 2 2" xfId="17098" xr:uid="{00000000-0005-0000-0000-0000A0630000}"/>
    <cellStyle name="Output 8 3 3 2 2 2" xfId="31930" xr:uid="{00000000-0005-0000-0000-0000A1630000}"/>
    <cellStyle name="Output 8 3 3 2 3" xfId="18986" xr:uid="{00000000-0005-0000-0000-0000A2630000}"/>
    <cellStyle name="Output 8 3 3 3" xfId="13629" xr:uid="{00000000-0005-0000-0000-0000A3630000}"/>
    <cellStyle name="Output 8 3 3 3 2" xfId="28461" xr:uid="{00000000-0005-0000-0000-0000A4630000}"/>
    <cellStyle name="Output 8 3 3 4" xfId="10724" xr:uid="{00000000-0005-0000-0000-0000A5630000}"/>
    <cellStyle name="Output 8 3 3 4 2" xfId="25556" xr:uid="{00000000-0005-0000-0000-0000A6630000}"/>
    <cellStyle name="Output 8 3 4" xfId="4578" xr:uid="{00000000-0005-0000-0000-0000A7630000}"/>
    <cellStyle name="Output 8 3 4 2" xfId="8617" xr:uid="{00000000-0005-0000-0000-0000A8630000}"/>
    <cellStyle name="Output 8 3 4 2 2" xfId="17735" xr:uid="{00000000-0005-0000-0000-0000A9630000}"/>
    <cellStyle name="Output 8 3 4 2 2 2" xfId="32567" xr:uid="{00000000-0005-0000-0000-0000AA630000}"/>
    <cellStyle name="Output 8 3 4 2 3" xfId="19399" xr:uid="{00000000-0005-0000-0000-0000AB630000}"/>
    <cellStyle name="Output 8 3 4 3" xfId="14905" xr:uid="{00000000-0005-0000-0000-0000AC630000}"/>
    <cellStyle name="Output 8 3 4 3 2" xfId="29737" xr:uid="{00000000-0005-0000-0000-0000AD630000}"/>
    <cellStyle name="Output 8 3 4 4" xfId="11341" xr:uid="{00000000-0005-0000-0000-0000AE630000}"/>
    <cellStyle name="Output 8 3 4 4 2" xfId="26173" xr:uid="{00000000-0005-0000-0000-0000AF630000}"/>
    <cellStyle name="Output 8 3 5" xfId="2568" xr:uid="{00000000-0005-0000-0000-0000B0630000}"/>
    <cellStyle name="Output 8 3 5 2" xfId="6674" xr:uid="{00000000-0005-0000-0000-0000B1630000}"/>
    <cellStyle name="Output 8 3 5 2 2" xfId="16632" xr:uid="{00000000-0005-0000-0000-0000B2630000}"/>
    <cellStyle name="Output 8 3 5 2 2 2" xfId="31464" xr:uid="{00000000-0005-0000-0000-0000B3630000}"/>
    <cellStyle name="Output 8 3 5 2 3" xfId="18687" xr:uid="{00000000-0005-0000-0000-0000B4630000}"/>
    <cellStyle name="Output 8 3 5 3" xfId="12906" xr:uid="{00000000-0005-0000-0000-0000B5630000}"/>
    <cellStyle name="Output 8 3 5 3 2" xfId="27738" xr:uid="{00000000-0005-0000-0000-0000B6630000}"/>
    <cellStyle name="Output 8 3 5 4" xfId="10282" xr:uid="{00000000-0005-0000-0000-0000B7630000}"/>
    <cellStyle name="Output 8 3 5 4 2" xfId="25114" xr:uid="{00000000-0005-0000-0000-0000B8630000}"/>
    <cellStyle name="Output 8 3 6" xfId="5691" xr:uid="{00000000-0005-0000-0000-0000B9630000}"/>
    <cellStyle name="Output 8 3 6 2" xfId="15926" xr:uid="{00000000-0005-0000-0000-0000BA630000}"/>
    <cellStyle name="Output 8 3 6 2 2" xfId="30758" xr:uid="{00000000-0005-0000-0000-0000BB630000}"/>
    <cellStyle name="Output 8 3 6 3" xfId="18329" xr:uid="{00000000-0005-0000-0000-0000BC630000}"/>
    <cellStyle name="Output 8 3 7" xfId="11946" xr:uid="{00000000-0005-0000-0000-0000BD630000}"/>
    <cellStyle name="Output 8 3 7 2" xfId="26778" xr:uid="{00000000-0005-0000-0000-0000BE630000}"/>
    <cellStyle name="Output 8 3 8" xfId="9604" xr:uid="{00000000-0005-0000-0000-0000BF630000}"/>
    <cellStyle name="Output 8 3 8 2" xfId="19906" xr:uid="{00000000-0005-0000-0000-0000C0630000}"/>
    <cellStyle name="Output 8 4" xfId="1588" xr:uid="{00000000-0005-0000-0000-0000C1630000}"/>
    <cellStyle name="Output 8 4 2" xfId="2085" xr:uid="{00000000-0005-0000-0000-0000C2630000}"/>
    <cellStyle name="Output 8 4 2 2" xfId="3800" xr:uid="{00000000-0005-0000-0000-0000C3630000}"/>
    <cellStyle name="Output 8 4 2 2 2" xfId="7855" xr:uid="{00000000-0005-0000-0000-0000C4630000}"/>
    <cellStyle name="Output 8 4 2 2 2 2" xfId="17370" xr:uid="{00000000-0005-0000-0000-0000C5630000}"/>
    <cellStyle name="Output 8 4 2 2 2 2 2" xfId="32202" xr:uid="{00000000-0005-0000-0000-0000C6630000}"/>
    <cellStyle name="Output 8 4 2 2 2 3" xfId="19157" xr:uid="{00000000-0005-0000-0000-0000C7630000}"/>
    <cellStyle name="Output 8 4 2 2 3" xfId="14135" xr:uid="{00000000-0005-0000-0000-0000C8630000}"/>
    <cellStyle name="Output 8 4 2 2 3 2" xfId="28967" xr:uid="{00000000-0005-0000-0000-0000C9630000}"/>
    <cellStyle name="Output 8 4 2 2 4" xfId="10987" xr:uid="{00000000-0005-0000-0000-0000CA630000}"/>
    <cellStyle name="Output 8 4 2 2 4 2" xfId="25819" xr:uid="{00000000-0005-0000-0000-0000CB630000}"/>
    <cellStyle name="Output 8 4 2 3" xfId="5053" xr:uid="{00000000-0005-0000-0000-0000CC630000}"/>
    <cellStyle name="Output 8 4 2 3 2" xfId="9092" xr:uid="{00000000-0005-0000-0000-0000CD630000}"/>
    <cellStyle name="Output 8 4 2 3 2 2" xfId="18025" xr:uid="{00000000-0005-0000-0000-0000CE630000}"/>
    <cellStyle name="Output 8 4 2 3 2 2 2" xfId="32857" xr:uid="{00000000-0005-0000-0000-0000CF630000}"/>
    <cellStyle name="Output 8 4 2 3 2 3" xfId="19591" xr:uid="{00000000-0005-0000-0000-0000D0630000}"/>
    <cellStyle name="Output 8 4 2 3 3" xfId="15374" xr:uid="{00000000-0005-0000-0000-0000D1630000}"/>
    <cellStyle name="Output 8 4 2 3 3 2" xfId="30206" xr:uid="{00000000-0005-0000-0000-0000D2630000}"/>
    <cellStyle name="Output 8 4 2 3 4" xfId="11625" xr:uid="{00000000-0005-0000-0000-0000D3630000}"/>
    <cellStyle name="Output 8 4 2 3 4 2" xfId="26457" xr:uid="{00000000-0005-0000-0000-0000D4630000}"/>
    <cellStyle name="Output 8 4 2 4" xfId="3043" xr:uid="{00000000-0005-0000-0000-0000D5630000}"/>
    <cellStyle name="Output 8 4 2 4 2" xfId="7118" xr:uid="{00000000-0005-0000-0000-0000D6630000}"/>
    <cellStyle name="Output 8 4 2 4 2 2" xfId="16916" xr:uid="{00000000-0005-0000-0000-0000D7630000}"/>
    <cellStyle name="Output 8 4 2 4 2 2 2" xfId="31748" xr:uid="{00000000-0005-0000-0000-0000D8630000}"/>
    <cellStyle name="Output 8 4 2 4 2 3" xfId="18884" xr:uid="{00000000-0005-0000-0000-0000D9630000}"/>
    <cellStyle name="Output 8 4 2 4 3" xfId="13381" xr:uid="{00000000-0005-0000-0000-0000DA630000}"/>
    <cellStyle name="Output 8 4 2 4 3 2" xfId="28213" xr:uid="{00000000-0005-0000-0000-0000DB630000}"/>
    <cellStyle name="Output 8 4 2 4 4" xfId="10572" xr:uid="{00000000-0005-0000-0000-0000DC630000}"/>
    <cellStyle name="Output 8 4 2 4 4 2" xfId="25404" xr:uid="{00000000-0005-0000-0000-0000DD630000}"/>
    <cellStyle name="Output 8 4 2 5" xfId="6210" xr:uid="{00000000-0005-0000-0000-0000DE630000}"/>
    <cellStyle name="Output 8 4 2 5 2" xfId="16396" xr:uid="{00000000-0005-0000-0000-0000DF630000}"/>
    <cellStyle name="Output 8 4 2 5 2 2" xfId="31228" xr:uid="{00000000-0005-0000-0000-0000E0630000}"/>
    <cellStyle name="Output 8 4 2 5 3" xfId="18525" xr:uid="{00000000-0005-0000-0000-0000E1630000}"/>
    <cellStyle name="Output 8 4 2 6" xfId="12466" xr:uid="{00000000-0005-0000-0000-0000E2630000}"/>
    <cellStyle name="Output 8 4 2 6 2" xfId="27298" xr:uid="{00000000-0005-0000-0000-0000E3630000}"/>
    <cellStyle name="Output 8 4 2 7" xfId="10048" xr:uid="{00000000-0005-0000-0000-0000E4630000}"/>
    <cellStyle name="Output 8 4 2 7 2" xfId="24880" xr:uid="{00000000-0005-0000-0000-0000E5630000}"/>
    <cellStyle name="Output 8 4 3" xfId="3601" xr:uid="{00000000-0005-0000-0000-0000E6630000}"/>
    <cellStyle name="Output 8 4 3 2" xfId="7662" xr:uid="{00000000-0005-0000-0000-0000E7630000}"/>
    <cellStyle name="Output 8 4 3 2 2" xfId="17279" xr:uid="{00000000-0005-0000-0000-0000E8630000}"/>
    <cellStyle name="Output 8 4 3 2 2 2" xfId="32111" xr:uid="{00000000-0005-0000-0000-0000E9630000}"/>
    <cellStyle name="Output 8 4 3 2 3" xfId="19098" xr:uid="{00000000-0005-0000-0000-0000EA630000}"/>
    <cellStyle name="Output 8 4 3 3" xfId="13937" xr:uid="{00000000-0005-0000-0000-0000EB630000}"/>
    <cellStyle name="Output 8 4 3 3 2" xfId="28769" xr:uid="{00000000-0005-0000-0000-0000EC630000}"/>
    <cellStyle name="Output 8 4 3 4" xfId="10896" xr:uid="{00000000-0005-0000-0000-0000ED630000}"/>
    <cellStyle name="Output 8 4 3 4 2" xfId="25728" xr:uid="{00000000-0005-0000-0000-0000EE630000}"/>
    <cellStyle name="Output 8 4 4" xfId="4633" xr:uid="{00000000-0005-0000-0000-0000EF630000}"/>
    <cellStyle name="Output 8 4 4 2" xfId="8672" xr:uid="{00000000-0005-0000-0000-0000F0630000}"/>
    <cellStyle name="Output 8 4 4 2 2" xfId="17785" xr:uid="{00000000-0005-0000-0000-0000F1630000}"/>
    <cellStyle name="Output 8 4 4 2 2 2" xfId="32617" xr:uid="{00000000-0005-0000-0000-0000F2630000}"/>
    <cellStyle name="Output 8 4 4 2 3" xfId="19431" xr:uid="{00000000-0005-0000-0000-0000F3630000}"/>
    <cellStyle name="Output 8 4 4 3" xfId="14959" xr:uid="{00000000-0005-0000-0000-0000F4630000}"/>
    <cellStyle name="Output 8 4 4 3 2" xfId="29791" xr:uid="{00000000-0005-0000-0000-0000F5630000}"/>
    <cellStyle name="Output 8 4 4 4" xfId="11390" xr:uid="{00000000-0005-0000-0000-0000F6630000}"/>
    <cellStyle name="Output 8 4 4 4 2" xfId="26222" xr:uid="{00000000-0005-0000-0000-0000F7630000}"/>
    <cellStyle name="Output 8 4 5" xfId="2623" xr:uid="{00000000-0005-0000-0000-0000F8630000}"/>
    <cellStyle name="Output 8 4 5 2" xfId="6724" xr:uid="{00000000-0005-0000-0000-0000F9630000}"/>
    <cellStyle name="Output 8 4 5 2 2" xfId="16681" xr:uid="{00000000-0005-0000-0000-0000FA630000}"/>
    <cellStyle name="Output 8 4 5 2 2 2" xfId="31513" xr:uid="{00000000-0005-0000-0000-0000FB630000}"/>
    <cellStyle name="Output 8 4 5 2 3" xfId="18720" xr:uid="{00000000-0005-0000-0000-0000FC630000}"/>
    <cellStyle name="Output 8 4 5 3" xfId="12961" xr:uid="{00000000-0005-0000-0000-0000FD630000}"/>
    <cellStyle name="Output 8 4 5 3 2" xfId="27793" xr:uid="{00000000-0005-0000-0000-0000FE630000}"/>
    <cellStyle name="Output 8 4 5 4" xfId="10332" xr:uid="{00000000-0005-0000-0000-0000FF630000}"/>
    <cellStyle name="Output 8 4 5 4 2" xfId="25164" xr:uid="{00000000-0005-0000-0000-000000640000}"/>
    <cellStyle name="Output 8 4 6" xfId="5740" xr:uid="{00000000-0005-0000-0000-000001640000}"/>
    <cellStyle name="Output 8 4 6 2" xfId="15975" xr:uid="{00000000-0005-0000-0000-000002640000}"/>
    <cellStyle name="Output 8 4 6 2 2" xfId="30807" xr:uid="{00000000-0005-0000-0000-000003640000}"/>
    <cellStyle name="Output 8 4 6 3" xfId="18361" xr:uid="{00000000-0005-0000-0000-000004640000}"/>
    <cellStyle name="Output 8 4 7" xfId="11995" xr:uid="{00000000-0005-0000-0000-000005640000}"/>
    <cellStyle name="Output 8 4 7 2" xfId="26827" xr:uid="{00000000-0005-0000-0000-000006640000}"/>
    <cellStyle name="Output 8 4 8" xfId="9654" xr:uid="{00000000-0005-0000-0000-000007640000}"/>
    <cellStyle name="Output 8 4 8 2" xfId="19955" xr:uid="{00000000-0005-0000-0000-000008640000}"/>
    <cellStyle name="Output 8 5" xfId="1638" xr:uid="{00000000-0005-0000-0000-000009640000}"/>
    <cellStyle name="Output 8 5 2" xfId="2135" xr:uid="{00000000-0005-0000-0000-00000A640000}"/>
    <cellStyle name="Output 8 5 2 2" xfId="3874" xr:uid="{00000000-0005-0000-0000-00000B640000}"/>
    <cellStyle name="Output 8 5 2 2 2" xfId="7926" xr:uid="{00000000-0005-0000-0000-00000C640000}"/>
    <cellStyle name="Output 8 5 2 2 2 2" xfId="17405" xr:uid="{00000000-0005-0000-0000-00000D640000}"/>
    <cellStyle name="Output 8 5 2 2 2 2 2" xfId="32237" xr:uid="{00000000-0005-0000-0000-00000E640000}"/>
    <cellStyle name="Output 8 5 2 2 2 3" xfId="19183" xr:uid="{00000000-0005-0000-0000-00000F640000}"/>
    <cellStyle name="Output 8 5 2 2 3" xfId="14209" xr:uid="{00000000-0005-0000-0000-000010640000}"/>
    <cellStyle name="Output 8 5 2 2 3 2" xfId="29041" xr:uid="{00000000-0005-0000-0000-000011640000}"/>
    <cellStyle name="Output 8 5 2 2 4" xfId="11024" xr:uid="{00000000-0005-0000-0000-000012640000}"/>
    <cellStyle name="Output 8 5 2 2 4 2" xfId="25856" xr:uid="{00000000-0005-0000-0000-000013640000}"/>
    <cellStyle name="Output 8 5 2 3" xfId="5103" xr:uid="{00000000-0005-0000-0000-000014640000}"/>
    <cellStyle name="Output 8 5 2 3 2" xfId="9142" xr:uid="{00000000-0005-0000-0000-000015640000}"/>
    <cellStyle name="Output 8 5 2 3 2 2" xfId="18070" xr:uid="{00000000-0005-0000-0000-000016640000}"/>
    <cellStyle name="Output 8 5 2 3 2 2 2" xfId="32902" xr:uid="{00000000-0005-0000-0000-000017640000}"/>
    <cellStyle name="Output 8 5 2 3 2 3" xfId="19623" xr:uid="{00000000-0005-0000-0000-000018640000}"/>
    <cellStyle name="Output 8 5 2 3 3" xfId="15423" xr:uid="{00000000-0005-0000-0000-000019640000}"/>
    <cellStyle name="Output 8 5 2 3 3 2" xfId="30255" xr:uid="{00000000-0005-0000-0000-00001A640000}"/>
    <cellStyle name="Output 8 5 2 3 4" xfId="11669" xr:uid="{00000000-0005-0000-0000-00001B640000}"/>
    <cellStyle name="Output 8 5 2 3 4 2" xfId="26501" xr:uid="{00000000-0005-0000-0000-00001C640000}"/>
    <cellStyle name="Output 8 5 2 4" xfId="3093" xr:uid="{00000000-0005-0000-0000-00001D640000}"/>
    <cellStyle name="Output 8 5 2 4 2" xfId="7163" xr:uid="{00000000-0005-0000-0000-00001E640000}"/>
    <cellStyle name="Output 8 5 2 4 2 2" xfId="16960" xr:uid="{00000000-0005-0000-0000-00001F640000}"/>
    <cellStyle name="Output 8 5 2 4 2 2 2" xfId="31792" xr:uid="{00000000-0005-0000-0000-000020640000}"/>
    <cellStyle name="Output 8 5 2 4 2 3" xfId="18917" xr:uid="{00000000-0005-0000-0000-000021640000}"/>
    <cellStyle name="Output 8 5 2 4 3" xfId="13431" xr:uid="{00000000-0005-0000-0000-000022640000}"/>
    <cellStyle name="Output 8 5 2 4 3 2" xfId="28263" xr:uid="{00000000-0005-0000-0000-000023640000}"/>
    <cellStyle name="Output 8 5 2 4 4" xfId="10617" xr:uid="{00000000-0005-0000-0000-000024640000}"/>
    <cellStyle name="Output 8 5 2 4 4 2" xfId="25449" xr:uid="{00000000-0005-0000-0000-000025640000}"/>
    <cellStyle name="Output 8 5 2 5" xfId="6255" xr:uid="{00000000-0005-0000-0000-000026640000}"/>
    <cellStyle name="Output 8 5 2 5 2" xfId="16440" xr:uid="{00000000-0005-0000-0000-000027640000}"/>
    <cellStyle name="Output 8 5 2 5 2 2" xfId="31272" xr:uid="{00000000-0005-0000-0000-000028640000}"/>
    <cellStyle name="Output 8 5 2 5 3" xfId="18558" xr:uid="{00000000-0005-0000-0000-000029640000}"/>
    <cellStyle name="Output 8 5 2 6" xfId="12510" xr:uid="{00000000-0005-0000-0000-00002A640000}"/>
    <cellStyle name="Output 8 5 2 6 2" xfId="27342" xr:uid="{00000000-0005-0000-0000-00002B640000}"/>
    <cellStyle name="Output 8 5 2 7" xfId="10092" xr:uid="{00000000-0005-0000-0000-00002C640000}"/>
    <cellStyle name="Output 8 5 2 7 2" xfId="24924" xr:uid="{00000000-0005-0000-0000-00002D640000}"/>
    <cellStyle name="Output 8 5 3" xfId="3893" xr:uid="{00000000-0005-0000-0000-00002E640000}"/>
    <cellStyle name="Output 8 5 3 2" xfId="7944" xr:uid="{00000000-0005-0000-0000-00002F640000}"/>
    <cellStyle name="Output 8 5 3 2 2" xfId="17416" xr:uid="{00000000-0005-0000-0000-000030640000}"/>
    <cellStyle name="Output 8 5 3 2 2 2" xfId="32248" xr:uid="{00000000-0005-0000-0000-000031640000}"/>
    <cellStyle name="Output 8 5 3 2 3" xfId="19189" xr:uid="{00000000-0005-0000-0000-000032640000}"/>
    <cellStyle name="Output 8 5 3 3" xfId="14226" xr:uid="{00000000-0005-0000-0000-000033640000}"/>
    <cellStyle name="Output 8 5 3 3 2" xfId="29058" xr:uid="{00000000-0005-0000-0000-000034640000}"/>
    <cellStyle name="Output 8 5 3 4" xfId="11032" xr:uid="{00000000-0005-0000-0000-000035640000}"/>
    <cellStyle name="Output 8 5 3 4 2" xfId="25864" xr:uid="{00000000-0005-0000-0000-000036640000}"/>
    <cellStyle name="Output 8 5 4" xfId="4683" xr:uid="{00000000-0005-0000-0000-000037640000}"/>
    <cellStyle name="Output 8 5 4 2" xfId="8722" xr:uid="{00000000-0005-0000-0000-000038640000}"/>
    <cellStyle name="Output 8 5 4 2 2" xfId="17830" xr:uid="{00000000-0005-0000-0000-000039640000}"/>
    <cellStyle name="Output 8 5 4 2 2 2" xfId="32662" xr:uid="{00000000-0005-0000-0000-00003A640000}"/>
    <cellStyle name="Output 8 5 4 2 3" xfId="19463" xr:uid="{00000000-0005-0000-0000-00003B640000}"/>
    <cellStyle name="Output 8 5 4 3" xfId="15008" xr:uid="{00000000-0005-0000-0000-00003C640000}"/>
    <cellStyle name="Output 8 5 4 3 2" xfId="29840" xr:uid="{00000000-0005-0000-0000-00003D640000}"/>
    <cellStyle name="Output 8 5 4 4" xfId="11434" xr:uid="{00000000-0005-0000-0000-00003E640000}"/>
    <cellStyle name="Output 8 5 4 4 2" xfId="26266" xr:uid="{00000000-0005-0000-0000-00003F640000}"/>
    <cellStyle name="Output 8 5 5" xfId="2673" xr:uid="{00000000-0005-0000-0000-000040640000}"/>
    <cellStyle name="Output 8 5 5 2" xfId="6769" xr:uid="{00000000-0005-0000-0000-000041640000}"/>
    <cellStyle name="Output 8 5 5 2 2" xfId="16725" xr:uid="{00000000-0005-0000-0000-000042640000}"/>
    <cellStyle name="Output 8 5 5 2 2 2" xfId="31557" xr:uid="{00000000-0005-0000-0000-000043640000}"/>
    <cellStyle name="Output 8 5 5 2 3" xfId="18753" xr:uid="{00000000-0005-0000-0000-000044640000}"/>
    <cellStyle name="Output 8 5 5 3" xfId="13011" xr:uid="{00000000-0005-0000-0000-000045640000}"/>
    <cellStyle name="Output 8 5 5 3 2" xfId="27843" xr:uid="{00000000-0005-0000-0000-000046640000}"/>
    <cellStyle name="Output 8 5 5 4" xfId="10377" xr:uid="{00000000-0005-0000-0000-000047640000}"/>
    <cellStyle name="Output 8 5 5 4 2" xfId="25209" xr:uid="{00000000-0005-0000-0000-000048640000}"/>
    <cellStyle name="Output 8 5 6" xfId="5785" xr:uid="{00000000-0005-0000-0000-000049640000}"/>
    <cellStyle name="Output 8 5 6 2" xfId="16019" xr:uid="{00000000-0005-0000-0000-00004A640000}"/>
    <cellStyle name="Output 8 5 6 2 2" xfId="30851" xr:uid="{00000000-0005-0000-0000-00004B640000}"/>
    <cellStyle name="Output 8 5 6 3" xfId="18394" xr:uid="{00000000-0005-0000-0000-00004C640000}"/>
    <cellStyle name="Output 8 5 7" xfId="12039" xr:uid="{00000000-0005-0000-0000-00004D640000}"/>
    <cellStyle name="Output 8 5 7 2" xfId="26871" xr:uid="{00000000-0005-0000-0000-00004E640000}"/>
    <cellStyle name="Output 8 5 8" xfId="9699" xr:uid="{00000000-0005-0000-0000-00004F640000}"/>
    <cellStyle name="Output 8 5 8 2" xfId="19999" xr:uid="{00000000-0005-0000-0000-000050640000}"/>
    <cellStyle name="Output 8 6" xfId="1789" xr:uid="{00000000-0005-0000-0000-000051640000}"/>
    <cellStyle name="Output 8 6 2" xfId="3375" xr:uid="{00000000-0005-0000-0000-000052640000}"/>
    <cellStyle name="Output 8 6 2 2" xfId="7438" xr:uid="{00000000-0005-0000-0000-000053640000}"/>
    <cellStyle name="Output 8 6 2 2 2" xfId="17147" xr:uid="{00000000-0005-0000-0000-000054640000}"/>
    <cellStyle name="Output 8 6 2 2 2 2" xfId="31979" xr:uid="{00000000-0005-0000-0000-000055640000}"/>
    <cellStyle name="Output 8 6 2 2 3" xfId="19014" xr:uid="{00000000-0005-0000-0000-000056640000}"/>
    <cellStyle name="Output 8 6 2 3" xfId="13712" xr:uid="{00000000-0005-0000-0000-000057640000}"/>
    <cellStyle name="Output 8 6 2 3 2" xfId="28544" xr:uid="{00000000-0005-0000-0000-000058640000}"/>
    <cellStyle name="Output 8 6 2 4" xfId="10766" xr:uid="{00000000-0005-0000-0000-000059640000}"/>
    <cellStyle name="Output 8 6 2 4 2" xfId="25598" xr:uid="{00000000-0005-0000-0000-00005A640000}"/>
    <cellStyle name="Output 8 6 3" xfId="4767" xr:uid="{00000000-0005-0000-0000-00005B640000}"/>
    <cellStyle name="Output 8 6 3 2" xfId="8806" xr:uid="{00000000-0005-0000-0000-00005C640000}"/>
    <cellStyle name="Output 8 6 3 2 2" xfId="17878" xr:uid="{00000000-0005-0000-0000-00005D640000}"/>
    <cellStyle name="Output 8 6 3 2 2 2" xfId="32710" xr:uid="{00000000-0005-0000-0000-00005E640000}"/>
    <cellStyle name="Output 8 6 3 2 3" xfId="19495" xr:uid="{00000000-0005-0000-0000-00005F640000}"/>
    <cellStyle name="Output 8 6 3 3" xfId="15091" xr:uid="{00000000-0005-0000-0000-000060640000}"/>
    <cellStyle name="Output 8 6 3 3 2" xfId="29923" xr:uid="{00000000-0005-0000-0000-000061640000}"/>
    <cellStyle name="Output 8 6 3 4" xfId="11481" xr:uid="{00000000-0005-0000-0000-000062640000}"/>
    <cellStyle name="Output 8 6 3 4 2" xfId="26313" xr:uid="{00000000-0005-0000-0000-000063640000}"/>
    <cellStyle name="Output 8 6 4" xfId="2757" xr:uid="{00000000-0005-0000-0000-000064640000}"/>
    <cellStyle name="Output 8 6 4 2" xfId="6848" xr:uid="{00000000-0005-0000-0000-000065640000}"/>
    <cellStyle name="Output 8 6 4 2 2" xfId="16772" xr:uid="{00000000-0005-0000-0000-000066640000}"/>
    <cellStyle name="Output 8 6 4 2 2 2" xfId="31604" xr:uid="{00000000-0005-0000-0000-000067640000}"/>
    <cellStyle name="Output 8 6 4 2 3" xfId="18786" xr:uid="{00000000-0005-0000-0000-000068640000}"/>
    <cellStyle name="Output 8 6 4 3" xfId="13095" xr:uid="{00000000-0005-0000-0000-000069640000}"/>
    <cellStyle name="Output 8 6 4 3 2" xfId="27927" xr:uid="{00000000-0005-0000-0000-00006A640000}"/>
    <cellStyle name="Output 8 6 4 4" xfId="10425" xr:uid="{00000000-0005-0000-0000-00006B640000}"/>
    <cellStyle name="Output 8 6 4 4 2" xfId="25257" xr:uid="{00000000-0005-0000-0000-00006C640000}"/>
    <cellStyle name="Output 8 6 5" xfId="5921" xr:uid="{00000000-0005-0000-0000-00006D640000}"/>
    <cellStyle name="Output 8 6 5 2" xfId="16113" xr:uid="{00000000-0005-0000-0000-00006E640000}"/>
    <cellStyle name="Output 8 6 5 2 2" xfId="30945" xr:uid="{00000000-0005-0000-0000-00006F640000}"/>
    <cellStyle name="Output 8 6 5 3" xfId="18428" xr:uid="{00000000-0005-0000-0000-000070640000}"/>
    <cellStyle name="Output 8 6 6" xfId="12183" xr:uid="{00000000-0005-0000-0000-000071640000}"/>
    <cellStyle name="Output 8 6 6 2" xfId="27015" xr:uid="{00000000-0005-0000-0000-000072640000}"/>
    <cellStyle name="Output 8 6 7" xfId="9779" xr:uid="{00000000-0005-0000-0000-000073640000}"/>
    <cellStyle name="Output 8 6 7 2" xfId="24736" xr:uid="{00000000-0005-0000-0000-000074640000}"/>
    <cellStyle name="Output 8 7" xfId="2177" xr:uid="{00000000-0005-0000-0000-000075640000}"/>
    <cellStyle name="Output 8 7 2" xfId="3861" xr:uid="{00000000-0005-0000-0000-000076640000}"/>
    <cellStyle name="Output 8 7 2 2" xfId="7913" xr:uid="{00000000-0005-0000-0000-000077640000}"/>
    <cellStyle name="Output 8 7 2 2 2" xfId="17398" xr:uid="{00000000-0005-0000-0000-000078640000}"/>
    <cellStyle name="Output 8 7 2 2 2 2" xfId="32230" xr:uid="{00000000-0005-0000-0000-000079640000}"/>
    <cellStyle name="Output 8 7 2 2 3" xfId="19177" xr:uid="{00000000-0005-0000-0000-00007A640000}"/>
    <cellStyle name="Output 8 7 2 3" xfId="14196" xr:uid="{00000000-0005-0000-0000-00007B640000}"/>
    <cellStyle name="Output 8 7 2 3 2" xfId="29028" xr:uid="{00000000-0005-0000-0000-00007C640000}"/>
    <cellStyle name="Output 8 7 2 4" xfId="11017" xr:uid="{00000000-0005-0000-0000-00007D640000}"/>
    <cellStyle name="Output 8 7 2 4 2" xfId="25849" xr:uid="{00000000-0005-0000-0000-00007E640000}"/>
    <cellStyle name="Output 8 7 3" xfId="5145" xr:uid="{00000000-0005-0000-0000-00007F640000}"/>
    <cellStyle name="Output 8 7 3 2" xfId="9184" xr:uid="{00000000-0005-0000-0000-000080640000}"/>
    <cellStyle name="Output 8 7 3 2 2" xfId="18107" xr:uid="{00000000-0005-0000-0000-000081640000}"/>
    <cellStyle name="Output 8 7 3 2 2 2" xfId="32939" xr:uid="{00000000-0005-0000-0000-000082640000}"/>
    <cellStyle name="Output 8 7 3 2 3" xfId="19658" xr:uid="{00000000-0005-0000-0000-000083640000}"/>
    <cellStyle name="Output 8 7 3 3" xfId="15463" xr:uid="{00000000-0005-0000-0000-000084640000}"/>
    <cellStyle name="Output 8 7 3 3 2" xfId="30295" xr:uid="{00000000-0005-0000-0000-000085640000}"/>
    <cellStyle name="Output 8 7 3 4" xfId="11704" xr:uid="{00000000-0005-0000-0000-000086640000}"/>
    <cellStyle name="Output 8 7 3 4 2" xfId="26536" xr:uid="{00000000-0005-0000-0000-000087640000}"/>
    <cellStyle name="Output 8 7 4" xfId="4175" xr:uid="{00000000-0005-0000-0000-000088640000}"/>
    <cellStyle name="Output 8 7 4 2" xfId="8216" xr:uid="{00000000-0005-0000-0000-000089640000}"/>
    <cellStyle name="Output 8 7 4 2 2" xfId="17563" xr:uid="{00000000-0005-0000-0000-00008A640000}"/>
    <cellStyle name="Output 8 7 4 2 2 2" xfId="32395" xr:uid="{00000000-0005-0000-0000-00008B640000}"/>
    <cellStyle name="Output 8 7 4 2 3" xfId="19301" xr:uid="{00000000-0005-0000-0000-00008C640000}"/>
    <cellStyle name="Output 8 7 4 3" xfId="14507" xr:uid="{00000000-0005-0000-0000-00008D640000}"/>
    <cellStyle name="Output 8 7 4 3 2" xfId="29339" xr:uid="{00000000-0005-0000-0000-00008E640000}"/>
    <cellStyle name="Output 8 7 4 4" xfId="11183" xr:uid="{00000000-0005-0000-0000-00008F640000}"/>
    <cellStyle name="Output 8 7 4 4 2" xfId="26015" xr:uid="{00000000-0005-0000-0000-000090640000}"/>
    <cellStyle name="Output 8 7 5" xfId="6291" xr:uid="{00000000-0005-0000-0000-000091640000}"/>
    <cellStyle name="Output 8 7 5 2" xfId="16475" xr:uid="{00000000-0005-0000-0000-000092640000}"/>
    <cellStyle name="Output 8 7 5 2 2" xfId="31307" xr:uid="{00000000-0005-0000-0000-000093640000}"/>
    <cellStyle name="Output 8 7 5 3" xfId="18594" xr:uid="{00000000-0005-0000-0000-000094640000}"/>
    <cellStyle name="Output 8 7 6" xfId="12545" xr:uid="{00000000-0005-0000-0000-000095640000}"/>
    <cellStyle name="Output 8 7 6 2" xfId="27377" xr:uid="{00000000-0005-0000-0000-000096640000}"/>
    <cellStyle name="Output 8 7 7" xfId="10127" xr:uid="{00000000-0005-0000-0000-000097640000}"/>
    <cellStyle name="Output 8 7 7 2" xfId="24959" xr:uid="{00000000-0005-0000-0000-000098640000}"/>
    <cellStyle name="Output 8 8" xfId="4050" xr:uid="{00000000-0005-0000-0000-000099640000}"/>
    <cellStyle name="Output 8 8 2" xfId="8097" xr:uid="{00000000-0005-0000-0000-00009A640000}"/>
    <cellStyle name="Output 8 8 2 2" xfId="17492" xr:uid="{00000000-0005-0000-0000-00009B640000}"/>
    <cellStyle name="Output 8 8 2 2 2" xfId="32324" xr:uid="{00000000-0005-0000-0000-00009C640000}"/>
    <cellStyle name="Output 8 8 2 3" xfId="19248" xr:uid="{00000000-0005-0000-0000-00009D640000}"/>
    <cellStyle name="Output 8 8 3" xfId="14382" xr:uid="{00000000-0005-0000-0000-00009E640000}"/>
    <cellStyle name="Output 8 8 3 2" xfId="29214" xr:uid="{00000000-0005-0000-0000-00009F640000}"/>
    <cellStyle name="Output 8 8 4" xfId="11108" xr:uid="{00000000-0005-0000-0000-0000A0640000}"/>
    <cellStyle name="Output 8 8 4 2" xfId="25940" xr:uid="{00000000-0005-0000-0000-0000A1640000}"/>
    <cellStyle name="Output 8 9" xfId="3315" xr:uid="{00000000-0005-0000-0000-0000A2640000}"/>
    <cellStyle name="Output 8 9 2" xfId="7378" xr:uid="{00000000-0005-0000-0000-0000A3640000}"/>
    <cellStyle name="Output 8 9 2 2" xfId="17113" xr:uid="{00000000-0005-0000-0000-0000A4640000}"/>
    <cellStyle name="Output 8 9 2 2 2" xfId="31945" xr:uid="{00000000-0005-0000-0000-0000A5640000}"/>
    <cellStyle name="Output 8 9 2 3" xfId="18994" xr:uid="{00000000-0005-0000-0000-0000A6640000}"/>
    <cellStyle name="Output 8 9 3" xfId="13652" xr:uid="{00000000-0005-0000-0000-0000A7640000}"/>
    <cellStyle name="Output 8 9 3 2" xfId="28484" xr:uid="{00000000-0005-0000-0000-0000A8640000}"/>
    <cellStyle name="Output 8 9 4" xfId="10735" xr:uid="{00000000-0005-0000-0000-0000A9640000}"/>
    <cellStyle name="Output 8 9 4 2" xfId="25567" xr:uid="{00000000-0005-0000-0000-0000AA640000}"/>
    <cellStyle name="Output 9" xfId="1245" xr:uid="{00000000-0005-0000-0000-0000AB640000}"/>
    <cellStyle name="Output 9 10" xfId="2331" xr:uid="{00000000-0005-0000-0000-0000AC640000}"/>
    <cellStyle name="Output 9 10 2" xfId="6443" xr:uid="{00000000-0005-0000-0000-0000AD640000}"/>
    <cellStyle name="Output 9 10 2 2" xfId="16536" xr:uid="{00000000-0005-0000-0000-0000AE640000}"/>
    <cellStyle name="Output 9 10 2 2 2" xfId="31368" xr:uid="{00000000-0005-0000-0000-0000AF640000}"/>
    <cellStyle name="Output 9 10 2 3" xfId="18624" xr:uid="{00000000-0005-0000-0000-0000B0640000}"/>
    <cellStyle name="Output 9 10 3" xfId="12671" xr:uid="{00000000-0005-0000-0000-0000B1640000}"/>
    <cellStyle name="Output 9 10 3 2" xfId="27503" xr:uid="{00000000-0005-0000-0000-0000B2640000}"/>
    <cellStyle name="Output 9 10 4" xfId="10187" xr:uid="{00000000-0005-0000-0000-0000B3640000}"/>
    <cellStyle name="Output 9 10 4 2" xfId="25019" xr:uid="{00000000-0005-0000-0000-0000B4640000}"/>
    <cellStyle name="Output 9 11" xfId="5294" xr:uid="{00000000-0005-0000-0000-0000B5640000}"/>
    <cellStyle name="Output 9 11 2" xfId="9302" xr:uid="{00000000-0005-0000-0000-0000B6640000}"/>
    <cellStyle name="Output 9 11 2 2" xfId="18169" xr:uid="{00000000-0005-0000-0000-0000B7640000}"/>
    <cellStyle name="Output 9 11 2 2 2" xfId="33001" xr:uid="{00000000-0005-0000-0000-0000B8640000}"/>
    <cellStyle name="Output 9 11 2 3" xfId="19688" xr:uid="{00000000-0005-0000-0000-0000B9640000}"/>
    <cellStyle name="Output 9 11 3" xfId="15610" xr:uid="{00000000-0005-0000-0000-0000BA640000}"/>
    <cellStyle name="Output 9 11 3 2" xfId="30442" xr:uid="{00000000-0005-0000-0000-0000BB640000}"/>
    <cellStyle name="Output 9 12" xfId="5452" xr:uid="{00000000-0005-0000-0000-0000BC640000}"/>
    <cellStyle name="Output 9 12 2" xfId="15688" xr:uid="{00000000-0005-0000-0000-0000BD640000}"/>
    <cellStyle name="Output 9 12 2 2" xfId="30520" xr:uid="{00000000-0005-0000-0000-0000BE640000}"/>
    <cellStyle name="Output 9 12 3" xfId="18265" xr:uid="{00000000-0005-0000-0000-0000BF640000}"/>
    <cellStyle name="Output 9 13" xfId="9339" xr:uid="{00000000-0005-0000-0000-0000C0640000}"/>
    <cellStyle name="Output 9 13 2" xfId="24645" xr:uid="{00000000-0005-0000-0000-0000C1640000}"/>
    <cellStyle name="Output 9 14" xfId="5328" xr:uid="{00000000-0005-0000-0000-0000C2640000}"/>
    <cellStyle name="Output 9 14 2" xfId="18202" xr:uid="{00000000-0005-0000-0000-0000C3640000}"/>
    <cellStyle name="Output 9 2" xfId="1364" xr:uid="{00000000-0005-0000-0000-0000C4640000}"/>
    <cellStyle name="Output 9 2 2" xfId="1868" xr:uid="{00000000-0005-0000-0000-0000C5640000}"/>
    <cellStyle name="Output 9 2 2 2" xfId="4096" xr:uid="{00000000-0005-0000-0000-0000C6640000}"/>
    <cellStyle name="Output 9 2 2 2 2" xfId="8142" xr:uid="{00000000-0005-0000-0000-0000C7640000}"/>
    <cellStyle name="Output 9 2 2 2 2 2" xfId="17515" xr:uid="{00000000-0005-0000-0000-0000C8640000}"/>
    <cellStyle name="Output 9 2 2 2 2 2 2" xfId="32347" xr:uid="{00000000-0005-0000-0000-0000C9640000}"/>
    <cellStyle name="Output 9 2 2 2 2 3" xfId="19265" xr:uid="{00000000-0005-0000-0000-0000CA640000}"/>
    <cellStyle name="Output 9 2 2 2 3" xfId="14428" xr:uid="{00000000-0005-0000-0000-0000CB640000}"/>
    <cellStyle name="Output 9 2 2 2 3 2" xfId="29260" xr:uid="{00000000-0005-0000-0000-0000CC640000}"/>
    <cellStyle name="Output 9 2 2 2 4" xfId="11132" xr:uid="{00000000-0005-0000-0000-0000CD640000}"/>
    <cellStyle name="Output 9 2 2 2 4 2" xfId="25964" xr:uid="{00000000-0005-0000-0000-0000CE640000}"/>
    <cellStyle name="Output 9 2 2 3" xfId="4846" xr:uid="{00000000-0005-0000-0000-0000CF640000}"/>
    <cellStyle name="Output 9 2 2 3 2" xfId="8885" xr:uid="{00000000-0005-0000-0000-0000D0640000}"/>
    <cellStyle name="Output 9 2 2 3 2 2" xfId="17926" xr:uid="{00000000-0005-0000-0000-0000D1640000}"/>
    <cellStyle name="Output 9 2 2 3 2 2 2" xfId="32758" xr:uid="{00000000-0005-0000-0000-0000D2640000}"/>
    <cellStyle name="Output 9 2 2 3 2 3" xfId="19528" xr:uid="{00000000-0005-0000-0000-0000D3640000}"/>
    <cellStyle name="Output 9 2 2 3 3" xfId="15170" xr:uid="{00000000-0005-0000-0000-0000D4640000}"/>
    <cellStyle name="Output 9 2 2 3 3 2" xfId="30002" xr:uid="{00000000-0005-0000-0000-0000D5640000}"/>
    <cellStyle name="Output 9 2 2 3 4" xfId="11529" xr:uid="{00000000-0005-0000-0000-0000D6640000}"/>
    <cellStyle name="Output 9 2 2 3 4 2" xfId="26361" xr:uid="{00000000-0005-0000-0000-0000D7640000}"/>
    <cellStyle name="Output 9 2 2 4" xfId="2836" xr:uid="{00000000-0005-0000-0000-0000D8640000}"/>
    <cellStyle name="Output 9 2 2 4 2" xfId="6927" xr:uid="{00000000-0005-0000-0000-0000D9640000}"/>
    <cellStyle name="Output 9 2 2 4 2 2" xfId="16820" xr:uid="{00000000-0005-0000-0000-0000DA640000}"/>
    <cellStyle name="Output 9 2 2 4 2 2 2" xfId="31652" xr:uid="{00000000-0005-0000-0000-0000DB640000}"/>
    <cellStyle name="Output 9 2 2 4 2 3" xfId="18819" xr:uid="{00000000-0005-0000-0000-0000DC640000}"/>
    <cellStyle name="Output 9 2 2 4 3" xfId="13174" xr:uid="{00000000-0005-0000-0000-0000DD640000}"/>
    <cellStyle name="Output 9 2 2 4 3 2" xfId="28006" xr:uid="{00000000-0005-0000-0000-0000DE640000}"/>
    <cellStyle name="Output 9 2 2 4 4" xfId="10473" xr:uid="{00000000-0005-0000-0000-0000DF640000}"/>
    <cellStyle name="Output 9 2 2 4 4 2" xfId="25305" xr:uid="{00000000-0005-0000-0000-0000E0640000}"/>
    <cellStyle name="Output 9 2 2 5" xfId="6000" xr:uid="{00000000-0005-0000-0000-0000E1640000}"/>
    <cellStyle name="Output 9 2 2 5 2" xfId="16192" xr:uid="{00000000-0005-0000-0000-0000E2640000}"/>
    <cellStyle name="Output 9 2 2 5 2 2" xfId="31024" xr:uid="{00000000-0005-0000-0000-0000E3640000}"/>
    <cellStyle name="Output 9 2 2 5 3" xfId="18461" xr:uid="{00000000-0005-0000-0000-0000E4640000}"/>
    <cellStyle name="Output 9 2 2 6" xfId="12262" xr:uid="{00000000-0005-0000-0000-0000E5640000}"/>
    <cellStyle name="Output 9 2 2 6 2" xfId="27094" xr:uid="{00000000-0005-0000-0000-0000E6640000}"/>
    <cellStyle name="Output 9 2 2 7" xfId="9858" xr:uid="{00000000-0005-0000-0000-0000E7640000}"/>
    <cellStyle name="Output 9 2 2 7 2" xfId="24784" xr:uid="{00000000-0005-0000-0000-0000E8640000}"/>
    <cellStyle name="Output 9 2 3" xfId="3205" xr:uid="{00000000-0005-0000-0000-0000E9640000}"/>
    <cellStyle name="Output 9 2 3 2" xfId="7269" xr:uid="{00000000-0005-0000-0000-0000EA640000}"/>
    <cellStyle name="Output 9 2 3 2 2" xfId="17036" xr:uid="{00000000-0005-0000-0000-0000EB640000}"/>
    <cellStyle name="Output 9 2 3 2 2 2" xfId="31868" xr:uid="{00000000-0005-0000-0000-0000EC640000}"/>
    <cellStyle name="Output 9 2 3 2 3" xfId="18962" xr:uid="{00000000-0005-0000-0000-0000ED640000}"/>
    <cellStyle name="Output 9 2 3 3" xfId="13543" xr:uid="{00000000-0005-0000-0000-0000EE640000}"/>
    <cellStyle name="Output 9 2 3 3 2" xfId="28375" xr:uid="{00000000-0005-0000-0000-0000EF640000}"/>
    <cellStyle name="Output 9 2 3 4" xfId="10680" xr:uid="{00000000-0005-0000-0000-0000F0640000}"/>
    <cellStyle name="Output 9 2 3 4 2" xfId="25512" xr:uid="{00000000-0005-0000-0000-0000F1640000}"/>
    <cellStyle name="Output 9 2 4" xfId="4426" xr:uid="{00000000-0005-0000-0000-0000F2640000}"/>
    <cellStyle name="Output 9 2 4 2" xfId="8465" xr:uid="{00000000-0005-0000-0000-0000F3640000}"/>
    <cellStyle name="Output 9 2 4 2 2" xfId="17686" xr:uid="{00000000-0005-0000-0000-0000F4640000}"/>
    <cellStyle name="Output 9 2 4 2 2 2" xfId="32518" xr:uid="{00000000-0005-0000-0000-0000F5640000}"/>
    <cellStyle name="Output 9 2 4 2 3" xfId="19368" xr:uid="{00000000-0005-0000-0000-0000F6640000}"/>
    <cellStyle name="Output 9 2 4 3" xfId="14755" xr:uid="{00000000-0005-0000-0000-0000F7640000}"/>
    <cellStyle name="Output 9 2 4 3 2" xfId="29587" xr:uid="{00000000-0005-0000-0000-0000F8640000}"/>
    <cellStyle name="Output 9 2 4 4" xfId="11294" xr:uid="{00000000-0005-0000-0000-0000F9640000}"/>
    <cellStyle name="Output 9 2 4 4 2" xfId="26126" xr:uid="{00000000-0005-0000-0000-0000FA640000}"/>
    <cellStyle name="Output 9 2 5" xfId="2416" xr:uid="{00000000-0005-0000-0000-0000FB640000}"/>
    <cellStyle name="Output 9 2 5 2" xfId="6528" xr:uid="{00000000-0005-0000-0000-0000FC640000}"/>
    <cellStyle name="Output 9 2 5 2 2" xfId="16584" xr:uid="{00000000-0005-0000-0000-0000FD640000}"/>
    <cellStyle name="Output 9 2 5 2 2 2" xfId="31416" xr:uid="{00000000-0005-0000-0000-0000FE640000}"/>
    <cellStyle name="Output 9 2 5 2 3" xfId="18656" xr:uid="{00000000-0005-0000-0000-0000FF640000}"/>
    <cellStyle name="Output 9 2 5 3" xfId="12755" xr:uid="{00000000-0005-0000-0000-000000650000}"/>
    <cellStyle name="Output 9 2 5 3 2" xfId="27587" xr:uid="{00000000-0005-0000-0000-000001650000}"/>
    <cellStyle name="Output 9 2 5 4" xfId="10234" xr:uid="{00000000-0005-0000-0000-000002650000}"/>
    <cellStyle name="Output 9 2 5 4 2" xfId="25066" xr:uid="{00000000-0005-0000-0000-000003650000}"/>
    <cellStyle name="Output 9 2 6" xfId="5541" xr:uid="{00000000-0005-0000-0000-000004650000}"/>
    <cellStyle name="Output 9 2 6 2" xfId="15776" xr:uid="{00000000-0005-0000-0000-000005650000}"/>
    <cellStyle name="Output 9 2 6 2 2" xfId="30608" xr:uid="{00000000-0005-0000-0000-000006650000}"/>
    <cellStyle name="Output 9 2 6 3" xfId="18298" xr:uid="{00000000-0005-0000-0000-000007650000}"/>
    <cellStyle name="Output 9 2 7" xfId="11791" xr:uid="{00000000-0005-0000-0000-000008650000}"/>
    <cellStyle name="Output 9 2 7 2" xfId="26623" xr:uid="{00000000-0005-0000-0000-000009650000}"/>
    <cellStyle name="Output 9 2 8" xfId="9462" xr:uid="{00000000-0005-0000-0000-00000A650000}"/>
    <cellStyle name="Output 9 2 8 2" xfId="19766" xr:uid="{00000000-0005-0000-0000-00000B650000}"/>
    <cellStyle name="Output 9 3" xfId="1534" xr:uid="{00000000-0005-0000-0000-00000C650000}"/>
    <cellStyle name="Output 9 3 2" xfId="2031" xr:uid="{00000000-0005-0000-0000-00000D650000}"/>
    <cellStyle name="Output 9 3 2 2" xfId="3391" xr:uid="{00000000-0005-0000-0000-00000E650000}"/>
    <cellStyle name="Output 9 3 2 2 2" xfId="7454" xr:uid="{00000000-0005-0000-0000-00000F650000}"/>
    <cellStyle name="Output 9 3 2 2 2 2" xfId="17158" xr:uid="{00000000-0005-0000-0000-000010650000}"/>
    <cellStyle name="Output 9 3 2 2 2 2 2" xfId="31990" xr:uid="{00000000-0005-0000-0000-000011650000}"/>
    <cellStyle name="Output 9 3 2 2 2 3" xfId="19020" xr:uid="{00000000-0005-0000-0000-000012650000}"/>
    <cellStyle name="Output 9 3 2 2 3" xfId="13728" xr:uid="{00000000-0005-0000-0000-000013650000}"/>
    <cellStyle name="Output 9 3 2 2 3 2" xfId="28560" xr:uid="{00000000-0005-0000-0000-000014650000}"/>
    <cellStyle name="Output 9 3 2 2 4" xfId="10777" xr:uid="{00000000-0005-0000-0000-000015650000}"/>
    <cellStyle name="Output 9 3 2 2 4 2" xfId="25609" xr:uid="{00000000-0005-0000-0000-000016650000}"/>
    <cellStyle name="Output 9 3 2 3" xfId="4999" xr:uid="{00000000-0005-0000-0000-000017650000}"/>
    <cellStyle name="Output 9 3 2 3 2" xfId="9038" xr:uid="{00000000-0005-0000-0000-000018650000}"/>
    <cellStyle name="Output 9 3 2 3 2 2" xfId="17976" xr:uid="{00000000-0005-0000-0000-000019650000}"/>
    <cellStyle name="Output 9 3 2 3 2 2 2" xfId="32808" xr:uid="{00000000-0005-0000-0000-00001A650000}"/>
    <cellStyle name="Output 9 3 2 3 2 3" xfId="19560" xr:uid="{00000000-0005-0000-0000-00001B650000}"/>
    <cellStyle name="Output 9 3 2 3 3" xfId="15321" xr:uid="{00000000-0005-0000-0000-00001C650000}"/>
    <cellStyle name="Output 9 3 2 3 3 2" xfId="30153" xr:uid="{00000000-0005-0000-0000-00001D650000}"/>
    <cellStyle name="Output 9 3 2 3 4" xfId="11577" xr:uid="{00000000-0005-0000-0000-00001E650000}"/>
    <cellStyle name="Output 9 3 2 3 4 2" xfId="26409" xr:uid="{00000000-0005-0000-0000-00001F650000}"/>
    <cellStyle name="Output 9 3 2 4" xfId="2989" xr:uid="{00000000-0005-0000-0000-000020650000}"/>
    <cellStyle name="Output 9 3 2 4 2" xfId="7069" xr:uid="{00000000-0005-0000-0000-000021650000}"/>
    <cellStyle name="Output 9 3 2 4 2 2" xfId="16868" xr:uid="{00000000-0005-0000-0000-000022650000}"/>
    <cellStyle name="Output 9 3 2 4 2 2 2" xfId="31700" xr:uid="{00000000-0005-0000-0000-000023650000}"/>
    <cellStyle name="Output 9 3 2 4 2 3" xfId="18852" xr:uid="{00000000-0005-0000-0000-000024650000}"/>
    <cellStyle name="Output 9 3 2 4 3" xfId="13327" xr:uid="{00000000-0005-0000-0000-000025650000}"/>
    <cellStyle name="Output 9 3 2 4 3 2" xfId="28159" xr:uid="{00000000-0005-0000-0000-000026650000}"/>
    <cellStyle name="Output 9 3 2 4 4" xfId="10523" xr:uid="{00000000-0005-0000-0000-000027650000}"/>
    <cellStyle name="Output 9 3 2 4 4 2" xfId="25355" xr:uid="{00000000-0005-0000-0000-000028650000}"/>
    <cellStyle name="Output 9 3 2 5" xfId="6161" xr:uid="{00000000-0005-0000-0000-000029650000}"/>
    <cellStyle name="Output 9 3 2 5 2" xfId="16348" xr:uid="{00000000-0005-0000-0000-00002A650000}"/>
    <cellStyle name="Output 9 3 2 5 2 2" xfId="31180" xr:uid="{00000000-0005-0000-0000-00002B650000}"/>
    <cellStyle name="Output 9 3 2 5 3" xfId="18493" xr:uid="{00000000-0005-0000-0000-00002C650000}"/>
    <cellStyle name="Output 9 3 2 6" xfId="12418" xr:uid="{00000000-0005-0000-0000-00002D650000}"/>
    <cellStyle name="Output 9 3 2 6 2" xfId="27250" xr:uid="{00000000-0005-0000-0000-00002E650000}"/>
    <cellStyle name="Output 9 3 2 7" xfId="10000" xr:uid="{00000000-0005-0000-0000-00002F650000}"/>
    <cellStyle name="Output 9 3 2 7 2" xfId="24832" xr:uid="{00000000-0005-0000-0000-000030650000}"/>
    <cellStyle name="Output 9 3 3" xfId="3155" xr:uid="{00000000-0005-0000-0000-000031650000}"/>
    <cellStyle name="Output 9 3 3 2" xfId="7219" xr:uid="{00000000-0005-0000-0000-000032650000}"/>
    <cellStyle name="Output 9 3 3 2 2" xfId="16997" xr:uid="{00000000-0005-0000-0000-000033650000}"/>
    <cellStyle name="Output 9 3 3 2 2 2" xfId="31829" xr:uid="{00000000-0005-0000-0000-000034650000}"/>
    <cellStyle name="Output 9 3 3 2 3" xfId="18944" xr:uid="{00000000-0005-0000-0000-000035650000}"/>
    <cellStyle name="Output 9 3 3 3" xfId="13493" xr:uid="{00000000-0005-0000-0000-000036650000}"/>
    <cellStyle name="Output 9 3 3 3 2" xfId="28325" xr:uid="{00000000-0005-0000-0000-000037650000}"/>
    <cellStyle name="Output 9 3 3 4" xfId="10649" xr:uid="{00000000-0005-0000-0000-000038650000}"/>
    <cellStyle name="Output 9 3 3 4 2" xfId="25481" xr:uid="{00000000-0005-0000-0000-000039650000}"/>
    <cellStyle name="Output 9 3 4" xfId="4579" xr:uid="{00000000-0005-0000-0000-00003A650000}"/>
    <cellStyle name="Output 9 3 4 2" xfId="8618" xr:uid="{00000000-0005-0000-0000-00003B650000}"/>
    <cellStyle name="Output 9 3 4 2 2" xfId="17736" xr:uid="{00000000-0005-0000-0000-00003C650000}"/>
    <cellStyle name="Output 9 3 4 2 2 2" xfId="32568" xr:uid="{00000000-0005-0000-0000-00003D650000}"/>
    <cellStyle name="Output 9 3 4 2 3" xfId="19400" xr:uid="{00000000-0005-0000-0000-00003E650000}"/>
    <cellStyle name="Output 9 3 4 3" xfId="14906" xr:uid="{00000000-0005-0000-0000-00003F650000}"/>
    <cellStyle name="Output 9 3 4 3 2" xfId="29738" xr:uid="{00000000-0005-0000-0000-000040650000}"/>
    <cellStyle name="Output 9 3 4 4" xfId="11342" xr:uid="{00000000-0005-0000-0000-000041650000}"/>
    <cellStyle name="Output 9 3 4 4 2" xfId="26174" xr:uid="{00000000-0005-0000-0000-000042650000}"/>
    <cellStyle name="Output 9 3 5" xfId="2569" xr:uid="{00000000-0005-0000-0000-000043650000}"/>
    <cellStyle name="Output 9 3 5 2" xfId="6675" xr:uid="{00000000-0005-0000-0000-000044650000}"/>
    <cellStyle name="Output 9 3 5 2 2" xfId="16633" xr:uid="{00000000-0005-0000-0000-000045650000}"/>
    <cellStyle name="Output 9 3 5 2 2 2" xfId="31465" xr:uid="{00000000-0005-0000-0000-000046650000}"/>
    <cellStyle name="Output 9 3 5 2 3" xfId="18688" xr:uid="{00000000-0005-0000-0000-000047650000}"/>
    <cellStyle name="Output 9 3 5 3" xfId="12907" xr:uid="{00000000-0005-0000-0000-000048650000}"/>
    <cellStyle name="Output 9 3 5 3 2" xfId="27739" xr:uid="{00000000-0005-0000-0000-000049650000}"/>
    <cellStyle name="Output 9 3 5 4" xfId="10283" xr:uid="{00000000-0005-0000-0000-00004A650000}"/>
    <cellStyle name="Output 9 3 5 4 2" xfId="25115" xr:uid="{00000000-0005-0000-0000-00004B650000}"/>
    <cellStyle name="Output 9 3 6" xfId="5692" xr:uid="{00000000-0005-0000-0000-00004C650000}"/>
    <cellStyle name="Output 9 3 6 2" xfId="15927" xr:uid="{00000000-0005-0000-0000-00004D650000}"/>
    <cellStyle name="Output 9 3 6 2 2" xfId="30759" xr:uid="{00000000-0005-0000-0000-00004E650000}"/>
    <cellStyle name="Output 9 3 6 3" xfId="18330" xr:uid="{00000000-0005-0000-0000-00004F650000}"/>
    <cellStyle name="Output 9 3 7" xfId="11947" xr:uid="{00000000-0005-0000-0000-000050650000}"/>
    <cellStyle name="Output 9 3 7 2" xfId="26779" xr:uid="{00000000-0005-0000-0000-000051650000}"/>
    <cellStyle name="Output 9 3 8" xfId="9605" xr:uid="{00000000-0005-0000-0000-000052650000}"/>
    <cellStyle name="Output 9 3 8 2" xfId="19907" xr:uid="{00000000-0005-0000-0000-000053650000}"/>
    <cellStyle name="Output 9 4" xfId="1589" xr:uid="{00000000-0005-0000-0000-000054650000}"/>
    <cellStyle name="Output 9 4 2" xfId="2086" xr:uid="{00000000-0005-0000-0000-000055650000}"/>
    <cellStyle name="Output 9 4 2 2" xfId="3531" xr:uid="{00000000-0005-0000-0000-000056650000}"/>
    <cellStyle name="Output 9 4 2 2 2" xfId="7593" xr:uid="{00000000-0005-0000-0000-000057650000}"/>
    <cellStyle name="Output 9 4 2 2 2 2" xfId="17238" xr:uid="{00000000-0005-0000-0000-000058650000}"/>
    <cellStyle name="Output 9 4 2 2 2 2 2" xfId="32070" xr:uid="{00000000-0005-0000-0000-000059650000}"/>
    <cellStyle name="Output 9 4 2 2 2 3" xfId="19066" xr:uid="{00000000-0005-0000-0000-00005A650000}"/>
    <cellStyle name="Output 9 4 2 2 3" xfId="13868" xr:uid="{00000000-0005-0000-0000-00005B650000}"/>
    <cellStyle name="Output 9 4 2 2 3 2" xfId="28700" xr:uid="{00000000-0005-0000-0000-00005C650000}"/>
    <cellStyle name="Output 9 4 2 2 4" xfId="10856" xr:uid="{00000000-0005-0000-0000-00005D650000}"/>
    <cellStyle name="Output 9 4 2 2 4 2" xfId="25688" xr:uid="{00000000-0005-0000-0000-00005E650000}"/>
    <cellStyle name="Output 9 4 2 3" xfId="5054" xr:uid="{00000000-0005-0000-0000-00005F650000}"/>
    <cellStyle name="Output 9 4 2 3 2" xfId="9093" xr:uid="{00000000-0005-0000-0000-000060650000}"/>
    <cellStyle name="Output 9 4 2 3 2 2" xfId="18026" xr:uid="{00000000-0005-0000-0000-000061650000}"/>
    <cellStyle name="Output 9 4 2 3 2 2 2" xfId="32858" xr:uid="{00000000-0005-0000-0000-000062650000}"/>
    <cellStyle name="Output 9 4 2 3 2 3" xfId="19592" xr:uid="{00000000-0005-0000-0000-000063650000}"/>
    <cellStyle name="Output 9 4 2 3 3" xfId="15375" xr:uid="{00000000-0005-0000-0000-000064650000}"/>
    <cellStyle name="Output 9 4 2 3 3 2" xfId="30207" xr:uid="{00000000-0005-0000-0000-000065650000}"/>
    <cellStyle name="Output 9 4 2 3 4" xfId="11626" xr:uid="{00000000-0005-0000-0000-000066650000}"/>
    <cellStyle name="Output 9 4 2 3 4 2" xfId="26458" xr:uid="{00000000-0005-0000-0000-000067650000}"/>
    <cellStyle name="Output 9 4 2 4" xfId="3044" xr:uid="{00000000-0005-0000-0000-000068650000}"/>
    <cellStyle name="Output 9 4 2 4 2" xfId="7119" xr:uid="{00000000-0005-0000-0000-000069650000}"/>
    <cellStyle name="Output 9 4 2 4 2 2" xfId="16917" xr:uid="{00000000-0005-0000-0000-00006A650000}"/>
    <cellStyle name="Output 9 4 2 4 2 2 2" xfId="31749" xr:uid="{00000000-0005-0000-0000-00006B650000}"/>
    <cellStyle name="Output 9 4 2 4 2 3" xfId="18885" xr:uid="{00000000-0005-0000-0000-00006C650000}"/>
    <cellStyle name="Output 9 4 2 4 3" xfId="13382" xr:uid="{00000000-0005-0000-0000-00006D650000}"/>
    <cellStyle name="Output 9 4 2 4 3 2" xfId="28214" xr:uid="{00000000-0005-0000-0000-00006E650000}"/>
    <cellStyle name="Output 9 4 2 4 4" xfId="10573" xr:uid="{00000000-0005-0000-0000-00006F650000}"/>
    <cellStyle name="Output 9 4 2 4 4 2" xfId="25405" xr:uid="{00000000-0005-0000-0000-000070650000}"/>
    <cellStyle name="Output 9 4 2 5" xfId="6211" xr:uid="{00000000-0005-0000-0000-000071650000}"/>
    <cellStyle name="Output 9 4 2 5 2" xfId="16397" xr:uid="{00000000-0005-0000-0000-000072650000}"/>
    <cellStyle name="Output 9 4 2 5 2 2" xfId="31229" xr:uid="{00000000-0005-0000-0000-000073650000}"/>
    <cellStyle name="Output 9 4 2 5 3" xfId="18526" xr:uid="{00000000-0005-0000-0000-000074650000}"/>
    <cellStyle name="Output 9 4 2 6" xfId="12467" xr:uid="{00000000-0005-0000-0000-000075650000}"/>
    <cellStyle name="Output 9 4 2 6 2" xfId="27299" xr:uid="{00000000-0005-0000-0000-000076650000}"/>
    <cellStyle name="Output 9 4 2 7" xfId="10049" xr:uid="{00000000-0005-0000-0000-000077650000}"/>
    <cellStyle name="Output 9 4 2 7 2" xfId="24881" xr:uid="{00000000-0005-0000-0000-000078650000}"/>
    <cellStyle name="Output 9 4 3" xfId="4322" xr:uid="{00000000-0005-0000-0000-000079650000}"/>
    <cellStyle name="Output 9 4 3 2" xfId="8361" xr:uid="{00000000-0005-0000-0000-00007A650000}"/>
    <cellStyle name="Output 9 4 3 2 2" xfId="17639" xr:uid="{00000000-0005-0000-0000-00007B650000}"/>
    <cellStyle name="Output 9 4 3 2 2 2" xfId="32471" xr:uid="{00000000-0005-0000-0000-00007C650000}"/>
    <cellStyle name="Output 9 4 3 2 3" xfId="19341" xr:uid="{00000000-0005-0000-0000-00007D650000}"/>
    <cellStyle name="Output 9 4 3 3" xfId="14653" xr:uid="{00000000-0005-0000-0000-00007E650000}"/>
    <cellStyle name="Output 9 4 3 3 2" xfId="29485" xr:uid="{00000000-0005-0000-0000-00007F650000}"/>
    <cellStyle name="Output 9 4 3 4" xfId="11249" xr:uid="{00000000-0005-0000-0000-000080650000}"/>
    <cellStyle name="Output 9 4 3 4 2" xfId="26081" xr:uid="{00000000-0005-0000-0000-000081650000}"/>
    <cellStyle name="Output 9 4 4" xfId="4634" xr:uid="{00000000-0005-0000-0000-000082650000}"/>
    <cellStyle name="Output 9 4 4 2" xfId="8673" xr:uid="{00000000-0005-0000-0000-000083650000}"/>
    <cellStyle name="Output 9 4 4 2 2" xfId="17786" xr:uid="{00000000-0005-0000-0000-000084650000}"/>
    <cellStyle name="Output 9 4 4 2 2 2" xfId="32618" xr:uid="{00000000-0005-0000-0000-000085650000}"/>
    <cellStyle name="Output 9 4 4 2 3" xfId="19432" xr:uid="{00000000-0005-0000-0000-000086650000}"/>
    <cellStyle name="Output 9 4 4 3" xfId="14960" xr:uid="{00000000-0005-0000-0000-000087650000}"/>
    <cellStyle name="Output 9 4 4 3 2" xfId="29792" xr:uid="{00000000-0005-0000-0000-000088650000}"/>
    <cellStyle name="Output 9 4 4 4" xfId="11391" xr:uid="{00000000-0005-0000-0000-000089650000}"/>
    <cellStyle name="Output 9 4 4 4 2" xfId="26223" xr:uid="{00000000-0005-0000-0000-00008A650000}"/>
    <cellStyle name="Output 9 4 5" xfId="2624" xr:uid="{00000000-0005-0000-0000-00008B650000}"/>
    <cellStyle name="Output 9 4 5 2" xfId="6725" xr:uid="{00000000-0005-0000-0000-00008C650000}"/>
    <cellStyle name="Output 9 4 5 2 2" xfId="16682" xr:uid="{00000000-0005-0000-0000-00008D650000}"/>
    <cellStyle name="Output 9 4 5 2 2 2" xfId="31514" xr:uid="{00000000-0005-0000-0000-00008E650000}"/>
    <cellStyle name="Output 9 4 5 2 3" xfId="18721" xr:uid="{00000000-0005-0000-0000-00008F650000}"/>
    <cellStyle name="Output 9 4 5 3" xfId="12962" xr:uid="{00000000-0005-0000-0000-000090650000}"/>
    <cellStyle name="Output 9 4 5 3 2" xfId="27794" xr:uid="{00000000-0005-0000-0000-000091650000}"/>
    <cellStyle name="Output 9 4 5 4" xfId="10333" xr:uid="{00000000-0005-0000-0000-000092650000}"/>
    <cellStyle name="Output 9 4 5 4 2" xfId="25165" xr:uid="{00000000-0005-0000-0000-000093650000}"/>
    <cellStyle name="Output 9 4 6" xfId="5741" xr:uid="{00000000-0005-0000-0000-000094650000}"/>
    <cellStyle name="Output 9 4 6 2" xfId="15976" xr:uid="{00000000-0005-0000-0000-000095650000}"/>
    <cellStyle name="Output 9 4 6 2 2" xfId="30808" xr:uid="{00000000-0005-0000-0000-000096650000}"/>
    <cellStyle name="Output 9 4 6 3" xfId="18362" xr:uid="{00000000-0005-0000-0000-000097650000}"/>
    <cellStyle name="Output 9 4 7" xfId="11996" xr:uid="{00000000-0005-0000-0000-000098650000}"/>
    <cellStyle name="Output 9 4 7 2" xfId="26828" xr:uid="{00000000-0005-0000-0000-000099650000}"/>
    <cellStyle name="Output 9 4 8" xfId="9655" xr:uid="{00000000-0005-0000-0000-00009A650000}"/>
    <cellStyle name="Output 9 4 8 2" xfId="19956" xr:uid="{00000000-0005-0000-0000-00009B650000}"/>
    <cellStyle name="Output 9 5" xfId="1639" xr:uid="{00000000-0005-0000-0000-00009C650000}"/>
    <cellStyle name="Output 9 5 2" xfId="2136" xr:uid="{00000000-0005-0000-0000-00009D650000}"/>
    <cellStyle name="Output 9 5 2 2" xfId="4307" xr:uid="{00000000-0005-0000-0000-00009E650000}"/>
    <cellStyle name="Output 9 5 2 2 2" xfId="8346" xr:uid="{00000000-0005-0000-0000-00009F650000}"/>
    <cellStyle name="Output 9 5 2 2 2 2" xfId="17625" xr:uid="{00000000-0005-0000-0000-0000A0650000}"/>
    <cellStyle name="Output 9 5 2 2 2 2 2" xfId="32457" xr:uid="{00000000-0005-0000-0000-0000A1650000}"/>
    <cellStyle name="Output 9 5 2 2 2 3" xfId="19329" xr:uid="{00000000-0005-0000-0000-0000A2650000}"/>
    <cellStyle name="Output 9 5 2 2 3" xfId="14638" xr:uid="{00000000-0005-0000-0000-0000A3650000}"/>
    <cellStyle name="Output 9 5 2 2 3 2" xfId="29470" xr:uid="{00000000-0005-0000-0000-0000A4650000}"/>
    <cellStyle name="Output 9 5 2 2 4" xfId="11236" xr:uid="{00000000-0005-0000-0000-0000A5650000}"/>
    <cellStyle name="Output 9 5 2 2 4 2" xfId="26068" xr:uid="{00000000-0005-0000-0000-0000A6650000}"/>
    <cellStyle name="Output 9 5 2 3" xfId="5104" xr:uid="{00000000-0005-0000-0000-0000A7650000}"/>
    <cellStyle name="Output 9 5 2 3 2" xfId="9143" xr:uid="{00000000-0005-0000-0000-0000A8650000}"/>
    <cellStyle name="Output 9 5 2 3 2 2" xfId="18071" xr:uid="{00000000-0005-0000-0000-0000A9650000}"/>
    <cellStyle name="Output 9 5 2 3 2 2 2" xfId="32903" xr:uid="{00000000-0005-0000-0000-0000AA650000}"/>
    <cellStyle name="Output 9 5 2 3 2 3" xfId="19624" xr:uid="{00000000-0005-0000-0000-0000AB650000}"/>
    <cellStyle name="Output 9 5 2 3 3" xfId="15424" xr:uid="{00000000-0005-0000-0000-0000AC650000}"/>
    <cellStyle name="Output 9 5 2 3 3 2" xfId="30256" xr:uid="{00000000-0005-0000-0000-0000AD650000}"/>
    <cellStyle name="Output 9 5 2 3 4" xfId="11670" xr:uid="{00000000-0005-0000-0000-0000AE650000}"/>
    <cellStyle name="Output 9 5 2 3 4 2" xfId="26502" xr:uid="{00000000-0005-0000-0000-0000AF650000}"/>
    <cellStyle name="Output 9 5 2 4" xfId="3094" xr:uid="{00000000-0005-0000-0000-0000B0650000}"/>
    <cellStyle name="Output 9 5 2 4 2" xfId="7164" xr:uid="{00000000-0005-0000-0000-0000B1650000}"/>
    <cellStyle name="Output 9 5 2 4 2 2" xfId="16961" xr:uid="{00000000-0005-0000-0000-0000B2650000}"/>
    <cellStyle name="Output 9 5 2 4 2 2 2" xfId="31793" xr:uid="{00000000-0005-0000-0000-0000B3650000}"/>
    <cellStyle name="Output 9 5 2 4 2 3" xfId="18918" xr:uid="{00000000-0005-0000-0000-0000B4650000}"/>
    <cellStyle name="Output 9 5 2 4 3" xfId="13432" xr:uid="{00000000-0005-0000-0000-0000B5650000}"/>
    <cellStyle name="Output 9 5 2 4 3 2" xfId="28264" xr:uid="{00000000-0005-0000-0000-0000B6650000}"/>
    <cellStyle name="Output 9 5 2 4 4" xfId="10618" xr:uid="{00000000-0005-0000-0000-0000B7650000}"/>
    <cellStyle name="Output 9 5 2 4 4 2" xfId="25450" xr:uid="{00000000-0005-0000-0000-0000B8650000}"/>
    <cellStyle name="Output 9 5 2 5" xfId="6256" xr:uid="{00000000-0005-0000-0000-0000B9650000}"/>
    <cellStyle name="Output 9 5 2 5 2" xfId="16441" xr:uid="{00000000-0005-0000-0000-0000BA650000}"/>
    <cellStyle name="Output 9 5 2 5 2 2" xfId="31273" xr:uid="{00000000-0005-0000-0000-0000BB650000}"/>
    <cellStyle name="Output 9 5 2 5 3" xfId="18559" xr:uid="{00000000-0005-0000-0000-0000BC650000}"/>
    <cellStyle name="Output 9 5 2 6" xfId="12511" xr:uid="{00000000-0005-0000-0000-0000BD650000}"/>
    <cellStyle name="Output 9 5 2 6 2" xfId="27343" xr:uid="{00000000-0005-0000-0000-0000BE650000}"/>
    <cellStyle name="Output 9 5 2 7" xfId="10093" xr:uid="{00000000-0005-0000-0000-0000BF650000}"/>
    <cellStyle name="Output 9 5 2 7 2" xfId="24925" xr:uid="{00000000-0005-0000-0000-0000C0650000}"/>
    <cellStyle name="Output 9 5 3" xfId="3677" xr:uid="{00000000-0005-0000-0000-0000C1650000}"/>
    <cellStyle name="Output 9 5 3 2" xfId="7735" xr:uid="{00000000-0005-0000-0000-0000C2650000}"/>
    <cellStyle name="Output 9 5 3 2 2" xfId="17312" xr:uid="{00000000-0005-0000-0000-0000C3650000}"/>
    <cellStyle name="Output 9 5 3 2 2 2" xfId="32144" xr:uid="{00000000-0005-0000-0000-0000C4650000}"/>
    <cellStyle name="Output 9 5 3 2 3" xfId="19120" xr:uid="{00000000-0005-0000-0000-0000C5650000}"/>
    <cellStyle name="Output 9 5 3 3" xfId="14012" xr:uid="{00000000-0005-0000-0000-0000C6650000}"/>
    <cellStyle name="Output 9 5 3 3 2" xfId="28844" xr:uid="{00000000-0005-0000-0000-0000C7650000}"/>
    <cellStyle name="Output 9 5 3 4" xfId="10929" xr:uid="{00000000-0005-0000-0000-0000C8650000}"/>
    <cellStyle name="Output 9 5 3 4 2" xfId="25761" xr:uid="{00000000-0005-0000-0000-0000C9650000}"/>
    <cellStyle name="Output 9 5 4" xfId="4684" xr:uid="{00000000-0005-0000-0000-0000CA650000}"/>
    <cellStyle name="Output 9 5 4 2" xfId="8723" xr:uid="{00000000-0005-0000-0000-0000CB650000}"/>
    <cellStyle name="Output 9 5 4 2 2" xfId="17831" xr:uid="{00000000-0005-0000-0000-0000CC650000}"/>
    <cellStyle name="Output 9 5 4 2 2 2" xfId="32663" xr:uid="{00000000-0005-0000-0000-0000CD650000}"/>
    <cellStyle name="Output 9 5 4 2 3" xfId="19464" xr:uid="{00000000-0005-0000-0000-0000CE650000}"/>
    <cellStyle name="Output 9 5 4 3" xfId="15009" xr:uid="{00000000-0005-0000-0000-0000CF650000}"/>
    <cellStyle name="Output 9 5 4 3 2" xfId="29841" xr:uid="{00000000-0005-0000-0000-0000D0650000}"/>
    <cellStyle name="Output 9 5 4 4" xfId="11435" xr:uid="{00000000-0005-0000-0000-0000D1650000}"/>
    <cellStyle name="Output 9 5 4 4 2" xfId="26267" xr:uid="{00000000-0005-0000-0000-0000D2650000}"/>
    <cellStyle name="Output 9 5 5" xfId="2674" xr:uid="{00000000-0005-0000-0000-0000D3650000}"/>
    <cellStyle name="Output 9 5 5 2" xfId="6770" xr:uid="{00000000-0005-0000-0000-0000D4650000}"/>
    <cellStyle name="Output 9 5 5 2 2" xfId="16726" xr:uid="{00000000-0005-0000-0000-0000D5650000}"/>
    <cellStyle name="Output 9 5 5 2 2 2" xfId="31558" xr:uid="{00000000-0005-0000-0000-0000D6650000}"/>
    <cellStyle name="Output 9 5 5 2 3" xfId="18754" xr:uid="{00000000-0005-0000-0000-0000D7650000}"/>
    <cellStyle name="Output 9 5 5 3" xfId="13012" xr:uid="{00000000-0005-0000-0000-0000D8650000}"/>
    <cellStyle name="Output 9 5 5 3 2" xfId="27844" xr:uid="{00000000-0005-0000-0000-0000D9650000}"/>
    <cellStyle name="Output 9 5 5 4" xfId="10378" xr:uid="{00000000-0005-0000-0000-0000DA650000}"/>
    <cellStyle name="Output 9 5 5 4 2" xfId="25210" xr:uid="{00000000-0005-0000-0000-0000DB650000}"/>
    <cellStyle name="Output 9 5 6" xfId="5786" xr:uid="{00000000-0005-0000-0000-0000DC650000}"/>
    <cellStyle name="Output 9 5 6 2" xfId="16020" xr:uid="{00000000-0005-0000-0000-0000DD650000}"/>
    <cellStyle name="Output 9 5 6 2 2" xfId="30852" xr:uid="{00000000-0005-0000-0000-0000DE650000}"/>
    <cellStyle name="Output 9 5 6 3" xfId="18395" xr:uid="{00000000-0005-0000-0000-0000DF650000}"/>
    <cellStyle name="Output 9 5 7" xfId="12040" xr:uid="{00000000-0005-0000-0000-0000E0650000}"/>
    <cellStyle name="Output 9 5 7 2" xfId="26872" xr:uid="{00000000-0005-0000-0000-0000E1650000}"/>
    <cellStyle name="Output 9 5 8" xfId="9700" xr:uid="{00000000-0005-0000-0000-0000E2650000}"/>
    <cellStyle name="Output 9 5 8 2" xfId="20000" xr:uid="{00000000-0005-0000-0000-0000E3650000}"/>
    <cellStyle name="Output 9 6" xfId="1790" xr:uid="{00000000-0005-0000-0000-0000E4650000}"/>
    <cellStyle name="Output 9 6 2" xfId="3868" xr:uid="{00000000-0005-0000-0000-0000E5650000}"/>
    <cellStyle name="Output 9 6 2 2" xfId="7920" xr:uid="{00000000-0005-0000-0000-0000E6650000}"/>
    <cellStyle name="Output 9 6 2 2 2" xfId="17401" xr:uid="{00000000-0005-0000-0000-0000E7650000}"/>
    <cellStyle name="Output 9 6 2 2 2 2" xfId="32233" xr:uid="{00000000-0005-0000-0000-0000E8650000}"/>
    <cellStyle name="Output 9 6 2 2 3" xfId="19180" xr:uid="{00000000-0005-0000-0000-0000E9650000}"/>
    <cellStyle name="Output 9 6 2 3" xfId="14203" xr:uid="{00000000-0005-0000-0000-0000EA650000}"/>
    <cellStyle name="Output 9 6 2 3 2" xfId="29035" xr:uid="{00000000-0005-0000-0000-0000EB650000}"/>
    <cellStyle name="Output 9 6 2 4" xfId="11020" xr:uid="{00000000-0005-0000-0000-0000EC650000}"/>
    <cellStyle name="Output 9 6 2 4 2" xfId="25852" xr:uid="{00000000-0005-0000-0000-0000ED650000}"/>
    <cellStyle name="Output 9 6 3" xfId="4768" xr:uid="{00000000-0005-0000-0000-0000EE650000}"/>
    <cellStyle name="Output 9 6 3 2" xfId="8807" xr:uid="{00000000-0005-0000-0000-0000EF650000}"/>
    <cellStyle name="Output 9 6 3 2 2" xfId="17879" xr:uid="{00000000-0005-0000-0000-0000F0650000}"/>
    <cellStyle name="Output 9 6 3 2 2 2" xfId="32711" xr:uid="{00000000-0005-0000-0000-0000F1650000}"/>
    <cellStyle name="Output 9 6 3 2 3" xfId="19496" xr:uid="{00000000-0005-0000-0000-0000F2650000}"/>
    <cellStyle name="Output 9 6 3 3" xfId="15092" xr:uid="{00000000-0005-0000-0000-0000F3650000}"/>
    <cellStyle name="Output 9 6 3 3 2" xfId="29924" xr:uid="{00000000-0005-0000-0000-0000F4650000}"/>
    <cellStyle name="Output 9 6 3 4" xfId="11482" xr:uid="{00000000-0005-0000-0000-0000F5650000}"/>
    <cellStyle name="Output 9 6 3 4 2" xfId="26314" xr:uid="{00000000-0005-0000-0000-0000F6650000}"/>
    <cellStyle name="Output 9 6 4" xfId="2758" xr:uid="{00000000-0005-0000-0000-0000F7650000}"/>
    <cellStyle name="Output 9 6 4 2" xfId="6849" xr:uid="{00000000-0005-0000-0000-0000F8650000}"/>
    <cellStyle name="Output 9 6 4 2 2" xfId="16773" xr:uid="{00000000-0005-0000-0000-0000F9650000}"/>
    <cellStyle name="Output 9 6 4 2 2 2" xfId="31605" xr:uid="{00000000-0005-0000-0000-0000FA650000}"/>
    <cellStyle name="Output 9 6 4 2 3" xfId="18787" xr:uid="{00000000-0005-0000-0000-0000FB650000}"/>
    <cellStyle name="Output 9 6 4 3" xfId="13096" xr:uid="{00000000-0005-0000-0000-0000FC650000}"/>
    <cellStyle name="Output 9 6 4 3 2" xfId="27928" xr:uid="{00000000-0005-0000-0000-0000FD650000}"/>
    <cellStyle name="Output 9 6 4 4" xfId="10426" xr:uid="{00000000-0005-0000-0000-0000FE650000}"/>
    <cellStyle name="Output 9 6 4 4 2" xfId="25258" xr:uid="{00000000-0005-0000-0000-0000FF650000}"/>
    <cellStyle name="Output 9 6 5" xfId="5922" xr:uid="{00000000-0005-0000-0000-000000660000}"/>
    <cellStyle name="Output 9 6 5 2" xfId="16114" xr:uid="{00000000-0005-0000-0000-000001660000}"/>
    <cellStyle name="Output 9 6 5 2 2" xfId="30946" xr:uid="{00000000-0005-0000-0000-000002660000}"/>
    <cellStyle name="Output 9 6 5 3" xfId="18429" xr:uid="{00000000-0005-0000-0000-000003660000}"/>
    <cellStyle name="Output 9 6 6" xfId="12184" xr:uid="{00000000-0005-0000-0000-000004660000}"/>
    <cellStyle name="Output 9 6 6 2" xfId="27016" xr:uid="{00000000-0005-0000-0000-000005660000}"/>
    <cellStyle name="Output 9 6 7" xfId="9780" xr:uid="{00000000-0005-0000-0000-000006660000}"/>
    <cellStyle name="Output 9 6 7 2" xfId="24737" xr:uid="{00000000-0005-0000-0000-000007660000}"/>
    <cellStyle name="Output 9 7" xfId="2176" xr:uid="{00000000-0005-0000-0000-000008660000}"/>
    <cellStyle name="Output 9 7 2" xfId="3419" xr:uid="{00000000-0005-0000-0000-000009660000}"/>
    <cellStyle name="Output 9 7 2 2" xfId="7482" xr:uid="{00000000-0005-0000-0000-00000A660000}"/>
    <cellStyle name="Output 9 7 2 2 2" xfId="17180" xr:uid="{00000000-0005-0000-0000-00000B660000}"/>
    <cellStyle name="Output 9 7 2 2 2 2" xfId="32012" xr:uid="{00000000-0005-0000-0000-00000C660000}"/>
    <cellStyle name="Output 9 7 2 2 3" xfId="19029" xr:uid="{00000000-0005-0000-0000-00000D660000}"/>
    <cellStyle name="Output 9 7 2 3" xfId="13756" xr:uid="{00000000-0005-0000-0000-00000E660000}"/>
    <cellStyle name="Output 9 7 2 3 2" xfId="28588" xr:uid="{00000000-0005-0000-0000-00000F660000}"/>
    <cellStyle name="Output 9 7 2 4" xfId="10799" xr:uid="{00000000-0005-0000-0000-000010660000}"/>
    <cellStyle name="Output 9 7 2 4 2" xfId="25631" xr:uid="{00000000-0005-0000-0000-000011660000}"/>
    <cellStyle name="Output 9 7 3" xfId="5144" xr:uid="{00000000-0005-0000-0000-000012660000}"/>
    <cellStyle name="Output 9 7 3 2" xfId="9183" xr:uid="{00000000-0005-0000-0000-000013660000}"/>
    <cellStyle name="Output 9 7 3 2 2" xfId="18106" xr:uid="{00000000-0005-0000-0000-000014660000}"/>
    <cellStyle name="Output 9 7 3 2 2 2" xfId="32938" xr:uid="{00000000-0005-0000-0000-000015660000}"/>
    <cellStyle name="Output 9 7 3 2 3" xfId="19657" xr:uid="{00000000-0005-0000-0000-000016660000}"/>
    <cellStyle name="Output 9 7 3 3" xfId="15462" xr:uid="{00000000-0005-0000-0000-000017660000}"/>
    <cellStyle name="Output 9 7 3 3 2" xfId="30294" xr:uid="{00000000-0005-0000-0000-000018660000}"/>
    <cellStyle name="Output 9 7 3 4" xfId="11703" xr:uid="{00000000-0005-0000-0000-000019660000}"/>
    <cellStyle name="Output 9 7 3 4 2" xfId="26535" xr:uid="{00000000-0005-0000-0000-00001A660000}"/>
    <cellStyle name="Output 9 7 4" xfId="4174" xr:uid="{00000000-0005-0000-0000-00001B660000}"/>
    <cellStyle name="Output 9 7 4 2" xfId="8215" xr:uid="{00000000-0005-0000-0000-00001C660000}"/>
    <cellStyle name="Output 9 7 4 2 2" xfId="17562" xr:uid="{00000000-0005-0000-0000-00001D660000}"/>
    <cellStyle name="Output 9 7 4 2 2 2" xfId="32394" xr:uid="{00000000-0005-0000-0000-00001E660000}"/>
    <cellStyle name="Output 9 7 4 2 3" xfId="19300" xr:uid="{00000000-0005-0000-0000-00001F660000}"/>
    <cellStyle name="Output 9 7 4 3" xfId="14506" xr:uid="{00000000-0005-0000-0000-000020660000}"/>
    <cellStyle name="Output 9 7 4 3 2" xfId="29338" xr:uid="{00000000-0005-0000-0000-000021660000}"/>
    <cellStyle name="Output 9 7 4 4" xfId="11182" xr:uid="{00000000-0005-0000-0000-000022660000}"/>
    <cellStyle name="Output 9 7 4 4 2" xfId="26014" xr:uid="{00000000-0005-0000-0000-000023660000}"/>
    <cellStyle name="Output 9 7 5" xfId="6290" xr:uid="{00000000-0005-0000-0000-000024660000}"/>
    <cellStyle name="Output 9 7 5 2" xfId="16474" xr:uid="{00000000-0005-0000-0000-000025660000}"/>
    <cellStyle name="Output 9 7 5 2 2" xfId="31306" xr:uid="{00000000-0005-0000-0000-000026660000}"/>
    <cellStyle name="Output 9 7 5 3" xfId="18593" xr:uid="{00000000-0005-0000-0000-000027660000}"/>
    <cellStyle name="Output 9 7 6" xfId="12544" xr:uid="{00000000-0005-0000-0000-000028660000}"/>
    <cellStyle name="Output 9 7 6 2" xfId="27376" xr:uid="{00000000-0005-0000-0000-000029660000}"/>
    <cellStyle name="Output 9 7 7" xfId="10126" xr:uid="{00000000-0005-0000-0000-00002A660000}"/>
    <cellStyle name="Output 9 7 7 2" xfId="24958" xr:uid="{00000000-0005-0000-0000-00002B660000}"/>
    <cellStyle name="Output 9 8" xfId="4035" xr:uid="{00000000-0005-0000-0000-00002C660000}"/>
    <cellStyle name="Output 9 8 2" xfId="8082" xr:uid="{00000000-0005-0000-0000-00002D660000}"/>
    <cellStyle name="Output 9 8 2 2" xfId="17486" xr:uid="{00000000-0005-0000-0000-00002E660000}"/>
    <cellStyle name="Output 9 8 2 2 2" xfId="32318" xr:uid="{00000000-0005-0000-0000-00002F660000}"/>
    <cellStyle name="Output 9 8 2 3" xfId="19242" xr:uid="{00000000-0005-0000-0000-000030660000}"/>
    <cellStyle name="Output 9 8 3" xfId="14367" xr:uid="{00000000-0005-0000-0000-000031660000}"/>
    <cellStyle name="Output 9 8 3 2" xfId="29199" xr:uid="{00000000-0005-0000-0000-000032660000}"/>
    <cellStyle name="Output 9 8 4" xfId="11102" xr:uid="{00000000-0005-0000-0000-000033660000}"/>
    <cellStyle name="Output 9 8 4 2" xfId="25934" xr:uid="{00000000-0005-0000-0000-000034660000}"/>
    <cellStyle name="Output 9 9" xfId="4287" xr:uid="{00000000-0005-0000-0000-000035660000}"/>
    <cellStyle name="Output 9 9 2" xfId="8326" xr:uid="{00000000-0005-0000-0000-000036660000}"/>
    <cellStyle name="Output 9 9 2 2" xfId="17608" xr:uid="{00000000-0005-0000-0000-000037660000}"/>
    <cellStyle name="Output 9 9 2 2 2" xfId="32440" xr:uid="{00000000-0005-0000-0000-000038660000}"/>
    <cellStyle name="Output 9 9 2 3" xfId="19321" xr:uid="{00000000-0005-0000-0000-000039660000}"/>
    <cellStyle name="Output 9 9 3" xfId="14619" xr:uid="{00000000-0005-0000-0000-00003A660000}"/>
    <cellStyle name="Output 9 9 3 2" xfId="29451" xr:uid="{00000000-0005-0000-0000-00003B660000}"/>
    <cellStyle name="Output 9 9 4" xfId="11223" xr:uid="{00000000-0005-0000-0000-00003C660000}"/>
    <cellStyle name="Output 9 9 4 2" xfId="26055" xr:uid="{00000000-0005-0000-0000-00003D660000}"/>
    <cellStyle name="Pattern" xfId="1246" xr:uid="{00000000-0005-0000-0000-00003E660000}"/>
    <cellStyle name="Pattern 2" xfId="1302" xr:uid="{00000000-0005-0000-0000-00003F660000}"/>
    <cellStyle name="Pattern 2 10" xfId="1692" xr:uid="{00000000-0005-0000-0000-000040660000}"/>
    <cellStyle name="Pattern 2 10 2" xfId="5824" xr:uid="{00000000-0005-0000-0000-000041660000}"/>
    <cellStyle name="Pattern 2 10 2 2" xfId="22421" xr:uid="{00000000-0005-0000-0000-000042660000}"/>
    <cellStyle name="Pattern 2 10 3" xfId="12086" xr:uid="{00000000-0005-0000-0000-000043660000}"/>
    <cellStyle name="Pattern 2 10 3 2" xfId="26918" xr:uid="{00000000-0005-0000-0000-000044660000}"/>
    <cellStyle name="Pattern 2 11" xfId="5479" xr:uid="{00000000-0005-0000-0000-000045660000}"/>
    <cellStyle name="Pattern 2 11 2" xfId="15714" xr:uid="{00000000-0005-0000-0000-000046660000}"/>
    <cellStyle name="Pattern 2 11 2 2" xfId="30546" xr:uid="{00000000-0005-0000-0000-000047660000}"/>
    <cellStyle name="Pattern 2 11 3" xfId="22207" xr:uid="{00000000-0005-0000-0000-000048660000}"/>
    <cellStyle name="Pattern 2 2" xfId="1386" xr:uid="{00000000-0005-0000-0000-000049660000}"/>
    <cellStyle name="Pattern 2 2 2" xfId="1681" xr:uid="{00000000-0005-0000-0000-00004A660000}"/>
    <cellStyle name="Pattern 2 2 2 2" xfId="2264" xr:uid="{00000000-0005-0000-0000-00004B660000}"/>
    <cellStyle name="Pattern 2 2 2 2 2" xfId="4368" xr:uid="{00000000-0005-0000-0000-00004C660000}"/>
    <cellStyle name="Pattern 2 2 2 2 2 2" xfId="8407" xr:uid="{00000000-0005-0000-0000-00004D660000}"/>
    <cellStyle name="Pattern 2 2 2 2 2 2 2" xfId="24065" xr:uid="{00000000-0005-0000-0000-00004E660000}"/>
    <cellStyle name="Pattern 2 2 2 2 2 3" xfId="14697" xr:uid="{00000000-0005-0000-0000-00004F660000}"/>
    <cellStyle name="Pattern 2 2 2 2 2 3 2" xfId="29529" xr:uid="{00000000-0005-0000-0000-000050660000}"/>
    <cellStyle name="Pattern 2 2 2 2 3" xfId="5232" xr:uid="{00000000-0005-0000-0000-000051660000}"/>
    <cellStyle name="Pattern 2 2 2 2 3 2" xfId="9271" xr:uid="{00000000-0005-0000-0000-000052660000}"/>
    <cellStyle name="Pattern 2 2 2 2 3 2 2" xfId="24609" xr:uid="{00000000-0005-0000-0000-000053660000}"/>
    <cellStyle name="Pattern 2 2 2 2 3 3" xfId="15548" xr:uid="{00000000-0005-0000-0000-000054660000}"/>
    <cellStyle name="Pattern 2 2 2 2 3 3 2" xfId="30380" xr:uid="{00000000-0005-0000-0000-000055660000}"/>
    <cellStyle name="Pattern 2 2 2 2 4" xfId="4262" xr:uid="{00000000-0005-0000-0000-000056660000}"/>
    <cellStyle name="Pattern 2 2 2 2 4 2" xfId="8301" xr:uid="{00000000-0005-0000-0000-000057660000}"/>
    <cellStyle name="Pattern 2 2 2 2 4 2 2" xfId="23996" xr:uid="{00000000-0005-0000-0000-000058660000}"/>
    <cellStyle name="Pattern 2 2 2 2 4 3" xfId="14594" xr:uid="{00000000-0005-0000-0000-000059660000}"/>
    <cellStyle name="Pattern 2 2 2 2 4 3 2" xfId="29426" xr:uid="{00000000-0005-0000-0000-00005A660000}"/>
    <cellStyle name="Pattern 2 2 2 2 5" xfId="6376" xr:uid="{00000000-0005-0000-0000-00005B660000}"/>
    <cellStyle name="Pattern 2 2 2 2 5 2" xfId="22778" xr:uid="{00000000-0005-0000-0000-00005C660000}"/>
    <cellStyle name="Pattern 2 2 2 3" xfId="3970" xr:uid="{00000000-0005-0000-0000-00005D660000}"/>
    <cellStyle name="Pattern 2 2 2 3 2" xfId="8019" xr:uid="{00000000-0005-0000-0000-00005E660000}"/>
    <cellStyle name="Pattern 2 2 2 3 2 2" xfId="23812" xr:uid="{00000000-0005-0000-0000-00005F660000}"/>
    <cellStyle name="Pattern 2 2 2 3 3" xfId="14303" xr:uid="{00000000-0005-0000-0000-000060660000}"/>
    <cellStyle name="Pattern 2 2 2 3 3 2" xfId="29135" xr:uid="{00000000-0005-0000-0000-000061660000}"/>
    <cellStyle name="Pattern 2 2 2 4" xfId="3337" xr:uid="{00000000-0005-0000-0000-000062660000}"/>
    <cellStyle name="Pattern 2 2 2 4 2" xfId="7400" xr:uid="{00000000-0005-0000-0000-000063660000}"/>
    <cellStyle name="Pattern 2 2 2 4 2 2" xfId="23405" xr:uid="{00000000-0005-0000-0000-000064660000}"/>
    <cellStyle name="Pattern 2 2 2 4 3" xfId="13674" xr:uid="{00000000-0005-0000-0000-000065660000}"/>
    <cellStyle name="Pattern 2 2 2 4 3 2" xfId="28506" xr:uid="{00000000-0005-0000-0000-000066660000}"/>
    <cellStyle name="Pattern 2 2 2 5" xfId="4868" xr:uid="{00000000-0005-0000-0000-000067660000}"/>
    <cellStyle name="Pattern 2 2 2 5 2" xfId="8907" xr:uid="{00000000-0005-0000-0000-000068660000}"/>
    <cellStyle name="Pattern 2 2 2 5 2 2" xfId="24373" xr:uid="{00000000-0005-0000-0000-000069660000}"/>
    <cellStyle name="Pattern 2 2 2 5 3" xfId="15191" xr:uid="{00000000-0005-0000-0000-00006A660000}"/>
    <cellStyle name="Pattern 2 2 2 5 3 2" xfId="30023" xr:uid="{00000000-0005-0000-0000-00006B660000}"/>
    <cellStyle name="Pattern 2 2 2 6" xfId="2858" xr:uid="{00000000-0005-0000-0000-00006C660000}"/>
    <cellStyle name="Pattern 2 2 2 6 2" xfId="13196" xr:uid="{00000000-0005-0000-0000-00006D660000}"/>
    <cellStyle name="Pattern 2 2 2 6 2 2" xfId="28028" xr:uid="{00000000-0005-0000-0000-00006E660000}"/>
    <cellStyle name="Pattern 2 2 2 6 3" xfId="20784" xr:uid="{00000000-0005-0000-0000-00006F660000}"/>
    <cellStyle name="Pattern 2 2 2 7" xfId="1890" xr:uid="{00000000-0005-0000-0000-000070660000}"/>
    <cellStyle name="Pattern 2 2 2 7 2" xfId="6021" xr:uid="{00000000-0005-0000-0000-000071660000}"/>
    <cellStyle name="Pattern 2 2 2 7 2 2" xfId="22554" xr:uid="{00000000-0005-0000-0000-000072660000}"/>
    <cellStyle name="Pattern 2 2 2 8" xfId="12076" xr:uid="{00000000-0005-0000-0000-000073660000}"/>
    <cellStyle name="Pattern 2 2 2 8 2" xfId="26908" xr:uid="{00000000-0005-0000-0000-000074660000}"/>
    <cellStyle name="Pattern 2 2 3" xfId="3669" xr:uid="{00000000-0005-0000-0000-000075660000}"/>
    <cellStyle name="Pattern 2 2 3 2" xfId="7727" xr:uid="{00000000-0005-0000-0000-000076660000}"/>
    <cellStyle name="Pattern 2 2 3 2 2" xfId="23623" xr:uid="{00000000-0005-0000-0000-000077660000}"/>
    <cellStyle name="Pattern 2 2 3 3" xfId="14004" xr:uid="{00000000-0005-0000-0000-000078660000}"/>
    <cellStyle name="Pattern 2 2 3 3 2" xfId="28836" xr:uid="{00000000-0005-0000-0000-000079660000}"/>
    <cellStyle name="Pattern 2 2 4" xfId="4448" xr:uid="{00000000-0005-0000-0000-00007A660000}"/>
    <cellStyle name="Pattern 2 2 4 2" xfId="8487" xr:uid="{00000000-0005-0000-0000-00007B660000}"/>
    <cellStyle name="Pattern 2 2 4 2 2" xfId="24113" xr:uid="{00000000-0005-0000-0000-00007C660000}"/>
    <cellStyle name="Pattern 2 2 4 3" xfId="14776" xr:uid="{00000000-0005-0000-0000-00007D660000}"/>
    <cellStyle name="Pattern 2 2 4 3 2" xfId="29608" xr:uid="{00000000-0005-0000-0000-00007E660000}"/>
    <cellStyle name="Pattern 2 2 5" xfId="2438" xr:uid="{00000000-0005-0000-0000-00007F660000}"/>
    <cellStyle name="Pattern 2 2 5 2" xfId="12777" xr:uid="{00000000-0005-0000-0000-000080660000}"/>
    <cellStyle name="Pattern 2 2 5 2 2" xfId="27609" xr:uid="{00000000-0005-0000-0000-000081660000}"/>
    <cellStyle name="Pattern 2 2 5 3" xfId="20530" xr:uid="{00000000-0005-0000-0000-000082660000}"/>
    <cellStyle name="Pattern 2 2 6" xfId="5562" xr:uid="{00000000-0005-0000-0000-000083660000}"/>
    <cellStyle name="Pattern 2 2 6 2" xfId="15797" xr:uid="{00000000-0005-0000-0000-000084660000}"/>
    <cellStyle name="Pattern 2 2 6 2 2" xfId="30629" xr:uid="{00000000-0005-0000-0000-000085660000}"/>
    <cellStyle name="Pattern 2 2 6 3" xfId="22258" xr:uid="{00000000-0005-0000-0000-000086660000}"/>
    <cellStyle name="Pattern 2 3" xfId="1558" xr:uid="{00000000-0005-0000-0000-000087660000}"/>
    <cellStyle name="Pattern 2 3 2" xfId="2055" xr:uid="{00000000-0005-0000-0000-000088660000}"/>
    <cellStyle name="Pattern 2 3 2 2" xfId="4078" xr:uid="{00000000-0005-0000-0000-000089660000}"/>
    <cellStyle name="Pattern 2 3 2 2 2" xfId="8124" xr:uid="{00000000-0005-0000-0000-00008A660000}"/>
    <cellStyle name="Pattern 2 3 2 2 2 2" xfId="23875" xr:uid="{00000000-0005-0000-0000-00008B660000}"/>
    <cellStyle name="Pattern 2 3 2 2 3" xfId="14410" xr:uid="{00000000-0005-0000-0000-00008C660000}"/>
    <cellStyle name="Pattern 2 3 2 2 3 2" xfId="29242" xr:uid="{00000000-0005-0000-0000-00008D660000}"/>
    <cellStyle name="Pattern 2 3 2 3" xfId="3396" xr:uid="{00000000-0005-0000-0000-00008E660000}"/>
    <cellStyle name="Pattern 2 3 2 3 2" xfId="7459" xr:uid="{00000000-0005-0000-0000-00008F660000}"/>
    <cellStyle name="Pattern 2 3 2 3 2 2" xfId="23448" xr:uid="{00000000-0005-0000-0000-000090660000}"/>
    <cellStyle name="Pattern 2 3 2 3 3" xfId="13733" xr:uid="{00000000-0005-0000-0000-000091660000}"/>
    <cellStyle name="Pattern 2 3 2 3 3 2" xfId="28565" xr:uid="{00000000-0005-0000-0000-000092660000}"/>
    <cellStyle name="Pattern 2 3 2 4" xfId="5023" xr:uid="{00000000-0005-0000-0000-000093660000}"/>
    <cellStyle name="Pattern 2 3 2 4 2" xfId="9062" xr:uid="{00000000-0005-0000-0000-000094660000}"/>
    <cellStyle name="Pattern 2 3 2 4 2 2" xfId="24496" xr:uid="{00000000-0005-0000-0000-000095660000}"/>
    <cellStyle name="Pattern 2 3 2 4 3" xfId="15344" xr:uid="{00000000-0005-0000-0000-000096660000}"/>
    <cellStyle name="Pattern 2 3 2 4 3 2" xfId="30176" xr:uid="{00000000-0005-0000-0000-000097660000}"/>
    <cellStyle name="Pattern 2 3 2 5" xfId="3013" xr:uid="{00000000-0005-0000-0000-000098660000}"/>
    <cellStyle name="Pattern 2 3 2 5 2" xfId="13351" xr:uid="{00000000-0005-0000-0000-000099660000}"/>
    <cellStyle name="Pattern 2 3 2 5 2 2" xfId="28183" xr:uid="{00000000-0005-0000-0000-00009A660000}"/>
    <cellStyle name="Pattern 2 3 2 5 3" xfId="20907" xr:uid="{00000000-0005-0000-0000-00009B660000}"/>
    <cellStyle name="Pattern 2 3 3" xfId="3780" xr:uid="{00000000-0005-0000-0000-00009C660000}"/>
    <cellStyle name="Pattern 2 3 3 2" xfId="7835" xr:uid="{00000000-0005-0000-0000-00009D660000}"/>
    <cellStyle name="Pattern 2 3 3 2 2" xfId="23691" xr:uid="{00000000-0005-0000-0000-00009E660000}"/>
    <cellStyle name="Pattern 2 3 3 3" xfId="14115" xr:uid="{00000000-0005-0000-0000-00009F660000}"/>
    <cellStyle name="Pattern 2 3 3 3 2" xfId="28947" xr:uid="{00000000-0005-0000-0000-0000A0660000}"/>
    <cellStyle name="Pattern 2 3 4" xfId="4603" xr:uid="{00000000-0005-0000-0000-0000A1660000}"/>
    <cellStyle name="Pattern 2 3 4 2" xfId="8642" xr:uid="{00000000-0005-0000-0000-0000A2660000}"/>
    <cellStyle name="Pattern 2 3 4 2 2" xfId="24236" xr:uid="{00000000-0005-0000-0000-0000A3660000}"/>
    <cellStyle name="Pattern 2 3 4 3" xfId="14929" xr:uid="{00000000-0005-0000-0000-0000A4660000}"/>
    <cellStyle name="Pattern 2 3 4 3 2" xfId="29761" xr:uid="{00000000-0005-0000-0000-0000A5660000}"/>
    <cellStyle name="Pattern 2 3 5" xfId="2593" xr:uid="{00000000-0005-0000-0000-0000A6660000}"/>
    <cellStyle name="Pattern 2 3 5 2" xfId="12931" xr:uid="{00000000-0005-0000-0000-0000A7660000}"/>
    <cellStyle name="Pattern 2 3 5 2 2" xfId="27763" xr:uid="{00000000-0005-0000-0000-0000A8660000}"/>
    <cellStyle name="Pattern 2 3 5 3" xfId="20647" xr:uid="{00000000-0005-0000-0000-0000A9660000}"/>
    <cellStyle name="Pattern 2 3 6" xfId="1703" xr:uid="{00000000-0005-0000-0000-0000AA660000}"/>
    <cellStyle name="Pattern 2 3 6 2" xfId="5835" xr:uid="{00000000-0005-0000-0000-0000AB660000}"/>
    <cellStyle name="Pattern 2 3 6 2 2" xfId="22432" xr:uid="{00000000-0005-0000-0000-0000AC660000}"/>
    <cellStyle name="Pattern 2 3 6 3" xfId="12097" xr:uid="{00000000-0005-0000-0000-0000AD660000}"/>
    <cellStyle name="Pattern 2 3 6 3 2" xfId="26929" xr:uid="{00000000-0005-0000-0000-0000AE660000}"/>
    <cellStyle name="Pattern 2 4" xfId="1611" xr:uid="{00000000-0005-0000-0000-0000AF660000}"/>
    <cellStyle name="Pattern 2 4 2" xfId="2108" xr:uid="{00000000-0005-0000-0000-0000B0660000}"/>
    <cellStyle name="Pattern 2 4 2 2" xfId="4118" xr:uid="{00000000-0005-0000-0000-0000B1660000}"/>
    <cellStyle name="Pattern 2 4 2 2 2" xfId="8163" xr:uid="{00000000-0005-0000-0000-0000B2660000}"/>
    <cellStyle name="Pattern 2 4 2 2 2 2" xfId="23901" xr:uid="{00000000-0005-0000-0000-0000B3660000}"/>
    <cellStyle name="Pattern 2 4 2 2 3" xfId="14450" xr:uid="{00000000-0005-0000-0000-0000B4660000}"/>
    <cellStyle name="Pattern 2 4 2 2 3 2" xfId="29282" xr:uid="{00000000-0005-0000-0000-0000B5660000}"/>
    <cellStyle name="Pattern 2 4 2 3" xfId="3533" xr:uid="{00000000-0005-0000-0000-0000B6660000}"/>
    <cellStyle name="Pattern 2 4 2 3 2" xfId="7595" xr:uid="{00000000-0005-0000-0000-0000B7660000}"/>
    <cellStyle name="Pattern 2 4 2 3 2 2" xfId="23538" xr:uid="{00000000-0005-0000-0000-0000B8660000}"/>
    <cellStyle name="Pattern 2 4 2 3 3" xfId="13870" xr:uid="{00000000-0005-0000-0000-0000B9660000}"/>
    <cellStyle name="Pattern 2 4 2 3 3 2" xfId="28702" xr:uid="{00000000-0005-0000-0000-0000BA660000}"/>
    <cellStyle name="Pattern 2 4 2 4" xfId="5076" xr:uid="{00000000-0005-0000-0000-0000BB660000}"/>
    <cellStyle name="Pattern 2 4 2 4 2" xfId="9115" xr:uid="{00000000-0005-0000-0000-0000BC660000}"/>
    <cellStyle name="Pattern 2 4 2 4 2 2" xfId="24517" xr:uid="{00000000-0005-0000-0000-0000BD660000}"/>
    <cellStyle name="Pattern 2 4 2 4 3" xfId="15396" xr:uid="{00000000-0005-0000-0000-0000BE660000}"/>
    <cellStyle name="Pattern 2 4 2 4 3 2" xfId="30228" xr:uid="{00000000-0005-0000-0000-0000BF660000}"/>
    <cellStyle name="Pattern 2 4 2 5" xfId="3066" xr:uid="{00000000-0005-0000-0000-0000C0660000}"/>
    <cellStyle name="Pattern 2 4 2 5 2" xfId="13404" xr:uid="{00000000-0005-0000-0000-0000C1660000}"/>
    <cellStyle name="Pattern 2 4 2 5 2 2" xfId="28236" xr:uid="{00000000-0005-0000-0000-0000C2660000}"/>
    <cellStyle name="Pattern 2 4 2 5 3" xfId="20928" xr:uid="{00000000-0005-0000-0000-0000C3660000}"/>
    <cellStyle name="Pattern 2 4 3" xfId="3818" xr:uid="{00000000-0005-0000-0000-0000C4660000}"/>
    <cellStyle name="Pattern 2 4 3 2" xfId="7871" xr:uid="{00000000-0005-0000-0000-0000C5660000}"/>
    <cellStyle name="Pattern 2 4 3 2 2" xfId="23718" xr:uid="{00000000-0005-0000-0000-0000C6660000}"/>
    <cellStyle name="Pattern 2 4 3 3" xfId="14153" xr:uid="{00000000-0005-0000-0000-0000C7660000}"/>
    <cellStyle name="Pattern 2 4 3 3 2" xfId="28985" xr:uid="{00000000-0005-0000-0000-0000C8660000}"/>
    <cellStyle name="Pattern 2 4 4" xfId="4656" xr:uid="{00000000-0005-0000-0000-0000C9660000}"/>
    <cellStyle name="Pattern 2 4 4 2" xfId="8695" xr:uid="{00000000-0005-0000-0000-0000CA660000}"/>
    <cellStyle name="Pattern 2 4 4 2 2" xfId="24257" xr:uid="{00000000-0005-0000-0000-0000CB660000}"/>
    <cellStyle name="Pattern 2 4 4 3" xfId="14981" xr:uid="{00000000-0005-0000-0000-0000CC660000}"/>
    <cellStyle name="Pattern 2 4 4 3 2" xfId="29813" xr:uid="{00000000-0005-0000-0000-0000CD660000}"/>
    <cellStyle name="Pattern 2 4 5" xfId="2646" xr:uid="{00000000-0005-0000-0000-0000CE660000}"/>
    <cellStyle name="Pattern 2 4 5 2" xfId="12984" xr:uid="{00000000-0005-0000-0000-0000CF660000}"/>
    <cellStyle name="Pattern 2 4 5 2 2" xfId="27816" xr:uid="{00000000-0005-0000-0000-0000D0660000}"/>
    <cellStyle name="Pattern 2 4 5 3" xfId="20668" xr:uid="{00000000-0005-0000-0000-0000D1660000}"/>
    <cellStyle name="Pattern 2 4 6" xfId="1708" xr:uid="{00000000-0005-0000-0000-0000D2660000}"/>
    <cellStyle name="Pattern 2 4 6 2" xfId="5840" xr:uid="{00000000-0005-0000-0000-0000D3660000}"/>
    <cellStyle name="Pattern 2 4 6 2 2" xfId="22437" xr:uid="{00000000-0005-0000-0000-0000D4660000}"/>
    <cellStyle name="Pattern 2 4 6 3" xfId="12102" xr:uid="{00000000-0005-0000-0000-0000D5660000}"/>
    <cellStyle name="Pattern 2 4 6 3 2" xfId="26934" xr:uid="{00000000-0005-0000-0000-0000D6660000}"/>
    <cellStyle name="Pattern 2 5" xfId="1661" xr:uid="{00000000-0005-0000-0000-0000D7660000}"/>
    <cellStyle name="Pattern 2 5 2" xfId="2158" xr:uid="{00000000-0005-0000-0000-0000D8660000}"/>
    <cellStyle name="Pattern 2 5 2 2" xfId="4156" xr:uid="{00000000-0005-0000-0000-0000D9660000}"/>
    <cellStyle name="Pattern 2 5 2 2 2" xfId="8198" xr:uid="{00000000-0005-0000-0000-0000DA660000}"/>
    <cellStyle name="Pattern 2 5 2 2 2 2" xfId="23925" xr:uid="{00000000-0005-0000-0000-0000DB660000}"/>
    <cellStyle name="Pattern 2 5 2 2 3" xfId="14488" xr:uid="{00000000-0005-0000-0000-0000DC660000}"/>
    <cellStyle name="Pattern 2 5 2 2 3 2" xfId="29320" xr:uid="{00000000-0005-0000-0000-0000DD660000}"/>
    <cellStyle name="Pattern 2 5 2 3" xfId="3171" xr:uid="{00000000-0005-0000-0000-0000DE660000}"/>
    <cellStyle name="Pattern 2 5 2 3 2" xfId="7235" xr:uid="{00000000-0005-0000-0000-0000DF660000}"/>
    <cellStyle name="Pattern 2 5 2 3 2 2" xfId="23295" xr:uid="{00000000-0005-0000-0000-0000E0660000}"/>
    <cellStyle name="Pattern 2 5 2 3 3" xfId="13509" xr:uid="{00000000-0005-0000-0000-0000E1660000}"/>
    <cellStyle name="Pattern 2 5 2 3 3 2" xfId="28341" xr:uid="{00000000-0005-0000-0000-0000E2660000}"/>
    <cellStyle name="Pattern 2 5 2 4" xfId="5126" xr:uid="{00000000-0005-0000-0000-0000E3660000}"/>
    <cellStyle name="Pattern 2 5 2 4 2" xfId="9165" xr:uid="{00000000-0005-0000-0000-0000E4660000}"/>
    <cellStyle name="Pattern 2 5 2 4 2 2" xfId="24535" xr:uid="{00000000-0005-0000-0000-0000E5660000}"/>
    <cellStyle name="Pattern 2 5 2 4 3" xfId="15445" xr:uid="{00000000-0005-0000-0000-0000E6660000}"/>
    <cellStyle name="Pattern 2 5 2 4 3 2" xfId="30277" xr:uid="{00000000-0005-0000-0000-0000E7660000}"/>
    <cellStyle name="Pattern 2 5 2 5" xfId="3116" xr:uid="{00000000-0005-0000-0000-0000E8660000}"/>
    <cellStyle name="Pattern 2 5 2 5 2" xfId="13454" xr:uid="{00000000-0005-0000-0000-0000E9660000}"/>
    <cellStyle name="Pattern 2 5 2 5 2 2" xfId="28286" xr:uid="{00000000-0005-0000-0000-0000EA660000}"/>
    <cellStyle name="Pattern 2 5 2 5 3" xfId="20946" xr:uid="{00000000-0005-0000-0000-0000EB660000}"/>
    <cellStyle name="Pattern 2 5 3" xfId="3856" xr:uid="{00000000-0005-0000-0000-0000EC660000}"/>
    <cellStyle name="Pattern 2 5 3 2" xfId="7908" xr:uid="{00000000-0005-0000-0000-0000ED660000}"/>
    <cellStyle name="Pattern 2 5 3 2 2" xfId="23744" xr:uid="{00000000-0005-0000-0000-0000EE660000}"/>
    <cellStyle name="Pattern 2 5 3 3" xfId="14191" xr:uid="{00000000-0005-0000-0000-0000EF660000}"/>
    <cellStyle name="Pattern 2 5 3 3 2" xfId="29023" xr:uid="{00000000-0005-0000-0000-0000F0660000}"/>
    <cellStyle name="Pattern 2 5 4" xfId="4706" xr:uid="{00000000-0005-0000-0000-0000F1660000}"/>
    <cellStyle name="Pattern 2 5 4 2" xfId="8745" xr:uid="{00000000-0005-0000-0000-0000F2660000}"/>
    <cellStyle name="Pattern 2 5 4 2 2" xfId="24275" xr:uid="{00000000-0005-0000-0000-0000F3660000}"/>
    <cellStyle name="Pattern 2 5 4 3" xfId="15030" xr:uid="{00000000-0005-0000-0000-0000F4660000}"/>
    <cellStyle name="Pattern 2 5 4 3 2" xfId="29862" xr:uid="{00000000-0005-0000-0000-0000F5660000}"/>
    <cellStyle name="Pattern 2 5 5" xfId="2696" xr:uid="{00000000-0005-0000-0000-0000F6660000}"/>
    <cellStyle name="Pattern 2 5 5 2" xfId="13034" xr:uid="{00000000-0005-0000-0000-0000F7660000}"/>
    <cellStyle name="Pattern 2 5 5 2 2" xfId="27866" xr:uid="{00000000-0005-0000-0000-0000F8660000}"/>
    <cellStyle name="Pattern 2 5 5 3" xfId="20686" xr:uid="{00000000-0005-0000-0000-0000F9660000}"/>
    <cellStyle name="Pattern 2 5 6" xfId="1713" xr:uid="{00000000-0005-0000-0000-0000FA660000}"/>
    <cellStyle name="Pattern 2 5 6 2" xfId="5845" xr:uid="{00000000-0005-0000-0000-0000FB660000}"/>
    <cellStyle name="Pattern 2 5 6 2 2" xfId="22442" xr:uid="{00000000-0005-0000-0000-0000FC660000}"/>
    <cellStyle name="Pattern 2 5 6 3" xfId="12107" xr:uid="{00000000-0005-0000-0000-0000FD660000}"/>
    <cellStyle name="Pattern 2 5 6 3 2" xfId="26939" xr:uid="{00000000-0005-0000-0000-0000FE660000}"/>
    <cellStyle name="Pattern 2 6" xfId="1671" xr:uid="{00000000-0005-0000-0000-0000FF660000}"/>
    <cellStyle name="Pattern 2 6 2" xfId="4358" xr:uid="{00000000-0005-0000-0000-000000670000}"/>
    <cellStyle name="Pattern 2 6 2 2" xfId="8397" xr:uid="{00000000-0005-0000-0000-000001670000}"/>
    <cellStyle name="Pattern 2 6 2 2 2" xfId="24055" xr:uid="{00000000-0005-0000-0000-000002670000}"/>
    <cellStyle name="Pattern 2 6 2 3" xfId="14687" xr:uid="{00000000-0005-0000-0000-000003670000}"/>
    <cellStyle name="Pattern 2 6 2 3 2" xfId="29519" xr:uid="{00000000-0005-0000-0000-000004670000}"/>
    <cellStyle name="Pattern 2 6 3" xfId="5222" xr:uid="{00000000-0005-0000-0000-000005670000}"/>
    <cellStyle name="Pattern 2 6 3 2" xfId="9261" xr:uid="{00000000-0005-0000-0000-000006670000}"/>
    <cellStyle name="Pattern 2 6 3 2 2" xfId="24599" xr:uid="{00000000-0005-0000-0000-000007670000}"/>
    <cellStyle name="Pattern 2 6 3 3" xfId="15538" xr:uid="{00000000-0005-0000-0000-000008670000}"/>
    <cellStyle name="Pattern 2 6 3 3 2" xfId="30370" xr:uid="{00000000-0005-0000-0000-000009670000}"/>
    <cellStyle name="Pattern 2 6 4" xfId="4252" xr:uid="{00000000-0005-0000-0000-00000A670000}"/>
    <cellStyle name="Pattern 2 6 4 2" xfId="8291" xr:uid="{00000000-0005-0000-0000-00000B670000}"/>
    <cellStyle name="Pattern 2 6 4 2 2" xfId="23986" xr:uid="{00000000-0005-0000-0000-00000C670000}"/>
    <cellStyle name="Pattern 2 6 4 3" xfId="14584" xr:uid="{00000000-0005-0000-0000-00000D670000}"/>
    <cellStyle name="Pattern 2 6 4 3 2" xfId="29416" xr:uid="{00000000-0005-0000-0000-00000E670000}"/>
    <cellStyle name="Pattern 2 6 5" xfId="2254" xr:uid="{00000000-0005-0000-0000-00000F670000}"/>
    <cellStyle name="Pattern 2 6 5 2" xfId="6366" xr:uid="{00000000-0005-0000-0000-000010670000}"/>
    <cellStyle name="Pattern 2 6 5 2 2" xfId="22768" xr:uid="{00000000-0005-0000-0000-000011670000}"/>
    <cellStyle name="Pattern 2 6 6" xfId="5813" xr:uid="{00000000-0005-0000-0000-000012670000}"/>
    <cellStyle name="Pattern 2 6 6 2" xfId="22411" xr:uid="{00000000-0005-0000-0000-000013670000}"/>
    <cellStyle name="Pattern 2 6 7" xfId="12066" xr:uid="{00000000-0005-0000-0000-000014670000}"/>
    <cellStyle name="Pattern 2 6 7 2" xfId="26898" xr:uid="{00000000-0005-0000-0000-000015670000}"/>
    <cellStyle name="Pattern 2 7" xfId="3618" xr:uid="{00000000-0005-0000-0000-000016670000}"/>
    <cellStyle name="Pattern 2 7 2" xfId="7678" xr:uid="{00000000-0005-0000-0000-000017670000}"/>
    <cellStyle name="Pattern 2 7 2 2" xfId="23588" xr:uid="{00000000-0005-0000-0000-000018670000}"/>
    <cellStyle name="Pattern 2 7 3" xfId="13953" xr:uid="{00000000-0005-0000-0000-000019670000}"/>
    <cellStyle name="Pattern 2 7 3 2" xfId="28785" xr:uid="{00000000-0005-0000-0000-00001A670000}"/>
    <cellStyle name="Pattern 2 8" xfId="3364" xr:uid="{00000000-0005-0000-0000-00001B670000}"/>
    <cellStyle name="Pattern 2 8 2" xfId="7427" xr:uid="{00000000-0005-0000-0000-00001C670000}"/>
    <cellStyle name="Pattern 2 8 2 2" xfId="23428" xr:uid="{00000000-0005-0000-0000-00001D670000}"/>
    <cellStyle name="Pattern 2 8 3" xfId="13701" xr:uid="{00000000-0005-0000-0000-00001E670000}"/>
    <cellStyle name="Pattern 2 8 3 2" xfId="28533" xr:uid="{00000000-0005-0000-0000-00001F670000}"/>
    <cellStyle name="Pattern 2 9" xfId="2354" xr:uid="{00000000-0005-0000-0000-000020670000}"/>
    <cellStyle name="Pattern 2 9 2" xfId="6466" xr:uid="{00000000-0005-0000-0000-000021670000}"/>
    <cellStyle name="Pattern 2 9 2 2" xfId="22836" xr:uid="{00000000-0005-0000-0000-000022670000}"/>
    <cellStyle name="Pattern 2 9 3" xfId="12693" xr:uid="{00000000-0005-0000-0000-000023670000}"/>
    <cellStyle name="Pattern 2 9 3 2" xfId="27525" xr:uid="{00000000-0005-0000-0000-000024670000}"/>
    <cellStyle name="Pattern 3" xfId="1501" xr:uid="{00000000-0005-0000-0000-000025670000}"/>
    <cellStyle name="Pattern 3 2" xfId="1676" xr:uid="{00000000-0005-0000-0000-000026670000}"/>
    <cellStyle name="Pattern 3 2 2" xfId="2259" xr:uid="{00000000-0005-0000-0000-000027670000}"/>
    <cellStyle name="Pattern 3 2 2 2" xfId="4363" xr:uid="{00000000-0005-0000-0000-000028670000}"/>
    <cellStyle name="Pattern 3 2 2 2 2" xfId="8402" xr:uid="{00000000-0005-0000-0000-000029670000}"/>
    <cellStyle name="Pattern 3 2 2 2 2 2" xfId="24060" xr:uid="{00000000-0005-0000-0000-00002A670000}"/>
    <cellStyle name="Pattern 3 2 2 2 3" xfId="14692" xr:uid="{00000000-0005-0000-0000-00002B670000}"/>
    <cellStyle name="Pattern 3 2 2 2 3 2" xfId="29524" xr:uid="{00000000-0005-0000-0000-00002C670000}"/>
    <cellStyle name="Pattern 3 2 2 3" xfId="5227" xr:uid="{00000000-0005-0000-0000-00002D670000}"/>
    <cellStyle name="Pattern 3 2 2 3 2" xfId="9266" xr:uid="{00000000-0005-0000-0000-00002E670000}"/>
    <cellStyle name="Pattern 3 2 2 3 2 2" xfId="24604" xr:uid="{00000000-0005-0000-0000-00002F670000}"/>
    <cellStyle name="Pattern 3 2 2 3 3" xfId="15543" xr:uid="{00000000-0005-0000-0000-000030670000}"/>
    <cellStyle name="Pattern 3 2 2 3 3 2" xfId="30375" xr:uid="{00000000-0005-0000-0000-000031670000}"/>
    <cellStyle name="Pattern 3 2 2 4" xfId="4257" xr:uid="{00000000-0005-0000-0000-000032670000}"/>
    <cellStyle name="Pattern 3 2 2 4 2" xfId="8296" xr:uid="{00000000-0005-0000-0000-000033670000}"/>
    <cellStyle name="Pattern 3 2 2 4 2 2" xfId="23991" xr:uid="{00000000-0005-0000-0000-000034670000}"/>
    <cellStyle name="Pattern 3 2 2 4 3" xfId="14589" xr:uid="{00000000-0005-0000-0000-000035670000}"/>
    <cellStyle name="Pattern 3 2 2 4 3 2" xfId="29421" xr:uid="{00000000-0005-0000-0000-000036670000}"/>
    <cellStyle name="Pattern 3 2 2 5" xfId="6371" xr:uid="{00000000-0005-0000-0000-000037670000}"/>
    <cellStyle name="Pattern 3 2 2 5 2" xfId="22773" xr:uid="{00000000-0005-0000-0000-000038670000}"/>
    <cellStyle name="Pattern 3 2 3" xfId="4033" xr:uid="{00000000-0005-0000-0000-000039670000}"/>
    <cellStyle name="Pattern 3 2 3 2" xfId="8080" xr:uid="{00000000-0005-0000-0000-00003A670000}"/>
    <cellStyle name="Pattern 3 2 3 2 2" xfId="23849" xr:uid="{00000000-0005-0000-0000-00003B670000}"/>
    <cellStyle name="Pattern 3 2 3 3" xfId="14365" xr:uid="{00000000-0005-0000-0000-00003C670000}"/>
    <cellStyle name="Pattern 3 2 3 3 2" xfId="29197" xr:uid="{00000000-0005-0000-0000-00003D670000}"/>
    <cellStyle name="Pattern 3 2 4" xfId="3123" xr:uid="{00000000-0005-0000-0000-00003E670000}"/>
    <cellStyle name="Pattern 3 2 4 2" xfId="13461" xr:uid="{00000000-0005-0000-0000-00003F670000}"/>
    <cellStyle name="Pattern 3 2 4 2 2" xfId="28293" xr:uid="{00000000-0005-0000-0000-000040670000}"/>
    <cellStyle name="Pattern 3 2 4 3" xfId="20951" xr:uid="{00000000-0005-0000-0000-000041670000}"/>
    <cellStyle name="Pattern 3 2 5" xfId="4966" xr:uid="{00000000-0005-0000-0000-000042670000}"/>
    <cellStyle name="Pattern 3 2 5 2" xfId="9005" xr:uid="{00000000-0005-0000-0000-000043670000}"/>
    <cellStyle name="Pattern 3 2 5 2 2" xfId="24471" xr:uid="{00000000-0005-0000-0000-000044670000}"/>
    <cellStyle name="Pattern 3 2 5 3" xfId="15288" xr:uid="{00000000-0005-0000-0000-000045670000}"/>
    <cellStyle name="Pattern 3 2 5 3 2" xfId="30120" xr:uid="{00000000-0005-0000-0000-000046670000}"/>
    <cellStyle name="Pattern 3 2 6" xfId="2956" xr:uid="{00000000-0005-0000-0000-000047670000}"/>
    <cellStyle name="Pattern 3 2 6 2" xfId="13294" xr:uid="{00000000-0005-0000-0000-000048670000}"/>
    <cellStyle name="Pattern 3 2 6 2 2" xfId="28126" xr:uid="{00000000-0005-0000-0000-000049670000}"/>
    <cellStyle name="Pattern 3 2 6 3" xfId="20882" xr:uid="{00000000-0005-0000-0000-00004A670000}"/>
    <cellStyle name="Pattern 3 2 7" xfId="12071" xr:uid="{00000000-0005-0000-0000-00004B670000}"/>
    <cellStyle name="Pattern 3 2 7 2" xfId="26903" xr:uid="{00000000-0005-0000-0000-00004C670000}"/>
    <cellStyle name="Pattern 3 3" xfId="2244" xr:uid="{00000000-0005-0000-0000-00004D670000}"/>
    <cellStyle name="Pattern 3 3 2" xfId="4348" xr:uid="{00000000-0005-0000-0000-00004E670000}"/>
    <cellStyle name="Pattern 3 3 2 2" xfId="8387" xr:uid="{00000000-0005-0000-0000-00004F670000}"/>
    <cellStyle name="Pattern 3 3 2 2 2" xfId="24045" xr:uid="{00000000-0005-0000-0000-000050670000}"/>
    <cellStyle name="Pattern 3 3 2 3" xfId="14677" xr:uid="{00000000-0005-0000-0000-000051670000}"/>
    <cellStyle name="Pattern 3 3 2 3 2" xfId="29509" xr:uid="{00000000-0005-0000-0000-000052670000}"/>
    <cellStyle name="Pattern 3 3 3" xfId="5212" xr:uid="{00000000-0005-0000-0000-000053670000}"/>
    <cellStyle name="Pattern 3 3 3 2" xfId="9251" xr:uid="{00000000-0005-0000-0000-000054670000}"/>
    <cellStyle name="Pattern 3 3 3 2 2" xfId="24589" xr:uid="{00000000-0005-0000-0000-000055670000}"/>
    <cellStyle name="Pattern 3 3 3 3" xfId="15528" xr:uid="{00000000-0005-0000-0000-000056670000}"/>
    <cellStyle name="Pattern 3 3 3 3 2" xfId="30360" xr:uid="{00000000-0005-0000-0000-000057670000}"/>
    <cellStyle name="Pattern 3 3 4" xfId="4242" xr:uid="{00000000-0005-0000-0000-000058670000}"/>
    <cellStyle name="Pattern 3 3 4 2" xfId="8281" xr:uid="{00000000-0005-0000-0000-000059670000}"/>
    <cellStyle name="Pattern 3 3 4 2 2" xfId="23976" xr:uid="{00000000-0005-0000-0000-00005A670000}"/>
    <cellStyle name="Pattern 3 3 4 3" xfId="14574" xr:uid="{00000000-0005-0000-0000-00005B670000}"/>
    <cellStyle name="Pattern 3 3 4 3 2" xfId="29406" xr:uid="{00000000-0005-0000-0000-00005C670000}"/>
    <cellStyle name="Pattern 3 3 5" xfId="6356" xr:uid="{00000000-0005-0000-0000-00005D670000}"/>
    <cellStyle name="Pattern 3 3 5 2" xfId="22758" xr:uid="{00000000-0005-0000-0000-00005E670000}"/>
    <cellStyle name="Pattern 3 4" xfId="3737" xr:uid="{00000000-0005-0000-0000-00005F670000}"/>
    <cellStyle name="Pattern 3 4 2" xfId="7793" xr:uid="{00000000-0005-0000-0000-000060670000}"/>
    <cellStyle name="Pattern 3 4 2 2" xfId="23667" xr:uid="{00000000-0005-0000-0000-000061670000}"/>
    <cellStyle name="Pattern 3 4 3" xfId="14072" xr:uid="{00000000-0005-0000-0000-000062670000}"/>
    <cellStyle name="Pattern 3 4 3 2" xfId="28904" xr:uid="{00000000-0005-0000-0000-000063670000}"/>
    <cellStyle name="Pattern 3 5" xfId="3923" xr:uid="{00000000-0005-0000-0000-000064670000}"/>
    <cellStyle name="Pattern 3 5 2" xfId="14256" xr:uid="{00000000-0005-0000-0000-000065670000}"/>
    <cellStyle name="Pattern 3 5 2 2" xfId="29088" xr:uid="{00000000-0005-0000-0000-000066670000}"/>
    <cellStyle name="Pattern 3 5 3" xfId="21422" xr:uid="{00000000-0005-0000-0000-000067670000}"/>
    <cellStyle name="Pattern 3 6" xfId="4546" xr:uid="{00000000-0005-0000-0000-000068670000}"/>
    <cellStyle name="Pattern 3 6 2" xfId="8585" xr:uid="{00000000-0005-0000-0000-000069670000}"/>
    <cellStyle name="Pattern 3 6 2 2" xfId="24211" xr:uid="{00000000-0005-0000-0000-00006A670000}"/>
    <cellStyle name="Pattern 3 6 3" xfId="14873" xr:uid="{00000000-0005-0000-0000-00006B670000}"/>
    <cellStyle name="Pattern 3 6 3 2" xfId="29705" xr:uid="{00000000-0005-0000-0000-00006C670000}"/>
    <cellStyle name="Pattern 3 7" xfId="2536" xr:uid="{00000000-0005-0000-0000-00006D670000}"/>
    <cellStyle name="Pattern 3 7 2" xfId="6642" xr:uid="{00000000-0005-0000-0000-00006E670000}"/>
    <cellStyle name="Pattern 3 7 2 2" xfId="22980" xr:uid="{00000000-0005-0000-0000-00006F670000}"/>
    <cellStyle name="Pattern 3 7 3" xfId="12874" xr:uid="{00000000-0005-0000-0000-000070670000}"/>
    <cellStyle name="Pattern 3 7 3 2" xfId="27706" xr:uid="{00000000-0005-0000-0000-000071670000}"/>
    <cellStyle name="Pattern 3 8" xfId="1698" xr:uid="{00000000-0005-0000-0000-000072670000}"/>
    <cellStyle name="Pattern 3 8 2" xfId="5830" xr:uid="{00000000-0005-0000-0000-000073670000}"/>
    <cellStyle name="Pattern 3 8 2 2" xfId="22427" xr:uid="{00000000-0005-0000-0000-000074670000}"/>
    <cellStyle name="Pattern 3 8 3" xfId="12092" xr:uid="{00000000-0005-0000-0000-000075670000}"/>
    <cellStyle name="Pattern 3 8 3 2" xfId="26924" xr:uid="{00000000-0005-0000-0000-000076670000}"/>
    <cellStyle name="Pattern 3 9" xfId="5659" xr:uid="{00000000-0005-0000-0000-000077670000}"/>
    <cellStyle name="Pattern 3 9 2" xfId="15894" xr:uid="{00000000-0005-0000-0000-000078670000}"/>
    <cellStyle name="Pattern 3 9 2 2" xfId="30726" xr:uid="{00000000-0005-0000-0000-000079670000}"/>
    <cellStyle name="Pattern 3 9 3" xfId="22355" xr:uid="{00000000-0005-0000-0000-00007A670000}"/>
    <cellStyle name="Pattern 4" xfId="1666" xr:uid="{00000000-0005-0000-0000-00007B670000}"/>
    <cellStyle name="Pattern 4 2" xfId="4353" xr:uid="{00000000-0005-0000-0000-00007C670000}"/>
    <cellStyle name="Pattern 4 2 2" xfId="8392" xr:uid="{00000000-0005-0000-0000-00007D670000}"/>
    <cellStyle name="Pattern 4 2 2 2" xfId="24050" xr:uid="{00000000-0005-0000-0000-00007E670000}"/>
    <cellStyle name="Pattern 4 2 3" xfId="14682" xr:uid="{00000000-0005-0000-0000-00007F670000}"/>
    <cellStyle name="Pattern 4 2 3 2" xfId="29514" xr:uid="{00000000-0005-0000-0000-000080670000}"/>
    <cellStyle name="Pattern 4 3" xfId="5217" xr:uid="{00000000-0005-0000-0000-000081670000}"/>
    <cellStyle name="Pattern 4 3 2" xfId="9256" xr:uid="{00000000-0005-0000-0000-000082670000}"/>
    <cellStyle name="Pattern 4 3 2 2" xfId="24594" xr:uid="{00000000-0005-0000-0000-000083670000}"/>
    <cellStyle name="Pattern 4 3 3" xfId="15533" xr:uid="{00000000-0005-0000-0000-000084670000}"/>
    <cellStyle name="Pattern 4 3 3 2" xfId="30365" xr:uid="{00000000-0005-0000-0000-000085670000}"/>
    <cellStyle name="Pattern 4 4" xfId="4247" xr:uid="{00000000-0005-0000-0000-000086670000}"/>
    <cellStyle name="Pattern 4 4 2" xfId="8286" xr:uid="{00000000-0005-0000-0000-000087670000}"/>
    <cellStyle name="Pattern 4 4 2 2" xfId="23981" xr:uid="{00000000-0005-0000-0000-000088670000}"/>
    <cellStyle name="Pattern 4 4 3" xfId="14579" xr:uid="{00000000-0005-0000-0000-000089670000}"/>
    <cellStyle name="Pattern 4 4 3 2" xfId="29411" xr:uid="{00000000-0005-0000-0000-00008A670000}"/>
    <cellStyle name="Pattern 4 5" xfId="2249" xr:uid="{00000000-0005-0000-0000-00008B670000}"/>
    <cellStyle name="Pattern 4 5 2" xfId="6361" xr:uid="{00000000-0005-0000-0000-00008C670000}"/>
    <cellStyle name="Pattern 4 5 2 2" xfId="22763" xr:uid="{00000000-0005-0000-0000-00008D670000}"/>
    <cellStyle name="Pattern 4 6" xfId="5808" xr:uid="{00000000-0005-0000-0000-00008E670000}"/>
    <cellStyle name="Pattern 4 6 2" xfId="22406" xr:uid="{00000000-0005-0000-0000-00008F670000}"/>
    <cellStyle name="Pattern 4 7" xfId="12061" xr:uid="{00000000-0005-0000-0000-000090670000}"/>
    <cellStyle name="Pattern 4 7 2" xfId="26893" xr:uid="{00000000-0005-0000-0000-000091670000}"/>
    <cellStyle name="Pattern 5" xfId="3575" xr:uid="{00000000-0005-0000-0000-000092670000}"/>
    <cellStyle name="Pattern 5 2" xfId="7637" xr:uid="{00000000-0005-0000-0000-000093670000}"/>
    <cellStyle name="Pattern 5 2 2" xfId="23560" xr:uid="{00000000-0005-0000-0000-000094670000}"/>
    <cellStyle name="Pattern 5 3" xfId="13911" xr:uid="{00000000-0005-0000-0000-000095670000}"/>
    <cellStyle name="Pattern 5 3 2" xfId="28743" xr:uid="{00000000-0005-0000-0000-000096670000}"/>
    <cellStyle name="Pattern 6" xfId="3350" xr:uid="{00000000-0005-0000-0000-000097670000}"/>
    <cellStyle name="Pattern 6 2" xfId="7413" xr:uid="{00000000-0005-0000-0000-000098670000}"/>
    <cellStyle name="Pattern 6 2 2" xfId="23416" xr:uid="{00000000-0005-0000-0000-000099670000}"/>
    <cellStyle name="Pattern 6 3" xfId="13687" xr:uid="{00000000-0005-0000-0000-00009A670000}"/>
    <cellStyle name="Pattern 6 3 2" xfId="28519" xr:uid="{00000000-0005-0000-0000-00009B670000}"/>
    <cellStyle name="Pattern 7" xfId="2332" xr:uid="{00000000-0005-0000-0000-00009C670000}"/>
    <cellStyle name="Pattern 7 2" xfId="6444" xr:uid="{00000000-0005-0000-0000-00009D670000}"/>
    <cellStyle name="Pattern 7 2 2" xfId="22830" xr:uid="{00000000-0005-0000-0000-00009E670000}"/>
    <cellStyle name="Pattern 7 3" xfId="12672" xr:uid="{00000000-0005-0000-0000-00009F670000}"/>
    <cellStyle name="Pattern 7 3 2" xfId="27504" xr:uid="{00000000-0005-0000-0000-0000A0670000}"/>
    <cellStyle name="Pattern 8" xfId="1687" xr:uid="{00000000-0005-0000-0000-0000A1670000}"/>
    <cellStyle name="Pattern 8 2" xfId="5819" xr:uid="{00000000-0005-0000-0000-0000A2670000}"/>
    <cellStyle name="Pattern 8 2 2" xfId="22416" xr:uid="{00000000-0005-0000-0000-0000A3670000}"/>
    <cellStyle name="Pattern 8 3" xfId="12081" xr:uid="{00000000-0005-0000-0000-0000A4670000}"/>
    <cellStyle name="Pattern 8 3 2" xfId="26913" xr:uid="{00000000-0005-0000-0000-0000A5670000}"/>
    <cellStyle name="Pattern 9" xfId="5474" xr:uid="{00000000-0005-0000-0000-0000A6670000}"/>
    <cellStyle name="Pattern 9 2" xfId="15709" xr:uid="{00000000-0005-0000-0000-0000A7670000}"/>
    <cellStyle name="Pattern 9 2 2" xfId="30541" xr:uid="{00000000-0005-0000-0000-0000A8670000}"/>
    <cellStyle name="Pattern 9 3" xfId="22202" xr:uid="{00000000-0005-0000-0000-0000A9670000}"/>
    <cellStyle name="Percent" xfId="1" builtinId="5"/>
    <cellStyle name="Percent 2" xfId="5" xr:uid="{00000000-0005-0000-0000-0000AB670000}"/>
    <cellStyle name="Percent 2 2" xfId="1248" xr:uid="{00000000-0005-0000-0000-0000AC670000}"/>
    <cellStyle name="Percent 2 3" xfId="1388" xr:uid="{00000000-0005-0000-0000-0000AD670000}"/>
    <cellStyle name="Percent 3" xfId="7" xr:uid="{00000000-0005-0000-0000-0000AE670000}"/>
    <cellStyle name="Percent 4" xfId="1247" xr:uid="{00000000-0005-0000-0000-0000AF670000}"/>
    <cellStyle name="Percent 5" xfId="33019" xr:uid="{00000000-0005-0000-0000-0000B0670000}"/>
    <cellStyle name="Plain" xfId="1249" xr:uid="{00000000-0005-0000-0000-0000B1670000}"/>
    <cellStyle name="Scientific" xfId="1250" xr:uid="{00000000-0005-0000-0000-0000B2670000}"/>
    <cellStyle name="Title 2" xfId="1252" xr:uid="{00000000-0005-0000-0000-0000B3670000}"/>
    <cellStyle name="Title 2 2" xfId="1253" xr:uid="{00000000-0005-0000-0000-0000B4670000}"/>
    <cellStyle name="Title 2 3" xfId="1254" xr:uid="{00000000-0005-0000-0000-0000B5670000}"/>
    <cellStyle name="Title 2 4" xfId="1255" xr:uid="{00000000-0005-0000-0000-0000B6670000}"/>
    <cellStyle name="Title 2 5" xfId="1256" xr:uid="{00000000-0005-0000-0000-0000B7670000}"/>
    <cellStyle name="Title 2 6" xfId="1257" xr:uid="{00000000-0005-0000-0000-0000B8670000}"/>
    <cellStyle name="Title 2 7" xfId="1258" xr:uid="{00000000-0005-0000-0000-0000B9670000}"/>
    <cellStyle name="Title 2 8" xfId="1259" xr:uid="{00000000-0005-0000-0000-0000BA670000}"/>
    <cellStyle name="Title 3" xfId="1260" xr:uid="{00000000-0005-0000-0000-0000BB670000}"/>
    <cellStyle name="Title 4" xfId="1261" xr:uid="{00000000-0005-0000-0000-0000BC670000}"/>
    <cellStyle name="Title 5" xfId="1262" xr:uid="{00000000-0005-0000-0000-0000BD670000}"/>
    <cellStyle name="Title 6" xfId="1263" xr:uid="{00000000-0005-0000-0000-0000BE670000}"/>
    <cellStyle name="Title 7" xfId="1264" xr:uid="{00000000-0005-0000-0000-0000BF670000}"/>
    <cellStyle name="Title 8" xfId="1265" xr:uid="{00000000-0005-0000-0000-0000C0670000}"/>
    <cellStyle name="Title 9" xfId="1251" xr:uid="{00000000-0005-0000-0000-0000C1670000}"/>
    <cellStyle name="Total 10" xfId="1266" xr:uid="{00000000-0005-0000-0000-0000C2670000}"/>
    <cellStyle name="Total 10 10" xfId="2333" xr:uid="{00000000-0005-0000-0000-0000C3670000}"/>
    <cellStyle name="Total 10 10 2" xfId="6445" xr:uid="{00000000-0005-0000-0000-0000C4670000}"/>
    <cellStyle name="Total 10 10 2 2" xfId="16537" xr:uid="{00000000-0005-0000-0000-0000C5670000}"/>
    <cellStyle name="Total 10 10 2 2 2" xfId="31369" xr:uid="{00000000-0005-0000-0000-0000C6670000}"/>
    <cellStyle name="Total 10 10 2 3" xfId="18625" xr:uid="{00000000-0005-0000-0000-0000C7670000}"/>
    <cellStyle name="Total 10 10 3" xfId="12673" xr:uid="{00000000-0005-0000-0000-0000C8670000}"/>
    <cellStyle name="Total 10 10 3 2" xfId="27505" xr:uid="{00000000-0005-0000-0000-0000C9670000}"/>
    <cellStyle name="Total 10 10 4" xfId="10188" xr:uid="{00000000-0005-0000-0000-0000CA670000}"/>
    <cellStyle name="Total 10 10 4 2" xfId="25020" xr:uid="{00000000-0005-0000-0000-0000CB670000}"/>
    <cellStyle name="Total 10 11" xfId="5295" xr:uid="{00000000-0005-0000-0000-0000CC670000}"/>
    <cellStyle name="Total 10 11 2" xfId="9303" xr:uid="{00000000-0005-0000-0000-0000CD670000}"/>
    <cellStyle name="Total 10 11 2 2" xfId="18170" xr:uid="{00000000-0005-0000-0000-0000CE670000}"/>
    <cellStyle name="Total 10 11 2 2 2" xfId="33002" xr:uid="{00000000-0005-0000-0000-0000CF670000}"/>
    <cellStyle name="Total 10 11 2 3" xfId="19689" xr:uid="{00000000-0005-0000-0000-0000D0670000}"/>
    <cellStyle name="Total 10 11 3" xfId="15611" xr:uid="{00000000-0005-0000-0000-0000D1670000}"/>
    <cellStyle name="Total 10 11 3 2" xfId="30443" xr:uid="{00000000-0005-0000-0000-0000D2670000}"/>
    <cellStyle name="Total 10 12" xfId="5453" xr:uid="{00000000-0005-0000-0000-0000D3670000}"/>
    <cellStyle name="Total 10 12 2" xfId="15689" xr:uid="{00000000-0005-0000-0000-0000D4670000}"/>
    <cellStyle name="Total 10 12 2 2" xfId="30521" xr:uid="{00000000-0005-0000-0000-0000D5670000}"/>
    <cellStyle name="Total 10 12 3" xfId="18266" xr:uid="{00000000-0005-0000-0000-0000D6670000}"/>
    <cellStyle name="Total 10 13" xfId="9338" xr:uid="{00000000-0005-0000-0000-0000D7670000}"/>
    <cellStyle name="Total 10 13 2" xfId="24644" xr:uid="{00000000-0005-0000-0000-0000D8670000}"/>
    <cellStyle name="Total 10 14" xfId="5327" xr:uid="{00000000-0005-0000-0000-0000D9670000}"/>
    <cellStyle name="Total 10 14 2" xfId="18201" xr:uid="{00000000-0005-0000-0000-0000DA670000}"/>
    <cellStyle name="Total 10 2" xfId="1365" xr:uid="{00000000-0005-0000-0000-0000DB670000}"/>
    <cellStyle name="Total 10 2 2" xfId="1869" xr:uid="{00000000-0005-0000-0000-0000DC670000}"/>
    <cellStyle name="Total 10 2 2 2" xfId="3673" xr:uid="{00000000-0005-0000-0000-0000DD670000}"/>
    <cellStyle name="Total 10 2 2 2 2" xfId="7731" xr:uid="{00000000-0005-0000-0000-0000DE670000}"/>
    <cellStyle name="Total 10 2 2 2 2 2" xfId="17309" xr:uid="{00000000-0005-0000-0000-0000DF670000}"/>
    <cellStyle name="Total 10 2 2 2 2 2 2" xfId="32141" xr:uid="{00000000-0005-0000-0000-0000E0670000}"/>
    <cellStyle name="Total 10 2 2 2 2 3" xfId="19117" xr:uid="{00000000-0005-0000-0000-0000E1670000}"/>
    <cellStyle name="Total 10 2 2 2 3" xfId="14008" xr:uid="{00000000-0005-0000-0000-0000E2670000}"/>
    <cellStyle name="Total 10 2 2 2 3 2" xfId="28840" xr:uid="{00000000-0005-0000-0000-0000E3670000}"/>
    <cellStyle name="Total 10 2 2 2 4" xfId="10926" xr:uid="{00000000-0005-0000-0000-0000E4670000}"/>
    <cellStyle name="Total 10 2 2 2 4 2" xfId="25758" xr:uid="{00000000-0005-0000-0000-0000E5670000}"/>
    <cellStyle name="Total 10 2 2 3" xfId="4847" xr:uid="{00000000-0005-0000-0000-0000E6670000}"/>
    <cellStyle name="Total 10 2 2 3 2" xfId="8886" xr:uid="{00000000-0005-0000-0000-0000E7670000}"/>
    <cellStyle name="Total 10 2 2 3 2 2" xfId="17927" xr:uid="{00000000-0005-0000-0000-0000E8670000}"/>
    <cellStyle name="Total 10 2 2 3 2 2 2" xfId="32759" xr:uid="{00000000-0005-0000-0000-0000E9670000}"/>
    <cellStyle name="Total 10 2 2 3 2 3" xfId="19529" xr:uid="{00000000-0005-0000-0000-0000EA670000}"/>
    <cellStyle name="Total 10 2 2 3 3" xfId="15171" xr:uid="{00000000-0005-0000-0000-0000EB670000}"/>
    <cellStyle name="Total 10 2 2 3 3 2" xfId="30003" xr:uid="{00000000-0005-0000-0000-0000EC670000}"/>
    <cellStyle name="Total 10 2 2 3 4" xfId="11530" xr:uid="{00000000-0005-0000-0000-0000ED670000}"/>
    <cellStyle name="Total 10 2 2 3 4 2" xfId="26362" xr:uid="{00000000-0005-0000-0000-0000EE670000}"/>
    <cellStyle name="Total 10 2 2 4" xfId="2837" xr:uid="{00000000-0005-0000-0000-0000EF670000}"/>
    <cellStyle name="Total 10 2 2 4 2" xfId="6928" xr:uid="{00000000-0005-0000-0000-0000F0670000}"/>
    <cellStyle name="Total 10 2 2 4 2 2" xfId="16821" xr:uid="{00000000-0005-0000-0000-0000F1670000}"/>
    <cellStyle name="Total 10 2 2 4 2 2 2" xfId="31653" xr:uid="{00000000-0005-0000-0000-0000F2670000}"/>
    <cellStyle name="Total 10 2 2 4 2 3" xfId="18820" xr:uid="{00000000-0005-0000-0000-0000F3670000}"/>
    <cellStyle name="Total 10 2 2 4 3" xfId="13175" xr:uid="{00000000-0005-0000-0000-0000F4670000}"/>
    <cellStyle name="Total 10 2 2 4 3 2" xfId="28007" xr:uid="{00000000-0005-0000-0000-0000F5670000}"/>
    <cellStyle name="Total 10 2 2 4 4" xfId="10474" xr:uid="{00000000-0005-0000-0000-0000F6670000}"/>
    <cellStyle name="Total 10 2 2 4 4 2" xfId="25306" xr:uid="{00000000-0005-0000-0000-0000F7670000}"/>
    <cellStyle name="Total 10 2 2 5" xfId="6001" xr:uid="{00000000-0005-0000-0000-0000F8670000}"/>
    <cellStyle name="Total 10 2 2 5 2" xfId="16193" xr:uid="{00000000-0005-0000-0000-0000F9670000}"/>
    <cellStyle name="Total 10 2 2 5 2 2" xfId="31025" xr:uid="{00000000-0005-0000-0000-0000FA670000}"/>
    <cellStyle name="Total 10 2 2 5 3" xfId="18462" xr:uid="{00000000-0005-0000-0000-0000FB670000}"/>
    <cellStyle name="Total 10 2 2 6" xfId="12263" xr:uid="{00000000-0005-0000-0000-0000FC670000}"/>
    <cellStyle name="Total 10 2 2 6 2" xfId="27095" xr:uid="{00000000-0005-0000-0000-0000FD670000}"/>
    <cellStyle name="Total 10 2 2 7" xfId="9859" xr:uid="{00000000-0005-0000-0000-0000FE670000}"/>
    <cellStyle name="Total 10 2 2 7 2" xfId="24785" xr:uid="{00000000-0005-0000-0000-0000FF670000}"/>
    <cellStyle name="Total 10 2 3" xfId="4004" xr:uid="{00000000-0005-0000-0000-000000680000}"/>
    <cellStyle name="Total 10 2 3 2" xfId="8051" xr:uid="{00000000-0005-0000-0000-000001680000}"/>
    <cellStyle name="Total 10 2 3 2 2" xfId="17469" xr:uid="{00000000-0005-0000-0000-000002680000}"/>
    <cellStyle name="Total 10 2 3 2 2 2" xfId="32301" xr:uid="{00000000-0005-0000-0000-000003680000}"/>
    <cellStyle name="Total 10 2 3 2 3" xfId="19230" xr:uid="{00000000-0005-0000-0000-000004680000}"/>
    <cellStyle name="Total 10 2 3 3" xfId="14336" xr:uid="{00000000-0005-0000-0000-000005680000}"/>
    <cellStyle name="Total 10 2 3 3 2" xfId="29168" xr:uid="{00000000-0005-0000-0000-000006680000}"/>
    <cellStyle name="Total 10 2 3 4" xfId="11086" xr:uid="{00000000-0005-0000-0000-000007680000}"/>
    <cellStyle name="Total 10 2 3 4 2" xfId="25918" xr:uid="{00000000-0005-0000-0000-000008680000}"/>
    <cellStyle name="Total 10 2 4" xfId="4427" xr:uid="{00000000-0005-0000-0000-000009680000}"/>
    <cellStyle name="Total 10 2 4 2" xfId="8466" xr:uid="{00000000-0005-0000-0000-00000A680000}"/>
    <cellStyle name="Total 10 2 4 2 2" xfId="17687" xr:uid="{00000000-0005-0000-0000-00000B680000}"/>
    <cellStyle name="Total 10 2 4 2 2 2" xfId="32519" xr:uid="{00000000-0005-0000-0000-00000C680000}"/>
    <cellStyle name="Total 10 2 4 2 3" xfId="19369" xr:uid="{00000000-0005-0000-0000-00000D680000}"/>
    <cellStyle name="Total 10 2 4 3" xfId="14756" xr:uid="{00000000-0005-0000-0000-00000E680000}"/>
    <cellStyle name="Total 10 2 4 3 2" xfId="29588" xr:uid="{00000000-0005-0000-0000-00000F680000}"/>
    <cellStyle name="Total 10 2 4 4" xfId="11295" xr:uid="{00000000-0005-0000-0000-000010680000}"/>
    <cellStyle name="Total 10 2 4 4 2" xfId="26127" xr:uid="{00000000-0005-0000-0000-000011680000}"/>
    <cellStyle name="Total 10 2 5" xfId="2417" xr:uid="{00000000-0005-0000-0000-000012680000}"/>
    <cellStyle name="Total 10 2 5 2" xfId="6529" xr:uid="{00000000-0005-0000-0000-000013680000}"/>
    <cellStyle name="Total 10 2 5 2 2" xfId="16585" xr:uid="{00000000-0005-0000-0000-000014680000}"/>
    <cellStyle name="Total 10 2 5 2 2 2" xfId="31417" xr:uid="{00000000-0005-0000-0000-000015680000}"/>
    <cellStyle name="Total 10 2 5 2 3" xfId="18657" xr:uid="{00000000-0005-0000-0000-000016680000}"/>
    <cellStyle name="Total 10 2 5 3" xfId="12756" xr:uid="{00000000-0005-0000-0000-000017680000}"/>
    <cellStyle name="Total 10 2 5 3 2" xfId="27588" xr:uid="{00000000-0005-0000-0000-000018680000}"/>
    <cellStyle name="Total 10 2 5 4" xfId="10235" xr:uid="{00000000-0005-0000-0000-000019680000}"/>
    <cellStyle name="Total 10 2 5 4 2" xfId="25067" xr:uid="{00000000-0005-0000-0000-00001A680000}"/>
    <cellStyle name="Total 10 2 6" xfId="5542" xr:uid="{00000000-0005-0000-0000-00001B680000}"/>
    <cellStyle name="Total 10 2 6 2" xfId="15777" xr:uid="{00000000-0005-0000-0000-00001C680000}"/>
    <cellStyle name="Total 10 2 6 2 2" xfId="30609" xr:uid="{00000000-0005-0000-0000-00001D680000}"/>
    <cellStyle name="Total 10 2 6 3" xfId="18299" xr:uid="{00000000-0005-0000-0000-00001E680000}"/>
    <cellStyle name="Total 10 2 7" xfId="11792" xr:uid="{00000000-0005-0000-0000-00001F680000}"/>
    <cellStyle name="Total 10 2 7 2" xfId="26624" xr:uid="{00000000-0005-0000-0000-000020680000}"/>
    <cellStyle name="Total 10 2 8" xfId="9463" xr:uid="{00000000-0005-0000-0000-000021680000}"/>
    <cellStyle name="Total 10 2 8 2" xfId="19767" xr:uid="{00000000-0005-0000-0000-000022680000}"/>
    <cellStyle name="Total 10 3" xfId="1537" xr:uid="{00000000-0005-0000-0000-000023680000}"/>
    <cellStyle name="Total 10 3 2" xfId="2034" xr:uid="{00000000-0005-0000-0000-000024680000}"/>
    <cellStyle name="Total 10 3 2 2" xfId="3749" xr:uid="{00000000-0005-0000-0000-000025680000}"/>
    <cellStyle name="Total 10 3 2 2 2" xfId="7805" xr:uid="{00000000-0005-0000-0000-000026680000}"/>
    <cellStyle name="Total 10 3 2 2 2 2" xfId="17346" xr:uid="{00000000-0005-0000-0000-000027680000}"/>
    <cellStyle name="Total 10 3 2 2 2 2 2" xfId="32178" xr:uid="{00000000-0005-0000-0000-000028680000}"/>
    <cellStyle name="Total 10 3 2 2 2 3" xfId="19140" xr:uid="{00000000-0005-0000-0000-000029680000}"/>
    <cellStyle name="Total 10 3 2 2 3" xfId="14084" xr:uid="{00000000-0005-0000-0000-00002A680000}"/>
    <cellStyle name="Total 10 3 2 2 3 2" xfId="28916" xr:uid="{00000000-0005-0000-0000-00002B680000}"/>
    <cellStyle name="Total 10 3 2 2 4" xfId="10962" xr:uid="{00000000-0005-0000-0000-00002C680000}"/>
    <cellStyle name="Total 10 3 2 2 4 2" xfId="25794" xr:uid="{00000000-0005-0000-0000-00002D680000}"/>
    <cellStyle name="Total 10 3 2 3" xfId="5002" xr:uid="{00000000-0005-0000-0000-00002E680000}"/>
    <cellStyle name="Total 10 3 2 3 2" xfId="9041" xr:uid="{00000000-0005-0000-0000-00002F680000}"/>
    <cellStyle name="Total 10 3 2 3 2 2" xfId="17979" xr:uid="{00000000-0005-0000-0000-000030680000}"/>
    <cellStyle name="Total 10 3 2 3 2 2 2" xfId="32811" xr:uid="{00000000-0005-0000-0000-000031680000}"/>
    <cellStyle name="Total 10 3 2 3 2 3" xfId="19561" xr:uid="{00000000-0005-0000-0000-000032680000}"/>
    <cellStyle name="Total 10 3 2 3 3" xfId="15324" xr:uid="{00000000-0005-0000-0000-000033680000}"/>
    <cellStyle name="Total 10 3 2 3 3 2" xfId="30156" xr:uid="{00000000-0005-0000-0000-000034680000}"/>
    <cellStyle name="Total 10 3 2 3 4" xfId="11580" xr:uid="{00000000-0005-0000-0000-000035680000}"/>
    <cellStyle name="Total 10 3 2 3 4 2" xfId="26412" xr:uid="{00000000-0005-0000-0000-000036680000}"/>
    <cellStyle name="Total 10 3 2 4" xfId="2992" xr:uid="{00000000-0005-0000-0000-000037680000}"/>
    <cellStyle name="Total 10 3 2 4 2" xfId="7072" xr:uid="{00000000-0005-0000-0000-000038680000}"/>
    <cellStyle name="Total 10 3 2 4 2 2" xfId="16871" xr:uid="{00000000-0005-0000-0000-000039680000}"/>
    <cellStyle name="Total 10 3 2 4 2 2 2" xfId="31703" xr:uid="{00000000-0005-0000-0000-00003A680000}"/>
    <cellStyle name="Total 10 3 2 4 2 3" xfId="18853" xr:uid="{00000000-0005-0000-0000-00003B680000}"/>
    <cellStyle name="Total 10 3 2 4 3" xfId="13330" xr:uid="{00000000-0005-0000-0000-00003C680000}"/>
    <cellStyle name="Total 10 3 2 4 3 2" xfId="28162" xr:uid="{00000000-0005-0000-0000-00003D680000}"/>
    <cellStyle name="Total 10 3 2 4 4" xfId="10526" xr:uid="{00000000-0005-0000-0000-00003E680000}"/>
    <cellStyle name="Total 10 3 2 4 4 2" xfId="25358" xr:uid="{00000000-0005-0000-0000-00003F680000}"/>
    <cellStyle name="Total 10 3 2 5" xfId="6164" xr:uid="{00000000-0005-0000-0000-000040680000}"/>
    <cellStyle name="Total 10 3 2 5 2" xfId="16351" xr:uid="{00000000-0005-0000-0000-000041680000}"/>
    <cellStyle name="Total 10 3 2 5 2 2" xfId="31183" xr:uid="{00000000-0005-0000-0000-000042680000}"/>
    <cellStyle name="Total 10 3 2 5 3" xfId="18494" xr:uid="{00000000-0005-0000-0000-000043680000}"/>
    <cellStyle name="Total 10 3 2 6" xfId="12421" xr:uid="{00000000-0005-0000-0000-000044680000}"/>
    <cellStyle name="Total 10 3 2 6 2" xfId="27253" xr:uid="{00000000-0005-0000-0000-000045680000}"/>
    <cellStyle name="Total 10 3 2 7" xfId="10003" xr:uid="{00000000-0005-0000-0000-000046680000}"/>
    <cellStyle name="Total 10 3 2 7 2" xfId="24835" xr:uid="{00000000-0005-0000-0000-000047680000}"/>
    <cellStyle name="Total 10 3 3" xfId="3326" xr:uid="{00000000-0005-0000-0000-000048680000}"/>
    <cellStyle name="Total 10 3 3 2" xfId="7389" xr:uid="{00000000-0005-0000-0000-000049680000}"/>
    <cellStyle name="Total 10 3 3 2 2" xfId="17122" xr:uid="{00000000-0005-0000-0000-00004A680000}"/>
    <cellStyle name="Total 10 3 3 2 2 2" xfId="31954" xr:uid="{00000000-0005-0000-0000-00004B680000}"/>
    <cellStyle name="Total 10 3 3 2 3" xfId="18999" xr:uid="{00000000-0005-0000-0000-00004C680000}"/>
    <cellStyle name="Total 10 3 3 3" xfId="13663" xr:uid="{00000000-0005-0000-0000-00004D680000}"/>
    <cellStyle name="Total 10 3 3 3 2" xfId="28495" xr:uid="{00000000-0005-0000-0000-00004E680000}"/>
    <cellStyle name="Total 10 3 3 4" xfId="10743" xr:uid="{00000000-0005-0000-0000-00004F680000}"/>
    <cellStyle name="Total 10 3 3 4 2" xfId="25575" xr:uid="{00000000-0005-0000-0000-000050680000}"/>
    <cellStyle name="Total 10 3 4" xfId="4582" xr:uid="{00000000-0005-0000-0000-000051680000}"/>
    <cellStyle name="Total 10 3 4 2" xfId="8621" xr:uid="{00000000-0005-0000-0000-000052680000}"/>
    <cellStyle name="Total 10 3 4 2 2" xfId="17739" xr:uid="{00000000-0005-0000-0000-000053680000}"/>
    <cellStyle name="Total 10 3 4 2 2 2" xfId="32571" xr:uid="{00000000-0005-0000-0000-000054680000}"/>
    <cellStyle name="Total 10 3 4 2 3" xfId="19401" xr:uid="{00000000-0005-0000-0000-000055680000}"/>
    <cellStyle name="Total 10 3 4 3" xfId="14909" xr:uid="{00000000-0005-0000-0000-000056680000}"/>
    <cellStyle name="Total 10 3 4 3 2" xfId="29741" xr:uid="{00000000-0005-0000-0000-000057680000}"/>
    <cellStyle name="Total 10 3 4 4" xfId="11345" xr:uid="{00000000-0005-0000-0000-000058680000}"/>
    <cellStyle name="Total 10 3 4 4 2" xfId="26177" xr:uid="{00000000-0005-0000-0000-000059680000}"/>
    <cellStyle name="Total 10 3 5" xfId="2572" xr:uid="{00000000-0005-0000-0000-00005A680000}"/>
    <cellStyle name="Total 10 3 5 2" xfId="6678" xr:uid="{00000000-0005-0000-0000-00005B680000}"/>
    <cellStyle name="Total 10 3 5 2 2" xfId="16636" xr:uid="{00000000-0005-0000-0000-00005C680000}"/>
    <cellStyle name="Total 10 3 5 2 2 2" xfId="31468" xr:uid="{00000000-0005-0000-0000-00005D680000}"/>
    <cellStyle name="Total 10 3 5 2 3" xfId="18689" xr:uid="{00000000-0005-0000-0000-00005E680000}"/>
    <cellStyle name="Total 10 3 5 3" xfId="12910" xr:uid="{00000000-0005-0000-0000-00005F680000}"/>
    <cellStyle name="Total 10 3 5 3 2" xfId="27742" xr:uid="{00000000-0005-0000-0000-000060680000}"/>
    <cellStyle name="Total 10 3 5 4" xfId="10286" xr:uid="{00000000-0005-0000-0000-000061680000}"/>
    <cellStyle name="Total 10 3 5 4 2" xfId="25118" xr:uid="{00000000-0005-0000-0000-000062680000}"/>
    <cellStyle name="Total 10 3 6" xfId="5695" xr:uid="{00000000-0005-0000-0000-000063680000}"/>
    <cellStyle name="Total 10 3 6 2" xfId="15930" xr:uid="{00000000-0005-0000-0000-000064680000}"/>
    <cellStyle name="Total 10 3 6 2 2" xfId="30762" xr:uid="{00000000-0005-0000-0000-000065680000}"/>
    <cellStyle name="Total 10 3 6 3" xfId="18331" xr:uid="{00000000-0005-0000-0000-000066680000}"/>
    <cellStyle name="Total 10 3 7" xfId="11950" xr:uid="{00000000-0005-0000-0000-000067680000}"/>
    <cellStyle name="Total 10 3 7 2" xfId="26782" xr:uid="{00000000-0005-0000-0000-000068680000}"/>
    <cellStyle name="Total 10 3 8" xfId="9608" xr:uid="{00000000-0005-0000-0000-000069680000}"/>
    <cellStyle name="Total 10 3 8 2" xfId="19910" xr:uid="{00000000-0005-0000-0000-00006A680000}"/>
    <cellStyle name="Total 10 4" xfId="1590" xr:uid="{00000000-0005-0000-0000-00006B680000}"/>
    <cellStyle name="Total 10 4 2" xfId="2087" xr:uid="{00000000-0005-0000-0000-00006C680000}"/>
    <cellStyle name="Total 10 4 2 2" xfId="3805" xr:uid="{00000000-0005-0000-0000-00006D680000}"/>
    <cellStyle name="Total 10 4 2 2 2" xfId="7860" xr:uid="{00000000-0005-0000-0000-00006E680000}"/>
    <cellStyle name="Total 10 4 2 2 2 2" xfId="17373" xr:uid="{00000000-0005-0000-0000-00006F680000}"/>
    <cellStyle name="Total 10 4 2 2 2 2 2" xfId="32205" xr:uid="{00000000-0005-0000-0000-000070680000}"/>
    <cellStyle name="Total 10 4 2 2 2 3" xfId="19159" xr:uid="{00000000-0005-0000-0000-000071680000}"/>
    <cellStyle name="Total 10 4 2 2 3" xfId="14140" xr:uid="{00000000-0005-0000-0000-000072680000}"/>
    <cellStyle name="Total 10 4 2 2 3 2" xfId="28972" xr:uid="{00000000-0005-0000-0000-000073680000}"/>
    <cellStyle name="Total 10 4 2 2 4" xfId="10990" xr:uid="{00000000-0005-0000-0000-000074680000}"/>
    <cellStyle name="Total 10 4 2 2 4 2" xfId="25822" xr:uid="{00000000-0005-0000-0000-000075680000}"/>
    <cellStyle name="Total 10 4 2 3" xfId="5055" xr:uid="{00000000-0005-0000-0000-000076680000}"/>
    <cellStyle name="Total 10 4 2 3 2" xfId="9094" xr:uid="{00000000-0005-0000-0000-000077680000}"/>
    <cellStyle name="Total 10 4 2 3 2 2" xfId="18027" xr:uid="{00000000-0005-0000-0000-000078680000}"/>
    <cellStyle name="Total 10 4 2 3 2 2 2" xfId="32859" xr:uid="{00000000-0005-0000-0000-000079680000}"/>
    <cellStyle name="Total 10 4 2 3 2 3" xfId="19593" xr:uid="{00000000-0005-0000-0000-00007A680000}"/>
    <cellStyle name="Total 10 4 2 3 3" xfId="15376" xr:uid="{00000000-0005-0000-0000-00007B680000}"/>
    <cellStyle name="Total 10 4 2 3 3 2" xfId="30208" xr:uid="{00000000-0005-0000-0000-00007C680000}"/>
    <cellStyle name="Total 10 4 2 3 4" xfId="11627" xr:uid="{00000000-0005-0000-0000-00007D680000}"/>
    <cellStyle name="Total 10 4 2 3 4 2" xfId="26459" xr:uid="{00000000-0005-0000-0000-00007E680000}"/>
    <cellStyle name="Total 10 4 2 4" xfId="3045" xr:uid="{00000000-0005-0000-0000-00007F680000}"/>
    <cellStyle name="Total 10 4 2 4 2" xfId="7120" xr:uid="{00000000-0005-0000-0000-000080680000}"/>
    <cellStyle name="Total 10 4 2 4 2 2" xfId="16918" xr:uid="{00000000-0005-0000-0000-000081680000}"/>
    <cellStyle name="Total 10 4 2 4 2 2 2" xfId="31750" xr:uid="{00000000-0005-0000-0000-000082680000}"/>
    <cellStyle name="Total 10 4 2 4 2 3" xfId="18886" xr:uid="{00000000-0005-0000-0000-000083680000}"/>
    <cellStyle name="Total 10 4 2 4 3" xfId="13383" xr:uid="{00000000-0005-0000-0000-000084680000}"/>
    <cellStyle name="Total 10 4 2 4 3 2" xfId="28215" xr:uid="{00000000-0005-0000-0000-000085680000}"/>
    <cellStyle name="Total 10 4 2 4 4" xfId="10574" xr:uid="{00000000-0005-0000-0000-000086680000}"/>
    <cellStyle name="Total 10 4 2 4 4 2" xfId="25406" xr:uid="{00000000-0005-0000-0000-000087680000}"/>
    <cellStyle name="Total 10 4 2 5" xfId="6212" xr:uid="{00000000-0005-0000-0000-000088680000}"/>
    <cellStyle name="Total 10 4 2 5 2" xfId="16398" xr:uid="{00000000-0005-0000-0000-000089680000}"/>
    <cellStyle name="Total 10 4 2 5 2 2" xfId="31230" xr:uid="{00000000-0005-0000-0000-00008A680000}"/>
    <cellStyle name="Total 10 4 2 5 3" xfId="18527" xr:uid="{00000000-0005-0000-0000-00008B680000}"/>
    <cellStyle name="Total 10 4 2 6" xfId="12468" xr:uid="{00000000-0005-0000-0000-00008C680000}"/>
    <cellStyle name="Total 10 4 2 6 2" xfId="27300" xr:uid="{00000000-0005-0000-0000-00008D680000}"/>
    <cellStyle name="Total 10 4 2 7" xfId="10050" xr:uid="{00000000-0005-0000-0000-00008E680000}"/>
    <cellStyle name="Total 10 4 2 7 2" xfId="24882" xr:uid="{00000000-0005-0000-0000-00008F680000}"/>
    <cellStyle name="Total 10 4 3" xfId="3754" xr:uid="{00000000-0005-0000-0000-000090680000}"/>
    <cellStyle name="Total 10 4 3 2" xfId="7810" xr:uid="{00000000-0005-0000-0000-000091680000}"/>
    <cellStyle name="Total 10 4 3 2 2" xfId="17348" xr:uid="{00000000-0005-0000-0000-000092680000}"/>
    <cellStyle name="Total 10 4 3 2 2 2" xfId="32180" xr:uid="{00000000-0005-0000-0000-000093680000}"/>
    <cellStyle name="Total 10 4 3 2 3" xfId="19142" xr:uid="{00000000-0005-0000-0000-000094680000}"/>
    <cellStyle name="Total 10 4 3 3" xfId="14089" xr:uid="{00000000-0005-0000-0000-000095680000}"/>
    <cellStyle name="Total 10 4 3 3 2" xfId="28921" xr:uid="{00000000-0005-0000-0000-000096680000}"/>
    <cellStyle name="Total 10 4 3 4" xfId="10964" xr:uid="{00000000-0005-0000-0000-000097680000}"/>
    <cellStyle name="Total 10 4 3 4 2" xfId="25796" xr:uid="{00000000-0005-0000-0000-000098680000}"/>
    <cellStyle name="Total 10 4 4" xfId="4635" xr:uid="{00000000-0005-0000-0000-000099680000}"/>
    <cellStyle name="Total 10 4 4 2" xfId="8674" xr:uid="{00000000-0005-0000-0000-00009A680000}"/>
    <cellStyle name="Total 10 4 4 2 2" xfId="17787" xr:uid="{00000000-0005-0000-0000-00009B680000}"/>
    <cellStyle name="Total 10 4 4 2 2 2" xfId="32619" xr:uid="{00000000-0005-0000-0000-00009C680000}"/>
    <cellStyle name="Total 10 4 4 2 3" xfId="19433" xr:uid="{00000000-0005-0000-0000-00009D680000}"/>
    <cellStyle name="Total 10 4 4 3" xfId="14961" xr:uid="{00000000-0005-0000-0000-00009E680000}"/>
    <cellStyle name="Total 10 4 4 3 2" xfId="29793" xr:uid="{00000000-0005-0000-0000-00009F680000}"/>
    <cellStyle name="Total 10 4 4 4" xfId="11392" xr:uid="{00000000-0005-0000-0000-0000A0680000}"/>
    <cellStyle name="Total 10 4 4 4 2" xfId="26224" xr:uid="{00000000-0005-0000-0000-0000A1680000}"/>
    <cellStyle name="Total 10 4 5" xfId="2625" xr:uid="{00000000-0005-0000-0000-0000A2680000}"/>
    <cellStyle name="Total 10 4 5 2" xfId="6726" xr:uid="{00000000-0005-0000-0000-0000A3680000}"/>
    <cellStyle name="Total 10 4 5 2 2" xfId="16683" xr:uid="{00000000-0005-0000-0000-0000A4680000}"/>
    <cellStyle name="Total 10 4 5 2 2 2" xfId="31515" xr:uid="{00000000-0005-0000-0000-0000A5680000}"/>
    <cellStyle name="Total 10 4 5 2 3" xfId="18722" xr:uid="{00000000-0005-0000-0000-0000A6680000}"/>
    <cellStyle name="Total 10 4 5 3" xfId="12963" xr:uid="{00000000-0005-0000-0000-0000A7680000}"/>
    <cellStyle name="Total 10 4 5 3 2" xfId="27795" xr:uid="{00000000-0005-0000-0000-0000A8680000}"/>
    <cellStyle name="Total 10 4 5 4" xfId="10334" xr:uid="{00000000-0005-0000-0000-0000A9680000}"/>
    <cellStyle name="Total 10 4 5 4 2" xfId="25166" xr:uid="{00000000-0005-0000-0000-0000AA680000}"/>
    <cellStyle name="Total 10 4 6" xfId="5742" xr:uid="{00000000-0005-0000-0000-0000AB680000}"/>
    <cellStyle name="Total 10 4 6 2" xfId="15977" xr:uid="{00000000-0005-0000-0000-0000AC680000}"/>
    <cellStyle name="Total 10 4 6 2 2" xfId="30809" xr:uid="{00000000-0005-0000-0000-0000AD680000}"/>
    <cellStyle name="Total 10 4 6 3" xfId="18363" xr:uid="{00000000-0005-0000-0000-0000AE680000}"/>
    <cellStyle name="Total 10 4 7" xfId="11997" xr:uid="{00000000-0005-0000-0000-0000AF680000}"/>
    <cellStyle name="Total 10 4 7 2" xfId="26829" xr:uid="{00000000-0005-0000-0000-0000B0680000}"/>
    <cellStyle name="Total 10 4 8" xfId="9656" xr:uid="{00000000-0005-0000-0000-0000B1680000}"/>
    <cellStyle name="Total 10 4 8 2" xfId="19957" xr:uid="{00000000-0005-0000-0000-0000B2680000}"/>
    <cellStyle name="Total 10 5" xfId="1640" xr:uid="{00000000-0005-0000-0000-0000B3680000}"/>
    <cellStyle name="Total 10 5 2" xfId="2137" xr:uid="{00000000-0005-0000-0000-0000B4680000}"/>
    <cellStyle name="Total 10 5 2 2" xfId="3927" xr:uid="{00000000-0005-0000-0000-0000B5680000}"/>
    <cellStyle name="Total 10 5 2 2 2" xfId="7977" xr:uid="{00000000-0005-0000-0000-0000B6680000}"/>
    <cellStyle name="Total 10 5 2 2 2 2" xfId="17435" xr:uid="{00000000-0005-0000-0000-0000B7680000}"/>
    <cellStyle name="Total 10 5 2 2 2 2 2" xfId="32267" xr:uid="{00000000-0005-0000-0000-0000B8680000}"/>
    <cellStyle name="Total 10 5 2 2 2 3" xfId="19204" xr:uid="{00000000-0005-0000-0000-0000B9680000}"/>
    <cellStyle name="Total 10 5 2 2 3" xfId="14260" xr:uid="{00000000-0005-0000-0000-0000BA680000}"/>
    <cellStyle name="Total 10 5 2 2 3 2" xfId="29092" xr:uid="{00000000-0005-0000-0000-0000BB680000}"/>
    <cellStyle name="Total 10 5 2 2 4" xfId="11050" xr:uid="{00000000-0005-0000-0000-0000BC680000}"/>
    <cellStyle name="Total 10 5 2 2 4 2" xfId="25882" xr:uid="{00000000-0005-0000-0000-0000BD680000}"/>
    <cellStyle name="Total 10 5 2 3" xfId="5105" xr:uid="{00000000-0005-0000-0000-0000BE680000}"/>
    <cellStyle name="Total 10 5 2 3 2" xfId="9144" xr:uid="{00000000-0005-0000-0000-0000BF680000}"/>
    <cellStyle name="Total 10 5 2 3 2 2" xfId="18072" xr:uid="{00000000-0005-0000-0000-0000C0680000}"/>
    <cellStyle name="Total 10 5 2 3 2 2 2" xfId="32904" xr:uid="{00000000-0005-0000-0000-0000C1680000}"/>
    <cellStyle name="Total 10 5 2 3 2 3" xfId="19625" xr:uid="{00000000-0005-0000-0000-0000C2680000}"/>
    <cellStyle name="Total 10 5 2 3 3" xfId="15425" xr:uid="{00000000-0005-0000-0000-0000C3680000}"/>
    <cellStyle name="Total 10 5 2 3 3 2" xfId="30257" xr:uid="{00000000-0005-0000-0000-0000C4680000}"/>
    <cellStyle name="Total 10 5 2 3 4" xfId="11671" xr:uid="{00000000-0005-0000-0000-0000C5680000}"/>
    <cellStyle name="Total 10 5 2 3 4 2" xfId="26503" xr:uid="{00000000-0005-0000-0000-0000C6680000}"/>
    <cellStyle name="Total 10 5 2 4" xfId="3095" xr:uid="{00000000-0005-0000-0000-0000C7680000}"/>
    <cellStyle name="Total 10 5 2 4 2" xfId="7165" xr:uid="{00000000-0005-0000-0000-0000C8680000}"/>
    <cellStyle name="Total 10 5 2 4 2 2" xfId="16962" xr:uid="{00000000-0005-0000-0000-0000C9680000}"/>
    <cellStyle name="Total 10 5 2 4 2 2 2" xfId="31794" xr:uid="{00000000-0005-0000-0000-0000CA680000}"/>
    <cellStyle name="Total 10 5 2 4 2 3" xfId="18919" xr:uid="{00000000-0005-0000-0000-0000CB680000}"/>
    <cellStyle name="Total 10 5 2 4 3" xfId="13433" xr:uid="{00000000-0005-0000-0000-0000CC680000}"/>
    <cellStyle name="Total 10 5 2 4 3 2" xfId="28265" xr:uid="{00000000-0005-0000-0000-0000CD680000}"/>
    <cellStyle name="Total 10 5 2 4 4" xfId="10619" xr:uid="{00000000-0005-0000-0000-0000CE680000}"/>
    <cellStyle name="Total 10 5 2 4 4 2" xfId="25451" xr:uid="{00000000-0005-0000-0000-0000CF680000}"/>
    <cellStyle name="Total 10 5 2 5" xfId="6257" xr:uid="{00000000-0005-0000-0000-0000D0680000}"/>
    <cellStyle name="Total 10 5 2 5 2" xfId="16442" xr:uid="{00000000-0005-0000-0000-0000D1680000}"/>
    <cellStyle name="Total 10 5 2 5 2 2" xfId="31274" xr:uid="{00000000-0005-0000-0000-0000D2680000}"/>
    <cellStyle name="Total 10 5 2 5 3" xfId="18560" xr:uid="{00000000-0005-0000-0000-0000D3680000}"/>
    <cellStyle name="Total 10 5 2 6" xfId="12512" xr:uid="{00000000-0005-0000-0000-0000D4680000}"/>
    <cellStyle name="Total 10 5 2 6 2" xfId="27344" xr:uid="{00000000-0005-0000-0000-0000D5680000}"/>
    <cellStyle name="Total 10 5 2 7" xfId="10094" xr:uid="{00000000-0005-0000-0000-0000D6680000}"/>
    <cellStyle name="Total 10 5 2 7 2" xfId="24926" xr:uid="{00000000-0005-0000-0000-0000D7680000}"/>
    <cellStyle name="Total 10 5 3" xfId="3900" xr:uid="{00000000-0005-0000-0000-0000D8680000}"/>
    <cellStyle name="Total 10 5 3 2" xfId="7951" xr:uid="{00000000-0005-0000-0000-0000D9680000}"/>
    <cellStyle name="Total 10 5 3 2 2" xfId="17419" xr:uid="{00000000-0005-0000-0000-0000DA680000}"/>
    <cellStyle name="Total 10 5 3 2 2 2" xfId="32251" xr:uid="{00000000-0005-0000-0000-0000DB680000}"/>
    <cellStyle name="Total 10 5 3 2 3" xfId="19192" xr:uid="{00000000-0005-0000-0000-0000DC680000}"/>
    <cellStyle name="Total 10 5 3 3" xfId="14233" xr:uid="{00000000-0005-0000-0000-0000DD680000}"/>
    <cellStyle name="Total 10 5 3 3 2" xfId="29065" xr:uid="{00000000-0005-0000-0000-0000DE680000}"/>
    <cellStyle name="Total 10 5 3 4" xfId="11035" xr:uid="{00000000-0005-0000-0000-0000DF680000}"/>
    <cellStyle name="Total 10 5 3 4 2" xfId="25867" xr:uid="{00000000-0005-0000-0000-0000E0680000}"/>
    <cellStyle name="Total 10 5 4" xfId="4685" xr:uid="{00000000-0005-0000-0000-0000E1680000}"/>
    <cellStyle name="Total 10 5 4 2" xfId="8724" xr:uid="{00000000-0005-0000-0000-0000E2680000}"/>
    <cellStyle name="Total 10 5 4 2 2" xfId="17832" xr:uid="{00000000-0005-0000-0000-0000E3680000}"/>
    <cellStyle name="Total 10 5 4 2 2 2" xfId="32664" xr:uid="{00000000-0005-0000-0000-0000E4680000}"/>
    <cellStyle name="Total 10 5 4 2 3" xfId="19465" xr:uid="{00000000-0005-0000-0000-0000E5680000}"/>
    <cellStyle name="Total 10 5 4 3" xfId="15010" xr:uid="{00000000-0005-0000-0000-0000E6680000}"/>
    <cellStyle name="Total 10 5 4 3 2" xfId="29842" xr:uid="{00000000-0005-0000-0000-0000E7680000}"/>
    <cellStyle name="Total 10 5 4 4" xfId="11436" xr:uid="{00000000-0005-0000-0000-0000E8680000}"/>
    <cellStyle name="Total 10 5 4 4 2" xfId="26268" xr:uid="{00000000-0005-0000-0000-0000E9680000}"/>
    <cellStyle name="Total 10 5 5" xfId="2675" xr:uid="{00000000-0005-0000-0000-0000EA680000}"/>
    <cellStyle name="Total 10 5 5 2" xfId="6771" xr:uid="{00000000-0005-0000-0000-0000EB680000}"/>
    <cellStyle name="Total 10 5 5 2 2" xfId="16727" xr:uid="{00000000-0005-0000-0000-0000EC680000}"/>
    <cellStyle name="Total 10 5 5 2 2 2" xfId="31559" xr:uid="{00000000-0005-0000-0000-0000ED680000}"/>
    <cellStyle name="Total 10 5 5 2 3" xfId="18755" xr:uid="{00000000-0005-0000-0000-0000EE680000}"/>
    <cellStyle name="Total 10 5 5 3" xfId="13013" xr:uid="{00000000-0005-0000-0000-0000EF680000}"/>
    <cellStyle name="Total 10 5 5 3 2" xfId="27845" xr:uid="{00000000-0005-0000-0000-0000F0680000}"/>
    <cellStyle name="Total 10 5 5 4" xfId="10379" xr:uid="{00000000-0005-0000-0000-0000F1680000}"/>
    <cellStyle name="Total 10 5 5 4 2" xfId="25211" xr:uid="{00000000-0005-0000-0000-0000F2680000}"/>
    <cellStyle name="Total 10 5 6" xfId="5787" xr:uid="{00000000-0005-0000-0000-0000F3680000}"/>
    <cellStyle name="Total 10 5 6 2" xfId="16021" xr:uid="{00000000-0005-0000-0000-0000F4680000}"/>
    <cellStyle name="Total 10 5 6 2 2" xfId="30853" xr:uid="{00000000-0005-0000-0000-0000F5680000}"/>
    <cellStyle name="Total 10 5 6 3" xfId="18396" xr:uid="{00000000-0005-0000-0000-0000F6680000}"/>
    <cellStyle name="Total 10 5 7" xfId="12041" xr:uid="{00000000-0005-0000-0000-0000F7680000}"/>
    <cellStyle name="Total 10 5 7 2" xfId="26873" xr:uid="{00000000-0005-0000-0000-0000F8680000}"/>
    <cellStyle name="Total 10 5 8" xfId="9701" xr:uid="{00000000-0005-0000-0000-0000F9680000}"/>
    <cellStyle name="Total 10 5 8 2" xfId="20001" xr:uid="{00000000-0005-0000-0000-0000FA680000}"/>
    <cellStyle name="Total 10 6" xfId="1791" xr:uid="{00000000-0005-0000-0000-0000FB680000}"/>
    <cellStyle name="Total 10 6 2" xfId="4126" xr:uid="{00000000-0005-0000-0000-0000FC680000}"/>
    <cellStyle name="Total 10 6 2 2" xfId="8170" xr:uid="{00000000-0005-0000-0000-0000FD680000}"/>
    <cellStyle name="Total 10 6 2 2 2" xfId="17532" xr:uid="{00000000-0005-0000-0000-0000FE680000}"/>
    <cellStyle name="Total 10 6 2 2 2 2" xfId="32364" xr:uid="{00000000-0005-0000-0000-0000FF680000}"/>
    <cellStyle name="Total 10 6 2 2 3" xfId="19276" xr:uid="{00000000-0005-0000-0000-000000690000}"/>
    <cellStyle name="Total 10 6 2 3" xfId="14458" xr:uid="{00000000-0005-0000-0000-000001690000}"/>
    <cellStyle name="Total 10 6 2 3 2" xfId="29290" xr:uid="{00000000-0005-0000-0000-000002690000}"/>
    <cellStyle name="Total 10 6 2 4" xfId="11150" xr:uid="{00000000-0005-0000-0000-000003690000}"/>
    <cellStyle name="Total 10 6 2 4 2" xfId="25982" xr:uid="{00000000-0005-0000-0000-000004690000}"/>
    <cellStyle name="Total 10 6 3" xfId="4769" xr:uid="{00000000-0005-0000-0000-000005690000}"/>
    <cellStyle name="Total 10 6 3 2" xfId="8808" xr:uid="{00000000-0005-0000-0000-000006690000}"/>
    <cellStyle name="Total 10 6 3 2 2" xfId="17880" xr:uid="{00000000-0005-0000-0000-000007690000}"/>
    <cellStyle name="Total 10 6 3 2 2 2" xfId="32712" xr:uid="{00000000-0005-0000-0000-000008690000}"/>
    <cellStyle name="Total 10 6 3 2 3" xfId="19497" xr:uid="{00000000-0005-0000-0000-000009690000}"/>
    <cellStyle name="Total 10 6 3 3" xfId="15093" xr:uid="{00000000-0005-0000-0000-00000A690000}"/>
    <cellStyle name="Total 10 6 3 3 2" xfId="29925" xr:uid="{00000000-0005-0000-0000-00000B690000}"/>
    <cellStyle name="Total 10 6 3 4" xfId="11483" xr:uid="{00000000-0005-0000-0000-00000C690000}"/>
    <cellStyle name="Total 10 6 3 4 2" xfId="26315" xr:uid="{00000000-0005-0000-0000-00000D690000}"/>
    <cellStyle name="Total 10 6 4" xfId="2759" xr:uid="{00000000-0005-0000-0000-00000E690000}"/>
    <cellStyle name="Total 10 6 4 2" xfId="6850" xr:uid="{00000000-0005-0000-0000-00000F690000}"/>
    <cellStyle name="Total 10 6 4 2 2" xfId="16774" xr:uid="{00000000-0005-0000-0000-000010690000}"/>
    <cellStyle name="Total 10 6 4 2 2 2" xfId="31606" xr:uid="{00000000-0005-0000-0000-000011690000}"/>
    <cellStyle name="Total 10 6 4 2 3" xfId="18788" xr:uid="{00000000-0005-0000-0000-000012690000}"/>
    <cellStyle name="Total 10 6 4 3" xfId="13097" xr:uid="{00000000-0005-0000-0000-000013690000}"/>
    <cellStyle name="Total 10 6 4 3 2" xfId="27929" xr:uid="{00000000-0005-0000-0000-000014690000}"/>
    <cellStyle name="Total 10 6 4 4" xfId="10427" xr:uid="{00000000-0005-0000-0000-000015690000}"/>
    <cellStyle name="Total 10 6 4 4 2" xfId="25259" xr:uid="{00000000-0005-0000-0000-000016690000}"/>
    <cellStyle name="Total 10 6 5" xfId="5923" xr:uid="{00000000-0005-0000-0000-000017690000}"/>
    <cellStyle name="Total 10 6 5 2" xfId="16115" xr:uid="{00000000-0005-0000-0000-000018690000}"/>
    <cellStyle name="Total 10 6 5 2 2" xfId="30947" xr:uid="{00000000-0005-0000-0000-000019690000}"/>
    <cellStyle name="Total 10 6 5 3" xfId="18430" xr:uid="{00000000-0005-0000-0000-00001A690000}"/>
    <cellStyle name="Total 10 6 6" xfId="12185" xr:uid="{00000000-0005-0000-0000-00001B690000}"/>
    <cellStyle name="Total 10 6 6 2" xfId="27017" xr:uid="{00000000-0005-0000-0000-00001C690000}"/>
    <cellStyle name="Total 10 6 7" xfId="9781" xr:uid="{00000000-0005-0000-0000-00001D690000}"/>
    <cellStyle name="Total 10 6 7 2" xfId="24738" xr:uid="{00000000-0005-0000-0000-00001E690000}"/>
    <cellStyle name="Total 10 7" xfId="2175" xr:uid="{00000000-0005-0000-0000-00001F690000}"/>
    <cellStyle name="Total 10 7 2" xfId="3807" xr:uid="{00000000-0005-0000-0000-000020690000}"/>
    <cellStyle name="Total 10 7 2 2" xfId="7862" xr:uid="{00000000-0005-0000-0000-000021690000}"/>
    <cellStyle name="Total 10 7 2 2 2" xfId="17375" xr:uid="{00000000-0005-0000-0000-000022690000}"/>
    <cellStyle name="Total 10 7 2 2 2 2" xfId="32207" xr:uid="{00000000-0005-0000-0000-000023690000}"/>
    <cellStyle name="Total 10 7 2 2 3" xfId="19160" xr:uid="{00000000-0005-0000-0000-000024690000}"/>
    <cellStyle name="Total 10 7 2 3" xfId="14142" xr:uid="{00000000-0005-0000-0000-000025690000}"/>
    <cellStyle name="Total 10 7 2 3 2" xfId="28974" xr:uid="{00000000-0005-0000-0000-000026690000}"/>
    <cellStyle name="Total 10 7 2 4" xfId="10992" xr:uid="{00000000-0005-0000-0000-000027690000}"/>
    <cellStyle name="Total 10 7 2 4 2" xfId="25824" xr:uid="{00000000-0005-0000-0000-000028690000}"/>
    <cellStyle name="Total 10 7 3" xfId="5143" xr:uid="{00000000-0005-0000-0000-000029690000}"/>
    <cellStyle name="Total 10 7 3 2" xfId="9182" xr:uid="{00000000-0005-0000-0000-00002A690000}"/>
    <cellStyle name="Total 10 7 3 2 2" xfId="18105" xr:uid="{00000000-0005-0000-0000-00002B690000}"/>
    <cellStyle name="Total 10 7 3 2 2 2" xfId="32937" xr:uid="{00000000-0005-0000-0000-00002C690000}"/>
    <cellStyle name="Total 10 7 3 2 3" xfId="19656" xr:uid="{00000000-0005-0000-0000-00002D690000}"/>
    <cellStyle name="Total 10 7 3 3" xfId="15461" xr:uid="{00000000-0005-0000-0000-00002E690000}"/>
    <cellStyle name="Total 10 7 3 3 2" xfId="30293" xr:uid="{00000000-0005-0000-0000-00002F690000}"/>
    <cellStyle name="Total 10 7 3 4" xfId="11702" xr:uid="{00000000-0005-0000-0000-000030690000}"/>
    <cellStyle name="Total 10 7 3 4 2" xfId="26534" xr:uid="{00000000-0005-0000-0000-000031690000}"/>
    <cellStyle name="Total 10 7 4" xfId="4173" xr:uid="{00000000-0005-0000-0000-000032690000}"/>
    <cellStyle name="Total 10 7 4 2" xfId="8214" xr:uid="{00000000-0005-0000-0000-000033690000}"/>
    <cellStyle name="Total 10 7 4 2 2" xfId="17561" xr:uid="{00000000-0005-0000-0000-000034690000}"/>
    <cellStyle name="Total 10 7 4 2 2 2" xfId="32393" xr:uid="{00000000-0005-0000-0000-000035690000}"/>
    <cellStyle name="Total 10 7 4 2 3" xfId="19299" xr:uid="{00000000-0005-0000-0000-000036690000}"/>
    <cellStyle name="Total 10 7 4 3" xfId="14505" xr:uid="{00000000-0005-0000-0000-000037690000}"/>
    <cellStyle name="Total 10 7 4 3 2" xfId="29337" xr:uid="{00000000-0005-0000-0000-000038690000}"/>
    <cellStyle name="Total 10 7 4 4" xfId="11181" xr:uid="{00000000-0005-0000-0000-000039690000}"/>
    <cellStyle name="Total 10 7 4 4 2" xfId="26013" xr:uid="{00000000-0005-0000-0000-00003A690000}"/>
    <cellStyle name="Total 10 7 5" xfId="6289" xr:uid="{00000000-0005-0000-0000-00003B690000}"/>
    <cellStyle name="Total 10 7 5 2" xfId="16473" xr:uid="{00000000-0005-0000-0000-00003C690000}"/>
    <cellStyle name="Total 10 7 5 2 2" xfId="31305" xr:uid="{00000000-0005-0000-0000-00003D690000}"/>
    <cellStyle name="Total 10 7 5 3" xfId="18592" xr:uid="{00000000-0005-0000-0000-00003E690000}"/>
    <cellStyle name="Total 10 7 6" xfId="12543" xr:uid="{00000000-0005-0000-0000-00003F690000}"/>
    <cellStyle name="Total 10 7 6 2" xfId="27375" xr:uid="{00000000-0005-0000-0000-000040690000}"/>
    <cellStyle name="Total 10 7 7" xfId="10125" xr:uid="{00000000-0005-0000-0000-000041690000}"/>
    <cellStyle name="Total 10 7 7 2" xfId="24957" xr:uid="{00000000-0005-0000-0000-000042690000}"/>
    <cellStyle name="Total 10 8" xfId="4036" xr:uid="{00000000-0005-0000-0000-000043690000}"/>
    <cellStyle name="Total 10 8 2" xfId="8083" xr:uid="{00000000-0005-0000-0000-000044690000}"/>
    <cellStyle name="Total 10 8 2 2" xfId="17487" xr:uid="{00000000-0005-0000-0000-000045690000}"/>
    <cellStyle name="Total 10 8 2 2 2" xfId="32319" xr:uid="{00000000-0005-0000-0000-000046690000}"/>
    <cellStyle name="Total 10 8 2 3" xfId="19243" xr:uid="{00000000-0005-0000-0000-000047690000}"/>
    <cellStyle name="Total 10 8 3" xfId="14368" xr:uid="{00000000-0005-0000-0000-000048690000}"/>
    <cellStyle name="Total 10 8 3 2" xfId="29200" xr:uid="{00000000-0005-0000-0000-000049690000}"/>
    <cellStyle name="Total 10 8 4" xfId="11103" xr:uid="{00000000-0005-0000-0000-00004A690000}"/>
    <cellStyle name="Total 10 8 4 2" xfId="25935" xr:uid="{00000000-0005-0000-0000-00004B690000}"/>
    <cellStyle name="Total 10 9" xfId="3258" xr:uid="{00000000-0005-0000-0000-00004C690000}"/>
    <cellStyle name="Total 10 9 2" xfId="7322" xr:uid="{00000000-0005-0000-0000-00004D690000}"/>
    <cellStyle name="Total 10 9 2 2" xfId="17072" xr:uid="{00000000-0005-0000-0000-00004E690000}"/>
    <cellStyle name="Total 10 9 2 2 2" xfId="31904" xr:uid="{00000000-0005-0000-0000-00004F690000}"/>
    <cellStyle name="Total 10 9 2 3" xfId="18975" xr:uid="{00000000-0005-0000-0000-000050690000}"/>
    <cellStyle name="Total 10 9 3" xfId="13595" xr:uid="{00000000-0005-0000-0000-000051690000}"/>
    <cellStyle name="Total 10 9 3 2" xfId="28427" xr:uid="{00000000-0005-0000-0000-000052690000}"/>
    <cellStyle name="Total 10 9 4" xfId="10702" xr:uid="{00000000-0005-0000-0000-000053690000}"/>
    <cellStyle name="Total 10 9 4 2" xfId="25534" xr:uid="{00000000-0005-0000-0000-000054690000}"/>
    <cellStyle name="Total 2" xfId="1267" xr:uid="{00000000-0005-0000-0000-000055690000}"/>
    <cellStyle name="Total 2 10" xfId="1538" xr:uid="{00000000-0005-0000-0000-000056690000}"/>
    <cellStyle name="Total 2 10 2" xfId="2035" xr:uid="{00000000-0005-0000-0000-000057690000}"/>
    <cellStyle name="Total 2 10 2 2" xfId="4332" xr:uid="{00000000-0005-0000-0000-000058690000}"/>
    <cellStyle name="Total 2 10 2 2 2" xfId="8371" xr:uid="{00000000-0005-0000-0000-000059690000}"/>
    <cellStyle name="Total 2 10 2 2 2 2" xfId="17649" xr:uid="{00000000-0005-0000-0000-00005A690000}"/>
    <cellStyle name="Total 2 10 2 2 2 2 2" xfId="32481" xr:uid="{00000000-0005-0000-0000-00005B690000}"/>
    <cellStyle name="Total 2 10 2 2 2 3" xfId="19348" xr:uid="{00000000-0005-0000-0000-00005C690000}"/>
    <cellStyle name="Total 2 10 2 2 3" xfId="14663" xr:uid="{00000000-0005-0000-0000-00005D690000}"/>
    <cellStyle name="Total 2 10 2 2 3 2" xfId="29495" xr:uid="{00000000-0005-0000-0000-00005E690000}"/>
    <cellStyle name="Total 2 10 2 2 4" xfId="11259" xr:uid="{00000000-0005-0000-0000-00005F690000}"/>
    <cellStyle name="Total 2 10 2 2 4 2" xfId="26091" xr:uid="{00000000-0005-0000-0000-000060690000}"/>
    <cellStyle name="Total 2 10 2 3" xfId="5003" xr:uid="{00000000-0005-0000-0000-000061690000}"/>
    <cellStyle name="Total 2 10 2 3 2" xfId="9042" xr:uid="{00000000-0005-0000-0000-000062690000}"/>
    <cellStyle name="Total 2 10 2 3 2 2" xfId="17980" xr:uid="{00000000-0005-0000-0000-000063690000}"/>
    <cellStyle name="Total 2 10 2 3 2 2 2" xfId="32812" xr:uid="{00000000-0005-0000-0000-000064690000}"/>
    <cellStyle name="Total 2 10 2 3 2 3" xfId="19562" xr:uid="{00000000-0005-0000-0000-000065690000}"/>
    <cellStyle name="Total 2 10 2 3 3" xfId="15325" xr:uid="{00000000-0005-0000-0000-000066690000}"/>
    <cellStyle name="Total 2 10 2 3 3 2" xfId="30157" xr:uid="{00000000-0005-0000-0000-000067690000}"/>
    <cellStyle name="Total 2 10 2 3 4" xfId="11581" xr:uid="{00000000-0005-0000-0000-000068690000}"/>
    <cellStyle name="Total 2 10 2 3 4 2" xfId="26413" xr:uid="{00000000-0005-0000-0000-000069690000}"/>
    <cellStyle name="Total 2 10 2 4" xfId="2993" xr:uid="{00000000-0005-0000-0000-00006A690000}"/>
    <cellStyle name="Total 2 10 2 4 2" xfId="7073" xr:uid="{00000000-0005-0000-0000-00006B690000}"/>
    <cellStyle name="Total 2 10 2 4 2 2" xfId="16872" xr:uid="{00000000-0005-0000-0000-00006C690000}"/>
    <cellStyle name="Total 2 10 2 4 2 2 2" xfId="31704" xr:uid="{00000000-0005-0000-0000-00006D690000}"/>
    <cellStyle name="Total 2 10 2 4 2 3" xfId="18854" xr:uid="{00000000-0005-0000-0000-00006E690000}"/>
    <cellStyle name="Total 2 10 2 4 3" xfId="13331" xr:uid="{00000000-0005-0000-0000-00006F690000}"/>
    <cellStyle name="Total 2 10 2 4 3 2" xfId="28163" xr:uid="{00000000-0005-0000-0000-000070690000}"/>
    <cellStyle name="Total 2 10 2 4 4" xfId="10527" xr:uid="{00000000-0005-0000-0000-000071690000}"/>
    <cellStyle name="Total 2 10 2 4 4 2" xfId="25359" xr:uid="{00000000-0005-0000-0000-000072690000}"/>
    <cellStyle name="Total 2 10 2 5" xfId="6165" xr:uid="{00000000-0005-0000-0000-000073690000}"/>
    <cellStyle name="Total 2 10 2 5 2" xfId="16352" xr:uid="{00000000-0005-0000-0000-000074690000}"/>
    <cellStyle name="Total 2 10 2 5 2 2" xfId="31184" xr:uid="{00000000-0005-0000-0000-000075690000}"/>
    <cellStyle name="Total 2 10 2 5 3" xfId="18495" xr:uid="{00000000-0005-0000-0000-000076690000}"/>
    <cellStyle name="Total 2 10 2 6" xfId="12422" xr:uid="{00000000-0005-0000-0000-000077690000}"/>
    <cellStyle name="Total 2 10 2 6 2" xfId="27254" xr:uid="{00000000-0005-0000-0000-000078690000}"/>
    <cellStyle name="Total 2 10 2 7" xfId="10004" xr:uid="{00000000-0005-0000-0000-000079690000}"/>
    <cellStyle name="Total 2 10 2 7 2" xfId="24836" xr:uid="{00000000-0005-0000-0000-00007A690000}"/>
    <cellStyle name="Total 2 10 3" xfId="4265" xr:uid="{00000000-0005-0000-0000-00007B690000}"/>
    <cellStyle name="Total 2 10 3 2" xfId="8304" xr:uid="{00000000-0005-0000-0000-00007C690000}"/>
    <cellStyle name="Total 2 10 3 2 2" xfId="17593" xr:uid="{00000000-0005-0000-0000-00007D690000}"/>
    <cellStyle name="Total 2 10 3 2 2 2" xfId="32425" xr:uid="{00000000-0005-0000-0000-00007E690000}"/>
    <cellStyle name="Total 2 10 3 2 3" xfId="19316" xr:uid="{00000000-0005-0000-0000-00007F690000}"/>
    <cellStyle name="Total 2 10 3 3" xfId="14597" xr:uid="{00000000-0005-0000-0000-000080690000}"/>
    <cellStyle name="Total 2 10 3 3 2" xfId="29429" xr:uid="{00000000-0005-0000-0000-000081690000}"/>
    <cellStyle name="Total 2 10 3 4" xfId="11215" xr:uid="{00000000-0005-0000-0000-000082690000}"/>
    <cellStyle name="Total 2 10 3 4 2" xfId="26047" xr:uid="{00000000-0005-0000-0000-000083690000}"/>
    <cellStyle name="Total 2 10 4" xfId="4583" xr:uid="{00000000-0005-0000-0000-000084690000}"/>
    <cellStyle name="Total 2 10 4 2" xfId="8622" xr:uid="{00000000-0005-0000-0000-000085690000}"/>
    <cellStyle name="Total 2 10 4 2 2" xfId="17740" xr:uid="{00000000-0005-0000-0000-000086690000}"/>
    <cellStyle name="Total 2 10 4 2 2 2" xfId="32572" xr:uid="{00000000-0005-0000-0000-000087690000}"/>
    <cellStyle name="Total 2 10 4 2 3" xfId="19402" xr:uid="{00000000-0005-0000-0000-000088690000}"/>
    <cellStyle name="Total 2 10 4 3" xfId="14910" xr:uid="{00000000-0005-0000-0000-000089690000}"/>
    <cellStyle name="Total 2 10 4 3 2" xfId="29742" xr:uid="{00000000-0005-0000-0000-00008A690000}"/>
    <cellStyle name="Total 2 10 4 4" xfId="11346" xr:uid="{00000000-0005-0000-0000-00008B690000}"/>
    <cellStyle name="Total 2 10 4 4 2" xfId="26178" xr:uid="{00000000-0005-0000-0000-00008C690000}"/>
    <cellStyle name="Total 2 10 5" xfId="2573" xr:uid="{00000000-0005-0000-0000-00008D690000}"/>
    <cellStyle name="Total 2 10 5 2" xfId="6679" xr:uid="{00000000-0005-0000-0000-00008E690000}"/>
    <cellStyle name="Total 2 10 5 2 2" xfId="16637" xr:uid="{00000000-0005-0000-0000-00008F690000}"/>
    <cellStyle name="Total 2 10 5 2 2 2" xfId="31469" xr:uid="{00000000-0005-0000-0000-000090690000}"/>
    <cellStyle name="Total 2 10 5 2 3" xfId="18690" xr:uid="{00000000-0005-0000-0000-000091690000}"/>
    <cellStyle name="Total 2 10 5 3" xfId="12911" xr:uid="{00000000-0005-0000-0000-000092690000}"/>
    <cellStyle name="Total 2 10 5 3 2" xfId="27743" xr:uid="{00000000-0005-0000-0000-000093690000}"/>
    <cellStyle name="Total 2 10 5 4" xfId="10287" xr:uid="{00000000-0005-0000-0000-000094690000}"/>
    <cellStyle name="Total 2 10 5 4 2" xfId="25119" xr:uid="{00000000-0005-0000-0000-000095690000}"/>
    <cellStyle name="Total 2 10 6" xfId="5696" xr:uid="{00000000-0005-0000-0000-000096690000}"/>
    <cellStyle name="Total 2 10 6 2" xfId="15931" xr:uid="{00000000-0005-0000-0000-000097690000}"/>
    <cellStyle name="Total 2 10 6 2 2" xfId="30763" xr:uid="{00000000-0005-0000-0000-000098690000}"/>
    <cellStyle name="Total 2 10 6 3" xfId="18332" xr:uid="{00000000-0005-0000-0000-000099690000}"/>
    <cellStyle name="Total 2 10 7" xfId="11951" xr:uid="{00000000-0005-0000-0000-00009A690000}"/>
    <cellStyle name="Total 2 10 7 2" xfId="26783" xr:uid="{00000000-0005-0000-0000-00009B690000}"/>
    <cellStyle name="Total 2 10 8" xfId="9609" xr:uid="{00000000-0005-0000-0000-00009C690000}"/>
    <cellStyle name="Total 2 10 8 2" xfId="19911" xr:uid="{00000000-0005-0000-0000-00009D690000}"/>
    <cellStyle name="Total 2 11" xfId="1591" xr:uid="{00000000-0005-0000-0000-00009E690000}"/>
    <cellStyle name="Total 2 11 2" xfId="2088" xr:uid="{00000000-0005-0000-0000-00009F690000}"/>
    <cellStyle name="Total 2 11 2 2" xfId="3745" xr:uid="{00000000-0005-0000-0000-0000A0690000}"/>
    <cellStyle name="Total 2 11 2 2 2" xfId="7801" xr:uid="{00000000-0005-0000-0000-0000A1690000}"/>
    <cellStyle name="Total 2 11 2 2 2 2" xfId="17345" xr:uid="{00000000-0005-0000-0000-0000A2690000}"/>
    <cellStyle name="Total 2 11 2 2 2 2 2" xfId="32177" xr:uid="{00000000-0005-0000-0000-0000A3690000}"/>
    <cellStyle name="Total 2 11 2 2 2 3" xfId="19139" xr:uid="{00000000-0005-0000-0000-0000A4690000}"/>
    <cellStyle name="Total 2 11 2 2 3" xfId="14080" xr:uid="{00000000-0005-0000-0000-0000A5690000}"/>
    <cellStyle name="Total 2 11 2 2 3 2" xfId="28912" xr:uid="{00000000-0005-0000-0000-0000A6690000}"/>
    <cellStyle name="Total 2 11 2 2 4" xfId="10961" xr:uid="{00000000-0005-0000-0000-0000A7690000}"/>
    <cellStyle name="Total 2 11 2 2 4 2" xfId="25793" xr:uid="{00000000-0005-0000-0000-0000A8690000}"/>
    <cellStyle name="Total 2 11 2 3" xfId="5056" xr:uid="{00000000-0005-0000-0000-0000A9690000}"/>
    <cellStyle name="Total 2 11 2 3 2" xfId="9095" xr:uid="{00000000-0005-0000-0000-0000AA690000}"/>
    <cellStyle name="Total 2 11 2 3 2 2" xfId="18028" xr:uid="{00000000-0005-0000-0000-0000AB690000}"/>
    <cellStyle name="Total 2 11 2 3 2 2 2" xfId="32860" xr:uid="{00000000-0005-0000-0000-0000AC690000}"/>
    <cellStyle name="Total 2 11 2 3 2 3" xfId="19594" xr:uid="{00000000-0005-0000-0000-0000AD690000}"/>
    <cellStyle name="Total 2 11 2 3 3" xfId="15377" xr:uid="{00000000-0005-0000-0000-0000AE690000}"/>
    <cellStyle name="Total 2 11 2 3 3 2" xfId="30209" xr:uid="{00000000-0005-0000-0000-0000AF690000}"/>
    <cellStyle name="Total 2 11 2 3 4" xfId="11628" xr:uid="{00000000-0005-0000-0000-0000B0690000}"/>
    <cellStyle name="Total 2 11 2 3 4 2" xfId="26460" xr:uid="{00000000-0005-0000-0000-0000B1690000}"/>
    <cellStyle name="Total 2 11 2 4" xfId="3046" xr:uid="{00000000-0005-0000-0000-0000B2690000}"/>
    <cellStyle name="Total 2 11 2 4 2" xfId="7121" xr:uid="{00000000-0005-0000-0000-0000B3690000}"/>
    <cellStyle name="Total 2 11 2 4 2 2" xfId="16919" xr:uid="{00000000-0005-0000-0000-0000B4690000}"/>
    <cellStyle name="Total 2 11 2 4 2 2 2" xfId="31751" xr:uid="{00000000-0005-0000-0000-0000B5690000}"/>
    <cellStyle name="Total 2 11 2 4 2 3" xfId="18887" xr:uid="{00000000-0005-0000-0000-0000B6690000}"/>
    <cellStyle name="Total 2 11 2 4 3" xfId="13384" xr:uid="{00000000-0005-0000-0000-0000B7690000}"/>
    <cellStyle name="Total 2 11 2 4 3 2" xfId="28216" xr:uid="{00000000-0005-0000-0000-0000B8690000}"/>
    <cellStyle name="Total 2 11 2 4 4" xfId="10575" xr:uid="{00000000-0005-0000-0000-0000B9690000}"/>
    <cellStyle name="Total 2 11 2 4 4 2" xfId="25407" xr:uid="{00000000-0005-0000-0000-0000BA690000}"/>
    <cellStyle name="Total 2 11 2 5" xfId="6213" xr:uid="{00000000-0005-0000-0000-0000BB690000}"/>
    <cellStyle name="Total 2 11 2 5 2" xfId="16399" xr:uid="{00000000-0005-0000-0000-0000BC690000}"/>
    <cellStyle name="Total 2 11 2 5 2 2" xfId="31231" xr:uid="{00000000-0005-0000-0000-0000BD690000}"/>
    <cellStyle name="Total 2 11 2 5 3" xfId="18528" xr:uid="{00000000-0005-0000-0000-0000BE690000}"/>
    <cellStyle name="Total 2 11 2 6" xfId="12469" xr:uid="{00000000-0005-0000-0000-0000BF690000}"/>
    <cellStyle name="Total 2 11 2 6 2" xfId="27301" xr:uid="{00000000-0005-0000-0000-0000C0690000}"/>
    <cellStyle name="Total 2 11 2 7" xfId="10051" xr:uid="{00000000-0005-0000-0000-0000C1690000}"/>
    <cellStyle name="Total 2 11 2 7 2" xfId="24883" xr:uid="{00000000-0005-0000-0000-0000C2690000}"/>
    <cellStyle name="Total 2 11 3" xfId="4326" xr:uid="{00000000-0005-0000-0000-0000C3690000}"/>
    <cellStyle name="Total 2 11 3 2" xfId="8365" xr:uid="{00000000-0005-0000-0000-0000C4690000}"/>
    <cellStyle name="Total 2 11 3 2 2" xfId="17643" xr:uid="{00000000-0005-0000-0000-0000C5690000}"/>
    <cellStyle name="Total 2 11 3 2 2 2" xfId="32475" xr:uid="{00000000-0005-0000-0000-0000C6690000}"/>
    <cellStyle name="Total 2 11 3 2 3" xfId="19344" xr:uid="{00000000-0005-0000-0000-0000C7690000}"/>
    <cellStyle name="Total 2 11 3 3" xfId="14657" xr:uid="{00000000-0005-0000-0000-0000C8690000}"/>
    <cellStyle name="Total 2 11 3 3 2" xfId="29489" xr:uid="{00000000-0005-0000-0000-0000C9690000}"/>
    <cellStyle name="Total 2 11 3 4" xfId="11253" xr:uid="{00000000-0005-0000-0000-0000CA690000}"/>
    <cellStyle name="Total 2 11 3 4 2" xfId="26085" xr:uid="{00000000-0005-0000-0000-0000CB690000}"/>
    <cellStyle name="Total 2 11 4" xfId="4636" xr:uid="{00000000-0005-0000-0000-0000CC690000}"/>
    <cellStyle name="Total 2 11 4 2" xfId="8675" xr:uid="{00000000-0005-0000-0000-0000CD690000}"/>
    <cellStyle name="Total 2 11 4 2 2" xfId="17788" xr:uid="{00000000-0005-0000-0000-0000CE690000}"/>
    <cellStyle name="Total 2 11 4 2 2 2" xfId="32620" xr:uid="{00000000-0005-0000-0000-0000CF690000}"/>
    <cellStyle name="Total 2 11 4 2 3" xfId="19434" xr:uid="{00000000-0005-0000-0000-0000D0690000}"/>
    <cellStyle name="Total 2 11 4 3" xfId="14962" xr:uid="{00000000-0005-0000-0000-0000D1690000}"/>
    <cellStyle name="Total 2 11 4 3 2" xfId="29794" xr:uid="{00000000-0005-0000-0000-0000D2690000}"/>
    <cellStyle name="Total 2 11 4 4" xfId="11393" xr:uid="{00000000-0005-0000-0000-0000D3690000}"/>
    <cellStyle name="Total 2 11 4 4 2" xfId="26225" xr:uid="{00000000-0005-0000-0000-0000D4690000}"/>
    <cellStyle name="Total 2 11 5" xfId="2626" xr:uid="{00000000-0005-0000-0000-0000D5690000}"/>
    <cellStyle name="Total 2 11 5 2" xfId="6727" xr:uid="{00000000-0005-0000-0000-0000D6690000}"/>
    <cellStyle name="Total 2 11 5 2 2" xfId="16684" xr:uid="{00000000-0005-0000-0000-0000D7690000}"/>
    <cellStyle name="Total 2 11 5 2 2 2" xfId="31516" xr:uid="{00000000-0005-0000-0000-0000D8690000}"/>
    <cellStyle name="Total 2 11 5 2 3" xfId="18723" xr:uid="{00000000-0005-0000-0000-0000D9690000}"/>
    <cellStyle name="Total 2 11 5 3" xfId="12964" xr:uid="{00000000-0005-0000-0000-0000DA690000}"/>
    <cellStyle name="Total 2 11 5 3 2" xfId="27796" xr:uid="{00000000-0005-0000-0000-0000DB690000}"/>
    <cellStyle name="Total 2 11 5 4" xfId="10335" xr:uid="{00000000-0005-0000-0000-0000DC690000}"/>
    <cellStyle name="Total 2 11 5 4 2" xfId="25167" xr:uid="{00000000-0005-0000-0000-0000DD690000}"/>
    <cellStyle name="Total 2 11 6" xfId="5743" xr:uid="{00000000-0005-0000-0000-0000DE690000}"/>
    <cellStyle name="Total 2 11 6 2" xfId="15978" xr:uid="{00000000-0005-0000-0000-0000DF690000}"/>
    <cellStyle name="Total 2 11 6 2 2" xfId="30810" xr:uid="{00000000-0005-0000-0000-0000E0690000}"/>
    <cellStyle name="Total 2 11 6 3" xfId="18364" xr:uid="{00000000-0005-0000-0000-0000E1690000}"/>
    <cellStyle name="Total 2 11 7" xfId="11998" xr:uid="{00000000-0005-0000-0000-0000E2690000}"/>
    <cellStyle name="Total 2 11 7 2" xfId="26830" xr:uid="{00000000-0005-0000-0000-0000E3690000}"/>
    <cellStyle name="Total 2 11 8" xfId="9657" xr:uid="{00000000-0005-0000-0000-0000E4690000}"/>
    <cellStyle name="Total 2 11 8 2" xfId="19958" xr:uid="{00000000-0005-0000-0000-0000E5690000}"/>
    <cellStyle name="Total 2 12" xfId="1641" xr:uid="{00000000-0005-0000-0000-0000E6690000}"/>
    <cellStyle name="Total 2 12 2" xfId="2138" xr:uid="{00000000-0005-0000-0000-0000E7690000}"/>
    <cellStyle name="Total 2 12 2 2" xfId="4137" xr:uid="{00000000-0005-0000-0000-0000E8690000}"/>
    <cellStyle name="Total 2 12 2 2 2" xfId="8181" xr:uid="{00000000-0005-0000-0000-0000E9690000}"/>
    <cellStyle name="Total 2 12 2 2 2 2" xfId="17538" xr:uid="{00000000-0005-0000-0000-0000EA690000}"/>
    <cellStyle name="Total 2 12 2 2 2 2 2" xfId="32370" xr:uid="{00000000-0005-0000-0000-0000EB690000}"/>
    <cellStyle name="Total 2 12 2 2 2 3" xfId="19280" xr:uid="{00000000-0005-0000-0000-0000EC690000}"/>
    <cellStyle name="Total 2 12 2 2 3" xfId="14469" xr:uid="{00000000-0005-0000-0000-0000ED690000}"/>
    <cellStyle name="Total 2 12 2 2 3 2" xfId="29301" xr:uid="{00000000-0005-0000-0000-0000EE690000}"/>
    <cellStyle name="Total 2 12 2 2 4" xfId="11156" xr:uid="{00000000-0005-0000-0000-0000EF690000}"/>
    <cellStyle name="Total 2 12 2 2 4 2" xfId="25988" xr:uid="{00000000-0005-0000-0000-0000F0690000}"/>
    <cellStyle name="Total 2 12 2 3" xfId="5106" xr:uid="{00000000-0005-0000-0000-0000F1690000}"/>
    <cellStyle name="Total 2 12 2 3 2" xfId="9145" xr:uid="{00000000-0005-0000-0000-0000F2690000}"/>
    <cellStyle name="Total 2 12 2 3 2 2" xfId="18073" xr:uid="{00000000-0005-0000-0000-0000F3690000}"/>
    <cellStyle name="Total 2 12 2 3 2 2 2" xfId="32905" xr:uid="{00000000-0005-0000-0000-0000F4690000}"/>
    <cellStyle name="Total 2 12 2 3 2 3" xfId="19626" xr:uid="{00000000-0005-0000-0000-0000F5690000}"/>
    <cellStyle name="Total 2 12 2 3 3" xfId="15426" xr:uid="{00000000-0005-0000-0000-0000F6690000}"/>
    <cellStyle name="Total 2 12 2 3 3 2" xfId="30258" xr:uid="{00000000-0005-0000-0000-0000F7690000}"/>
    <cellStyle name="Total 2 12 2 3 4" xfId="11672" xr:uid="{00000000-0005-0000-0000-0000F8690000}"/>
    <cellStyle name="Total 2 12 2 3 4 2" xfId="26504" xr:uid="{00000000-0005-0000-0000-0000F9690000}"/>
    <cellStyle name="Total 2 12 2 4" xfId="3096" xr:uid="{00000000-0005-0000-0000-0000FA690000}"/>
    <cellStyle name="Total 2 12 2 4 2" xfId="7166" xr:uid="{00000000-0005-0000-0000-0000FB690000}"/>
    <cellStyle name="Total 2 12 2 4 2 2" xfId="16963" xr:uid="{00000000-0005-0000-0000-0000FC690000}"/>
    <cellStyle name="Total 2 12 2 4 2 2 2" xfId="31795" xr:uid="{00000000-0005-0000-0000-0000FD690000}"/>
    <cellStyle name="Total 2 12 2 4 2 3" xfId="18920" xr:uid="{00000000-0005-0000-0000-0000FE690000}"/>
    <cellStyle name="Total 2 12 2 4 3" xfId="13434" xr:uid="{00000000-0005-0000-0000-0000FF690000}"/>
    <cellStyle name="Total 2 12 2 4 3 2" xfId="28266" xr:uid="{00000000-0005-0000-0000-0000006A0000}"/>
    <cellStyle name="Total 2 12 2 4 4" xfId="10620" xr:uid="{00000000-0005-0000-0000-0000016A0000}"/>
    <cellStyle name="Total 2 12 2 4 4 2" xfId="25452" xr:uid="{00000000-0005-0000-0000-0000026A0000}"/>
    <cellStyle name="Total 2 12 2 5" xfId="6258" xr:uid="{00000000-0005-0000-0000-0000036A0000}"/>
    <cellStyle name="Total 2 12 2 5 2" xfId="16443" xr:uid="{00000000-0005-0000-0000-0000046A0000}"/>
    <cellStyle name="Total 2 12 2 5 2 2" xfId="31275" xr:uid="{00000000-0005-0000-0000-0000056A0000}"/>
    <cellStyle name="Total 2 12 2 5 3" xfId="18561" xr:uid="{00000000-0005-0000-0000-0000066A0000}"/>
    <cellStyle name="Total 2 12 2 6" xfId="12513" xr:uid="{00000000-0005-0000-0000-0000076A0000}"/>
    <cellStyle name="Total 2 12 2 6 2" xfId="27345" xr:uid="{00000000-0005-0000-0000-0000086A0000}"/>
    <cellStyle name="Total 2 12 2 7" xfId="10095" xr:uid="{00000000-0005-0000-0000-0000096A0000}"/>
    <cellStyle name="Total 2 12 2 7 2" xfId="24927" xr:uid="{00000000-0005-0000-0000-00000A6A0000}"/>
    <cellStyle name="Total 2 12 3" xfId="3477" xr:uid="{00000000-0005-0000-0000-00000B6A0000}"/>
    <cellStyle name="Total 2 12 3 2" xfId="7539" xr:uid="{00000000-0005-0000-0000-00000C6A0000}"/>
    <cellStyle name="Total 2 12 3 2 2" xfId="17207" xr:uid="{00000000-0005-0000-0000-00000D6A0000}"/>
    <cellStyle name="Total 2 12 3 2 2 2" xfId="32039" xr:uid="{00000000-0005-0000-0000-00000E6A0000}"/>
    <cellStyle name="Total 2 12 3 2 3" xfId="19045" xr:uid="{00000000-0005-0000-0000-00000F6A0000}"/>
    <cellStyle name="Total 2 12 3 3" xfId="13814" xr:uid="{00000000-0005-0000-0000-0000106A0000}"/>
    <cellStyle name="Total 2 12 3 3 2" xfId="28646" xr:uid="{00000000-0005-0000-0000-0000116A0000}"/>
    <cellStyle name="Total 2 12 3 4" xfId="10825" xr:uid="{00000000-0005-0000-0000-0000126A0000}"/>
    <cellStyle name="Total 2 12 3 4 2" xfId="25657" xr:uid="{00000000-0005-0000-0000-0000136A0000}"/>
    <cellStyle name="Total 2 12 4" xfId="4686" xr:uid="{00000000-0005-0000-0000-0000146A0000}"/>
    <cellStyle name="Total 2 12 4 2" xfId="8725" xr:uid="{00000000-0005-0000-0000-0000156A0000}"/>
    <cellStyle name="Total 2 12 4 2 2" xfId="17833" xr:uid="{00000000-0005-0000-0000-0000166A0000}"/>
    <cellStyle name="Total 2 12 4 2 2 2" xfId="32665" xr:uid="{00000000-0005-0000-0000-0000176A0000}"/>
    <cellStyle name="Total 2 12 4 2 3" xfId="19466" xr:uid="{00000000-0005-0000-0000-0000186A0000}"/>
    <cellStyle name="Total 2 12 4 3" xfId="15011" xr:uid="{00000000-0005-0000-0000-0000196A0000}"/>
    <cellStyle name="Total 2 12 4 3 2" xfId="29843" xr:uid="{00000000-0005-0000-0000-00001A6A0000}"/>
    <cellStyle name="Total 2 12 4 4" xfId="11437" xr:uid="{00000000-0005-0000-0000-00001B6A0000}"/>
    <cellStyle name="Total 2 12 4 4 2" xfId="26269" xr:uid="{00000000-0005-0000-0000-00001C6A0000}"/>
    <cellStyle name="Total 2 12 5" xfId="2676" xr:uid="{00000000-0005-0000-0000-00001D6A0000}"/>
    <cellStyle name="Total 2 12 5 2" xfId="6772" xr:uid="{00000000-0005-0000-0000-00001E6A0000}"/>
    <cellStyle name="Total 2 12 5 2 2" xfId="16728" xr:uid="{00000000-0005-0000-0000-00001F6A0000}"/>
    <cellStyle name="Total 2 12 5 2 2 2" xfId="31560" xr:uid="{00000000-0005-0000-0000-0000206A0000}"/>
    <cellStyle name="Total 2 12 5 2 3" xfId="18756" xr:uid="{00000000-0005-0000-0000-0000216A0000}"/>
    <cellStyle name="Total 2 12 5 3" xfId="13014" xr:uid="{00000000-0005-0000-0000-0000226A0000}"/>
    <cellStyle name="Total 2 12 5 3 2" xfId="27846" xr:uid="{00000000-0005-0000-0000-0000236A0000}"/>
    <cellStyle name="Total 2 12 5 4" xfId="10380" xr:uid="{00000000-0005-0000-0000-0000246A0000}"/>
    <cellStyle name="Total 2 12 5 4 2" xfId="25212" xr:uid="{00000000-0005-0000-0000-0000256A0000}"/>
    <cellStyle name="Total 2 12 6" xfId="5788" xr:uid="{00000000-0005-0000-0000-0000266A0000}"/>
    <cellStyle name="Total 2 12 6 2" xfId="16022" xr:uid="{00000000-0005-0000-0000-0000276A0000}"/>
    <cellStyle name="Total 2 12 6 2 2" xfId="30854" xr:uid="{00000000-0005-0000-0000-0000286A0000}"/>
    <cellStyle name="Total 2 12 6 3" xfId="18397" xr:uid="{00000000-0005-0000-0000-0000296A0000}"/>
    <cellStyle name="Total 2 12 7" xfId="12042" xr:uid="{00000000-0005-0000-0000-00002A6A0000}"/>
    <cellStyle name="Total 2 12 7 2" xfId="26874" xr:uid="{00000000-0005-0000-0000-00002B6A0000}"/>
    <cellStyle name="Total 2 12 8" xfId="9702" xr:uid="{00000000-0005-0000-0000-00002C6A0000}"/>
    <cellStyle name="Total 2 12 8 2" xfId="20002" xr:uid="{00000000-0005-0000-0000-00002D6A0000}"/>
    <cellStyle name="Total 2 13" xfId="1792" xr:uid="{00000000-0005-0000-0000-00002E6A0000}"/>
    <cellStyle name="Total 2 13 2" xfId="4019" xr:uid="{00000000-0005-0000-0000-00002F6A0000}"/>
    <cellStyle name="Total 2 13 2 2" xfId="8066" xr:uid="{00000000-0005-0000-0000-0000306A0000}"/>
    <cellStyle name="Total 2 13 2 2 2" xfId="17478" xr:uid="{00000000-0005-0000-0000-0000316A0000}"/>
    <cellStyle name="Total 2 13 2 2 2 2" xfId="32310" xr:uid="{00000000-0005-0000-0000-0000326A0000}"/>
    <cellStyle name="Total 2 13 2 2 3" xfId="19236" xr:uid="{00000000-0005-0000-0000-0000336A0000}"/>
    <cellStyle name="Total 2 13 2 3" xfId="14351" xr:uid="{00000000-0005-0000-0000-0000346A0000}"/>
    <cellStyle name="Total 2 13 2 3 2" xfId="29183" xr:uid="{00000000-0005-0000-0000-0000356A0000}"/>
    <cellStyle name="Total 2 13 2 4" xfId="11094" xr:uid="{00000000-0005-0000-0000-0000366A0000}"/>
    <cellStyle name="Total 2 13 2 4 2" xfId="25926" xr:uid="{00000000-0005-0000-0000-0000376A0000}"/>
    <cellStyle name="Total 2 13 3" xfId="4770" xr:uid="{00000000-0005-0000-0000-0000386A0000}"/>
    <cellStyle name="Total 2 13 3 2" xfId="8809" xr:uid="{00000000-0005-0000-0000-0000396A0000}"/>
    <cellStyle name="Total 2 13 3 2 2" xfId="17881" xr:uid="{00000000-0005-0000-0000-00003A6A0000}"/>
    <cellStyle name="Total 2 13 3 2 2 2" xfId="32713" xr:uid="{00000000-0005-0000-0000-00003B6A0000}"/>
    <cellStyle name="Total 2 13 3 2 3" xfId="19498" xr:uid="{00000000-0005-0000-0000-00003C6A0000}"/>
    <cellStyle name="Total 2 13 3 3" xfId="15094" xr:uid="{00000000-0005-0000-0000-00003D6A0000}"/>
    <cellStyle name="Total 2 13 3 3 2" xfId="29926" xr:uid="{00000000-0005-0000-0000-00003E6A0000}"/>
    <cellStyle name="Total 2 13 3 4" xfId="11484" xr:uid="{00000000-0005-0000-0000-00003F6A0000}"/>
    <cellStyle name="Total 2 13 3 4 2" xfId="26316" xr:uid="{00000000-0005-0000-0000-0000406A0000}"/>
    <cellStyle name="Total 2 13 4" xfId="2760" xr:uid="{00000000-0005-0000-0000-0000416A0000}"/>
    <cellStyle name="Total 2 13 4 2" xfId="6851" xr:uid="{00000000-0005-0000-0000-0000426A0000}"/>
    <cellStyle name="Total 2 13 4 2 2" xfId="16775" xr:uid="{00000000-0005-0000-0000-0000436A0000}"/>
    <cellStyle name="Total 2 13 4 2 2 2" xfId="31607" xr:uid="{00000000-0005-0000-0000-0000446A0000}"/>
    <cellStyle name="Total 2 13 4 2 3" xfId="18789" xr:uid="{00000000-0005-0000-0000-0000456A0000}"/>
    <cellStyle name="Total 2 13 4 3" xfId="13098" xr:uid="{00000000-0005-0000-0000-0000466A0000}"/>
    <cellStyle name="Total 2 13 4 3 2" xfId="27930" xr:uid="{00000000-0005-0000-0000-0000476A0000}"/>
    <cellStyle name="Total 2 13 4 4" xfId="10428" xr:uid="{00000000-0005-0000-0000-0000486A0000}"/>
    <cellStyle name="Total 2 13 4 4 2" xfId="25260" xr:uid="{00000000-0005-0000-0000-0000496A0000}"/>
    <cellStyle name="Total 2 13 5" xfId="5924" xr:uid="{00000000-0005-0000-0000-00004A6A0000}"/>
    <cellStyle name="Total 2 13 5 2" xfId="16116" xr:uid="{00000000-0005-0000-0000-00004B6A0000}"/>
    <cellStyle name="Total 2 13 5 2 2" xfId="30948" xr:uid="{00000000-0005-0000-0000-00004C6A0000}"/>
    <cellStyle name="Total 2 13 5 3" xfId="18431" xr:uid="{00000000-0005-0000-0000-00004D6A0000}"/>
    <cellStyle name="Total 2 13 6" xfId="12186" xr:uid="{00000000-0005-0000-0000-00004E6A0000}"/>
    <cellStyle name="Total 2 13 6 2" xfId="27018" xr:uid="{00000000-0005-0000-0000-00004F6A0000}"/>
    <cellStyle name="Total 2 13 7" xfId="9782" xr:uid="{00000000-0005-0000-0000-0000506A0000}"/>
    <cellStyle name="Total 2 13 7 2" xfId="24739" xr:uid="{00000000-0005-0000-0000-0000516A0000}"/>
    <cellStyle name="Total 2 14" xfId="2174" xr:uid="{00000000-0005-0000-0000-0000526A0000}"/>
    <cellStyle name="Total 2 14 2" xfId="3931" xr:uid="{00000000-0005-0000-0000-0000536A0000}"/>
    <cellStyle name="Total 2 14 2 2" xfId="7981" xr:uid="{00000000-0005-0000-0000-0000546A0000}"/>
    <cellStyle name="Total 2 14 2 2 2" xfId="17436" xr:uid="{00000000-0005-0000-0000-0000556A0000}"/>
    <cellStyle name="Total 2 14 2 2 2 2" xfId="32268" xr:uid="{00000000-0005-0000-0000-0000566A0000}"/>
    <cellStyle name="Total 2 14 2 2 3" xfId="19205" xr:uid="{00000000-0005-0000-0000-0000576A0000}"/>
    <cellStyle name="Total 2 14 2 3" xfId="14264" xr:uid="{00000000-0005-0000-0000-0000586A0000}"/>
    <cellStyle name="Total 2 14 2 3 2" xfId="29096" xr:uid="{00000000-0005-0000-0000-0000596A0000}"/>
    <cellStyle name="Total 2 14 2 4" xfId="11051" xr:uid="{00000000-0005-0000-0000-00005A6A0000}"/>
    <cellStyle name="Total 2 14 2 4 2" xfId="25883" xr:uid="{00000000-0005-0000-0000-00005B6A0000}"/>
    <cellStyle name="Total 2 14 3" xfId="5142" xr:uid="{00000000-0005-0000-0000-00005C6A0000}"/>
    <cellStyle name="Total 2 14 3 2" xfId="9181" xr:uid="{00000000-0005-0000-0000-00005D6A0000}"/>
    <cellStyle name="Total 2 14 3 2 2" xfId="18104" xr:uid="{00000000-0005-0000-0000-00005E6A0000}"/>
    <cellStyle name="Total 2 14 3 2 2 2" xfId="32936" xr:uid="{00000000-0005-0000-0000-00005F6A0000}"/>
    <cellStyle name="Total 2 14 3 2 3" xfId="19655" xr:uid="{00000000-0005-0000-0000-0000606A0000}"/>
    <cellStyle name="Total 2 14 3 3" xfId="15460" xr:uid="{00000000-0005-0000-0000-0000616A0000}"/>
    <cellStyle name="Total 2 14 3 3 2" xfId="30292" xr:uid="{00000000-0005-0000-0000-0000626A0000}"/>
    <cellStyle name="Total 2 14 3 4" xfId="11701" xr:uid="{00000000-0005-0000-0000-0000636A0000}"/>
    <cellStyle name="Total 2 14 3 4 2" xfId="26533" xr:uid="{00000000-0005-0000-0000-0000646A0000}"/>
    <cellStyle name="Total 2 14 4" xfId="4172" xr:uid="{00000000-0005-0000-0000-0000656A0000}"/>
    <cellStyle name="Total 2 14 4 2" xfId="8213" xr:uid="{00000000-0005-0000-0000-0000666A0000}"/>
    <cellStyle name="Total 2 14 4 2 2" xfId="17560" xr:uid="{00000000-0005-0000-0000-0000676A0000}"/>
    <cellStyle name="Total 2 14 4 2 2 2" xfId="32392" xr:uid="{00000000-0005-0000-0000-0000686A0000}"/>
    <cellStyle name="Total 2 14 4 2 3" xfId="19298" xr:uid="{00000000-0005-0000-0000-0000696A0000}"/>
    <cellStyle name="Total 2 14 4 3" xfId="14504" xr:uid="{00000000-0005-0000-0000-00006A6A0000}"/>
    <cellStyle name="Total 2 14 4 3 2" xfId="29336" xr:uid="{00000000-0005-0000-0000-00006B6A0000}"/>
    <cellStyle name="Total 2 14 4 4" xfId="11180" xr:uid="{00000000-0005-0000-0000-00006C6A0000}"/>
    <cellStyle name="Total 2 14 4 4 2" xfId="26012" xr:uid="{00000000-0005-0000-0000-00006D6A0000}"/>
    <cellStyle name="Total 2 14 5" xfId="6288" xr:uid="{00000000-0005-0000-0000-00006E6A0000}"/>
    <cellStyle name="Total 2 14 5 2" xfId="16472" xr:uid="{00000000-0005-0000-0000-00006F6A0000}"/>
    <cellStyle name="Total 2 14 5 2 2" xfId="31304" xr:uid="{00000000-0005-0000-0000-0000706A0000}"/>
    <cellStyle name="Total 2 14 5 3" xfId="18591" xr:uid="{00000000-0005-0000-0000-0000716A0000}"/>
    <cellStyle name="Total 2 14 6" xfId="12542" xr:uid="{00000000-0005-0000-0000-0000726A0000}"/>
    <cellStyle name="Total 2 14 6 2" xfId="27374" xr:uid="{00000000-0005-0000-0000-0000736A0000}"/>
    <cellStyle name="Total 2 14 7" xfId="10124" xr:uid="{00000000-0005-0000-0000-0000746A0000}"/>
    <cellStyle name="Total 2 14 7 2" xfId="24956" xr:uid="{00000000-0005-0000-0000-0000756A0000}"/>
    <cellStyle name="Total 2 15" xfId="3567" xr:uid="{00000000-0005-0000-0000-0000766A0000}"/>
    <cellStyle name="Total 2 15 2" xfId="7629" xr:uid="{00000000-0005-0000-0000-0000776A0000}"/>
    <cellStyle name="Total 2 15 2 2" xfId="17261" xr:uid="{00000000-0005-0000-0000-0000786A0000}"/>
    <cellStyle name="Total 2 15 2 2 2" xfId="32093" xr:uid="{00000000-0005-0000-0000-0000796A0000}"/>
    <cellStyle name="Total 2 15 2 3" xfId="19084" xr:uid="{00000000-0005-0000-0000-00007A6A0000}"/>
    <cellStyle name="Total 2 15 3" xfId="13903" xr:uid="{00000000-0005-0000-0000-00007B6A0000}"/>
    <cellStyle name="Total 2 15 3 2" xfId="28735" xr:uid="{00000000-0005-0000-0000-00007C6A0000}"/>
    <cellStyle name="Total 2 15 4" xfId="10878" xr:uid="{00000000-0005-0000-0000-00007D6A0000}"/>
    <cellStyle name="Total 2 15 4 2" xfId="25710" xr:uid="{00000000-0005-0000-0000-00007E6A0000}"/>
    <cellStyle name="Total 2 16" xfId="3310" xr:uid="{00000000-0005-0000-0000-00007F6A0000}"/>
    <cellStyle name="Total 2 16 2" xfId="7374" xr:uid="{00000000-0005-0000-0000-0000806A0000}"/>
    <cellStyle name="Total 2 16 2 2" xfId="17109" xr:uid="{00000000-0005-0000-0000-0000816A0000}"/>
    <cellStyle name="Total 2 16 2 2 2" xfId="31941" xr:uid="{00000000-0005-0000-0000-0000826A0000}"/>
    <cellStyle name="Total 2 16 2 3" xfId="18992" xr:uid="{00000000-0005-0000-0000-0000836A0000}"/>
    <cellStyle name="Total 2 16 3" xfId="13647" xr:uid="{00000000-0005-0000-0000-0000846A0000}"/>
    <cellStyle name="Total 2 16 3 2" xfId="28479" xr:uid="{00000000-0005-0000-0000-0000856A0000}"/>
    <cellStyle name="Total 2 16 4" xfId="10732" xr:uid="{00000000-0005-0000-0000-0000866A0000}"/>
    <cellStyle name="Total 2 16 4 2" xfId="25564" xr:uid="{00000000-0005-0000-0000-0000876A0000}"/>
    <cellStyle name="Total 2 17" xfId="2334" xr:uid="{00000000-0005-0000-0000-0000886A0000}"/>
    <cellStyle name="Total 2 17 2" xfId="6446" xr:uid="{00000000-0005-0000-0000-0000896A0000}"/>
    <cellStyle name="Total 2 17 2 2" xfId="16538" xr:uid="{00000000-0005-0000-0000-00008A6A0000}"/>
    <cellStyle name="Total 2 17 2 2 2" xfId="31370" xr:uid="{00000000-0005-0000-0000-00008B6A0000}"/>
    <cellStyle name="Total 2 17 2 3" xfId="18626" xr:uid="{00000000-0005-0000-0000-00008C6A0000}"/>
    <cellStyle name="Total 2 17 3" xfId="12674" xr:uid="{00000000-0005-0000-0000-00008D6A0000}"/>
    <cellStyle name="Total 2 17 3 2" xfId="27506" xr:uid="{00000000-0005-0000-0000-00008E6A0000}"/>
    <cellStyle name="Total 2 17 4" xfId="10189" xr:uid="{00000000-0005-0000-0000-00008F6A0000}"/>
    <cellStyle name="Total 2 17 4 2" xfId="25021" xr:uid="{00000000-0005-0000-0000-0000906A0000}"/>
    <cellStyle name="Total 2 18" xfId="5296" xr:uid="{00000000-0005-0000-0000-0000916A0000}"/>
    <cellStyle name="Total 2 18 2" xfId="9304" xr:uid="{00000000-0005-0000-0000-0000926A0000}"/>
    <cellStyle name="Total 2 18 2 2" xfId="18171" xr:uid="{00000000-0005-0000-0000-0000936A0000}"/>
    <cellStyle name="Total 2 18 2 2 2" xfId="33003" xr:uid="{00000000-0005-0000-0000-0000946A0000}"/>
    <cellStyle name="Total 2 18 2 3" xfId="19690" xr:uid="{00000000-0005-0000-0000-0000956A0000}"/>
    <cellStyle name="Total 2 18 3" xfId="15612" xr:uid="{00000000-0005-0000-0000-0000966A0000}"/>
    <cellStyle name="Total 2 18 3 2" xfId="30444" xr:uid="{00000000-0005-0000-0000-0000976A0000}"/>
    <cellStyle name="Total 2 19" xfId="5454" xr:uid="{00000000-0005-0000-0000-0000986A0000}"/>
    <cellStyle name="Total 2 19 2" xfId="15690" xr:uid="{00000000-0005-0000-0000-0000996A0000}"/>
    <cellStyle name="Total 2 19 2 2" xfId="30522" xr:uid="{00000000-0005-0000-0000-00009A6A0000}"/>
    <cellStyle name="Total 2 19 3" xfId="18267" xr:uid="{00000000-0005-0000-0000-00009B6A0000}"/>
    <cellStyle name="Total 2 2" xfId="1268" xr:uid="{00000000-0005-0000-0000-00009C6A0000}"/>
    <cellStyle name="Total 2 2 10" xfId="2335" xr:uid="{00000000-0005-0000-0000-00009D6A0000}"/>
    <cellStyle name="Total 2 2 10 2" xfId="6447" xr:uid="{00000000-0005-0000-0000-00009E6A0000}"/>
    <cellStyle name="Total 2 2 10 2 2" xfId="16539" xr:uid="{00000000-0005-0000-0000-00009F6A0000}"/>
    <cellStyle name="Total 2 2 10 2 2 2" xfId="31371" xr:uid="{00000000-0005-0000-0000-0000A06A0000}"/>
    <cellStyle name="Total 2 2 10 2 3" xfId="18627" xr:uid="{00000000-0005-0000-0000-0000A16A0000}"/>
    <cellStyle name="Total 2 2 10 3" xfId="12675" xr:uid="{00000000-0005-0000-0000-0000A26A0000}"/>
    <cellStyle name="Total 2 2 10 3 2" xfId="27507" xr:uid="{00000000-0005-0000-0000-0000A36A0000}"/>
    <cellStyle name="Total 2 2 10 4" xfId="10190" xr:uid="{00000000-0005-0000-0000-0000A46A0000}"/>
    <cellStyle name="Total 2 2 10 4 2" xfId="25022" xr:uid="{00000000-0005-0000-0000-0000A56A0000}"/>
    <cellStyle name="Total 2 2 11" xfId="5297" xr:uid="{00000000-0005-0000-0000-0000A66A0000}"/>
    <cellStyle name="Total 2 2 11 2" xfId="9305" xr:uid="{00000000-0005-0000-0000-0000A76A0000}"/>
    <cellStyle name="Total 2 2 11 2 2" xfId="18172" xr:uid="{00000000-0005-0000-0000-0000A86A0000}"/>
    <cellStyle name="Total 2 2 11 2 2 2" xfId="33004" xr:uid="{00000000-0005-0000-0000-0000A96A0000}"/>
    <cellStyle name="Total 2 2 11 2 3" xfId="19691" xr:uid="{00000000-0005-0000-0000-0000AA6A0000}"/>
    <cellStyle name="Total 2 2 11 3" xfId="15613" xr:uid="{00000000-0005-0000-0000-0000AB6A0000}"/>
    <cellStyle name="Total 2 2 11 3 2" xfId="30445" xr:uid="{00000000-0005-0000-0000-0000AC6A0000}"/>
    <cellStyle name="Total 2 2 12" xfId="5455" xr:uid="{00000000-0005-0000-0000-0000AD6A0000}"/>
    <cellStyle name="Total 2 2 12 2" xfId="15691" xr:uid="{00000000-0005-0000-0000-0000AE6A0000}"/>
    <cellStyle name="Total 2 2 12 2 2" xfId="30523" xr:uid="{00000000-0005-0000-0000-0000AF6A0000}"/>
    <cellStyle name="Total 2 2 12 3" xfId="18268" xr:uid="{00000000-0005-0000-0000-0000B06A0000}"/>
    <cellStyle name="Total 2 2 13" xfId="9336" xr:uid="{00000000-0005-0000-0000-0000B16A0000}"/>
    <cellStyle name="Total 2 2 13 2" xfId="24642" xr:uid="{00000000-0005-0000-0000-0000B26A0000}"/>
    <cellStyle name="Total 2 2 14" xfId="5325" xr:uid="{00000000-0005-0000-0000-0000B36A0000}"/>
    <cellStyle name="Total 2 2 14 2" xfId="18199" xr:uid="{00000000-0005-0000-0000-0000B46A0000}"/>
    <cellStyle name="Total 2 2 2" xfId="1367" xr:uid="{00000000-0005-0000-0000-0000B56A0000}"/>
    <cellStyle name="Total 2 2 2 2" xfId="1871" xr:uid="{00000000-0005-0000-0000-0000B66A0000}"/>
    <cellStyle name="Total 2 2 2 2 2" xfId="3518" xr:uid="{00000000-0005-0000-0000-0000B76A0000}"/>
    <cellStyle name="Total 2 2 2 2 2 2" xfId="7580" xr:uid="{00000000-0005-0000-0000-0000B86A0000}"/>
    <cellStyle name="Total 2 2 2 2 2 2 2" xfId="17233" xr:uid="{00000000-0005-0000-0000-0000B96A0000}"/>
    <cellStyle name="Total 2 2 2 2 2 2 2 2" xfId="32065" xr:uid="{00000000-0005-0000-0000-0000BA6A0000}"/>
    <cellStyle name="Total 2 2 2 2 2 2 3" xfId="19062" xr:uid="{00000000-0005-0000-0000-0000BB6A0000}"/>
    <cellStyle name="Total 2 2 2 2 2 3" xfId="13855" xr:uid="{00000000-0005-0000-0000-0000BC6A0000}"/>
    <cellStyle name="Total 2 2 2 2 2 3 2" xfId="28687" xr:uid="{00000000-0005-0000-0000-0000BD6A0000}"/>
    <cellStyle name="Total 2 2 2 2 2 4" xfId="10851" xr:uid="{00000000-0005-0000-0000-0000BE6A0000}"/>
    <cellStyle name="Total 2 2 2 2 2 4 2" xfId="25683" xr:uid="{00000000-0005-0000-0000-0000BF6A0000}"/>
    <cellStyle name="Total 2 2 2 2 3" xfId="4849" xr:uid="{00000000-0005-0000-0000-0000C06A0000}"/>
    <cellStyle name="Total 2 2 2 2 3 2" xfId="8888" xr:uid="{00000000-0005-0000-0000-0000C16A0000}"/>
    <cellStyle name="Total 2 2 2 2 3 2 2" xfId="17929" xr:uid="{00000000-0005-0000-0000-0000C26A0000}"/>
    <cellStyle name="Total 2 2 2 2 3 2 2 2" xfId="32761" xr:uid="{00000000-0005-0000-0000-0000C36A0000}"/>
    <cellStyle name="Total 2 2 2 2 3 2 3" xfId="19531" xr:uid="{00000000-0005-0000-0000-0000C46A0000}"/>
    <cellStyle name="Total 2 2 2 2 3 3" xfId="15173" xr:uid="{00000000-0005-0000-0000-0000C56A0000}"/>
    <cellStyle name="Total 2 2 2 2 3 3 2" xfId="30005" xr:uid="{00000000-0005-0000-0000-0000C66A0000}"/>
    <cellStyle name="Total 2 2 2 2 3 4" xfId="11532" xr:uid="{00000000-0005-0000-0000-0000C76A0000}"/>
    <cellStyle name="Total 2 2 2 2 3 4 2" xfId="26364" xr:uid="{00000000-0005-0000-0000-0000C86A0000}"/>
    <cellStyle name="Total 2 2 2 2 4" xfId="2839" xr:uid="{00000000-0005-0000-0000-0000C96A0000}"/>
    <cellStyle name="Total 2 2 2 2 4 2" xfId="6930" xr:uid="{00000000-0005-0000-0000-0000CA6A0000}"/>
    <cellStyle name="Total 2 2 2 2 4 2 2" xfId="16823" xr:uid="{00000000-0005-0000-0000-0000CB6A0000}"/>
    <cellStyle name="Total 2 2 2 2 4 2 2 2" xfId="31655" xr:uid="{00000000-0005-0000-0000-0000CC6A0000}"/>
    <cellStyle name="Total 2 2 2 2 4 2 3" xfId="18822" xr:uid="{00000000-0005-0000-0000-0000CD6A0000}"/>
    <cellStyle name="Total 2 2 2 2 4 3" xfId="13177" xr:uid="{00000000-0005-0000-0000-0000CE6A0000}"/>
    <cellStyle name="Total 2 2 2 2 4 3 2" xfId="28009" xr:uid="{00000000-0005-0000-0000-0000CF6A0000}"/>
    <cellStyle name="Total 2 2 2 2 4 4" xfId="10476" xr:uid="{00000000-0005-0000-0000-0000D06A0000}"/>
    <cellStyle name="Total 2 2 2 2 4 4 2" xfId="25308" xr:uid="{00000000-0005-0000-0000-0000D16A0000}"/>
    <cellStyle name="Total 2 2 2 2 5" xfId="6003" xr:uid="{00000000-0005-0000-0000-0000D26A0000}"/>
    <cellStyle name="Total 2 2 2 2 5 2" xfId="16195" xr:uid="{00000000-0005-0000-0000-0000D36A0000}"/>
    <cellStyle name="Total 2 2 2 2 5 2 2" xfId="31027" xr:uid="{00000000-0005-0000-0000-0000D46A0000}"/>
    <cellStyle name="Total 2 2 2 2 5 3" xfId="18464" xr:uid="{00000000-0005-0000-0000-0000D56A0000}"/>
    <cellStyle name="Total 2 2 2 2 6" xfId="12265" xr:uid="{00000000-0005-0000-0000-0000D66A0000}"/>
    <cellStyle name="Total 2 2 2 2 6 2" xfId="27097" xr:uid="{00000000-0005-0000-0000-0000D76A0000}"/>
    <cellStyle name="Total 2 2 2 2 7" xfId="9861" xr:uid="{00000000-0005-0000-0000-0000D86A0000}"/>
    <cellStyle name="Total 2 2 2 2 7 2" xfId="24787" xr:uid="{00000000-0005-0000-0000-0000D96A0000}"/>
    <cellStyle name="Total 2 2 2 3" xfId="3720" xr:uid="{00000000-0005-0000-0000-0000DA6A0000}"/>
    <cellStyle name="Total 2 2 2 3 2" xfId="7776" xr:uid="{00000000-0005-0000-0000-0000DB6A0000}"/>
    <cellStyle name="Total 2 2 2 3 2 2" xfId="17333" xr:uid="{00000000-0005-0000-0000-0000DC6A0000}"/>
    <cellStyle name="Total 2 2 2 3 2 2 2" xfId="32165" xr:uid="{00000000-0005-0000-0000-0000DD6A0000}"/>
    <cellStyle name="Total 2 2 2 3 2 3" xfId="19130" xr:uid="{00000000-0005-0000-0000-0000DE6A0000}"/>
    <cellStyle name="Total 2 2 2 3 3" xfId="14055" xr:uid="{00000000-0005-0000-0000-0000DF6A0000}"/>
    <cellStyle name="Total 2 2 2 3 3 2" xfId="28887" xr:uid="{00000000-0005-0000-0000-0000E06A0000}"/>
    <cellStyle name="Total 2 2 2 3 4" xfId="10949" xr:uid="{00000000-0005-0000-0000-0000E16A0000}"/>
    <cellStyle name="Total 2 2 2 3 4 2" xfId="25781" xr:uid="{00000000-0005-0000-0000-0000E26A0000}"/>
    <cellStyle name="Total 2 2 2 4" xfId="4429" xr:uid="{00000000-0005-0000-0000-0000E36A0000}"/>
    <cellStyle name="Total 2 2 2 4 2" xfId="8468" xr:uid="{00000000-0005-0000-0000-0000E46A0000}"/>
    <cellStyle name="Total 2 2 2 4 2 2" xfId="17689" xr:uid="{00000000-0005-0000-0000-0000E56A0000}"/>
    <cellStyle name="Total 2 2 2 4 2 2 2" xfId="32521" xr:uid="{00000000-0005-0000-0000-0000E66A0000}"/>
    <cellStyle name="Total 2 2 2 4 2 3" xfId="19371" xr:uid="{00000000-0005-0000-0000-0000E76A0000}"/>
    <cellStyle name="Total 2 2 2 4 3" xfId="14758" xr:uid="{00000000-0005-0000-0000-0000E86A0000}"/>
    <cellStyle name="Total 2 2 2 4 3 2" xfId="29590" xr:uid="{00000000-0005-0000-0000-0000E96A0000}"/>
    <cellStyle name="Total 2 2 2 4 4" xfId="11297" xr:uid="{00000000-0005-0000-0000-0000EA6A0000}"/>
    <cellStyle name="Total 2 2 2 4 4 2" xfId="26129" xr:uid="{00000000-0005-0000-0000-0000EB6A0000}"/>
    <cellStyle name="Total 2 2 2 5" xfId="2419" xr:uid="{00000000-0005-0000-0000-0000EC6A0000}"/>
    <cellStyle name="Total 2 2 2 5 2" xfId="6531" xr:uid="{00000000-0005-0000-0000-0000ED6A0000}"/>
    <cellStyle name="Total 2 2 2 5 2 2" xfId="16587" xr:uid="{00000000-0005-0000-0000-0000EE6A0000}"/>
    <cellStyle name="Total 2 2 2 5 2 2 2" xfId="31419" xr:uid="{00000000-0005-0000-0000-0000EF6A0000}"/>
    <cellStyle name="Total 2 2 2 5 2 3" xfId="18659" xr:uid="{00000000-0005-0000-0000-0000F06A0000}"/>
    <cellStyle name="Total 2 2 2 5 3" xfId="12758" xr:uid="{00000000-0005-0000-0000-0000F16A0000}"/>
    <cellStyle name="Total 2 2 2 5 3 2" xfId="27590" xr:uid="{00000000-0005-0000-0000-0000F26A0000}"/>
    <cellStyle name="Total 2 2 2 5 4" xfId="10237" xr:uid="{00000000-0005-0000-0000-0000F36A0000}"/>
    <cellStyle name="Total 2 2 2 5 4 2" xfId="25069" xr:uid="{00000000-0005-0000-0000-0000F46A0000}"/>
    <cellStyle name="Total 2 2 2 6" xfId="5544" xr:uid="{00000000-0005-0000-0000-0000F56A0000}"/>
    <cellStyle name="Total 2 2 2 6 2" xfId="15779" xr:uid="{00000000-0005-0000-0000-0000F66A0000}"/>
    <cellStyle name="Total 2 2 2 6 2 2" xfId="30611" xr:uid="{00000000-0005-0000-0000-0000F76A0000}"/>
    <cellStyle name="Total 2 2 2 6 3" xfId="18301" xr:uid="{00000000-0005-0000-0000-0000F86A0000}"/>
    <cellStyle name="Total 2 2 2 7" xfId="11794" xr:uid="{00000000-0005-0000-0000-0000F96A0000}"/>
    <cellStyle name="Total 2 2 2 7 2" xfId="26626" xr:uid="{00000000-0005-0000-0000-0000FA6A0000}"/>
    <cellStyle name="Total 2 2 2 8" xfId="9465" xr:uid="{00000000-0005-0000-0000-0000FB6A0000}"/>
    <cellStyle name="Total 2 2 2 8 2" xfId="19769" xr:uid="{00000000-0005-0000-0000-0000FC6A0000}"/>
    <cellStyle name="Total 2 2 3" xfId="1539" xr:uid="{00000000-0005-0000-0000-0000FD6A0000}"/>
    <cellStyle name="Total 2 2 3 2" xfId="2036" xr:uid="{00000000-0005-0000-0000-0000FE6A0000}"/>
    <cellStyle name="Total 2 2 3 2 2" xfId="3731" xr:uid="{00000000-0005-0000-0000-0000FF6A0000}"/>
    <cellStyle name="Total 2 2 3 2 2 2" xfId="7787" xr:uid="{00000000-0005-0000-0000-0000006B0000}"/>
    <cellStyle name="Total 2 2 3 2 2 2 2" xfId="17340" xr:uid="{00000000-0005-0000-0000-0000016B0000}"/>
    <cellStyle name="Total 2 2 3 2 2 2 2 2" xfId="32172" xr:uid="{00000000-0005-0000-0000-0000026B0000}"/>
    <cellStyle name="Total 2 2 3 2 2 2 3" xfId="19136" xr:uid="{00000000-0005-0000-0000-0000036B0000}"/>
    <cellStyle name="Total 2 2 3 2 2 3" xfId="14066" xr:uid="{00000000-0005-0000-0000-0000046B0000}"/>
    <cellStyle name="Total 2 2 3 2 2 3 2" xfId="28898" xr:uid="{00000000-0005-0000-0000-0000056B0000}"/>
    <cellStyle name="Total 2 2 3 2 2 4" xfId="10956" xr:uid="{00000000-0005-0000-0000-0000066B0000}"/>
    <cellStyle name="Total 2 2 3 2 2 4 2" xfId="25788" xr:uid="{00000000-0005-0000-0000-0000076B0000}"/>
    <cellStyle name="Total 2 2 3 2 3" xfId="5004" xr:uid="{00000000-0005-0000-0000-0000086B0000}"/>
    <cellStyle name="Total 2 2 3 2 3 2" xfId="9043" xr:uid="{00000000-0005-0000-0000-0000096B0000}"/>
    <cellStyle name="Total 2 2 3 2 3 2 2" xfId="17981" xr:uid="{00000000-0005-0000-0000-00000A6B0000}"/>
    <cellStyle name="Total 2 2 3 2 3 2 2 2" xfId="32813" xr:uid="{00000000-0005-0000-0000-00000B6B0000}"/>
    <cellStyle name="Total 2 2 3 2 3 2 3" xfId="19563" xr:uid="{00000000-0005-0000-0000-00000C6B0000}"/>
    <cellStyle name="Total 2 2 3 2 3 3" xfId="15326" xr:uid="{00000000-0005-0000-0000-00000D6B0000}"/>
    <cellStyle name="Total 2 2 3 2 3 3 2" xfId="30158" xr:uid="{00000000-0005-0000-0000-00000E6B0000}"/>
    <cellStyle name="Total 2 2 3 2 3 4" xfId="11582" xr:uid="{00000000-0005-0000-0000-00000F6B0000}"/>
    <cellStyle name="Total 2 2 3 2 3 4 2" xfId="26414" xr:uid="{00000000-0005-0000-0000-0000106B0000}"/>
    <cellStyle name="Total 2 2 3 2 4" xfId="2994" xr:uid="{00000000-0005-0000-0000-0000116B0000}"/>
    <cellStyle name="Total 2 2 3 2 4 2" xfId="7074" xr:uid="{00000000-0005-0000-0000-0000126B0000}"/>
    <cellStyle name="Total 2 2 3 2 4 2 2" xfId="16873" xr:uid="{00000000-0005-0000-0000-0000136B0000}"/>
    <cellStyle name="Total 2 2 3 2 4 2 2 2" xfId="31705" xr:uid="{00000000-0005-0000-0000-0000146B0000}"/>
    <cellStyle name="Total 2 2 3 2 4 2 3" xfId="18855" xr:uid="{00000000-0005-0000-0000-0000156B0000}"/>
    <cellStyle name="Total 2 2 3 2 4 3" xfId="13332" xr:uid="{00000000-0005-0000-0000-0000166B0000}"/>
    <cellStyle name="Total 2 2 3 2 4 3 2" xfId="28164" xr:uid="{00000000-0005-0000-0000-0000176B0000}"/>
    <cellStyle name="Total 2 2 3 2 4 4" xfId="10528" xr:uid="{00000000-0005-0000-0000-0000186B0000}"/>
    <cellStyle name="Total 2 2 3 2 4 4 2" xfId="25360" xr:uid="{00000000-0005-0000-0000-0000196B0000}"/>
    <cellStyle name="Total 2 2 3 2 5" xfId="6166" xr:uid="{00000000-0005-0000-0000-00001A6B0000}"/>
    <cellStyle name="Total 2 2 3 2 5 2" xfId="16353" xr:uid="{00000000-0005-0000-0000-00001B6B0000}"/>
    <cellStyle name="Total 2 2 3 2 5 2 2" xfId="31185" xr:uid="{00000000-0005-0000-0000-00001C6B0000}"/>
    <cellStyle name="Total 2 2 3 2 5 3" xfId="18496" xr:uid="{00000000-0005-0000-0000-00001D6B0000}"/>
    <cellStyle name="Total 2 2 3 2 6" xfId="12423" xr:uid="{00000000-0005-0000-0000-00001E6B0000}"/>
    <cellStyle name="Total 2 2 3 2 6 2" xfId="27255" xr:uid="{00000000-0005-0000-0000-00001F6B0000}"/>
    <cellStyle name="Total 2 2 3 2 7" xfId="10005" xr:uid="{00000000-0005-0000-0000-0000206B0000}"/>
    <cellStyle name="Total 2 2 3 2 7 2" xfId="24837" xr:uid="{00000000-0005-0000-0000-0000216B0000}"/>
    <cellStyle name="Total 2 2 3 3" xfId="3994" xr:uid="{00000000-0005-0000-0000-0000226B0000}"/>
    <cellStyle name="Total 2 2 3 3 2" xfId="8041" xr:uid="{00000000-0005-0000-0000-0000236B0000}"/>
    <cellStyle name="Total 2 2 3 3 2 2" xfId="17462" xr:uid="{00000000-0005-0000-0000-0000246B0000}"/>
    <cellStyle name="Total 2 2 3 3 2 2 2" xfId="32294" xr:uid="{00000000-0005-0000-0000-0000256B0000}"/>
    <cellStyle name="Total 2 2 3 3 2 3" xfId="19225" xr:uid="{00000000-0005-0000-0000-0000266B0000}"/>
    <cellStyle name="Total 2 2 3 3 3" xfId="14327" xr:uid="{00000000-0005-0000-0000-0000276B0000}"/>
    <cellStyle name="Total 2 2 3 3 3 2" xfId="29159" xr:uid="{00000000-0005-0000-0000-0000286B0000}"/>
    <cellStyle name="Total 2 2 3 3 4" xfId="11080" xr:uid="{00000000-0005-0000-0000-0000296B0000}"/>
    <cellStyle name="Total 2 2 3 3 4 2" xfId="25912" xr:uid="{00000000-0005-0000-0000-00002A6B0000}"/>
    <cellStyle name="Total 2 2 3 4" xfId="4584" xr:uid="{00000000-0005-0000-0000-00002B6B0000}"/>
    <cellStyle name="Total 2 2 3 4 2" xfId="8623" xr:uid="{00000000-0005-0000-0000-00002C6B0000}"/>
    <cellStyle name="Total 2 2 3 4 2 2" xfId="17741" xr:uid="{00000000-0005-0000-0000-00002D6B0000}"/>
    <cellStyle name="Total 2 2 3 4 2 2 2" xfId="32573" xr:uid="{00000000-0005-0000-0000-00002E6B0000}"/>
    <cellStyle name="Total 2 2 3 4 2 3" xfId="19403" xr:uid="{00000000-0005-0000-0000-00002F6B0000}"/>
    <cellStyle name="Total 2 2 3 4 3" xfId="14911" xr:uid="{00000000-0005-0000-0000-0000306B0000}"/>
    <cellStyle name="Total 2 2 3 4 3 2" xfId="29743" xr:uid="{00000000-0005-0000-0000-0000316B0000}"/>
    <cellStyle name="Total 2 2 3 4 4" xfId="11347" xr:uid="{00000000-0005-0000-0000-0000326B0000}"/>
    <cellStyle name="Total 2 2 3 4 4 2" xfId="26179" xr:uid="{00000000-0005-0000-0000-0000336B0000}"/>
    <cellStyle name="Total 2 2 3 5" xfId="2574" xr:uid="{00000000-0005-0000-0000-0000346B0000}"/>
    <cellStyle name="Total 2 2 3 5 2" xfId="6680" xr:uid="{00000000-0005-0000-0000-0000356B0000}"/>
    <cellStyle name="Total 2 2 3 5 2 2" xfId="16638" xr:uid="{00000000-0005-0000-0000-0000366B0000}"/>
    <cellStyle name="Total 2 2 3 5 2 2 2" xfId="31470" xr:uid="{00000000-0005-0000-0000-0000376B0000}"/>
    <cellStyle name="Total 2 2 3 5 2 3" xfId="18691" xr:uid="{00000000-0005-0000-0000-0000386B0000}"/>
    <cellStyle name="Total 2 2 3 5 3" xfId="12912" xr:uid="{00000000-0005-0000-0000-0000396B0000}"/>
    <cellStyle name="Total 2 2 3 5 3 2" xfId="27744" xr:uid="{00000000-0005-0000-0000-00003A6B0000}"/>
    <cellStyle name="Total 2 2 3 5 4" xfId="10288" xr:uid="{00000000-0005-0000-0000-00003B6B0000}"/>
    <cellStyle name="Total 2 2 3 5 4 2" xfId="25120" xr:uid="{00000000-0005-0000-0000-00003C6B0000}"/>
    <cellStyle name="Total 2 2 3 6" xfId="5697" xr:uid="{00000000-0005-0000-0000-00003D6B0000}"/>
    <cellStyle name="Total 2 2 3 6 2" xfId="15932" xr:uid="{00000000-0005-0000-0000-00003E6B0000}"/>
    <cellStyle name="Total 2 2 3 6 2 2" xfId="30764" xr:uid="{00000000-0005-0000-0000-00003F6B0000}"/>
    <cellStyle name="Total 2 2 3 6 3" xfId="18333" xr:uid="{00000000-0005-0000-0000-0000406B0000}"/>
    <cellStyle name="Total 2 2 3 7" xfId="11952" xr:uid="{00000000-0005-0000-0000-0000416B0000}"/>
    <cellStyle name="Total 2 2 3 7 2" xfId="26784" xr:uid="{00000000-0005-0000-0000-0000426B0000}"/>
    <cellStyle name="Total 2 2 3 8" xfId="9610" xr:uid="{00000000-0005-0000-0000-0000436B0000}"/>
    <cellStyle name="Total 2 2 3 8 2" xfId="19912" xr:uid="{00000000-0005-0000-0000-0000446B0000}"/>
    <cellStyle name="Total 2 2 4" xfId="1592" xr:uid="{00000000-0005-0000-0000-0000456B0000}"/>
    <cellStyle name="Total 2 2 4 2" xfId="2089" xr:uid="{00000000-0005-0000-0000-0000466B0000}"/>
    <cellStyle name="Total 2 2 4 2 2" xfId="3770" xr:uid="{00000000-0005-0000-0000-0000476B0000}"/>
    <cellStyle name="Total 2 2 4 2 2 2" xfId="7826" xr:uid="{00000000-0005-0000-0000-0000486B0000}"/>
    <cellStyle name="Total 2 2 4 2 2 2 2" xfId="17360" xr:uid="{00000000-0005-0000-0000-0000496B0000}"/>
    <cellStyle name="Total 2 2 4 2 2 2 2 2" xfId="32192" xr:uid="{00000000-0005-0000-0000-00004A6B0000}"/>
    <cellStyle name="Total 2 2 4 2 2 2 3" xfId="19153" xr:uid="{00000000-0005-0000-0000-00004B6B0000}"/>
    <cellStyle name="Total 2 2 4 2 2 3" xfId="14105" xr:uid="{00000000-0005-0000-0000-00004C6B0000}"/>
    <cellStyle name="Total 2 2 4 2 2 3 2" xfId="28937" xr:uid="{00000000-0005-0000-0000-00004D6B0000}"/>
    <cellStyle name="Total 2 2 4 2 2 4" xfId="10976" xr:uid="{00000000-0005-0000-0000-00004E6B0000}"/>
    <cellStyle name="Total 2 2 4 2 2 4 2" xfId="25808" xr:uid="{00000000-0005-0000-0000-00004F6B0000}"/>
    <cellStyle name="Total 2 2 4 2 3" xfId="5057" xr:uid="{00000000-0005-0000-0000-0000506B0000}"/>
    <cellStyle name="Total 2 2 4 2 3 2" xfId="9096" xr:uid="{00000000-0005-0000-0000-0000516B0000}"/>
    <cellStyle name="Total 2 2 4 2 3 2 2" xfId="18029" xr:uid="{00000000-0005-0000-0000-0000526B0000}"/>
    <cellStyle name="Total 2 2 4 2 3 2 2 2" xfId="32861" xr:uid="{00000000-0005-0000-0000-0000536B0000}"/>
    <cellStyle name="Total 2 2 4 2 3 2 3" xfId="19595" xr:uid="{00000000-0005-0000-0000-0000546B0000}"/>
    <cellStyle name="Total 2 2 4 2 3 3" xfId="15378" xr:uid="{00000000-0005-0000-0000-0000556B0000}"/>
    <cellStyle name="Total 2 2 4 2 3 3 2" xfId="30210" xr:uid="{00000000-0005-0000-0000-0000566B0000}"/>
    <cellStyle name="Total 2 2 4 2 3 4" xfId="11629" xr:uid="{00000000-0005-0000-0000-0000576B0000}"/>
    <cellStyle name="Total 2 2 4 2 3 4 2" xfId="26461" xr:uid="{00000000-0005-0000-0000-0000586B0000}"/>
    <cellStyle name="Total 2 2 4 2 4" xfId="3047" xr:uid="{00000000-0005-0000-0000-0000596B0000}"/>
    <cellStyle name="Total 2 2 4 2 4 2" xfId="7122" xr:uid="{00000000-0005-0000-0000-00005A6B0000}"/>
    <cellStyle name="Total 2 2 4 2 4 2 2" xfId="16920" xr:uid="{00000000-0005-0000-0000-00005B6B0000}"/>
    <cellStyle name="Total 2 2 4 2 4 2 2 2" xfId="31752" xr:uid="{00000000-0005-0000-0000-00005C6B0000}"/>
    <cellStyle name="Total 2 2 4 2 4 2 3" xfId="18888" xr:uid="{00000000-0005-0000-0000-00005D6B0000}"/>
    <cellStyle name="Total 2 2 4 2 4 3" xfId="13385" xr:uid="{00000000-0005-0000-0000-00005E6B0000}"/>
    <cellStyle name="Total 2 2 4 2 4 3 2" xfId="28217" xr:uid="{00000000-0005-0000-0000-00005F6B0000}"/>
    <cellStyle name="Total 2 2 4 2 4 4" xfId="10576" xr:uid="{00000000-0005-0000-0000-0000606B0000}"/>
    <cellStyle name="Total 2 2 4 2 4 4 2" xfId="25408" xr:uid="{00000000-0005-0000-0000-0000616B0000}"/>
    <cellStyle name="Total 2 2 4 2 5" xfId="6214" xr:uid="{00000000-0005-0000-0000-0000626B0000}"/>
    <cellStyle name="Total 2 2 4 2 5 2" xfId="16400" xr:uid="{00000000-0005-0000-0000-0000636B0000}"/>
    <cellStyle name="Total 2 2 4 2 5 2 2" xfId="31232" xr:uid="{00000000-0005-0000-0000-0000646B0000}"/>
    <cellStyle name="Total 2 2 4 2 5 3" xfId="18529" xr:uid="{00000000-0005-0000-0000-0000656B0000}"/>
    <cellStyle name="Total 2 2 4 2 6" xfId="12470" xr:uid="{00000000-0005-0000-0000-0000666B0000}"/>
    <cellStyle name="Total 2 2 4 2 6 2" xfId="27302" xr:uid="{00000000-0005-0000-0000-0000676B0000}"/>
    <cellStyle name="Total 2 2 4 2 7" xfId="10052" xr:uid="{00000000-0005-0000-0000-0000686B0000}"/>
    <cellStyle name="Total 2 2 4 2 7 2" xfId="24884" xr:uid="{00000000-0005-0000-0000-0000696B0000}"/>
    <cellStyle name="Total 2 2 4 3" xfId="4316" xr:uid="{00000000-0005-0000-0000-00006A6B0000}"/>
    <cellStyle name="Total 2 2 4 3 2" xfId="8355" xr:uid="{00000000-0005-0000-0000-00006B6B0000}"/>
    <cellStyle name="Total 2 2 4 3 2 2" xfId="17633" xr:uid="{00000000-0005-0000-0000-00006C6B0000}"/>
    <cellStyle name="Total 2 2 4 3 2 2 2" xfId="32465" xr:uid="{00000000-0005-0000-0000-00006D6B0000}"/>
    <cellStyle name="Total 2 2 4 3 2 3" xfId="19335" xr:uid="{00000000-0005-0000-0000-00006E6B0000}"/>
    <cellStyle name="Total 2 2 4 3 3" xfId="14647" xr:uid="{00000000-0005-0000-0000-00006F6B0000}"/>
    <cellStyle name="Total 2 2 4 3 3 2" xfId="29479" xr:uid="{00000000-0005-0000-0000-0000706B0000}"/>
    <cellStyle name="Total 2 2 4 3 4" xfId="11243" xr:uid="{00000000-0005-0000-0000-0000716B0000}"/>
    <cellStyle name="Total 2 2 4 3 4 2" xfId="26075" xr:uid="{00000000-0005-0000-0000-0000726B0000}"/>
    <cellStyle name="Total 2 2 4 4" xfId="4637" xr:uid="{00000000-0005-0000-0000-0000736B0000}"/>
    <cellStyle name="Total 2 2 4 4 2" xfId="8676" xr:uid="{00000000-0005-0000-0000-0000746B0000}"/>
    <cellStyle name="Total 2 2 4 4 2 2" xfId="17789" xr:uid="{00000000-0005-0000-0000-0000756B0000}"/>
    <cellStyle name="Total 2 2 4 4 2 2 2" xfId="32621" xr:uid="{00000000-0005-0000-0000-0000766B0000}"/>
    <cellStyle name="Total 2 2 4 4 2 3" xfId="19435" xr:uid="{00000000-0005-0000-0000-0000776B0000}"/>
    <cellStyle name="Total 2 2 4 4 3" xfId="14963" xr:uid="{00000000-0005-0000-0000-0000786B0000}"/>
    <cellStyle name="Total 2 2 4 4 3 2" xfId="29795" xr:uid="{00000000-0005-0000-0000-0000796B0000}"/>
    <cellStyle name="Total 2 2 4 4 4" xfId="11394" xr:uid="{00000000-0005-0000-0000-00007A6B0000}"/>
    <cellStyle name="Total 2 2 4 4 4 2" xfId="26226" xr:uid="{00000000-0005-0000-0000-00007B6B0000}"/>
    <cellStyle name="Total 2 2 4 5" xfId="2627" xr:uid="{00000000-0005-0000-0000-00007C6B0000}"/>
    <cellStyle name="Total 2 2 4 5 2" xfId="6728" xr:uid="{00000000-0005-0000-0000-00007D6B0000}"/>
    <cellStyle name="Total 2 2 4 5 2 2" xfId="16685" xr:uid="{00000000-0005-0000-0000-00007E6B0000}"/>
    <cellStyle name="Total 2 2 4 5 2 2 2" xfId="31517" xr:uid="{00000000-0005-0000-0000-00007F6B0000}"/>
    <cellStyle name="Total 2 2 4 5 2 3" xfId="18724" xr:uid="{00000000-0005-0000-0000-0000806B0000}"/>
    <cellStyle name="Total 2 2 4 5 3" xfId="12965" xr:uid="{00000000-0005-0000-0000-0000816B0000}"/>
    <cellStyle name="Total 2 2 4 5 3 2" xfId="27797" xr:uid="{00000000-0005-0000-0000-0000826B0000}"/>
    <cellStyle name="Total 2 2 4 5 4" xfId="10336" xr:uid="{00000000-0005-0000-0000-0000836B0000}"/>
    <cellStyle name="Total 2 2 4 5 4 2" xfId="25168" xr:uid="{00000000-0005-0000-0000-0000846B0000}"/>
    <cellStyle name="Total 2 2 4 6" xfId="5744" xr:uid="{00000000-0005-0000-0000-0000856B0000}"/>
    <cellStyle name="Total 2 2 4 6 2" xfId="15979" xr:uid="{00000000-0005-0000-0000-0000866B0000}"/>
    <cellStyle name="Total 2 2 4 6 2 2" xfId="30811" xr:uid="{00000000-0005-0000-0000-0000876B0000}"/>
    <cellStyle name="Total 2 2 4 6 3" xfId="18365" xr:uid="{00000000-0005-0000-0000-0000886B0000}"/>
    <cellStyle name="Total 2 2 4 7" xfId="11999" xr:uid="{00000000-0005-0000-0000-0000896B0000}"/>
    <cellStyle name="Total 2 2 4 7 2" xfId="26831" xr:uid="{00000000-0005-0000-0000-00008A6B0000}"/>
    <cellStyle name="Total 2 2 4 8" xfId="9658" xr:uid="{00000000-0005-0000-0000-00008B6B0000}"/>
    <cellStyle name="Total 2 2 4 8 2" xfId="19959" xr:uid="{00000000-0005-0000-0000-00008C6B0000}"/>
    <cellStyle name="Total 2 2 5" xfId="1642" xr:uid="{00000000-0005-0000-0000-00008D6B0000}"/>
    <cellStyle name="Total 2 2 5 2" xfId="2139" xr:uid="{00000000-0005-0000-0000-00008E6B0000}"/>
    <cellStyle name="Total 2 2 5 2 2" xfId="3493" xr:uid="{00000000-0005-0000-0000-00008F6B0000}"/>
    <cellStyle name="Total 2 2 5 2 2 2" xfId="7555" xr:uid="{00000000-0005-0000-0000-0000906B0000}"/>
    <cellStyle name="Total 2 2 5 2 2 2 2" xfId="17216" xr:uid="{00000000-0005-0000-0000-0000916B0000}"/>
    <cellStyle name="Total 2 2 5 2 2 2 2 2" xfId="32048" xr:uid="{00000000-0005-0000-0000-0000926B0000}"/>
    <cellStyle name="Total 2 2 5 2 2 2 3" xfId="19052" xr:uid="{00000000-0005-0000-0000-0000936B0000}"/>
    <cellStyle name="Total 2 2 5 2 2 3" xfId="13830" xr:uid="{00000000-0005-0000-0000-0000946B0000}"/>
    <cellStyle name="Total 2 2 5 2 2 3 2" xfId="28662" xr:uid="{00000000-0005-0000-0000-0000956B0000}"/>
    <cellStyle name="Total 2 2 5 2 2 4" xfId="10834" xr:uid="{00000000-0005-0000-0000-0000966B0000}"/>
    <cellStyle name="Total 2 2 5 2 2 4 2" xfId="25666" xr:uid="{00000000-0005-0000-0000-0000976B0000}"/>
    <cellStyle name="Total 2 2 5 2 3" xfId="5107" xr:uid="{00000000-0005-0000-0000-0000986B0000}"/>
    <cellStyle name="Total 2 2 5 2 3 2" xfId="9146" xr:uid="{00000000-0005-0000-0000-0000996B0000}"/>
    <cellStyle name="Total 2 2 5 2 3 2 2" xfId="18074" xr:uid="{00000000-0005-0000-0000-00009A6B0000}"/>
    <cellStyle name="Total 2 2 5 2 3 2 2 2" xfId="32906" xr:uid="{00000000-0005-0000-0000-00009B6B0000}"/>
    <cellStyle name="Total 2 2 5 2 3 2 3" xfId="19627" xr:uid="{00000000-0005-0000-0000-00009C6B0000}"/>
    <cellStyle name="Total 2 2 5 2 3 3" xfId="15427" xr:uid="{00000000-0005-0000-0000-00009D6B0000}"/>
    <cellStyle name="Total 2 2 5 2 3 3 2" xfId="30259" xr:uid="{00000000-0005-0000-0000-00009E6B0000}"/>
    <cellStyle name="Total 2 2 5 2 3 4" xfId="11673" xr:uid="{00000000-0005-0000-0000-00009F6B0000}"/>
    <cellStyle name="Total 2 2 5 2 3 4 2" xfId="26505" xr:uid="{00000000-0005-0000-0000-0000A06B0000}"/>
    <cellStyle name="Total 2 2 5 2 4" xfId="3097" xr:uid="{00000000-0005-0000-0000-0000A16B0000}"/>
    <cellStyle name="Total 2 2 5 2 4 2" xfId="7167" xr:uid="{00000000-0005-0000-0000-0000A26B0000}"/>
    <cellStyle name="Total 2 2 5 2 4 2 2" xfId="16964" xr:uid="{00000000-0005-0000-0000-0000A36B0000}"/>
    <cellStyle name="Total 2 2 5 2 4 2 2 2" xfId="31796" xr:uid="{00000000-0005-0000-0000-0000A46B0000}"/>
    <cellStyle name="Total 2 2 5 2 4 2 3" xfId="18921" xr:uid="{00000000-0005-0000-0000-0000A56B0000}"/>
    <cellStyle name="Total 2 2 5 2 4 3" xfId="13435" xr:uid="{00000000-0005-0000-0000-0000A66B0000}"/>
    <cellStyle name="Total 2 2 5 2 4 3 2" xfId="28267" xr:uid="{00000000-0005-0000-0000-0000A76B0000}"/>
    <cellStyle name="Total 2 2 5 2 4 4" xfId="10621" xr:uid="{00000000-0005-0000-0000-0000A86B0000}"/>
    <cellStyle name="Total 2 2 5 2 4 4 2" xfId="25453" xr:uid="{00000000-0005-0000-0000-0000A96B0000}"/>
    <cellStyle name="Total 2 2 5 2 5" xfId="6259" xr:uid="{00000000-0005-0000-0000-0000AA6B0000}"/>
    <cellStyle name="Total 2 2 5 2 5 2" xfId="16444" xr:uid="{00000000-0005-0000-0000-0000AB6B0000}"/>
    <cellStyle name="Total 2 2 5 2 5 2 2" xfId="31276" xr:uid="{00000000-0005-0000-0000-0000AC6B0000}"/>
    <cellStyle name="Total 2 2 5 2 5 3" xfId="18562" xr:uid="{00000000-0005-0000-0000-0000AD6B0000}"/>
    <cellStyle name="Total 2 2 5 2 6" xfId="12514" xr:uid="{00000000-0005-0000-0000-0000AE6B0000}"/>
    <cellStyle name="Total 2 2 5 2 6 2" xfId="27346" xr:uid="{00000000-0005-0000-0000-0000AF6B0000}"/>
    <cellStyle name="Total 2 2 5 2 7" xfId="10096" xr:uid="{00000000-0005-0000-0000-0000B06B0000}"/>
    <cellStyle name="Total 2 2 5 2 7 2" xfId="24928" xr:uid="{00000000-0005-0000-0000-0000B16B0000}"/>
    <cellStyle name="Total 2 2 5 3" xfId="3587" xr:uid="{00000000-0005-0000-0000-0000B26B0000}"/>
    <cellStyle name="Total 2 2 5 3 2" xfId="7649" xr:uid="{00000000-0005-0000-0000-0000B36B0000}"/>
    <cellStyle name="Total 2 2 5 3 2 2" xfId="17273" xr:uid="{00000000-0005-0000-0000-0000B46B0000}"/>
    <cellStyle name="Total 2 2 5 3 2 2 2" xfId="32105" xr:uid="{00000000-0005-0000-0000-0000B56B0000}"/>
    <cellStyle name="Total 2 2 5 3 2 3" xfId="19093" xr:uid="{00000000-0005-0000-0000-0000B66B0000}"/>
    <cellStyle name="Total 2 2 5 3 3" xfId="13923" xr:uid="{00000000-0005-0000-0000-0000B76B0000}"/>
    <cellStyle name="Total 2 2 5 3 3 2" xfId="28755" xr:uid="{00000000-0005-0000-0000-0000B86B0000}"/>
    <cellStyle name="Total 2 2 5 3 4" xfId="10890" xr:uid="{00000000-0005-0000-0000-0000B96B0000}"/>
    <cellStyle name="Total 2 2 5 3 4 2" xfId="25722" xr:uid="{00000000-0005-0000-0000-0000BA6B0000}"/>
    <cellStyle name="Total 2 2 5 4" xfId="4687" xr:uid="{00000000-0005-0000-0000-0000BB6B0000}"/>
    <cellStyle name="Total 2 2 5 4 2" xfId="8726" xr:uid="{00000000-0005-0000-0000-0000BC6B0000}"/>
    <cellStyle name="Total 2 2 5 4 2 2" xfId="17834" xr:uid="{00000000-0005-0000-0000-0000BD6B0000}"/>
    <cellStyle name="Total 2 2 5 4 2 2 2" xfId="32666" xr:uid="{00000000-0005-0000-0000-0000BE6B0000}"/>
    <cellStyle name="Total 2 2 5 4 2 3" xfId="19467" xr:uid="{00000000-0005-0000-0000-0000BF6B0000}"/>
    <cellStyle name="Total 2 2 5 4 3" xfId="15012" xr:uid="{00000000-0005-0000-0000-0000C06B0000}"/>
    <cellStyle name="Total 2 2 5 4 3 2" xfId="29844" xr:uid="{00000000-0005-0000-0000-0000C16B0000}"/>
    <cellStyle name="Total 2 2 5 4 4" xfId="11438" xr:uid="{00000000-0005-0000-0000-0000C26B0000}"/>
    <cellStyle name="Total 2 2 5 4 4 2" xfId="26270" xr:uid="{00000000-0005-0000-0000-0000C36B0000}"/>
    <cellStyle name="Total 2 2 5 5" xfId="2677" xr:uid="{00000000-0005-0000-0000-0000C46B0000}"/>
    <cellStyle name="Total 2 2 5 5 2" xfId="6773" xr:uid="{00000000-0005-0000-0000-0000C56B0000}"/>
    <cellStyle name="Total 2 2 5 5 2 2" xfId="16729" xr:uid="{00000000-0005-0000-0000-0000C66B0000}"/>
    <cellStyle name="Total 2 2 5 5 2 2 2" xfId="31561" xr:uid="{00000000-0005-0000-0000-0000C76B0000}"/>
    <cellStyle name="Total 2 2 5 5 2 3" xfId="18757" xr:uid="{00000000-0005-0000-0000-0000C86B0000}"/>
    <cellStyle name="Total 2 2 5 5 3" xfId="13015" xr:uid="{00000000-0005-0000-0000-0000C96B0000}"/>
    <cellStyle name="Total 2 2 5 5 3 2" xfId="27847" xr:uid="{00000000-0005-0000-0000-0000CA6B0000}"/>
    <cellStyle name="Total 2 2 5 5 4" xfId="10381" xr:uid="{00000000-0005-0000-0000-0000CB6B0000}"/>
    <cellStyle name="Total 2 2 5 5 4 2" xfId="25213" xr:uid="{00000000-0005-0000-0000-0000CC6B0000}"/>
    <cellStyle name="Total 2 2 5 6" xfId="5789" xr:uid="{00000000-0005-0000-0000-0000CD6B0000}"/>
    <cellStyle name="Total 2 2 5 6 2" xfId="16023" xr:uid="{00000000-0005-0000-0000-0000CE6B0000}"/>
    <cellStyle name="Total 2 2 5 6 2 2" xfId="30855" xr:uid="{00000000-0005-0000-0000-0000CF6B0000}"/>
    <cellStyle name="Total 2 2 5 6 3" xfId="18398" xr:uid="{00000000-0005-0000-0000-0000D06B0000}"/>
    <cellStyle name="Total 2 2 5 7" xfId="12043" xr:uid="{00000000-0005-0000-0000-0000D16B0000}"/>
    <cellStyle name="Total 2 2 5 7 2" xfId="26875" xr:uid="{00000000-0005-0000-0000-0000D26B0000}"/>
    <cellStyle name="Total 2 2 5 8" xfId="9703" xr:uid="{00000000-0005-0000-0000-0000D36B0000}"/>
    <cellStyle name="Total 2 2 5 8 2" xfId="20003" xr:uid="{00000000-0005-0000-0000-0000D46B0000}"/>
    <cellStyle name="Total 2 2 6" xfId="1793" xr:uid="{00000000-0005-0000-0000-0000D56B0000}"/>
    <cellStyle name="Total 2 2 6 2" xfId="3572" xr:uid="{00000000-0005-0000-0000-0000D66B0000}"/>
    <cellStyle name="Total 2 2 6 2 2" xfId="7634" xr:uid="{00000000-0005-0000-0000-0000D76B0000}"/>
    <cellStyle name="Total 2 2 6 2 2 2" xfId="17263" xr:uid="{00000000-0005-0000-0000-0000D86B0000}"/>
    <cellStyle name="Total 2 2 6 2 2 2 2" xfId="32095" xr:uid="{00000000-0005-0000-0000-0000D96B0000}"/>
    <cellStyle name="Total 2 2 6 2 2 3" xfId="19086" xr:uid="{00000000-0005-0000-0000-0000DA6B0000}"/>
    <cellStyle name="Total 2 2 6 2 3" xfId="13908" xr:uid="{00000000-0005-0000-0000-0000DB6B0000}"/>
    <cellStyle name="Total 2 2 6 2 3 2" xfId="28740" xr:uid="{00000000-0005-0000-0000-0000DC6B0000}"/>
    <cellStyle name="Total 2 2 6 2 4" xfId="10880" xr:uid="{00000000-0005-0000-0000-0000DD6B0000}"/>
    <cellStyle name="Total 2 2 6 2 4 2" xfId="25712" xr:uid="{00000000-0005-0000-0000-0000DE6B0000}"/>
    <cellStyle name="Total 2 2 6 3" xfId="4771" xr:uid="{00000000-0005-0000-0000-0000DF6B0000}"/>
    <cellStyle name="Total 2 2 6 3 2" xfId="8810" xr:uid="{00000000-0005-0000-0000-0000E06B0000}"/>
    <cellStyle name="Total 2 2 6 3 2 2" xfId="17882" xr:uid="{00000000-0005-0000-0000-0000E16B0000}"/>
    <cellStyle name="Total 2 2 6 3 2 2 2" xfId="32714" xr:uid="{00000000-0005-0000-0000-0000E26B0000}"/>
    <cellStyle name="Total 2 2 6 3 2 3" xfId="19499" xr:uid="{00000000-0005-0000-0000-0000E36B0000}"/>
    <cellStyle name="Total 2 2 6 3 3" xfId="15095" xr:uid="{00000000-0005-0000-0000-0000E46B0000}"/>
    <cellStyle name="Total 2 2 6 3 3 2" xfId="29927" xr:uid="{00000000-0005-0000-0000-0000E56B0000}"/>
    <cellStyle name="Total 2 2 6 3 4" xfId="11485" xr:uid="{00000000-0005-0000-0000-0000E66B0000}"/>
    <cellStyle name="Total 2 2 6 3 4 2" xfId="26317" xr:uid="{00000000-0005-0000-0000-0000E76B0000}"/>
    <cellStyle name="Total 2 2 6 4" xfId="2761" xr:uid="{00000000-0005-0000-0000-0000E86B0000}"/>
    <cellStyle name="Total 2 2 6 4 2" xfId="6852" xr:uid="{00000000-0005-0000-0000-0000E96B0000}"/>
    <cellStyle name="Total 2 2 6 4 2 2" xfId="16776" xr:uid="{00000000-0005-0000-0000-0000EA6B0000}"/>
    <cellStyle name="Total 2 2 6 4 2 2 2" xfId="31608" xr:uid="{00000000-0005-0000-0000-0000EB6B0000}"/>
    <cellStyle name="Total 2 2 6 4 2 3" xfId="18790" xr:uid="{00000000-0005-0000-0000-0000EC6B0000}"/>
    <cellStyle name="Total 2 2 6 4 3" xfId="13099" xr:uid="{00000000-0005-0000-0000-0000ED6B0000}"/>
    <cellStyle name="Total 2 2 6 4 3 2" xfId="27931" xr:uid="{00000000-0005-0000-0000-0000EE6B0000}"/>
    <cellStyle name="Total 2 2 6 4 4" xfId="10429" xr:uid="{00000000-0005-0000-0000-0000EF6B0000}"/>
    <cellStyle name="Total 2 2 6 4 4 2" xfId="25261" xr:uid="{00000000-0005-0000-0000-0000F06B0000}"/>
    <cellStyle name="Total 2 2 6 5" xfId="5925" xr:uid="{00000000-0005-0000-0000-0000F16B0000}"/>
    <cellStyle name="Total 2 2 6 5 2" xfId="16117" xr:uid="{00000000-0005-0000-0000-0000F26B0000}"/>
    <cellStyle name="Total 2 2 6 5 2 2" xfId="30949" xr:uid="{00000000-0005-0000-0000-0000F36B0000}"/>
    <cellStyle name="Total 2 2 6 5 3" xfId="18432" xr:uid="{00000000-0005-0000-0000-0000F46B0000}"/>
    <cellStyle name="Total 2 2 6 6" xfId="12187" xr:uid="{00000000-0005-0000-0000-0000F56B0000}"/>
    <cellStyle name="Total 2 2 6 6 2" xfId="27019" xr:uid="{00000000-0005-0000-0000-0000F66B0000}"/>
    <cellStyle name="Total 2 2 6 7" xfId="9783" xr:uid="{00000000-0005-0000-0000-0000F76B0000}"/>
    <cellStyle name="Total 2 2 6 7 2" xfId="24740" xr:uid="{00000000-0005-0000-0000-0000F86B0000}"/>
    <cellStyle name="Total 2 2 7" xfId="2173" xr:uid="{00000000-0005-0000-0000-0000F96B0000}"/>
    <cellStyle name="Total 2 2 7 2" xfId="3767" xr:uid="{00000000-0005-0000-0000-0000FA6B0000}"/>
    <cellStyle name="Total 2 2 7 2 2" xfId="7823" xr:uid="{00000000-0005-0000-0000-0000FB6B0000}"/>
    <cellStyle name="Total 2 2 7 2 2 2" xfId="17357" xr:uid="{00000000-0005-0000-0000-0000FC6B0000}"/>
    <cellStyle name="Total 2 2 7 2 2 2 2" xfId="32189" xr:uid="{00000000-0005-0000-0000-0000FD6B0000}"/>
    <cellStyle name="Total 2 2 7 2 2 3" xfId="19151" xr:uid="{00000000-0005-0000-0000-0000FE6B0000}"/>
    <cellStyle name="Total 2 2 7 2 3" xfId="14102" xr:uid="{00000000-0005-0000-0000-0000FF6B0000}"/>
    <cellStyle name="Total 2 2 7 2 3 2" xfId="28934" xr:uid="{00000000-0005-0000-0000-0000006C0000}"/>
    <cellStyle name="Total 2 2 7 2 4" xfId="10973" xr:uid="{00000000-0005-0000-0000-0000016C0000}"/>
    <cellStyle name="Total 2 2 7 2 4 2" xfId="25805" xr:uid="{00000000-0005-0000-0000-0000026C0000}"/>
    <cellStyle name="Total 2 2 7 3" xfId="5141" xr:uid="{00000000-0005-0000-0000-0000036C0000}"/>
    <cellStyle name="Total 2 2 7 3 2" xfId="9180" xr:uid="{00000000-0005-0000-0000-0000046C0000}"/>
    <cellStyle name="Total 2 2 7 3 2 2" xfId="18103" xr:uid="{00000000-0005-0000-0000-0000056C0000}"/>
    <cellStyle name="Total 2 2 7 3 2 2 2" xfId="32935" xr:uid="{00000000-0005-0000-0000-0000066C0000}"/>
    <cellStyle name="Total 2 2 7 3 2 3" xfId="19654" xr:uid="{00000000-0005-0000-0000-0000076C0000}"/>
    <cellStyle name="Total 2 2 7 3 3" xfId="15459" xr:uid="{00000000-0005-0000-0000-0000086C0000}"/>
    <cellStyle name="Total 2 2 7 3 3 2" xfId="30291" xr:uid="{00000000-0005-0000-0000-0000096C0000}"/>
    <cellStyle name="Total 2 2 7 3 4" xfId="11700" xr:uid="{00000000-0005-0000-0000-00000A6C0000}"/>
    <cellStyle name="Total 2 2 7 3 4 2" xfId="26532" xr:uid="{00000000-0005-0000-0000-00000B6C0000}"/>
    <cellStyle name="Total 2 2 7 4" xfId="4171" xr:uid="{00000000-0005-0000-0000-00000C6C0000}"/>
    <cellStyle name="Total 2 2 7 4 2" xfId="8212" xr:uid="{00000000-0005-0000-0000-00000D6C0000}"/>
    <cellStyle name="Total 2 2 7 4 2 2" xfId="17559" xr:uid="{00000000-0005-0000-0000-00000E6C0000}"/>
    <cellStyle name="Total 2 2 7 4 2 2 2" xfId="32391" xr:uid="{00000000-0005-0000-0000-00000F6C0000}"/>
    <cellStyle name="Total 2 2 7 4 2 3" xfId="19297" xr:uid="{00000000-0005-0000-0000-0000106C0000}"/>
    <cellStyle name="Total 2 2 7 4 3" xfId="14503" xr:uid="{00000000-0005-0000-0000-0000116C0000}"/>
    <cellStyle name="Total 2 2 7 4 3 2" xfId="29335" xr:uid="{00000000-0005-0000-0000-0000126C0000}"/>
    <cellStyle name="Total 2 2 7 4 4" xfId="11179" xr:uid="{00000000-0005-0000-0000-0000136C0000}"/>
    <cellStyle name="Total 2 2 7 4 4 2" xfId="26011" xr:uid="{00000000-0005-0000-0000-0000146C0000}"/>
    <cellStyle name="Total 2 2 7 5" xfId="6287" xr:uid="{00000000-0005-0000-0000-0000156C0000}"/>
    <cellStyle name="Total 2 2 7 5 2" xfId="16471" xr:uid="{00000000-0005-0000-0000-0000166C0000}"/>
    <cellStyle name="Total 2 2 7 5 2 2" xfId="31303" xr:uid="{00000000-0005-0000-0000-0000176C0000}"/>
    <cellStyle name="Total 2 2 7 5 3" xfId="18590" xr:uid="{00000000-0005-0000-0000-0000186C0000}"/>
    <cellStyle name="Total 2 2 7 6" xfId="12541" xr:uid="{00000000-0005-0000-0000-0000196C0000}"/>
    <cellStyle name="Total 2 2 7 6 2" xfId="27373" xr:uid="{00000000-0005-0000-0000-00001A6C0000}"/>
    <cellStyle name="Total 2 2 7 7" xfId="10123" xr:uid="{00000000-0005-0000-0000-00001B6C0000}"/>
    <cellStyle name="Total 2 2 7 7 2" xfId="24955" xr:uid="{00000000-0005-0000-0000-00001C6C0000}"/>
    <cellStyle name="Total 2 2 8" xfId="3553" xr:uid="{00000000-0005-0000-0000-00001D6C0000}"/>
    <cellStyle name="Total 2 2 8 2" xfId="7615" xr:uid="{00000000-0005-0000-0000-00001E6C0000}"/>
    <cellStyle name="Total 2 2 8 2 2" xfId="17253" xr:uid="{00000000-0005-0000-0000-00001F6C0000}"/>
    <cellStyle name="Total 2 2 8 2 2 2" xfId="32085" xr:uid="{00000000-0005-0000-0000-0000206C0000}"/>
    <cellStyle name="Total 2 2 8 2 3" xfId="19076" xr:uid="{00000000-0005-0000-0000-0000216C0000}"/>
    <cellStyle name="Total 2 2 8 3" xfId="13889" xr:uid="{00000000-0005-0000-0000-0000226C0000}"/>
    <cellStyle name="Total 2 2 8 3 2" xfId="28721" xr:uid="{00000000-0005-0000-0000-0000236C0000}"/>
    <cellStyle name="Total 2 2 8 4" xfId="10870" xr:uid="{00000000-0005-0000-0000-0000246C0000}"/>
    <cellStyle name="Total 2 2 8 4 2" xfId="25702" xr:uid="{00000000-0005-0000-0000-0000256C0000}"/>
    <cellStyle name="Total 2 2 9" xfId="3349" xr:uid="{00000000-0005-0000-0000-0000266C0000}"/>
    <cellStyle name="Total 2 2 9 2" xfId="7412" xr:uid="{00000000-0005-0000-0000-0000276C0000}"/>
    <cellStyle name="Total 2 2 9 2 2" xfId="17137" xr:uid="{00000000-0005-0000-0000-0000286C0000}"/>
    <cellStyle name="Total 2 2 9 2 2 2" xfId="31969" xr:uid="{00000000-0005-0000-0000-0000296C0000}"/>
    <cellStyle name="Total 2 2 9 2 3" xfId="19007" xr:uid="{00000000-0005-0000-0000-00002A6C0000}"/>
    <cellStyle name="Total 2 2 9 3" xfId="13686" xr:uid="{00000000-0005-0000-0000-00002B6C0000}"/>
    <cellStyle name="Total 2 2 9 3 2" xfId="28518" xr:uid="{00000000-0005-0000-0000-00002C6C0000}"/>
    <cellStyle name="Total 2 2 9 4" xfId="10756" xr:uid="{00000000-0005-0000-0000-00002D6C0000}"/>
    <cellStyle name="Total 2 2 9 4 2" xfId="25588" xr:uid="{00000000-0005-0000-0000-00002E6C0000}"/>
    <cellStyle name="Total 2 20" xfId="9337" xr:uid="{00000000-0005-0000-0000-00002F6C0000}"/>
    <cellStyle name="Total 2 20 2" xfId="24643" xr:uid="{00000000-0005-0000-0000-0000306C0000}"/>
    <cellStyle name="Total 2 21" xfId="5326" xr:uid="{00000000-0005-0000-0000-0000316C0000}"/>
    <cellStyle name="Total 2 21 2" xfId="18200" xr:uid="{00000000-0005-0000-0000-0000326C0000}"/>
    <cellStyle name="Total 2 3" xfId="1269" xr:uid="{00000000-0005-0000-0000-0000336C0000}"/>
    <cellStyle name="Total 2 3 10" xfId="2336" xr:uid="{00000000-0005-0000-0000-0000346C0000}"/>
    <cellStyle name="Total 2 3 10 2" xfId="6448" xr:uid="{00000000-0005-0000-0000-0000356C0000}"/>
    <cellStyle name="Total 2 3 10 2 2" xfId="16540" xr:uid="{00000000-0005-0000-0000-0000366C0000}"/>
    <cellStyle name="Total 2 3 10 2 2 2" xfId="31372" xr:uid="{00000000-0005-0000-0000-0000376C0000}"/>
    <cellStyle name="Total 2 3 10 2 3" xfId="18628" xr:uid="{00000000-0005-0000-0000-0000386C0000}"/>
    <cellStyle name="Total 2 3 10 3" xfId="12676" xr:uid="{00000000-0005-0000-0000-0000396C0000}"/>
    <cellStyle name="Total 2 3 10 3 2" xfId="27508" xr:uid="{00000000-0005-0000-0000-00003A6C0000}"/>
    <cellStyle name="Total 2 3 10 4" xfId="10191" xr:uid="{00000000-0005-0000-0000-00003B6C0000}"/>
    <cellStyle name="Total 2 3 10 4 2" xfId="25023" xr:uid="{00000000-0005-0000-0000-00003C6C0000}"/>
    <cellStyle name="Total 2 3 11" xfId="5298" xr:uid="{00000000-0005-0000-0000-00003D6C0000}"/>
    <cellStyle name="Total 2 3 11 2" xfId="9306" xr:uid="{00000000-0005-0000-0000-00003E6C0000}"/>
    <cellStyle name="Total 2 3 11 2 2" xfId="18173" xr:uid="{00000000-0005-0000-0000-00003F6C0000}"/>
    <cellStyle name="Total 2 3 11 2 2 2" xfId="33005" xr:uid="{00000000-0005-0000-0000-0000406C0000}"/>
    <cellStyle name="Total 2 3 11 2 3" xfId="19692" xr:uid="{00000000-0005-0000-0000-0000416C0000}"/>
    <cellStyle name="Total 2 3 11 3" xfId="15614" xr:uid="{00000000-0005-0000-0000-0000426C0000}"/>
    <cellStyle name="Total 2 3 11 3 2" xfId="30446" xr:uid="{00000000-0005-0000-0000-0000436C0000}"/>
    <cellStyle name="Total 2 3 12" xfId="5456" xr:uid="{00000000-0005-0000-0000-0000446C0000}"/>
    <cellStyle name="Total 2 3 12 2" xfId="15692" xr:uid="{00000000-0005-0000-0000-0000456C0000}"/>
    <cellStyle name="Total 2 3 12 2 2" xfId="30524" xr:uid="{00000000-0005-0000-0000-0000466C0000}"/>
    <cellStyle name="Total 2 3 12 3" xfId="18269" xr:uid="{00000000-0005-0000-0000-0000476C0000}"/>
    <cellStyle name="Total 2 3 13" xfId="9335" xr:uid="{00000000-0005-0000-0000-0000486C0000}"/>
    <cellStyle name="Total 2 3 13 2" xfId="24641" xr:uid="{00000000-0005-0000-0000-0000496C0000}"/>
    <cellStyle name="Total 2 3 14" xfId="5324" xr:uid="{00000000-0005-0000-0000-00004A6C0000}"/>
    <cellStyle name="Total 2 3 14 2" xfId="18198" xr:uid="{00000000-0005-0000-0000-00004B6C0000}"/>
    <cellStyle name="Total 2 3 2" xfId="1368" xr:uid="{00000000-0005-0000-0000-00004C6C0000}"/>
    <cellStyle name="Total 2 3 2 2" xfId="1872" xr:uid="{00000000-0005-0000-0000-00004D6C0000}"/>
    <cellStyle name="Total 2 3 2 2 2" xfId="3598" xr:uid="{00000000-0005-0000-0000-00004E6C0000}"/>
    <cellStyle name="Total 2 3 2 2 2 2" xfId="7660" xr:uid="{00000000-0005-0000-0000-00004F6C0000}"/>
    <cellStyle name="Total 2 3 2 2 2 2 2" xfId="17277" xr:uid="{00000000-0005-0000-0000-0000506C0000}"/>
    <cellStyle name="Total 2 3 2 2 2 2 2 2" xfId="32109" xr:uid="{00000000-0005-0000-0000-0000516C0000}"/>
    <cellStyle name="Total 2 3 2 2 2 2 3" xfId="19096" xr:uid="{00000000-0005-0000-0000-0000526C0000}"/>
    <cellStyle name="Total 2 3 2 2 2 3" xfId="13934" xr:uid="{00000000-0005-0000-0000-0000536C0000}"/>
    <cellStyle name="Total 2 3 2 2 2 3 2" xfId="28766" xr:uid="{00000000-0005-0000-0000-0000546C0000}"/>
    <cellStyle name="Total 2 3 2 2 2 4" xfId="10894" xr:uid="{00000000-0005-0000-0000-0000556C0000}"/>
    <cellStyle name="Total 2 3 2 2 2 4 2" xfId="25726" xr:uid="{00000000-0005-0000-0000-0000566C0000}"/>
    <cellStyle name="Total 2 3 2 2 3" xfId="4850" xr:uid="{00000000-0005-0000-0000-0000576C0000}"/>
    <cellStyle name="Total 2 3 2 2 3 2" xfId="8889" xr:uid="{00000000-0005-0000-0000-0000586C0000}"/>
    <cellStyle name="Total 2 3 2 2 3 2 2" xfId="17930" xr:uid="{00000000-0005-0000-0000-0000596C0000}"/>
    <cellStyle name="Total 2 3 2 2 3 2 2 2" xfId="32762" xr:uid="{00000000-0005-0000-0000-00005A6C0000}"/>
    <cellStyle name="Total 2 3 2 2 3 2 3" xfId="19532" xr:uid="{00000000-0005-0000-0000-00005B6C0000}"/>
    <cellStyle name="Total 2 3 2 2 3 3" xfId="15174" xr:uid="{00000000-0005-0000-0000-00005C6C0000}"/>
    <cellStyle name="Total 2 3 2 2 3 3 2" xfId="30006" xr:uid="{00000000-0005-0000-0000-00005D6C0000}"/>
    <cellStyle name="Total 2 3 2 2 3 4" xfId="11533" xr:uid="{00000000-0005-0000-0000-00005E6C0000}"/>
    <cellStyle name="Total 2 3 2 2 3 4 2" xfId="26365" xr:uid="{00000000-0005-0000-0000-00005F6C0000}"/>
    <cellStyle name="Total 2 3 2 2 4" xfId="2840" xr:uid="{00000000-0005-0000-0000-0000606C0000}"/>
    <cellStyle name="Total 2 3 2 2 4 2" xfId="6931" xr:uid="{00000000-0005-0000-0000-0000616C0000}"/>
    <cellStyle name="Total 2 3 2 2 4 2 2" xfId="16824" xr:uid="{00000000-0005-0000-0000-0000626C0000}"/>
    <cellStyle name="Total 2 3 2 2 4 2 2 2" xfId="31656" xr:uid="{00000000-0005-0000-0000-0000636C0000}"/>
    <cellStyle name="Total 2 3 2 2 4 2 3" xfId="18823" xr:uid="{00000000-0005-0000-0000-0000646C0000}"/>
    <cellStyle name="Total 2 3 2 2 4 3" xfId="13178" xr:uid="{00000000-0005-0000-0000-0000656C0000}"/>
    <cellStyle name="Total 2 3 2 2 4 3 2" xfId="28010" xr:uid="{00000000-0005-0000-0000-0000666C0000}"/>
    <cellStyle name="Total 2 3 2 2 4 4" xfId="10477" xr:uid="{00000000-0005-0000-0000-0000676C0000}"/>
    <cellStyle name="Total 2 3 2 2 4 4 2" xfId="25309" xr:uid="{00000000-0005-0000-0000-0000686C0000}"/>
    <cellStyle name="Total 2 3 2 2 5" xfId="6004" xr:uid="{00000000-0005-0000-0000-0000696C0000}"/>
    <cellStyle name="Total 2 3 2 2 5 2" xfId="16196" xr:uid="{00000000-0005-0000-0000-00006A6C0000}"/>
    <cellStyle name="Total 2 3 2 2 5 2 2" xfId="31028" xr:uid="{00000000-0005-0000-0000-00006B6C0000}"/>
    <cellStyle name="Total 2 3 2 2 5 3" xfId="18465" xr:uid="{00000000-0005-0000-0000-00006C6C0000}"/>
    <cellStyle name="Total 2 3 2 2 6" xfId="12266" xr:uid="{00000000-0005-0000-0000-00006D6C0000}"/>
    <cellStyle name="Total 2 3 2 2 6 2" xfId="27098" xr:uid="{00000000-0005-0000-0000-00006E6C0000}"/>
    <cellStyle name="Total 2 3 2 2 7" xfId="9862" xr:uid="{00000000-0005-0000-0000-00006F6C0000}"/>
    <cellStyle name="Total 2 3 2 2 7 2" xfId="24788" xr:uid="{00000000-0005-0000-0000-0000706C0000}"/>
    <cellStyle name="Total 2 3 2 3" xfId="3832" xr:uid="{00000000-0005-0000-0000-0000716C0000}"/>
    <cellStyle name="Total 2 3 2 3 2" xfId="7885" xr:uid="{00000000-0005-0000-0000-0000726C0000}"/>
    <cellStyle name="Total 2 3 2 3 2 2" xfId="17386" xr:uid="{00000000-0005-0000-0000-0000736C0000}"/>
    <cellStyle name="Total 2 3 2 3 2 2 2" xfId="32218" xr:uid="{00000000-0005-0000-0000-0000746C0000}"/>
    <cellStyle name="Total 2 3 2 3 2 3" xfId="19170" xr:uid="{00000000-0005-0000-0000-0000756C0000}"/>
    <cellStyle name="Total 2 3 2 3 3" xfId="14167" xr:uid="{00000000-0005-0000-0000-0000766C0000}"/>
    <cellStyle name="Total 2 3 2 3 3 2" xfId="28999" xr:uid="{00000000-0005-0000-0000-0000776C0000}"/>
    <cellStyle name="Total 2 3 2 3 4" xfId="11005" xr:uid="{00000000-0005-0000-0000-0000786C0000}"/>
    <cellStyle name="Total 2 3 2 3 4 2" xfId="25837" xr:uid="{00000000-0005-0000-0000-0000796C0000}"/>
    <cellStyle name="Total 2 3 2 4" xfId="4430" xr:uid="{00000000-0005-0000-0000-00007A6C0000}"/>
    <cellStyle name="Total 2 3 2 4 2" xfId="8469" xr:uid="{00000000-0005-0000-0000-00007B6C0000}"/>
    <cellStyle name="Total 2 3 2 4 2 2" xfId="17690" xr:uid="{00000000-0005-0000-0000-00007C6C0000}"/>
    <cellStyle name="Total 2 3 2 4 2 2 2" xfId="32522" xr:uid="{00000000-0005-0000-0000-00007D6C0000}"/>
    <cellStyle name="Total 2 3 2 4 2 3" xfId="19372" xr:uid="{00000000-0005-0000-0000-00007E6C0000}"/>
    <cellStyle name="Total 2 3 2 4 3" xfId="14759" xr:uid="{00000000-0005-0000-0000-00007F6C0000}"/>
    <cellStyle name="Total 2 3 2 4 3 2" xfId="29591" xr:uid="{00000000-0005-0000-0000-0000806C0000}"/>
    <cellStyle name="Total 2 3 2 4 4" xfId="11298" xr:uid="{00000000-0005-0000-0000-0000816C0000}"/>
    <cellStyle name="Total 2 3 2 4 4 2" xfId="26130" xr:uid="{00000000-0005-0000-0000-0000826C0000}"/>
    <cellStyle name="Total 2 3 2 5" xfId="2420" xr:uid="{00000000-0005-0000-0000-0000836C0000}"/>
    <cellStyle name="Total 2 3 2 5 2" xfId="6532" xr:uid="{00000000-0005-0000-0000-0000846C0000}"/>
    <cellStyle name="Total 2 3 2 5 2 2" xfId="16588" xr:uid="{00000000-0005-0000-0000-0000856C0000}"/>
    <cellStyle name="Total 2 3 2 5 2 2 2" xfId="31420" xr:uid="{00000000-0005-0000-0000-0000866C0000}"/>
    <cellStyle name="Total 2 3 2 5 2 3" xfId="18660" xr:uid="{00000000-0005-0000-0000-0000876C0000}"/>
    <cellStyle name="Total 2 3 2 5 3" xfId="12759" xr:uid="{00000000-0005-0000-0000-0000886C0000}"/>
    <cellStyle name="Total 2 3 2 5 3 2" xfId="27591" xr:uid="{00000000-0005-0000-0000-0000896C0000}"/>
    <cellStyle name="Total 2 3 2 5 4" xfId="10238" xr:uid="{00000000-0005-0000-0000-00008A6C0000}"/>
    <cellStyle name="Total 2 3 2 5 4 2" xfId="25070" xr:uid="{00000000-0005-0000-0000-00008B6C0000}"/>
    <cellStyle name="Total 2 3 2 6" xfId="5545" xr:uid="{00000000-0005-0000-0000-00008C6C0000}"/>
    <cellStyle name="Total 2 3 2 6 2" xfId="15780" xr:uid="{00000000-0005-0000-0000-00008D6C0000}"/>
    <cellStyle name="Total 2 3 2 6 2 2" xfId="30612" xr:uid="{00000000-0005-0000-0000-00008E6C0000}"/>
    <cellStyle name="Total 2 3 2 6 3" xfId="18302" xr:uid="{00000000-0005-0000-0000-00008F6C0000}"/>
    <cellStyle name="Total 2 3 2 7" xfId="11795" xr:uid="{00000000-0005-0000-0000-0000906C0000}"/>
    <cellStyle name="Total 2 3 2 7 2" xfId="26627" xr:uid="{00000000-0005-0000-0000-0000916C0000}"/>
    <cellStyle name="Total 2 3 2 8" xfId="9466" xr:uid="{00000000-0005-0000-0000-0000926C0000}"/>
    <cellStyle name="Total 2 3 2 8 2" xfId="19770" xr:uid="{00000000-0005-0000-0000-0000936C0000}"/>
    <cellStyle name="Total 2 3 3" xfId="1540" xr:uid="{00000000-0005-0000-0000-0000946C0000}"/>
    <cellStyle name="Total 2 3 3 2" xfId="2037" xr:uid="{00000000-0005-0000-0000-0000956C0000}"/>
    <cellStyle name="Total 2 3 3 2 2" xfId="3584" xr:uid="{00000000-0005-0000-0000-0000966C0000}"/>
    <cellStyle name="Total 2 3 3 2 2 2" xfId="7646" xr:uid="{00000000-0005-0000-0000-0000976C0000}"/>
    <cellStyle name="Total 2 3 3 2 2 2 2" xfId="17270" xr:uid="{00000000-0005-0000-0000-0000986C0000}"/>
    <cellStyle name="Total 2 3 3 2 2 2 2 2" xfId="32102" xr:uid="{00000000-0005-0000-0000-0000996C0000}"/>
    <cellStyle name="Total 2 3 3 2 2 2 3" xfId="19091" xr:uid="{00000000-0005-0000-0000-00009A6C0000}"/>
    <cellStyle name="Total 2 3 3 2 2 3" xfId="13920" xr:uid="{00000000-0005-0000-0000-00009B6C0000}"/>
    <cellStyle name="Total 2 3 3 2 2 3 2" xfId="28752" xr:uid="{00000000-0005-0000-0000-00009C6C0000}"/>
    <cellStyle name="Total 2 3 3 2 2 4" xfId="10887" xr:uid="{00000000-0005-0000-0000-00009D6C0000}"/>
    <cellStyle name="Total 2 3 3 2 2 4 2" xfId="25719" xr:uid="{00000000-0005-0000-0000-00009E6C0000}"/>
    <cellStyle name="Total 2 3 3 2 3" xfId="5005" xr:uid="{00000000-0005-0000-0000-00009F6C0000}"/>
    <cellStyle name="Total 2 3 3 2 3 2" xfId="9044" xr:uid="{00000000-0005-0000-0000-0000A06C0000}"/>
    <cellStyle name="Total 2 3 3 2 3 2 2" xfId="17982" xr:uid="{00000000-0005-0000-0000-0000A16C0000}"/>
    <cellStyle name="Total 2 3 3 2 3 2 2 2" xfId="32814" xr:uid="{00000000-0005-0000-0000-0000A26C0000}"/>
    <cellStyle name="Total 2 3 3 2 3 2 3" xfId="19564" xr:uid="{00000000-0005-0000-0000-0000A36C0000}"/>
    <cellStyle name="Total 2 3 3 2 3 3" xfId="15327" xr:uid="{00000000-0005-0000-0000-0000A46C0000}"/>
    <cellStyle name="Total 2 3 3 2 3 3 2" xfId="30159" xr:uid="{00000000-0005-0000-0000-0000A56C0000}"/>
    <cellStyle name="Total 2 3 3 2 3 4" xfId="11583" xr:uid="{00000000-0005-0000-0000-0000A66C0000}"/>
    <cellStyle name="Total 2 3 3 2 3 4 2" xfId="26415" xr:uid="{00000000-0005-0000-0000-0000A76C0000}"/>
    <cellStyle name="Total 2 3 3 2 4" xfId="2995" xr:uid="{00000000-0005-0000-0000-0000A86C0000}"/>
    <cellStyle name="Total 2 3 3 2 4 2" xfId="7075" xr:uid="{00000000-0005-0000-0000-0000A96C0000}"/>
    <cellStyle name="Total 2 3 3 2 4 2 2" xfId="16874" xr:uid="{00000000-0005-0000-0000-0000AA6C0000}"/>
    <cellStyle name="Total 2 3 3 2 4 2 2 2" xfId="31706" xr:uid="{00000000-0005-0000-0000-0000AB6C0000}"/>
    <cellStyle name="Total 2 3 3 2 4 2 3" xfId="18856" xr:uid="{00000000-0005-0000-0000-0000AC6C0000}"/>
    <cellStyle name="Total 2 3 3 2 4 3" xfId="13333" xr:uid="{00000000-0005-0000-0000-0000AD6C0000}"/>
    <cellStyle name="Total 2 3 3 2 4 3 2" xfId="28165" xr:uid="{00000000-0005-0000-0000-0000AE6C0000}"/>
    <cellStyle name="Total 2 3 3 2 4 4" xfId="10529" xr:uid="{00000000-0005-0000-0000-0000AF6C0000}"/>
    <cellStyle name="Total 2 3 3 2 4 4 2" xfId="25361" xr:uid="{00000000-0005-0000-0000-0000B06C0000}"/>
    <cellStyle name="Total 2 3 3 2 5" xfId="6167" xr:uid="{00000000-0005-0000-0000-0000B16C0000}"/>
    <cellStyle name="Total 2 3 3 2 5 2" xfId="16354" xr:uid="{00000000-0005-0000-0000-0000B26C0000}"/>
    <cellStyle name="Total 2 3 3 2 5 2 2" xfId="31186" xr:uid="{00000000-0005-0000-0000-0000B36C0000}"/>
    <cellStyle name="Total 2 3 3 2 5 3" xfId="18497" xr:uid="{00000000-0005-0000-0000-0000B46C0000}"/>
    <cellStyle name="Total 2 3 3 2 6" xfId="12424" xr:uid="{00000000-0005-0000-0000-0000B56C0000}"/>
    <cellStyle name="Total 2 3 3 2 6 2" xfId="27256" xr:uid="{00000000-0005-0000-0000-0000B66C0000}"/>
    <cellStyle name="Total 2 3 3 2 7" xfId="10006" xr:uid="{00000000-0005-0000-0000-0000B76C0000}"/>
    <cellStyle name="Total 2 3 3 2 7 2" xfId="24838" xr:uid="{00000000-0005-0000-0000-0000B86C0000}"/>
    <cellStyle name="Total 2 3 3 3" xfId="4333" xr:uid="{00000000-0005-0000-0000-0000B96C0000}"/>
    <cellStyle name="Total 2 3 3 3 2" xfId="8372" xr:uid="{00000000-0005-0000-0000-0000BA6C0000}"/>
    <cellStyle name="Total 2 3 3 3 2 2" xfId="17650" xr:uid="{00000000-0005-0000-0000-0000BB6C0000}"/>
    <cellStyle name="Total 2 3 3 3 2 2 2" xfId="32482" xr:uid="{00000000-0005-0000-0000-0000BC6C0000}"/>
    <cellStyle name="Total 2 3 3 3 2 3" xfId="19349" xr:uid="{00000000-0005-0000-0000-0000BD6C0000}"/>
    <cellStyle name="Total 2 3 3 3 3" xfId="14664" xr:uid="{00000000-0005-0000-0000-0000BE6C0000}"/>
    <cellStyle name="Total 2 3 3 3 3 2" xfId="29496" xr:uid="{00000000-0005-0000-0000-0000BF6C0000}"/>
    <cellStyle name="Total 2 3 3 3 4" xfId="11260" xr:uid="{00000000-0005-0000-0000-0000C06C0000}"/>
    <cellStyle name="Total 2 3 3 3 4 2" xfId="26092" xr:uid="{00000000-0005-0000-0000-0000C16C0000}"/>
    <cellStyle name="Total 2 3 3 4" xfId="4585" xr:uid="{00000000-0005-0000-0000-0000C26C0000}"/>
    <cellStyle name="Total 2 3 3 4 2" xfId="8624" xr:uid="{00000000-0005-0000-0000-0000C36C0000}"/>
    <cellStyle name="Total 2 3 3 4 2 2" xfId="17742" xr:uid="{00000000-0005-0000-0000-0000C46C0000}"/>
    <cellStyle name="Total 2 3 3 4 2 2 2" xfId="32574" xr:uid="{00000000-0005-0000-0000-0000C56C0000}"/>
    <cellStyle name="Total 2 3 3 4 2 3" xfId="19404" xr:uid="{00000000-0005-0000-0000-0000C66C0000}"/>
    <cellStyle name="Total 2 3 3 4 3" xfId="14912" xr:uid="{00000000-0005-0000-0000-0000C76C0000}"/>
    <cellStyle name="Total 2 3 3 4 3 2" xfId="29744" xr:uid="{00000000-0005-0000-0000-0000C86C0000}"/>
    <cellStyle name="Total 2 3 3 4 4" xfId="11348" xr:uid="{00000000-0005-0000-0000-0000C96C0000}"/>
    <cellStyle name="Total 2 3 3 4 4 2" xfId="26180" xr:uid="{00000000-0005-0000-0000-0000CA6C0000}"/>
    <cellStyle name="Total 2 3 3 5" xfId="2575" xr:uid="{00000000-0005-0000-0000-0000CB6C0000}"/>
    <cellStyle name="Total 2 3 3 5 2" xfId="6681" xr:uid="{00000000-0005-0000-0000-0000CC6C0000}"/>
    <cellStyle name="Total 2 3 3 5 2 2" xfId="16639" xr:uid="{00000000-0005-0000-0000-0000CD6C0000}"/>
    <cellStyle name="Total 2 3 3 5 2 2 2" xfId="31471" xr:uid="{00000000-0005-0000-0000-0000CE6C0000}"/>
    <cellStyle name="Total 2 3 3 5 2 3" xfId="18692" xr:uid="{00000000-0005-0000-0000-0000CF6C0000}"/>
    <cellStyle name="Total 2 3 3 5 3" xfId="12913" xr:uid="{00000000-0005-0000-0000-0000D06C0000}"/>
    <cellStyle name="Total 2 3 3 5 3 2" xfId="27745" xr:uid="{00000000-0005-0000-0000-0000D16C0000}"/>
    <cellStyle name="Total 2 3 3 5 4" xfId="10289" xr:uid="{00000000-0005-0000-0000-0000D26C0000}"/>
    <cellStyle name="Total 2 3 3 5 4 2" xfId="25121" xr:uid="{00000000-0005-0000-0000-0000D36C0000}"/>
    <cellStyle name="Total 2 3 3 6" xfId="5698" xr:uid="{00000000-0005-0000-0000-0000D46C0000}"/>
    <cellStyle name="Total 2 3 3 6 2" xfId="15933" xr:uid="{00000000-0005-0000-0000-0000D56C0000}"/>
    <cellStyle name="Total 2 3 3 6 2 2" xfId="30765" xr:uid="{00000000-0005-0000-0000-0000D66C0000}"/>
    <cellStyle name="Total 2 3 3 6 3" xfId="18334" xr:uid="{00000000-0005-0000-0000-0000D76C0000}"/>
    <cellStyle name="Total 2 3 3 7" xfId="11953" xr:uid="{00000000-0005-0000-0000-0000D86C0000}"/>
    <cellStyle name="Total 2 3 3 7 2" xfId="26785" xr:uid="{00000000-0005-0000-0000-0000D96C0000}"/>
    <cellStyle name="Total 2 3 3 8" xfId="9611" xr:uid="{00000000-0005-0000-0000-0000DA6C0000}"/>
    <cellStyle name="Total 2 3 3 8 2" xfId="19913" xr:uid="{00000000-0005-0000-0000-0000DB6C0000}"/>
    <cellStyle name="Total 2 3 4" xfId="1593" xr:uid="{00000000-0005-0000-0000-0000DC6C0000}"/>
    <cellStyle name="Total 2 3 4 2" xfId="2090" xr:uid="{00000000-0005-0000-0000-0000DD6C0000}"/>
    <cellStyle name="Total 2 3 4 2 2" xfId="3412" xr:uid="{00000000-0005-0000-0000-0000DE6C0000}"/>
    <cellStyle name="Total 2 3 4 2 2 2" xfId="7475" xr:uid="{00000000-0005-0000-0000-0000DF6C0000}"/>
    <cellStyle name="Total 2 3 4 2 2 2 2" xfId="17174" xr:uid="{00000000-0005-0000-0000-0000E06C0000}"/>
    <cellStyle name="Total 2 3 4 2 2 2 2 2" xfId="32006" xr:uid="{00000000-0005-0000-0000-0000E16C0000}"/>
    <cellStyle name="Total 2 3 4 2 2 2 3" xfId="19024" xr:uid="{00000000-0005-0000-0000-0000E26C0000}"/>
    <cellStyle name="Total 2 3 4 2 2 3" xfId="13749" xr:uid="{00000000-0005-0000-0000-0000E36C0000}"/>
    <cellStyle name="Total 2 3 4 2 2 3 2" xfId="28581" xr:uid="{00000000-0005-0000-0000-0000E46C0000}"/>
    <cellStyle name="Total 2 3 4 2 2 4" xfId="10793" xr:uid="{00000000-0005-0000-0000-0000E56C0000}"/>
    <cellStyle name="Total 2 3 4 2 2 4 2" xfId="25625" xr:uid="{00000000-0005-0000-0000-0000E66C0000}"/>
    <cellStyle name="Total 2 3 4 2 3" xfId="5058" xr:uid="{00000000-0005-0000-0000-0000E76C0000}"/>
    <cellStyle name="Total 2 3 4 2 3 2" xfId="9097" xr:uid="{00000000-0005-0000-0000-0000E86C0000}"/>
    <cellStyle name="Total 2 3 4 2 3 2 2" xfId="18030" xr:uid="{00000000-0005-0000-0000-0000E96C0000}"/>
    <cellStyle name="Total 2 3 4 2 3 2 2 2" xfId="32862" xr:uid="{00000000-0005-0000-0000-0000EA6C0000}"/>
    <cellStyle name="Total 2 3 4 2 3 2 3" xfId="19596" xr:uid="{00000000-0005-0000-0000-0000EB6C0000}"/>
    <cellStyle name="Total 2 3 4 2 3 3" xfId="15379" xr:uid="{00000000-0005-0000-0000-0000EC6C0000}"/>
    <cellStyle name="Total 2 3 4 2 3 3 2" xfId="30211" xr:uid="{00000000-0005-0000-0000-0000ED6C0000}"/>
    <cellStyle name="Total 2 3 4 2 3 4" xfId="11630" xr:uid="{00000000-0005-0000-0000-0000EE6C0000}"/>
    <cellStyle name="Total 2 3 4 2 3 4 2" xfId="26462" xr:uid="{00000000-0005-0000-0000-0000EF6C0000}"/>
    <cellStyle name="Total 2 3 4 2 4" xfId="3048" xr:uid="{00000000-0005-0000-0000-0000F06C0000}"/>
    <cellStyle name="Total 2 3 4 2 4 2" xfId="7123" xr:uid="{00000000-0005-0000-0000-0000F16C0000}"/>
    <cellStyle name="Total 2 3 4 2 4 2 2" xfId="16921" xr:uid="{00000000-0005-0000-0000-0000F26C0000}"/>
    <cellStyle name="Total 2 3 4 2 4 2 2 2" xfId="31753" xr:uid="{00000000-0005-0000-0000-0000F36C0000}"/>
    <cellStyle name="Total 2 3 4 2 4 2 3" xfId="18889" xr:uid="{00000000-0005-0000-0000-0000F46C0000}"/>
    <cellStyle name="Total 2 3 4 2 4 3" xfId="13386" xr:uid="{00000000-0005-0000-0000-0000F56C0000}"/>
    <cellStyle name="Total 2 3 4 2 4 3 2" xfId="28218" xr:uid="{00000000-0005-0000-0000-0000F66C0000}"/>
    <cellStyle name="Total 2 3 4 2 4 4" xfId="10577" xr:uid="{00000000-0005-0000-0000-0000F76C0000}"/>
    <cellStyle name="Total 2 3 4 2 4 4 2" xfId="25409" xr:uid="{00000000-0005-0000-0000-0000F86C0000}"/>
    <cellStyle name="Total 2 3 4 2 5" xfId="6215" xr:uid="{00000000-0005-0000-0000-0000F96C0000}"/>
    <cellStyle name="Total 2 3 4 2 5 2" xfId="16401" xr:uid="{00000000-0005-0000-0000-0000FA6C0000}"/>
    <cellStyle name="Total 2 3 4 2 5 2 2" xfId="31233" xr:uid="{00000000-0005-0000-0000-0000FB6C0000}"/>
    <cellStyle name="Total 2 3 4 2 5 3" xfId="18530" xr:uid="{00000000-0005-0000-0000-0000FC6C0000}"/>
    <cellStyle name="Total 2 3 4 2 6" xfId="12471" xr:uid="{00000000-0005-0000-0000-0000FD6C0000}"/>
    <cellStyle name="Total 2 3 4 2 6 2" xfId="27303" xr:uid="{00000000-0005-0000-0000-0000FE6C0000}"/>
    <cellStyle name="Total 2 3 4 2 7" xfId="10053" xr:uid="{00000000-0005-0000-0000-0000FF6C0000}"/>
    <cellStyle name="Total 2 3 4 2 7 2" xfId="24885" xr:uid="{00000000-0005-0000-0000-0000006D0000}"/>
    <cellStyle name="Total 2 3 4 3" xfId="4319" xr:uid="{00000000-0005-0000-0000-0000016D0000}"/>
    <cellStyle name="Total 2 3 4 3 2" xfId="8358" xr:uid="{00000000-0005-0000-0000-0000026D0000}"/>
    <cellStyle name="Total 2 3 4 3 2 2" xfId="17636" xr:uid="{00000000-0005-0000-0000-0000036D0000}"/>
    <cellStyle name="Total 2 3 4 3 2 2 2" xfId="32468" xr:uid="{00000000-0005-0000-0000-0000046D0000}"/>
    <cellStyle name="Total 2 3 4 3 2 3" xfId="19338" xr:uid="{00000000-0005-0000-0000-0000056D0000}"/>
    <cellStyle name="Total 2 3 4 3 3" xfId="14650" xr:uid="{00000000-0005-0000-0000-0000066D0000}"/>
    <cellStyle name="Total 2 3 4 3 3 2" xfId="29482" xr:uid="{00000000-0005-0000-0000-0000076D0000}"/>
    <cellStyle name="Total 2 3 4 3 4" xfId="11246" xr:uid="{00000000-0005-0000-0000-0000086D0000}"/>
    <cellStyle name="Total 2 3 4 3 4 2" xfId="26078" xr:uid="{00000000-0005-0000-0000-0000096D0000}"/>
    <cellStyle name="Total 2 3 4 4" xfId="4638" xr:uid="{00000000-0005-0000-0000-00000A6D0000}"/>
    <cellStyle name="Total 2 3 4 4 2" xfId="8677" xr:uid="{00000000-0005-0000-0000-00000B6D0000}"/>
    <cellStyle name="Total 2 3 4 4 2 2" xfId="17790" xr:uid="{00000000-0005-0000-0000-00000C6D0000}"/>
    <cellStyle name="Total 2 3 4 4 2 2 2" xfId="32622" xr:uid="{00000000-0005-0000-0000-00000D6D0000}"/>
    <cellStyle name="Total 2 3 4 4 2 3" xfId="19436" xr:uid="{00000000-0005-0000-0000-00000E6D0000}"/>
    <cellStyle name="Total 2 3 4 4 3" xfId="14964" xr:uid="{00000000-0005-0000-0000-00000F6D0000}"/>
    <cellStyle name="Total 2 3 4 4 3 2" xfId="29796" xr:uid="{00000000-0005-0000-0000-0000106D0000}"/>
    <cellStyle name="Total 2 3 4 4 4" xfId="11395" xr:uid="{00000000-0005-0000-0000-0000116D0000}"/>
    <cellStyle name="Total 2 3 4 4 4 2" xfId="26227" xr:uid="{00000000-0005-0000-0000-0000126D0000}"/>
    <cellStyle name="Total 2 3 4 5" xfId="2628" xr:uid="{00000000-0005-0000-0000-0000136D0000}"/>
    <cellStyle name="Total 2 3 4 5 2" xfId="6729" xr:uid="{00000000-0005-0000-0000-0000146D0000}"/>
    <cellStyle name="Total 2 3 4 5 2 2" xfId="16686" xr:uid="{00000000-0005-0000-0000-0000156D0000}"/>
    <cellStyle name="Total 2 3 4 5 2 2 2" xfId="31518" xr:uid="{00000000-0005-0000-0000-0000166D0000}"/>
    <cellStyle name="Total 2 3 4 5 2 3" xfId="18725" xr:uid="{00000000-0005-0000-0000-0000176D0000}"/>
    <cellStyle name="Total 2 3 4 5 3" xfId="12966" xr:uid="{00000000-0005-0000-0000-0000186D0000}"/>
    <cellStyle name="Total 2 3 4 5 3 2" xfId="27798" xr:uid="{00000000-0005-0000-0000-0000196D0000}"/>
    <cellStyle name="Total 2 3 4 5 4" xfId="10337" xr:uid="{00000000-0005-0000-0000-00001A6D0000}"/>
    <cellStyle name="Total 2 3 4 5 4 2" xfId="25169" xr:uid="{00000000-0005-0000-0000-00001B6D0000}"/>
    <cellStyle name="Total 2 3 4 6" xfId="5745" xr:uid="{00000000-0005-0000-0000-00001C6D0000}"/>
    <cellStyle name="Total 2 3 4 6 2" xfId="15980" xr:uid="{00000000-0005-0000-0000-00001D6D0000}"/>
    <cellStyle name="Total 2 3 4 6 2 2" xfId="30812" xr:uid="{00000000-0005-0000-0000-00001E6D0000}"/>
    <cellStyle name="Total 2 3 4 6 3" xfId="18366" xr:uid="{00000000-0005-0000-0000-00001F6D0000}"/>
    <cellStyle name="Total 2 3 4 7" xfId="12000" xr:uid="{00000000-0005-0000-0000-0000206D0000}"/>
    <cellStyle name="Total 2 3 4 7 2" xfId="26832" xr:uid="{00000000-0005-0000-0000-0000216D0000}"/>
    <cellStyle name="Total 2 3 4 8" xfId="9659" xr:uid="{00000000-0005-0000-0000-0000226D0000}"/>
    <cellStyle name="Total 2 3 4 8 2" xfId="19960" xr:uid="{00000000-0005-0000-0000-0000236D0000}"/>
    <cellStyle name="Total 2 3 5" xfId="1643" xr:uid="{00000000-0005-0000-0000-0000246D0000}"/>
    <cellStyle name="Total 2 3 5 2" xfId="2140" xr:uid="{00000000-0005-0000-0000-0000256D0000}"/>
    <cellStyle name="Total 2 3 5 2 2" xfId="3595" xr:uid="{00000000-0005-0000-0000-0000266D0000}"/>
    <cellStyle name="Total 2 3 5 2 2 2" xfId="7657" xr:uid="{00000000-0005-0000-0000-0000276D0000}"/>
    <cellStyle name="Total 2 3 5 2 2 2 2" xfId="17276" xr:uid="{00000000-0005-0000-0000-0000286D0000}"/>
    <cellStyle name="Total 2 3 5 2 2 2 2 2" xfId="32108" xr:uid="{00000000-0005-0000-0000-0000296D0000}"/>
    <cellStyle name="Total 2 3 5 2 2 2 3" xfId="19095" xr:uid="{00000000-0005-0000-0000-00002A6D0000}"/>
    <cellStyle name="Total 2 3 5 2 2 3" xfId="13931" xr:uid="{00000000-0005-0000-0000-00002B6D0000}"/>
    <cellStyle name="Total 2 3 5 2 2 3 2" xfId="28763" xr:uid="{00000000-0005-0000-0000-00002C6D0000}"/>
    <cellStyle name="Total 2 3 5 2 2 4" xfId="10893" xr:uid="{00000000-0005-0000-0000-00002D6D0000}"/>
    <cellStyle name="Total 2 3 5 2 2 4 2" xfId="25725" xr:uid="{00000000-0005-0000-0000-00002E6D0000}"/>
    <cellStyle name="Total 2 3 5 2 3" xfId="5108" xr:uid="{00000000-0005-0000-0000-00002F6D0000}"/>
    <cellStyle name="Total 2 3 5 2 3 2" xfId="9147" xr:uid="{00000000-0005-0000-0000-0000306D0000}"/>
    <cellStyle name="Total 2 3 5 2 3 2 2" xfId="18075" xr:uid="{00000000-0005-0000-0000-0000316D0000}"/>
    <cellStyle name="Total 2 3 5 2 3 2 2 2" xfId="32907" xr:uid="{00000000-0005-0000-0000-0000326D0000}"/>
    <cellStyle name="Total 2 3 5 2 3 2 3" xfId="19628" xr:uid="{00000000-0005-0000-0000-0000336D0000}"/>
    <cellStyle name="Total 2 3 5 2 3 3" xfId="15428" xr:uid="{00000000-0005-0000-0000-0000346D0000}"/>
    <cellStyle name="Total 2 3 5 2 3 3 2" xfId="30260" xr:uid="{00000000-0005-0000-0000-0000356D0000}"/>
    <cellStyle name="Total 2 3 5 2 3 4" xfId="11674" xr:uid="{00000000-0005-0000-0000-0000366D0000}"/>
    <cellStyle name="Total 2 3 5 2 3 4 2" xfId="26506" xr:uid="{00000000-0005-0000-0000-0000376D0000}"/>
    <cellStyle name="Total 2 3 5 2 4" xfId="3098" xr:uid="{00000000-0005-0000-0000-0000386D0000}"/>
    <cellStyle name="Total 2 3 5 2 4 2" xfId="7168" xr:uid="{00000000-0005-0000-0000-0000396D0000}"/>
    <cellStyle name="Total 2 3 5 2 4 2 2" xfId="16965" xr:uid="{00000000-0005-0000-0000-00003A6D0000}"/>
    <cellStyle name="Total 2 3 5 2 4 2 2 2" xfId="31797" xr:uid="{00000000-0005-0000-0000-00003B6D0000}"/>
    <cellStyle name="Total 2 3 5 2 4 2 3" xfId="18922" xr:uid="{00000000-0005-0000-0000-00003C6D0000}"/>
    <cellStyle name="Total 2 3 5 2 4 3" xfId="13436" xr:uid="{00000000-0005-0000-0000-00003D6D0000}"/>
    <cellStyle name="Total 2 3 5 2 4 3 2" xfId="28268" xr:uid="{00000000-0005-0000-0000-00003E6D0000}"/>
    <cellStyle name="Total 2 3 5 2 4 4" xfId="10622" xr:uid="{00000000-0005-0000-0000-00003F6D0000}"/>
    <cellStyle name="Total 2 3 5 2 4 4 2" xfId="25454" xr:uid="{00000000-0005-0000-0000-0000406D0000}"/>
    <cellStyle name="Total 2 3 5 2 5" xfId="6260" xr:uid="{00000000-0005-0000-0000-0000416D0000}"/>
    <cellStyle name="Total 2 3 5 2 5 2" xfId="16445" xr:uid="{00000000-0005-0000-0000-0000426D0000}"/>
    <cellStyle name="Total 2 3 5 2 5 2 2" xfId="31277" xr:uid="{00000000-0005-0000-0000-0000436D0000}"/>
    <cellStyle name="Total 2 3 5 2 5 3" xfId="18563" xr:uid="{00000000-0005-0000-0000-0000446D0000}"/>
    <cellStyle name="Total 2 3 5 2 6" xfId="12515" xr:uid="{00000000-0005-0000-0000-0000456D0000}"/>
    <cellStyle name="Total 2 3 5 2 6 2" xfId="27347" xr:uid="{00000000-0005-0000-0000-0000466D0000}"/>
    <cellStyle name="Total 2 3 5 2 7" xfId="10097" xr:uid="{00000000-0005-0000-0000-0000476D0000}"/>
    <cellStyle name="Total 2 3 5 2 7 2" xfId="24929" xr:uid="{00000000-0005-0000-0000-0000486D0000}"/>
    <cellStyle name="Total 2 3 5 3" xfId="4021" xr:uid="{00000000-0005-0000-0000-0000496D0000}"/>
    <cellStyle name="Total 2 3 5 3 2" xfId="8068" xr:uid="{00000000-0005-0000-0000-00004A6D0000}"/>
    <cellStyle name="Total 2 3 5 3 2 2" xfId="17479" xr:uid="{00000000-0005-0000-0000-00004B6D0000}"/>
    <cellStyle name="Total 2 3 5 3 2 2 2" xfId="32311" xr:uid="{00000000-0005-0000-0000-00004C6D0000}"/>
    <cellStyle name="Total 2 3 5 3 2 3" xfId="19237" xr:uid="{00000000-0005-0000-0000-00004D6D0000}"/>
    <cellStyle name="Total 2 3 5 3 3" xfId="14353" xr:uid="{00000000-0005-0000-0000-00004E6D0000}"/>
    <cellStyle name="Total 2 3 5 3 3 2" xfId="29185" xr:uid="{00000000-0005-0000-0000-00004F6D0000}"/>
    <cellStyle name="Total 2 3 5 3 4" xfId="11095" xr:uid="{00000000-0005-0000-0000-0000506D0000}"/>
    <cellStyle name="Total 2 3 5 3 4 2" xfId="25927" xr:uid="{00000000-0005-0000-0000-0000516D0000}"/>
    <cellStyle name="Total 2 3 5 4" xfId="4688" xr:uid="{00000000-0005-0000-0000-0000526D0000}"/>
    <cellStyle name="Total 2 3 5 4 2" xfId="8727" xr:uid="{00000000-0005-0000-0000-0000536D0000}"/>
    <cellStyle name="Total 2 3 5 4 2 2" xfId="17835" xr:uid="{00000000-0005-0000-0000-0000546D0000}"/>
    <cellStyle name="Total 2 3 5 4 2 2 2" xfId="32667" xr:uid="{00000000-0005-0000-0000-0000556D0000}"/>
    <cellStyle name="Total 2 3 5 4 2 3" xfId="19468" xr:uid="{00000000-0005-0000-0000-0000566D0000}"/>
    <cellStyle name="Total 2 3 5 4 3" xfId="15013" xr:uid="{00000000-0005-0000-0000-0000576D0000}"/>
    <cellStyle name="Total 2 3 5 4 3 2" xfId="29845" xr:uid="{00000000-0005-0000-0000-0000586D0000}"/>
    <cellStyle name="Total 2 3 5 4 4" xfId="11439" xr:uid="{00000000-0005-0000-0000-0000596D0000}"/>
    <cellStyle name="Total 2 3 5 4 4 2" xfId="26271" xr:uid="{00000000-0005-0000-0000-00005A6D0000}"/>
    <cellStyle name="Total 2 3 5 5" xfId="2678" xr:uid="{00000000-0005-0000-0000-00005B6D0000}"/>
    <cellStyle name="Total 2 3 5 5 2" xfId="6774" xr:uid="{00000000-0005-0000-0000-00005C6D0000}"/>
    <cellStyle name="Total 2 3 5 5 2 2" xfId="16730" xr:uid="{00000000-0005-0000-0000-00005D6D0000}"/>
    <cellStyle name="Total 2 3 5 5 2 2 2" xfId="31562" xr:uid="{00000000-0005-0000-0000-00005E6D0000}"/>
    <cellStyle name="Total 2 3 5 5 2 3" xfId="18758" xr:uid="{00000000-0005-0000-0000-00005F6D0000}"/>
    <cellStyle name="Total 2 3 5 5 3" xfId="13016" xr:uid="{00000000-0005-0000-0000-0000606D0000}"/>
    <cellStyle name="Total 2 3 5 5 3 2" xfId="27848" xr:uid="{00000000-0005-0000-0000-0000616D0000}"/>
    <cellStyle name="Total 2 3 5 5 4" xfId="10382" xr:uid="{00000000-0005-0000-0000-0000626D0000}"/>
    <cellStyle name="Total 2 3 5 5 4 2" xfId="25214" xr:uid="{00000000-0005-0000-0000-0000636D0000}"/>
    <cellStyle name="Total 2 3 5 6" xfId="5790" xr:uid="{00000000-0005-0000-0000-0000646D0000}"/>
    <cellStyle name="Total 2 3 5 6 2" xfId="16024" xr:uid="{00000000-0005-0000-0000-0000656D0000}"/>
    <cellStyle name="Total 2 3 5 6 2 2" xfId="30856" xr:uid="{00000000-0005-0000-0000-0000666D0000}"/>
    <cellStyle name="Total 2 3 5 6 3" xfId="18399" xr:uid="{00000000-0005-0000-0000-0000676D0000}"/>
    <cellStyle name="Total 2 3 5 7" xfId="12044" xr:uid="{00000000-0005-0000-0000-0000686D0000}"/>
    <cellStyle name="Total 2 3 5 7 2" xfId="26876" xr:uid="{00000000-0005-0000-0000-0000696D0000}"/>
    <cellStyle name="Total 2 3 5 8" xfId="9704" xr:uid="{00000000-0005-0000-0000-00006A6D0000}"/>
    <cellStyle name="Total 2 3 5 8 2" xfId="20004" xr:uid="{00000000-0005-0000-0000-00006B6D0000}"/>
    <cellStyle name="Total 2 3 6" xfId="1794" xr:uid="{00000000-0005-0000-0000-00006C6D0000}"/>
    <cellStyle name="Total 2 3 6 2" xfId="3884" xr:uid="{00000000-0005-0000-0000-00006D6D0000}"/>
    <cellStyle name="Total 2 3 6 2 2" xfId="7935" xr:uid="{00000000-0005-0000-0000-00006E6D0000}"/>
    <cellStyle name="Total 2 3 6 2 2 2" xfId="17410" xr:uid="{00000000-0005-0000-0000-00006F6D0000}"/>
    <cellStyle name="Total 2 3 6 2 2 2 2" xfId="32242" xr:uid="{00000000-0005-0000-0000-0000706D0000}"/>
    <cellStyle name="Total 2 3 6 2 2 3" xfId="19186" xr:uid="{00000000-0005-0000-0000-0000716D0000}"/>
    <cellStyle name="Total 2 3 6 2 3" xfId="14218" xr:uid="{00000000-0005-0000-0000-0000726D0000}"/>
    <cellStyle name="Total 2 3 6 2 3 2" xfId="29050" xr:uid="{00000000-0005-0000-0000-0000736D0000}"/>
    <cellStyle name="Total 2 3 6 2 4" xfId="11027" xr:uid="{00000000-0005-0000-0000-0000746D0000}"/>
    <cellStyle name="Total 2 3 6 2 4 2" xfId="25859" xr:uid="{00000000-0005-0000-0000-0000756D0000}"/>
    <cellStyle name="Total 2 3 6 3" xfId="4772" xr:uid="{00000000-0005-0000-0000-0000766D0000}"/>
    <cellStyle name="Total 2 3 6 3 2" xfId="8811" xr:uid="{00000000-0005-0000-0000-0000776D0000}"/>
    <cellStyle name="Total 2 3 6 3 2 2" xfId="17883" xr:uid="{00000000-0005-0000-0000-0000786D0000}"/>
    <cellStyle name="Total 2 3 6 3 2 2 2" xfId="32715" xr:uid="{00000000-0005-0000-0000-0000796D0000}"/>
    <cellStyle name="Total 2 3 6 3 2 3" xfId="19500" xr:uid="{00000000-0005-0000-0000-00007A6D0000}"/>
    <cellStyle name="Total 2 3 6 3 3" xfId="15096" xr:uid="{00000000-0005-0000-0000-00007B6D0000}"/>
    <cellStyle name="Total 2 3 6 3 3 2" xfId="29928" xr:uid="{00000000-0005-0000-0000-00007C6D0000}"/>
    <cellStyle name="Total 2 3 6 3 4" xfId="11486" xr:uid="{00000000-0005-0000-0000-00007D6D0000}"/>
    <cellStyle name="Total 2 3 6 3 4 2" xfId="26318" xr:uid="{00000000-0005-0000-0000-00007E6D0000}"/>
    <cellStyle name="Total 2 3 6 4" xfId="2762" xr:uid="{00000000-0005-0000-0000-00007F6D0000}"/>
    <cellStyle name="Total 2 3 6 4 2" xfId="6853" xr:uid="{00000000-0005-0000-0000-0000806D0000}"/>
    <cellStyle name="Total 2 3 6 4 2 2" xfId="16777" xr:uid="{00000000-0005-0000-0000-0000816D0000}"/>
    <cellStyle name="Total 2 3 6 4 2 2 2" xfId="31609" xr:uid="{00000000-0005-0000-0000-0000826D0000}"/>
    <cellStyle name="Total 2 3 6 4 2 3" xfId="18791" xr:uid="{00000000-0005-0000-0000-0000836D0000}"/>
    <cellStyle name="Total 2 3 6 4 3" xfId="13100" xr:uid="{00000000-0005-0000-0000-0000846D0000}"/>
    <cellStyle name="Total 2 3 6 4 3 2" xfId="27932" xr:uid="{00000000-0005-0000-0000-0000856D0000}"/>
    <cellStyle name="Total 2 3 6 4 4" xfId="10430" xr:uid="{00000000-0005-0000-0000-0000866D0000}"/>
    <cellStyle name="Total 2 3 6 4 4 2" xfId="25262" xr:uid="{00000000-0005-0000-0000-0000876D0000}"/>
    <cellStyle name="Total 2 3 6 5" xfId="5926" xr:uid="{00000000-0005-0000-0000-0000886D0000}"/>
    <cellStyle name="Total 2 3 6 5 2" xfId="16118" xr:uid="{00000000-0005-0000-0000-0000896D0000}"/>
    <cellStyle name="Total 2 3 6 5 2 2" xfId="30950" xr:uid="{00000000-0005-0000-0000-00008A6D0000}"/>
    <cellStyle name="Total 2 3 6 5 3" xfId="18433" xr:uid="{00000000-0005-0000-0000-00008B6D0000}"/>
    <cellStyle name="Total 2 3 6 6" xfId="12188" xr:uid="{00000000-0005-0000-0000-00008C6D0000}"/>
    <cellStyle name="Total 2 3 6 6 2" xfId="27020" xr:uid="{00000000-0005-0000-0000-00008D6D0000}"/>
    <cellStyle name="Total 2 3 6 7" xfId="9784" xr:uid="{00000000-0005-0000-0000-00008E6D0000}"/>
    <cellStyle name="Total 2 3 6 7 2" xfId="24741" xr:uid="{00000000-0005-0000-0000-00008F6D0000}"/>
    <cellStyle name="Total 2 3 7" xfId="2172" xr:uid="{00000000-0005-0000-0000-0000906D0000}"/>
    <cellStyle name="Total 2 3 7 2" xfId="3539" xr:uid="{00000000-0005-0000-0000-0000916D0000}"/>
    <cellStyle name="Total 2 3 7 2 2" xfId="7601" xr:uid="{00000000-0005-0000-0000-0000926D0000}"/>
    <cellStyle name="Total 2 3 7 2 2 2" xfId="17245" xr:uid="{00000000-0005-0000-0000-0000936D0000}"/>
    <cellStyle name="Total 2 3 7 2 2 2 2" xfId="32077" xr:uid="{00000000-0005-0000-0000-0000946D0000}"/>
    <cellStyle name="Total 2 3 7 2 2 3" xfId="19071" xr:uid="{00000000-0005-0000-0000-0000956D0000}"/>
    <cellStyle name="Total 2 3 7 2 3" xfId="13875" xr:uid="{00000000-0005-0000-0000-0000966D0000}"/>
    <cellStyle name="Total 2 3 7 2 3 2" xfId="28707" xr:uid="{00000000-0005-0000-0000-0000976D0000}"/>
    <cellStyle name="Total 2 3 7 2 4" xfId="10862" xr:uid="{00000000-0005-0000-0000-0000986D0000}"/>
    <cellStyle name="Total 2 3 7 2 4 2" xfId="25694" xr:uid="{00000000-0005-0000-0000-0000996D0000}"/>
    <cellStyle name="Total 2 3 7 3" xfId="5140" xr:uid="{00000000-0005-0000-0000-00009A6D0000}"/>
    <cellStyle name="Total 2 3 7 3 2" xfId="9179" xr:uid="{00000000-0005-0000-0000-00009B6D0000}"/>
    <cellStyle name="Total 2 3 7 3 2 2" xfId="18102" xr:uid="{00000000-0005-0000-0000-00009C6D0000}"/>
    <cellStyle name="Total 2 3 7 3 2 2 2" xfId="32934" xr:uid="{00000000-0005-0000-0000-00009D6D0000}"/>
    <cellStyle name="Total 2 3 7 3 2 3" xfId="19653" xr:uid="{00000000-0005-0000-0000-00009E6D0000}"/>
    <cellStyle name="Total 2 3 7 3 3" xfId="15458" xr:uid="{00000000-0005-0000-0000-00009F6D0000}"/>
    <cellStyle name="Total 2 3 7 3 3 2" xfId="30290" xr:uid="{00000000-0005-0000-0000-0000A06D0000}"/>
    <cellStyle name="Total 2 3 7 3 4" xfId="11699" xr:uid="{00000000-0005-0000-0000-0000A16D0000}"/>
    <cellStyle name="Total 2 3 7 3 4 2" xfId="26531" xr:uid="{00000000-0005-0000-0000-0000A26D0000}"/>
    <cellStyle name="Total 2 3 7 4" xfId="4170" xr:uid="{00000000-0005-0000-0000-0000A36D0000}"/>
    <cellStyle name="Total 2 3 7 4 2" xfId="8211" xr:uid="{00000000-0005-0000-0000-0000A46D0000}"/>
    <cellStyle name="Total 2 3 7 4 2 2" xfId="17558" xr:uid="{00000000-0005-0000-0000-0000A56D0000}"/>
    <cellStyle name="Total 2 3 7 4 2 2 2" xfId="32390" xr:uid="{00000000-0005-0000-0000-0000A66D0000}"/>
    <cellStyle name="Total 2 3 7 4 2 3" xfId="19296" xr:uid="{00000000-0005-0000-0000-0000A76D0000}"/>
    <cellStyle name="Total 2 3 7 4 3" xfId="14502" xr:uid="{00000000-0005-0000-0000-0000A86D0000}"/>
    <cellStyle name="Total 2 3 7 4 3 2" xfId="29334" xr:uid="{00000000-0005-0000-0000-0000A96D0000}"/>
    <cellStyle name="Total 2 3 7 4 4" xfId="11178" xr:uid="{00000000-0005-0000-0000-0000AA6D0000}"/>
    <cellStyle name="Total 2 3 7 4 4 2" xfId="26010" xr:uid="{00000000-0005-0000-0000-0000AB6D0000}"/>
    <cellStyle name="Total 2 3 7 5" xfId="6286" xr:uid="{00000000-0005-0000-0000-0000AC6D0000}"/>
    <cellStyle name="Total 2 3 7 5 2" xfId="16470" xr:uid="{00000000-0005-0000-0000-0000AD6D0000}"/>
    <cellStyle name="Total 2 3 7 5 2 2" xfId="31302" xr:uid="{00000000-0005-0000-0000-0000AE6D0000}"/>
    <cellStyle name="Total 2 3 7 5 3" xfId="18589" xr:uid="{00000000-0005-0000-0000-0000AF6D0000}"/>
    <cellStyle name="Total 2 3 7 6" xfId="12540" xr:uid="{00000000-0005-0000-0000-0000B06D0000}"/>
    <cellStyle name="Total 2 3 7 6 2" xfId="27372" xr:uid="{00000000-0005-0000-0000-0000B16D0000}"/>
    <cellStyle name="Total 2 3 7 7" xfId="10122" xr:uid="{00000000-0005-0000-0000-0000B26D0000}"/>
    <cellStyle name="Total 2 3 7 7 2" xfId="24954" xr:uid="{00000000-0005-0000-0000-0000B36D0000}"/>
    <cellStyle name="Total 2 3 8" xfId="3319" xr:uid="{00000000-0005-0000-0000-0000B46D0000}"/>
    <cellStyle name="Total 2 3 8 2" xfId="7382" xr:uid="{00000000-0005-0000-0000-0000B56D0000}"/>
    <cellStyle name="Total 2 3 8 2 2" xfId="17116" xr:uid="{00000000-0005-0000-0000-0000B66D0000}"/>
    <cellStyle name="Total 2 3 8 2 2 2" xfId="31948" xr:uid="{00000000-0005-0000-0000-0000B76D0000}"/>
    <cellStyle name="Total 2 3 8 2 3" xfId="18996" xr:uid="{00000000-0005-0000-0000-0000B86D0000}"/>
    <cellStyle name="Total 2 3 8 3" xfId="13656" xr:uid="{00000000-0005-0000-0000-0000B96D0000}"/>
    <cellStyle name="Total 2 3 8 3 2" xfId="28488" xr:uid="{00000000-0005-0000-0000-0000BA6D0000}"/>
    <cellStyle name="Total 2 3 8 4" xfId="10737" xr:uid="{00000000-0005-0000-0000-0000BB6D0000}"/>
    <cellStyle name="Total 2 3 8 4 2" xfId="25569" xr:uid="{00000000-0005-0000-0000-0000BC6D0000}"/>
    <cellStyle name="Total 2 3 9" xfId="4309" xr:uid="{00000000-0005-0000-0000-0000BD6D0000}"/>
    <cellStyle name="Total 2 3 9 2" xfId="8348" xr:uid="{00000000-0005-0000-0000-0000BE6D0000}"/>
    <cellStyle name="Total 2 3 9 2 2" xfId="17627" xr:uid="{00000000-0005-0000-0000-0000BF6D0000}"/>
    <cellStyle name="Total 2 3 9 2 2 2" xfId="32459" xr:uid="{00000000-0005-0000-0000-0000C06D0000}"/>
    <cellStyle name="Total 2 3 9 2 3" xfId="19330" xr:uid="{00000000-0005-0000-0000-0000C16D0000}"/>
    <cellStyle name="Total 2 3 9 3" xfId="14640" xr:uid="{00000000-0005-0000-0000-0000C26D0000}"/>
    <cellStyle name="Total 2 3 9 3 2" xfId="29472" xr:uid="{00000000-0005-0000-0000-0000C36D0000}"/>
    <cellStyle name="Total 2 3 9 4" xfId="11237" xr:uid="{00000000-0005-0000-0000-0000C46D0000}"/>
    <cellStyle name="Total 2 3 9 4 2" xfId="26069" xr:uid="{00000000-0005-0000-0000-0000C56D0000}"/>
    <cellStyle name="Total 2 4" xfId="1270" xr:uid="{00000000-0005-0000-0000-0000C66D0000}"/>
    <cellStyle name="Total 2 4 10" xfId="2337" xr:uid="{00000000-0005-0000-0000-0000C76D0000}"/>
    <cellStyle name="Total 2 4 10 2" xfId="6449" xr:uid="{00000000-0005-0000-0000-0000C86D0000}"/>
    <cellStyle name="Total 2 4 10 2 2" xfId="16541" xr:uid="{00000000-0005-0000-0000-0000C96D0000}"/>
    <cellStyle name="Total 2 4 10 2 2 2" xfId="31373" xr:uid="{00000000-0005-0000-0000-0000CA6D0000}"/>
    <cellStyle name="Total 2 4 10 2 3" xfId="18629" xr:uid="{00000000-0005-0000-0000-0000CB6D0000}"/>
    <cellStyle name="Total 2 4 10 3" xfId="12677" xr:uid="{00000000-0005-0000-0000-0000CC6D0000}"/>
    <cellStyle name="Total 2 4 10 3 2" xfId="27509" xr:uid="{00000000-0005-0000-0000-0000CD6D0000}"/>
    <cellStyle name="Total 2 4 10 4" xfId="10192" xr:uid="{00000000-0005-0000-0000-0000CE6D0000}"/>
    <cellStyle name="Total 2 4 10 4 2" xfId="25024" xr:uid="{00000000-0005-0000-0000-0000CF6D0000}"/>
    <cellStyle name="Total 2 4 11" xfId="5299" xr:uid="{00000000-0005-0000-0000-0000D06D0000}"/>
    <cellStyle name="Total 2 4 11 2" xfId="9307" xr:uid="{00000000-0005-0000-0000-0000D16D0000}"/>
    <cellStyle name="Total 2 4 11 2 2" xfId="18174" xr:uid="{00000000-0005-0000-0000-0000D26D0000}"/>
    <cellStyle name="Total 2 4 11 2 2 2" xfId="33006" xr:uid="{00000000-0005-0000-0000-0000D36D0000}"/>
    <cellStyle name="Total 2 4 11 2 3" xfId="19693" xr:uid="{00000000-0005-0000-0000-0000D46D0000}"/>
    <cellStyle name="Total 2 4 11 3" xfId="15615" xr:uid="{00000000-0005-0000-0000-0000D56D0000}"/>
    <cellStyle name="Total 2 4 11 3 2" xfId="30447" xr:uid="{00000000-0005-0000-0000-0000D66D0000}"/>
    <cellStyle name="Total 2 4 12" xfId="5457" xr:uid="{00000000-0005-0000-0000-0000D76D0000}"/>
    <cellStyle name="Total 2 4 12 2" xfId="15693" xr:uid="{00000000-0005-0000-0000-0000D86D0000}"/>
    <cellStyle name="Total 2 4 12 2 2" xfId="30525" xr:uid="{00000000-0005-0000-0000-0000D96D0000}"/>
    <cellStyle name="Total 2 4 12 3" xfId="18270" xr:uid="{00000000-0005-0000-0000-0000DA6D0000}"/>
    <cellStyle name="Total 2 4 13" xfId="9334" xr:uid="{00000000-0005-0000-0000-0000DB6D0000}"/>
    <cellStyle name="Total 2 4 13 2" xfId="24640" xr:uid="{00000000-0005-0000-0000-0000DC6D0000}"/>
    <cellStyle name="Total 2 4 14" xfId="5323" xr:uid="{00000000-0005-0000-0000-0000DD6D0000}"/>
    <cellStyle name="Total 2 4 14 2" xfId="18197" xr:uid="{00000000-0005-0000-0000-0000DE6D0000}"/>
    <cellStyle name="Total 2 4 2" xfId="1369" xr:uid="{00000000-0005-0000-0000-0000DF6D0000}"/>
    <cellStyle name="Total 2 4 2 2" xfId="1873" xr:uid="{00000000-0005-0000-0000-0000E06D0000}"/>
    <cellStyle name="Total 2 4 2 2 2" xfId="4121" xr:uid="{00000000-0005-0000-0000-0000E16D0000}"/>
    <cellStyle name="Total 2 4 2 2 2 2" xfId="8166" xr:uid="{00000000-0005-0000-0000-0000E26D0000}"/>
    <cellStyle name="Total 2 4 2 2 2 2 2" xfId="17528" xr:uid="{00000000-0005-0000-0000-0000E36D0000}"/>
    <cellStyle name="Total 2 4 2 2 2 2 2 2" xfId="32360" xr:uid="{00000000-0005-0000-0000-0000E46D0000}"/>
    <cellStyle name="Total 2 4 2 2 2 2 3" xfId="19273" xr:uid="{00000000-0005-0000-0000-0000E56D0000}"/>
    <cellStyle name="Total 2 4 2 2 2 3" xfId="14453" xr:uid="{00000000-0005-0000-0000-0000E66D0000}"/>
    <cellStyle name="Total 2 4 2 2 2 3 2" xfId="29285" xr:uid="{00000000-0005-0000-0000-0000E76D0000}"/>
    <cellStyle name="Total 2 4 2 2 2 4" xfId="11146" xr:uid="{00000000-0005-0000-0000-0000E86D0000}"/>
    <cellStyle name="Total 2 4 2 2 2 4 2" xfId="25978" xr:uid="{00000000-0005-0000-0000-0000E96D0000}"/>
    <cellStyle name="Total 2 4 2 2 3" xfId="4851" xr:uid="{00000000-0005-0000-0000-0000EA6D0000}"/>
    <cellStyle name="Total 2 4 2 2 3 2" xfId="8890" xr:uid="{00000000-0005-0000-0000-0000EB6D0000}"/>
    <cellStyle name="Total 2 4 2 2 3 2 2" xfId="17931" xr:uid="{00000000-0005-0000-0000-0000EC6D0000}"/>
    <cellStyle name="Total 2 4 2 2 3 2 2 2" xfId="32763" xr:uid="{00000000-0005-0000-0000-0000ED6D0000}"/>
    <cellStyle name="Total 2 4 2 2 3 2 3" xfId="19533" xr:uid="{00000000-0005-0000-0000-0000EE6D0000}"/>
    <cellStyle name="Total 2 4 2 2 3 3" xfId="15175" xr:uid="{00000000-0005-0000-0000-0000EF6D0000}"/>
    <cellStyle name="Total 2 4 2 2 3 3 2" xfId="30007" xr:uid="{00000000-0005-0000-0000-0000F06D0000}"/>
    <cellStyle name="Total 2 4 2 2 3 4" xfId="11534" xr:uid="{00000000-0005-0000-0000-0000F16D0000}"/>
    <cellStyle name="Total 2 4 2 2 3 4 2" xfId="26366" xr:uid="{00000000-0005-0000-0000-0000F26D0000}"/>
    <cellStyle name="Total 2 4 2 2 4" xfId="2841" xr:uid="{00000000-0005-0000-0000-0000F36D0000}"/>
    <cellStyle name="Total 2 4 2 2 4 2" xfId="6932" xr:uid="{00000000-0005-0000-0000-0000F46D0000}"/>
    <cellStyle name="Total 2 4 2 2 4 2 2" xfId="16825" xr:uid="{00000000-0005-0000-0000-0000F56D0000}"/>
    <cellStyle name="Total 2 4 2 2 4 2 2 2" xfId="31657" xr:uid="{00000000-0005-0000-0000-0000F66D0000}"/>
    <cellStyle name="Total 2 4 2 2 4 2 3" xfId="18824" xr:uid="{00000000-0005-0000-0000-0000F76D0000}"/>
    <cellStyle name="Total 2 4 2 2 4 3" xfId="13179" xr:uid="{00000000-0005-0000-0000-0000F86D0000}"/>
    <cellStyle name="Total 2 4 2 2 4 3 2" xfId="28011" xr:uid="{00000000-0005-0000-0000-0000F96D0000}"/>
    <cellStyle name="Total 2 4 2 2 4 4" xfId="10478" xr:uid="{00000000-0005-0000-0000-0000FA6D0000}"/>
    <cellStyle name="Total 2 4 2 2 4 4 2" xfId="25310" xr:uid="{00000000-0005-0000-0000-0000FB6D0000}"/>
    <cellStyle name="Total 2 4 2 2 5" xfId="6005" xr:uid="{00000000-0005-0000-0000-0000FC6D0000}"/>
    <cellStyle name="Total 2 4 2 2 5 2" xfId="16197" xr:uid="{00000000-0005-0000-0000-0000FD6D0000}"/>
    <cellStyle name="Total 2 4 2 2 5 2 2" xfId="31029" xr:uid="{00000000-0005-0000-0000-0000FE6D0000}"/>
    <cellStyle name="Total 2 4 2 2 5 3" xfId="18466" xr:uid="{00000000-0005-0000-0000-0000FF6D0000}"/>
    <cellStyle name="Total 2 4 2 2 6" xfId="12267" xr:uid="{00000000-0005-0000-0000-0000006E0000}"/>
    <cellStyle name="Total 2 4 2 2 6 2" xfId="27099" xr:uid="{00000000-0005-0000-0000-0000016E0000}"/>
    <cellStyle name="Total 2 4 2 2 7" xfId="9863" xr:uid="{00000000-0005-0000-0000-0000026E0000}"/>
    <cellStyle name="Total 2 4 2 2 7 2" xfId="24789" xr:uid="{00000000-0005-0000-0000-0000036E0000}"/>
    <cellStyle name="Total 2 4 2 3" xfId="3457" xr:uid="{00000000-0005-0000-0000-0000046E0000}"/>
    <cellStyle name="Total 2 4 2 3 2" xfId="7520" xr:uid="{00000000-0005-0000-0000-0000056E0000}"/>
    <cellStyle name="Total 2 4 2 3 2 2" xfId="17198" xr:uid="{00000000-0005-0000-0000-0000066E0000}"/>
    <cellStyle name="Total 2 4 2 3 2 2 2" xfId="32030" xr:uid="{00000000-0005-0000-0000-0000076E0000}"/>
    <cellStyle name="Total 2 4 2 3 2 3" xfId="19041" xr:uid="{00000000-0005-0000-0000-0000086E0000}"/>
    <cellStyle name="Total 2 4 2 3 3" xfId="13794" xr:uid="{00000000-0005-0000-0000-0000096E0000}"/>
    <cellStyle name="Total 2 4 2 3 3 2" xfId="28626" xr:uid="{00000000-0005-0000-0000-00000A6E0000}"/>
    <cellStyle name="Total 2 4 2 3 4" xfId="10817" xr:uid="{00000000-0005-0000-0000-00000B6E0000}"/>
    <cellStyle name="Total 2 4 2 3 4 2" xfId="25649" xr:uid="{00000000-0005-0000-0000-00000C6E0000}"/>
    <cellStyle name="Total 2 4 2 4" xfId="4431" xr:uid="{00000000-0005-0000-0000-00000D6E0000}"/>
    <cellStyle name="Total 2 4 2 4 2" xfId="8470" xr:uid="{00000000-0005-0000-0000-00000E6E0000}"/>
    <cellStyle name="Total 2 4 2 4 2 2" xfId="17691" xr:uid="{00000000-0005-0000-0000-00000F6E0000}"/>
    <cellStyle name="Total 2 4 2 4 2 2 2" xfId="32523" xr:uid="{00000000-0005-0000-0000-0000106E0000}"/>
    <cellStyle name="Total 2 4 2 4 2 3" xfId="19373" xr:uid="{00000000-0005-0000-0000-0000116E0000}"/>
    <cellStyle name="Total 2 4 2 4 3" xfId="14760" xr:uid="{00000000-0005-0000-0000-0000126E0000}"/>
    <cellStyle name="Total 2 4 2 4 3 2" xfId="29592" xr:uid="{00000000-0005-0000-0000-0000136E0000}"/>
    <cellStyle name="Total 2 4 2 4 4" xfId="11299" xr:uid="{00000000-0005-0000-0000-0000146E0000}"/>
    <cellStyle name="Total 2 4 2 4 4 2" xfId="26131" xr:uid="{00000000-0005-0000-0000-0000156E0000}"/>
    <cellStyle name="Total 2 4 2 5" xfId="2421" xr:uid="{00000000-0005-0000-0000-0000166E0000}"/>
    <cellStyle name="Total 2 4 2 5 2" xfId="6533" xr:uid="{00000000-0005-0000-0000-0000176E0000}"/>
    <cellStyle name="Total 2 4 2 5 2 2" xfId="16589" xr:uid="{00000000-0005-0000-0000-0000186E0000}"/>
    <cellStyle name="Total 2 4 2 5 2 2 2" xfId="31421" xr:uid="{00000000-0005-0000-0000-0000196E0000}"/>
    <cellStyle name="Total 2 4 2 5 2 3" xfId="18661" xr:uid="{00000000-0005-0000-0000-00001A6E0000}"/>
    <cellStyle name="Total 2 4 2 5 3" xfId="12760" xr:uid="{00000000-0005-0000-0000-00001B6E0000}"/>
    <cellStyle name="Total 2 4 2 5 3 2" xfId="27592" xr:uid="{00000000-0005-0000-0000-00001C6E0000}"/>
    <cellStyle name="Total 2 4 2 5 4" xfId="10239" xr:uid="{00000000-0005-0000-0000-00001D6E0000}"/>
    <cellStyle name="Total 2 4 2 5 4 2" xfId="25071" xr:uid="{00000000-0005-0000-0000-00001E6E0000}"/>
    <cellStyle name="Total 2 4 2 6" xfId="5546" xr:uid="{00000000-0005-0000-0000-00001F6E0000}"/>
    <cellStyle name="Total 2 4 2 6 2" xfId="15781" xr:uid="{00000000-0005-0000-0000-0000206E0000}"/>
    <cellStyle name="Total 2 4 2 6 2 2" xfId="30613" xr:uid="{00000000-0005-0000-0000-0000216E0000}"/>
    <cellStyle name="Total 2 4 2 6 3" xfId="18303" xr:uid="{00000000-0005-0000-0000-0000226E0000}"/>
    <cellStyle name="Total 2 4 2 7" xfId="11796" xr:uid="{00000000-0005-0000-0000-0000236E0000}"/>
    <cellStyle name="Total 2 4 2 7 2" xfId="26628" xr:uid="{00000000-0005-0000-0000-0000246E0000}"/>
    <cellStyle name="Total 2 4 2 8" xfId="9467" xr:uid="{00000000-0005-0000-0000-0000256E0000}"/>
    <cellStyle name="Total 2 4 2 8 2" xfId="19771" xr:uid="{00000000-0005-0000-0000-0000266E0000}"/>
    <cellStyle name="Total 2 4 3" xfId="1541" xr:uid="{00000000-0005-0000-0000-0000276E0000}"/>
    <cellStyle name="Total 2 4 3 2" xfId="2038" xr:uid="{00000000-0005-0000-0000-0000286E0000}"/>
    <cellStyle name="Total 2 4 3 2 2" xfId="3494" xr:uid="{00000000-0005-0000-0000-0000296E0000}"/>
    <cellStyle name="Total 2 4 3 2 2 2" xfId="7556" xr:uid="{00000000-0005-0000-0000-00002A6E0000}"/>
    <cellStyle name="Total 2 4 3 2 2 2 2" xfId="17217" xr:uid="{00000000-0005-0000-0000-00002B6E0000}"/>
    <cellStyle name="Total 2 4 3 2 2 2 2 2" xfId="32049" xr:uid="{00000000-0005-0000-0000-00002C6E0000}"/>
    <cellStyle name="Total 2 4 3 2 2 2 3" xfId="19053" xr:uid="{00000000-0005-0000-0000-00002D6E0000}"/>
    <cellStyle name="Total 2 4 3 2 2 3" xfId="13831" xr:uid="{00000000-0005-0000-0000-00002E6E0000}"/>
    <cellStyle name="Total 2 4 3 2 2 3 2" xfId="28663" xr:uid="{00000000-0005-0000-0000-00002F6E0000}"/>
    <cellStyle name="Total 2 4 3 2 2 4" xfId="10835" xr:uid="{00000000-0005-0000-0000-0000306E0000}"/>
    <cellStyle name="Total 2 4 3 2 2 4 2" xfId="25667" xr:uid="{00000000-0005-0000-0000-0000316E0000}"/>
    <cellStyle name="Total 2 4 3 2 3" xfId="5006" xr:uid="{00000000-0005-0000-0000-0000326E0000}"/>
    <cellStyle name="Total 2 4 3 2 3 2" xfId="9045" xr:uid="{00000000-0005-0000-0000-0000336E0000}"/>
    <cellStyle name="Total 2 4 3 2 3 2 2" xfId="17983" xr:uid="{00000000-0005-0000-0000-0000346E0000}"/>
    <cellStyle name="Total 2 4 3 2 3 2 2 2" xfId="32815" xr:uid="{00000000-0005-0000-0000-0000356E0000}"/>
    <cellStyle name="Total 2 4 3 2 3 2 3" xfId="19565" xr:uid="{00000000-0005-0000-0000-0000366E0000}"/>
    <cellStyle name="Total 2 4 3 2 3 3" xfId="15328" xr:uid="{00000000-0005-0000-0000-0000376E0000}"/>
    <cellStyle name="Total 2 4 3 2 3 3 2" xfId="30160" xr:uid="{00000000-0005-0000-0000-0000386E0000}"/>
    <cellStyle name="Total 2 4 3 2 3 4" xfId="11584" xr:uid="{00000000-0005-0000-0000-0000396E0000}"/>
    <cellStyle name="Total 2 4 3 2 3 4 2" xfId="26416" xr:uid="{00000000-0005-0000-0000-00003A6E0000}"/>
    <cellStyle name="Total 2 4 3 2 4" xfId="2996" xr:uid="{00000000-0005-0000-0000-00003B6E0000}"/>
    <cellStyle name="Total 2 4 3 2 4 2" xfId="7076" xr:uid="{00000000-0005-0000-0000-00003C6E0000}"/>
    <cellStyle name="Total 2 4 3 2 4 2 2" xfId="16875" xr:uid="{00000000-0005-0000-0000-00003D6E0000}"/>
    <cellStyle name="Total 2 4 3 2 4 2 2 2" xfId="31707" xr:uid="{00000000-0005-0000-0000-00003E6E0000}"/>
    <cellStyle name="Total 2 4 3 2 4 2 3" xfId="18857" xr:uid="{00000000-0005-0000-0000-00003F6E0000}"/>
    <cellStyle name="Total 2 4 3 2 4 3" xfId="13334" xr:uid="{00000000-0005-0000-0000-0000406E0000}"/>
    <cellStyle name="Total 2 4 3 2 4 3 2" xfId="28166" xr:uid="{00000000-0005-0000-0000-0000416E0000}"/>
    <cellStyle name="Total 2 4 3 2 4 4" xfId="10530" xr:uid="{00000000-0005-0000-0000-0000426E0000}"/>
    <cellStyle name="Total 2 4 3 2 4 4 2" xfId="25362" xr:uid="{00000000-0005-0000-0000-0000436E0000}"/>
    <cellStyle name="Total 2 4 3 2 5" xfId="6168" xr:uid="{00000000-0005-0000-0000-0000446E0000}"/>
    <cellStyle name="Total 2 4 3 2 5 2" xfId="16355" xr:uid="{00000000-0005-0000-0000-0000456E0000}"/>
    <cellStyle name="Total 2 4 3 2 5 2 2" xfId="31187" xr:uid="{00000000-0005-0000-0000-0000466E0000}"/>
    <cellStyle name="Total 2 4 3 2 5 3" xfId="18498" xr:uid="{00000000-0005-0000-0000-0000476E0000}"/>
    <cellStyle name="Total 2 4 3 2 6" xfId="12425" xr:uid="{00000000-0005-0000-0000-0000486E0000}"/>
    <cellStyle name="Total 2 4 3 2 6 2" xfId="27257" xr:uid="{00000000-0005-0000-0000-0000496E0000}"/>
    <cellStyle name="Total 2 4 3 2 7" xfId="10007" xr:uid="{00000000-0005-0000-0000-00004A6E0000}"/>
    <cellStyle name="Total 2 4 3 2 7 2" xfId="24839" xr:uid="{00000000-0005-0000-0000-00004B6E0000}"/>
    <cellStyle name="Total 2 4 3 3" xfId="4303" xr:uid="{00000000-0005-0000-0000-00004C6E0000}"/>
    <cellStyle name="Total 2 4 3 3 2" xfId="8342" xr:uid="{00000000-0005-0000-0000-00004D6E0000}"/>
    <cellStyle name="Total 2 4 3 3 2 2" xfId="17621" xr:uid="{00000000-0005-0000-0000-00004E6E0000}"/>
    <cellStyle name="Total 2 4 3 3 2 2 2" xfId="32453" xr:uid="{00000000-0005-0000-0000-00004F6E0000}"/>
    <cellStyle name="Total 2 4 3 3 2 3" xfId="19327" xr:uid="{00000000-0005-0000-0000-0000506E0000}"/>
    <cellStyle name="Total 2 4 3 3 3" xfId="14634" xr:uid="{00000000-0005-0000-0000-0000516E0000}"/>
    <cellStyle name="Total 2 4 3 3 3 2" xfId="29466" xr:uid="{00000000-0005-0000-0000-0000526E0000}"/>
    <cellStyle name="Total 2 4 3 3 4" xfId="11233" xr:uid="{00000000-0005-0000-0000-0000536E0000}"/>
    <cellStyle name="Total 2 4 3 3 4 2" xfId="26065" xr:uid="{00000000-0005-0000-0000-0000546E0000}"/>
    <cellStyle name="Total 2 4 3 4" xfId="4586" xr:uid="{00000000-0005-0000-0000-0000556E0000}"/>
    <cellStyle name="Total 2 4 3 4 2" xfId="8625" xr:uid="{00000000-0005-0000-0000-0000566E0000}"/>
    <cellStyle name="Total 2 4 3 4 2 2" xfId="17743" xr:uid="{00000000-0005-0000-0000-0000576E0000}"/>
    <cellStyle name="Total 2 4 3 4 2 2 2" xfId="32575" xr:uid="{00000000-0005-0000-0000-0000586E0000}"/>
    <cellStyle name="Total 2 4 3 4 2 3" xfId="19405" xr:uid="{00000000-0005-0000-0000-0000596E0000}"/>
    <cellStyle name="Total 2 4 3 4 3" xfId="14913" xr:uid="{00000000-0005-0000-0000-00005A6E0000}"/>
    <cellStyle name="Total 2 4 3 4 3 2" xfId="29745" xr:uid="{00000000-0005-0000-0000-00005B6E0000}"/>
    <cellStyle name="Total 2 4 3 4 4" xfId="11349" xr:uid="{00000000-0005-0000-0000-00005C6E0000}"/>
    <cellStyle name="Total 2 4 3 4 4 2" xfId="26181" xr:uid="{00000000-0005-0000-0000-00005D6E0000}"/>
    <cellStyle name="Total 2 4 3 5" xfId="2576" xr:uid="{00000000-0005-0000-0000-00005E6E0000}"/>
    <cellStyle name="Total 2 4 3 5 2" xfId="6682" xr:uid="{00000000-0005-0000-0000-00005F6E0000}"/>
    <cellStyle name="Total 2 4 3 5 2 2" xfId="16640" xr:uid="{00000000-0005-0000-0000-0000606E0000}"/>
    <cellStyle name="Total 2 4 3 5 2 2 2" xfId="31472" xr:uid="{00000000-0005-0000-0000-0000616E0000}"/>
    <cellStyle name="Total 2 4 3 5 2 3" xfId="18693" xr:uid="{00000000-0005-0000-0000-0000626E0000}"/>
    <cellStyle name="Total 2 4 3 5 3" xfId="12914" xr:uid="{00000000-0005-0000-0000-0000636E0000}"/>
    <cellStyle name="Total 2 4 3 5 3 2" xfId="27746" xr:uid="{00000000-0005-0000-0000-0000646E0000}"/>
    <cellStyle name="Total 2 4 3 5 4" xfId="10290" xr:uid="{00000000-0005-0000-0000-0000656E0000}"/>
    <cellStyle name="Total 2 4 3 5 4 2" xfId="25122" xr:uid="{00000000-0005-0000-0000-0000666E0000}"/>
    <cellStyle name="Total 2 4 3 6" xfId="5699" xr:uid="{00000000-0005-0000-0000-0000676E0000}"/>
    <cellStyle name="Total 2 4 3 6 2" xfId="15934" xr:uid="{00000000-0005-0000-0000-0000686E0000}"/>
    <cellStyle name="Total 2 4 3 6 2 2" xfId="30766" xr:uid="{00000000-0005-0000-0000-0000696E0000}"/>
    <cellStyle name="Total 2 4 3 6 3" xfId="18335" xr:uid="{00000000-0005-0000-0000-00006A6E0000}"/>
    <cellStyle name="Total 2 4 3 7" xfId="11954" xr:uid="{00000000-0005-0000-0000-00006B6E0000}"/>
    <cellStyle name="Total 2 4 3 7 2" xfId="26786" xr:uid="{00000000-0005-0000-0000-00006C6E0000}"/>
    <cellStyle name="Total 2 4 3 8" xfId="9612" xr:uid="{00000000-0005-0000-0000-00006D6E0000}"/>
    <cellStyle name="Total 2 4 3 8 2" xfId="19914" xr:uid="{00000000-0005-0000-0000-00006E6E0000}"/>
    <cellStyle name="Total 2 4 4" xfId="1594" xr:uid="{00000000-0005-0000-0000-00006F6E0000}"/>
    <cellStyle name="Total 2 4 4 2" xfId="2091" xr:uid="{00000000-0005-0000-0000-0000706E0000}"/>
    <cellStyle name="Total 2 4 4 2 2" xfId="3873" xr:uid="{00000000-0005-0000-0000-0000716E0000}"/>
    <cellStyle name="Total 2 4 4 2 2 2" xfId="7925" xr:uid="{00000000-0005-0000-0000-0000726E0000}"/>
    <cellStyle name="Total 2 4 4 2 2 2 2" xfId="17404" xr:uid="{00000000-0005-0000-0000-0000736E0000}"/>
    <cellStyle name="Total 2 4 4 2 2 2 2 2" xfId="32236" xr:uid="{00000000-0005-0000-0000-0000746E0000}"/>
    <cellStyle name="Total 2 4 4 2 2 2 3" xfId="19182" xr:uid="{00000000-0005-0000-0000-0000756E0000}"/>
    <cellStyle name="Total 2 4 4 2 2 3" xfId="14208" xr:uid="{00000000-0005-0000-0000-0000766E0000}"/>
    <cellStyle name="Total 2 4 4 2 2 3 2" xfId="29040" xr:uid="{00000000-0005-0000-0000-0000776E0000}"/>
    <cellStyle name="Total 2 4 4 2 2 4" xfId="11023" xr:uid="{00000000-0005-0000-0000-0000786E0000}"/>
    <cellStyle name="Total 2 4 4 2 2 4 2" xfId="25855" xr:uid="{00000000-0005-0000-0000-0000796E0000}"/>
    <cellStyle name="Total 2 4 4 2 3" xfId="5059" xr:uid="{00000000-0005-0000-0000-00007A6E0000}"/>
    <cellStyle name="Total 2 4 4 2 3 2" xfId="9098" xr:uid="{00000000-0005-0000-0000-00007B6E0000}"/>
    <cellStyle name="Total 2 4 4 2 3 2 2" xfId="18031" xr:uid="{00000000-0005-0000-0000-00007C6E0000}"/>
    <cellStyle name="Total 2 4 4 2 3 2 2 2" xfId="32863" xr:uid="{00000000-0005-0000-0000-00007D6E0000}"/>
    <cellStyle name="Total 2 4 4 2 3 2 3" xfId="19597" xr:uid="{00000000-0005-0000-0000-00007E6E0000}"/>
    <cellStyle name="Total 2 4 4 2 3 3" xfId="15380" xr:uid="{00000000-0005-0000-0000-00007F6E0000}"/>
    <cellStyle name="Total 2 4 4 2 3 3 2" xfId="30212" xr:uid="{00000000-0005-0000-0000-0000806E0000}"/>
    <cellStyle name="Total 2 4 4 2 3 4" xfId="11631" xr:uid="{00000000-0005-0000-0000-0000816E0000}"/>
    <cellStyle name="Total 2 4 4 2 3 4 2" xfId="26463" xr:uid="{00000000-0005-0000-0000-0000826E0000}"/>
    <cellStyle name="Total 2 4 4 2 4" xfId="3049" xr:uid="{00000000-0005-0000-0000-0000836E0000}"/>
    <cellStyle name="Total 2 4 4 2 4 2" xfId="7124" xr:uid="{00000000-0005-0000-0000-0000846E0000}"/>
    <cellStyle name="Total 2 4 4 2 4 2 2" xfId="16922" xr:uid="{00000000-0005-0000-0000-0000856E0000}"/>
    <cellStyle name="Total 2 4 4 2 4 2 2 2" xfId="31754" xr:uid="{00000000-0005-0000-0000-0000866E0000}"/>
    <cellStyle name="Total 2 4 4 2 4 2 3" xfId="18890" xr:uid="{00000000-0005-0000-0000-0000876E0000}"/>
    <cellStyle name="Total 2 4 4 2 4 3" xfId="13387" xr:uid="{00000000-0005-0000-0000-0000886E0000}"/>
    <cellStyle name="Total 2 4 4 2 4 3 2" xfId="28219" xr:uid="{00000000-0005-0000-0000-0000896E0000}"/>
    <cellStyle name="Total 2 4 4 2 4 4" xfId="10578" xr:uid="{00000000-0005-0000-0000-00008A6E0000}"/>
    <cellStyle name="Total 2 4 4 2 4 4 2" xfId="25410" xr:uid="{00000000-0005-0000-0000-00008B6E0000}"/>
    <cellStyle name="Total 2 4 4 2 5" xfId="6216" xr:uid="{00000000-0005-0000-0000-00008C6E0000}"/>
    <cellStyle name="Total 2 4 4 2 5 2" xfId="16402" xr:uid="{00000000-0005-0000-0000-00008D6E0000}"/>
    <cellStyle name="Total 2 4 4 2 5 2 2" xfId="31234" xr:uid="{00000000-0005-0000-0000-00008E6E0000}"/>
    <cellStyle name="Total 2 4 4 2 5 3" xfId="18531" xr:uid="{00000000-0005-0000-0000-00008F6E0000}"/>
    <cellStyle name="Total 2 4 4 2 6" xfId="12472" xr:uid="{00000000-0005-0000-0000-0000906E0000}"/>
    <cellStyle name="Total 2 4 4 2 6 2" xfId="27304" xr:uid="{00000000-0005-0000-0000-0000916E0000}"/>
    <cellStyle name="Total 2 4 4 2 7" xfId="10054" xr:uid="{00000000-0005-0000-0000-0000926E0000}"/>
    <cellStyle name="Total 2 4 4 2 7 2" xfId="24886" xr:uid="{00000000-0005-0000-0000-0000936E0000}"/>
    <cellStyle name="Total 2 4 4 3" xfId="3367" xr:uid="{00000000-0005-0000-0000-0000946E0000}"/>
    <cellStyle name="Total 2 4 4 3 2" xfId="7430" xr:uid="{00000000-0005-0000-0000-0000956E0000}"/>
    <cellStyle name="Total 2 4 4 3 2 2" xfId="17141" xr:uid="{00000000-0005-0000-0000-0000966E0000}"/>
    <cellStyle name="Total 2 4 4 3 2 2 2" xfId="31973" xr:uid="{00000000-0005-0000-0000-0000976E0000}"/>
    <cellStyle name="Total 2 4 4 3 2 3" xfId="19010" xr:uid="{00000000-0005-0000-0000-0000986E0000}"/>
    <cellStyle name="Total 2 4 4 3 3" xfId="13704" xr:uid="{00000000-0005-0000-0000-0000996E0000}"/>
    <cellStyle name="Total 2 4 4 3 3 2" xfId="28536" xr:uid="{00000000-0005-0000-0000-00009A6E0000}"/>
    <cellStyle name="Total 2 4 4 3 4" xfId="10760" xr:uid="{00000000-0005-0000-0000-00009B6E0000}"/>
    <cellStyle name="Total 2 4 4 3 4 2" xfId="25592" xr:uid="{00000000-0005-0000-0000-00009C6E0000}"/>
    <cellStyle name="Total 2 4 4 4" xfId="4639" xr:uid="{00000000-0005-0000-0000-00009D6E0000}"/>
    <cellStyle name="Total 2 4 4 4 2" xfId="8678" xr:uid="{00000000-0005-0000-0000-00009E6E0000}"/>
    <cellStyle name="Total 2 4 4 4 2 2" xfId="17791" xr:uid="{00000000-0005-0000-0000-00009F6E0000}"/>
    <cellStyle name="Total 2 4 4 4 2 2 2" xfId="32623" xr:uid="{00000000-0005-0000-0000-0000A06E0000}"/>
    <cellStyle name="Total 2 4 4 4 2 3" xfId="19437" xr:uid="{00000000-0005-0000-0000-0000A16E0000}"/>
    <cellStyle name="Total 2 4 4 4 3" xfId="14965" xr:uid="{00000000-0005-0000-0000-0000A26E0000}"/>
    <cellStyle name="Total 2 4 4 4 3 2" xfId="29797" xr:uid="{00000000-0005-0000-0000-0000A36E0000}"/>
    <cellStyle name="Total 2 4 4 4 4" xfId="11396" xr:uid="{00000000-0005-0000-0000-0000A46E0000}"/>
    <cellStyle name="Total 2 4 4 4 4 2" xfId="26228" xr:uid="{00000000-0005-0000-0000-0000A56E0000}"/>
    <cellStyle name="Total 2 4 4 5" xfId="2629" xr:uid="{00000000-0005-0000-0000-0000A66E0000}"/>
    <cellStyle name="Total 2 4 4 5 2" xfId="6730" xr:uid="{00000000-0005-0000-0000-0000A76E0000}"/>
    <cellStyle name="Total 2 4 4 5 2 2" xfId="16687" xr:uid="{00000000-0005-0000-0000-0000A86E0000}"/>
    <cellStyle name="Total 2 4 4 5 2 2 2" xfId="31519" xr:uid="{00000000-0005-0000-0000-0000A96E0000}"/>
    <cellStyle name="Total 2 4 4 5 2 3" xfId="18726" xr:uid="{00000000-0005-0000-0000-0000AA6E0000}"/>
    <cellStyle name="Total 2 4 4 5 3" xfId="12967" xr:uid="{00000000-0005-0000-0000-0000AB6E0000}"/>
    <cellStyle name="Total 2 4 4 5 3 2" xfId="27799" xr:uid="{00000000-0005-0000-0000-0000AC6E0000}"/>
    <cellStyle name="Total 2 4 4 5 4" xfId="10338" xr:uid="{00000000-0005-0000-0000-0000AD6E0000}"/>
    <cellStyle name="Total 2 4 4 5 4 2" xfId="25170" xr:uid="{00000000-0005-0000-0000-0000AE6E0000}"/>
    <cellStyle name="Total 2 4 4 6" xfId="5746" xr:uid="{00000000-0005-0000-0000-0000AF6E0000}"/>
    <cellStyle name="Total 2 4 4 6 2" xfId="15981" xr:uid="{00000000-0005-0000-0000-0000B06E0000}"/>
    <cellStyle name="Total 2 4 4 6 2 2" xfId="30813" xr:uid="{00000000-0005-0000-0000-0000B16E0000}"/>
    <cellStyle name="Total 2 4 4 6 3" xfId="18367" xr:uid="{00000000-0005-0000-0000-0000B26E0000}"/>
    <cellStyle name="Total 2 4 4 7" xfId="12001" xr:uid="{00000000-0005-0000-0000-0000B36E0000}"/>
    <cellStyle name="Total 2 4 4 7 2" xfId="26833" xr:uid="{00000000-0005-0000-0000-0000B46E0000}"/>
    <cellStyle name="Total 2 4 4 8" xfId="9660" xr:uid="{00000000-0005-0000-0000-0000B56E0000}"/>
    <cellStyle name="Total 2 4 4 8 2" xfId="19961" xr:uid="{00000000-0005-0000-0000-0000B66E0000}"/>
    <cellStyle name="Total 2 4 5" xfId="1644" xr:uid="{00000000-0005-0000-0000-0000B76E0000}"/>
    <cellStyle name="Total 2 4 5 2" xfId="2141" xr:uid="{00000000-0005-0000-0000-0000B86E0000}"/>
    <cellStyle name="Total 2 4 5 2 2" xfId="3536" xr:uid="{00000000-0005-0000-0000-0000B96E0000}"/>
    <cellStyle name="Total 2 4 5 2 2 2" xfId="7598" xr:uid="{00000000-0005-0000-0000-0000BA6E0000}"/>
    <cellStyle name="Total 2 4 5 2 2 2 2" xfId="17242" xr:uid="{00000000-0005-0000-0000-0000BB6E0000}"/>
    <cellStyle name="Total 2 4 5 2 2 2 2 2" xfId="32074" xr:uid="{00000000-0005-0000-0000-0000BC6E0000}"/>
    <cellStyle name="Total 2 4 5 2 2 2 3" xfId="19069" xr:uid="{00000000-0005-0000-0000-0000BD6E0000}"/>
    <cellStyle name="Total 2 4 5 2 2 3" xfId="13873" xr:uid="{00000000-0005-0000-0000-0000BE6E0000}"/>
    <cellStyle name="Total 2 4 5 2 2 3 2" xfId="28705" xr:uid="{00000000-0005-0000-0000-0000BF6E0000}"/>
    <cellStyle name="Total 2 4 5 2 2 4" xfId="10860" xr:uid="{00000000-0005-0000-0000-0000C06E0000}"/>
    <cellStyle name="Total 2 4 5 2 2 4 2" xfId="25692" xr:uid="{00000000-0005-0000-0000-0000C16E0000}"/>
    <cellStyle name="Total 2 4 5 2 3" xfId="5109" xr:uid="{00000000-0005-0000-0000-0000C26E0000}"/>
    <cellStyle name="Total 2 4 5 2 3 2" xfId="9148" xr:uid="{00000000-0005-0000-0000-0000C36E0000}"/>
    <cellStyle name="Total 2 4 5 2 3 2 2" xfId="18076" xr:uid="{00000000-0005-0000-0000-0000C46E0000}"/>
    <cellStyle name="Total 2 4 5 2 3 2 2 2" xfId="32908" xr:uid="{00000000-0005-0000-0000-0000C56E0000}"/>
    <cellStyle name="Total 2 4 5 2 3 2 3" xfId="19629" xr:uid="{00000000-0005-0000-0000-0000C66E0000}"/>
    <cellStyle name="Total 2 4 5 2 3 3" xfId="15429" xr:uid="{00000000-0005-0000-0000-0000C76E0000}"/>
    <cellStyle name="Total 2 4 5 2 3 3 2" xfId="30261" xr:uid="{00000000-0005-0000-0000-0000C86E0000}"/>
    <cellStyle name="Total 2 4 5 2 3 4" xfId="11675" xr:uid="{00000000-0005-0000-0000-0000C96E0000}"/>
    <cellStyle name="Total 2 4 5 2 3 4 2" xfId="26507" xr:uid="{00000000-0005-0000-0000-0000CA6E0000}"/>
    <cellStyle name="Total 2 4 5 2 4" xfId="3099" xr:uid="{00000000-0005-0000-0000-0000CB6E0000}"/>
    <cellStyle name="Total 2 4 5 2 4 2" xfId="7169" xr:uid="{00000000-0005-0000-0000-0000CC6E0000}"/>
    <cellStyle name="Total 2 4 5 2 4 2 2" xfId="16966" xr:uid="{00000000-0005-0000-0000-0000CD6E0000}"/>
    <cellStyle name="Total 2 4 5 2 4 2 2 2" xfId="31798" xr:uid="{00000000-0005-0000-0000-0000CE6E0000}"/>
    <cellStyle name="Total 2 4 5 2 4 2 3" xfId="18923" xr:uid="{00000000-0005-0000-0000-0000CF6E0000}"/>
    <cellStyle name="Total 2 4 5 2 4 3" xfId="13437" xr:uid="{00000000-0005-0000-0000-0000D06E0000}"/>
    <cellStyle name="Total 2 4 5 2 4 3 2" xfId="28269" xr:uid="{00000000-0005-0000-0000-0000D16E0000}"/>
    <cellStyle name="Total 2 4 5 2 4 4" xfId="10623" xr:uid="{00000000-0005-0000-0000-0000D26E0000}"/>
    <cellStyle name="Total 2 4 5 2 4 4 2" xfId="25455" xr:uid="{00000000-0005-0000-0000-0000D36E0000}"/>
    <cellStyle name="Total 2 4 5 2 5" xfId="6261" xr:uid="{00000000-0005-0000-0000-0000D46E0000}"/>
    <cellStyle name="Total 2 4 5 2 5 2" xfId="16446" xr:uid="{00000000-0005-0000-0000-0000D56E0000}"/>
    <cellStyle name="Total 2 4 5 2 5 2 2" xfId="31278" xr:uid="{00000000-0005-0000-0000-0000D66E0000}"/>
    <cellStyle name="Total 2 4 5 2 5 3" xfId="18564" xr:uid="{00000000-0005-0000-0000-0000D76E0000}"/>
    <cellStyle name="Total 2 4 5 2 6" xfId="12516" xr:uid="{00000000-0005-0000-0000-0000D86E0000}"/>
    <cellStyle name="Total 2 4 5 2 6 2" xfId="27348" xr:uid="{00000000-0005-0000-0000-0000D96E0000}"/>
    <cellStyle name="Total 2 4 5 2 7" xfId="10098" xr:uid="{00000000-0005-0000-0000-0000DA6E0000}"/>
    <cellStyle name="Total 2 4 5 2 7 2" xfId="24930" xr:uid="{00000000-0005-0000-0000-0000DB6E0000}"/>
    <cellStyle name="Total 2 4 5 3" xfId="3574" xr:uid="{00000000-0005-0000-0000-0000DC6E0000}"/>
    <cellStyle name="Total 2 4 5 3 2" xfId="7636" xr:uid="{00000000-0005-0000-0000-0000DD6E0000}"/>
    <cellStyle name="Total 2 4 5 3 2 2" xfId="17264" xr:uid="{00000000-0005-0000-0000-0000DE6E0000}"/>
    <cellStyle name="Total 2 4 5 3 2 2 2" xfId="32096" xr:uid="{00000000-0005-0000-0000-0000DF6E0000}"/>
    <cellStyle name="Total 2 4 5 3 2 3" xfId="19087" xr:uid="{00000000-0005-0000-0000-0000E06E0000}"/>
    <cellStyle name="Total 2 4 5 3 3" xfId="13910" xr:uid="{00000000-0005-0000-0000-0000E16E0000}"/>
    <cellStyle name="Total 2 4 5 3 3 2" xfId="28742" xr:uid="{00000000-0005-0000-0000-0000E26E0000}"/>
    <cellStyle name="Total 2 4 5 3 4" xfId="10881" xr:uid="{00000000-0005-0000-0000-0000E36E0000}"/>
    <cellStyle name="Total 2 4 5 3 4 2" xfId="25713" xr:uid="{00000000-0005-0000-0000-0000E46E0000}"/>
    <cellStyle name="Total 2 4 5 4" xfId="4689" xr:uid="{00000000-0005-0000-0000-0000E56E0000}"/>
    <cellStyle name="Total 2 4 5 4 2" xfId="8728" xr:uid="{00000000-0005-0000-0000-0000E66E0000}"/>
    <cellStyle name="Total 2 4 5 4 2 2" xfId="17836" xr:uid="{00000000-0005-0000-0000-0000E76E0000}"/>
    <cellStyle name="Total 2 4 5 4 2 2 2" xfId="32668" xr:uid="{00000000-0005-0000-0000-0000E86E0000}"/>
    <cellStyle name="Total 2 4 5 4 2 3" xfId="19469" xr:uid="{00000000-0005-0000-0000-0000E96E0000}"/>
    <cellStyle name="Total 2 4 5 4 3" xfId="15014" xr:uid="{00000000-0005-0000-0000-0000EA6E0000}"/>
    <cellStyle name="Total 2 4 5 4 3 2" xfId="29846" xr:uid="{00000000-0005-0000-0000-0000EB6E0000}"/>
    <cellStyle name="Total 2 4 5 4 4" xfId="11440" xr:uid="{00000000-0005-0000-0000-0000EC6E0000}"/>
    <cellStyle name="Total 2 4 5 4 4 2" xfId="26272" xr:uid="{00000000-0005-0000-0000-0000ED6E0000}"/>
    <cellStyle name="Total 2 4 5 5" xfId="2679" xr:uid="{00000000-0005-0000-0000-0000EE6E0000}"/>
    <cellStyle name="Total 2 4 5 5 2" xfId="6775" xr:uid="{00000000-0005-0000-0000-0000EF6E0000}"/>
    <cellStyle name="Total 2 4 5 5 2 2" xfId="16731" xr:uid="{00000000-0005-0000-0000-0000F06E0000}"/>
    <cellStyle name="Total 2 4 5 5 2 2 2" xfId="31563" xr:uid="{00000000-0005-0000-0000-0000F16E0000}"/>
    <cellStyle name="Total 2 4 5 5 2 3" xfId="18759" xr:uid="{00000000-0005-0000-0000-0000F26E0000}"/>
    <cellStyle name="Total 2 4 5 5 3" xfId="13017" xr:uid="{00000000-0005-0000-0000-0000F36E0000}"/>
    <cellStyle name="Total 2 4 5 5 3 2" xfId="27849" xr:uid="{00000000-0005-0000-0000-0000F46E0000}"/>
    <cellStyle name="Total 2 4 5 5 4" xfId="10383" xr:uid="{00000000-0005-0000-0000-0000F56E0000}"/>
    <cellStyle name="Total 2 4 5 5 4 2" xfId="25215" xr:uid="{00000000-0005-0000-0000-0000F66E0000}"/>
    <cellStyle name="Total 2 4 5 6" xfId="5791" xr:uid="{00000000-0005-0000-0000-0000F76E0000}"/>
    <cellStyle name="Total 2 4 5 6 2" xfId="16025" xr:uid="{00000000-0005-0000-0000-0000F86E0000}"/>
    <cellStyle name="Total 2 4 5 6 2 2" xfId="30857" xr:uid="{00000000-0005-0000-0000-0000F96E0000}"/>
    <cellStyle name="Total 2 4 5 6 3" xfId="18400" xr:uid="{00000000-0005-0000-0000-0000FA6E0000}"/>
    <cellStyle name="Total 2 4 5 7" xfId="12045" xr:uid="{00000000-0005-0000-0000-0000FB6E0000}"/>
    <cellStyle name="Total 2 4 5 7 2" xfId="26877" xr:uid="{00000000-0005-0000-0000-0000FC6E0000}"/>
    <cellStyle name="Total 2 4 5 8" xfId="9705" xr:uid="{00000000-0005-0000-0000-0000FD6E0000}"/>
    <cellStyle name="Total 2 4 5 8 2" xfId="20005" xr:uid="{00000000-0005-0000-0000-0000FE6E0000}"/>
    <cellStyle name="Total 2 4 6" xfId="1795" xr:uid="{00000000-0005-0000-0000-0000FF6E0000}"/>
    <cellStyle name="Total 2 4 6 2" xfId="3953" xr:uid="{00000000-0005-0000-0000-0000006F0000}"/>
    <cellStyle name="Total 2 4 6 2 2" xfId="8003" xr:uid="{00000000-0005-0000-0000-0000016F0000}"/>
    <cellStyle name="Total 2 4 6 2 2 2" xfId="17445" xr:uid="{00000000-0005-0000-0000-0000026F0000}"/>
    <cellStyle name="Total 2 4 6 2 2 2 2" xfId="32277" xr:uid="{00000000-0005-0000-0000-0000036F0000}"/>
    <cellStyle name="Total 2 4 6 2 2 3" xfId="19212" xr:uid="{00000000-0005-0000-0000-0000046F0000}"/>
    <cellStyle name="Total 2 4 6 2 3" xfId="14286" xr:uid="{00000000-0005-0000-0000-0000056F0000}"/>
    <cellStyle name="Total 2 4 6 2 3 2" xfId="29118" xr:uid="{00000000-0005-0000-0000-0000066F0000}"/>
    <cellStyle name="Total 2 4 6 2 4" xfId="11060" xr:uid="{00000000-0005-0000-0000-0000076F0000}"/>
    <cellStyle name="Total 2 4 6 2 4 2" xfId="25892" xr:uid="{00000000-0005-0000-0000-0000086F0000}"/>
    <cellStyle name="Total 2 4 6 3" xfId="4773" xr:uid="{00000000-0005-0000-0000-0000096F0000}"/>
    <cellStyle name="Total 2 4 6 3 2" xfId="8812" xr:uid="{00000000-0005-0000-0000-00000A6F0000}"/>
    <cellStyle name="Total 2 4 6 3 2 2" xfId="17884" xr:uid="{00000000-0005-0000-0000-00000B6F0000}"/>
    <cellStyle name="Total 2 4 6 3 2 2 2" xfId="32716" xr:uid="{00000000-0005-0000-0000-00000C6F0000}"/>
    <cellStyle name="Total 2 4 6 3 2 3" xfId="19501" xr:uid="{00000000-0005-0000-0000-00000D6F0000}"/>
    <cellStyle name="Total 2 4 6 3 3" xfId="15097" xr:uid="{00000000-0005-0000-0000-00000E6F0000}"/>
    <cellStyle name="Total 2 4 6 3 3 2" xfId="29929" xr:uid="{00000000-0005-0000-0000-00000F6F0000}"/>
    <cellStyle name="Total 2 4 6 3 4" xfId="11487" xr:uid="{00000000-0005-0000-0000-0000106F0000}"/>
    <cellStyle name="Total 2 4 6 3 4 2" xfId="26319" xr:uid="{00000000-0005-0000-0000-0000116F0000}"/>
    <cellStyle name="Total 2 4 6 4" xfId="2763" xr:uid="{00000000-0005-0000-0000-0000126F0000}"/>
    <cellStyle name="Total 2 4 6 4 2" xfId="6854" xr:uid="{00000000-0005-0000-0000-0000136F0000}"/>
    <cellStyle name="Total 2 4 6 4 2 2" xfId="16778" xr:uid="{00000000-0005-0000-0000-0000146F0000}"/>
    <cellStyle name="Total 2 4 6 4 2 2 2" xfId="31610" xr:uid="{00000000-0005-0000-0000-0000156F0000}"/>
    <cellStyle name="Total 2 4 6 4 2 3" xfId="18792" xr:uid="{00000000-0005-0000-0000-0000166F0000}"/>
    <cellStyle name="Total 2 4 6 4 3" xfId="13101" xr:uid="{00000000-0005-0000-0000-0000176F0000}"/>
    <cellStyle name="Total 2 4 6 4 3 2" xfId="27933" xr:uid="{00000000-0005-0000-0000-0000186F0000}"/>
    <cellStyle name="Total 2 4 6 4 4" xfId="10431" xr:uid="{00000000-0005-0000-0000-0000196F0000}"/>
    <cellStyle name="Total 2 4 6 4 4 2" xfId="25263" xr:uid="{00000000-0005-0000-0000-00001A6F0000}"/>
    <cellStyle name="Total 2 4 6 5" xfId="5927" xr:uid="{00000000-0005-0000-0000-00001B6F0000}"/>
    <cellStyle name="Total 2 4 6 5 2" xfId="16119" xr:uid="{00000000-0005-0000-0000-00001C6F0000}"/>
    <cellStyle name="Total 2 4 6 5 2 2" xfId="30951" xr:uid="{00000000-0005-0000-0000-00001D6F0000}"/>
    <cellStyle name="Total 2 4 6 5 3" xfId="18434" xr:uid="{00000000-0005-0000-0000-00001E6F0000}"/>
    <cellStyle name="Total 2 4 6 6" xfId="12189" xr:uid="{00000000-0005-0000-0000-00001F6F0000}"/>
    <cellStyle name="Total 2 4 6 6 2" xfId="27021" xr:uid="{00000000-0005-0000-0000-0000206F0000}"/>
    <cellStyle name="Total 2 4 6 7" xfId="9785" xr:uid="{00000000-0005-0000-0000-0000216F0000}"/>
    <cellStyle name="Total 2 4 6 7 2" xfId="24742" xr:uid="{00000000-0005-0000-0000-0000226F0000}"/>
    <cellStyle name="Total 2 4 7" xfId="2171" xr:uid="{00000000-0005-0000-0000-0000236F0000}"/>
    <cellStyle name="Total 2 4 7 2" xfId="3762" xr:uid="{00000000-0005-0000-0000-0000246F0000}"/>
    <cellStyle name="Total 2 4 7 2 2" xfId="7818" xr:uid="{00000000-0005-0000-0000-0000256F0000}"/>
    <cellStyle name="Total 2 4 7 2 2 2" xfId="17353" xr:uid="{00000000-0005-0000-0000-0000266F0000}"/>
    <cellStyle name="Total 2 4 7 2 2 2 2" xfId="32185" xr:uid="{00000000-0005-0000-0000-0000276F0000}"/>
    <cellStyle name="Total 2 4 7 2 2 3" xfId="19147" xr:uid="{00000000-0005-0000-0000-0000286F0000}"/>
    <cellStyle name="Total 2 4 7 2 3" xfId="14097" xr:uid="{00000000-0005-0000-0000-0000296F0000}"/>
    <cellStyle name="Total 2 4 7 2 3 2" xfId="28929" xr:uid="{00000000-0005-0000-0000-00002A6F0000}"/>
    <cellStyle name="Total 2 4 7 2 4" xfId="10969" xr:uid="{00000000-0005-0000-0000-00002B6F0000}"/>
    <cellStyle name="Total 2 4 7 2 4 2" xfId="25801" xr:uid="{00000000-0005-0000-0000-00002C6F0000}"/>
    <cellStyle name="Total 2 4 7 3" xfId="5139" xr:uid="{00000000-0005-0000-0000-00002D6F0000}"/>
    <cellStyle name="Total 2 4 7 3 2" xfId="9178" xr:uid="{00000000-0005-0000-0000-00002E6F0000}"/>
    <cellStyle name="Total 2 4 7 3 2 2" xfId="18101" xr:uid="{00000000-0005-0000-0000-00002F6F0000}"/>
    <cellStyle name="Total 2 4 7 3 2 2 2" xfId="32933" xr:uid="{00000000-0005-0000-0000-0000306F0000}"/>
    <cellStyle name="Total 2 4 7 3 2 3" xfId="19652" xr:uid="{00000000-0005-0000-0000-0000316F0000}"/>
    <cellStyle name="Total 2 4 7 3 3" xfId="15457" xr:uid="{00000000-0005-0000-0000-0000326F0000}"/>
    <cellStyle name="Total 2 4 7 3 3 2" xfId="30289" xr:uid="{00000000-0005-0000-0000-0000336F0000}"/>
    <cellStyle name="Total 2 4 7 3 4" xfId="11698" xr:uid="{00000000-0005-0000-0000-0000346F0000}"/>
    <cellStyle name="Total 2 4 7 3 4 2" xfId="26530" xr:uid="{00000000-0005-0000-0000-0000356F0000}"/>
    <cellStyle name="Total 2 4 7 4" xfId="4169" xr:uid="{00000000-0005-0000-0000-0000366F0000}"/>
    <cellStyle name="Total 2 4 7 4 2" xfId="8210" xr:uid="{00000000-0005-0000-0000-0000376F0000}"/>
    <cellStyle name="Total 2 4 7 4 2 2" xfId="17557" xr:uid="{00000000-0005-0000-0000-0000386F0000}"/>
    <cellStyle name="Total 2 4 7 4 2 2 2" xfId="32389" xr:uid="{00000000-0005-0000-0000-0000396F0000}"/>
    <cellStyle name="Total 2 4 7 4 2 3" xfId="19295" xr:uid="{00000000-0005-0000-0000-00003A6F0000}"/>
    <cellStyle name="Total 2 4 7 4 3" xfId="14501" xr:uid="{00000000-0005-0000-0000-00003B6F0000}"/>
    <cellStyle name="Total 2 4 7 4 3 2" xfId="29333" xr:uid="{00000000-0005-0000-0000-00003C6F0000}"/>
    <cellStyle name="Total 2 4 7 4 4" xfId="11177" xr:uid="{00000000-0005-0000-0000-00003D6F0000}"/>
    <cellStyle name="Total 2 4 7 4 4 2" xfId="26009" xr:uid="{00000000-0005-0000-0000-00003E6F0000}"/>
    <cellStyle name="Total 2 4 7 5" xfId="6285" xr:uid="{00000000-0005-0000-0000-00003F6F0000}"/>
    <cellStyle name="Total 2 4 7 5 2" xfId="16469" xr:uid="{00000000-0005-0000-0000-0000406F0000}"/>
    <cellStyle name="Total 2 4 7 5 2 2" xfId="31301" xr:uid="{00000000-0005-0000-0000-0000416F0000}"/>
    <cellStyle name="Total 2 4 7 5 3" xfId="18588" xr:uid="{00000000-0005-0000-0000-0000426F0000}"/>
    <cellStyle name="Total 2 4 7 6" xfId="12539" xr:uid="{00000000-0005-0000-0000-0000436F0000}"/>
    <cellStyle name="Total 2 4 7 6 2" xfId="27371" xr:uid="{00000000-0005-0000-0000-0000446F0000}"/>
    <cellStyle name="Total 2 4 7 7" xfId="10121" xr:uid="{00000000-0005-0000-0000-0000456F0000}"/>
    <cellStyle name="Total 2 4 7 7 2" xfId="24953" xr:uid="{00000000-0005-0000-0000-0000466F0000}"/>
    <cellStyle name="Total 2 4 8" xfId="3369" xr:uid="{00000000-0005-0000-0000-0000476F0000}"/>
    <cellStyle name="Total 2 4 8 2" xfId="7432" xr:uid="{00000000-0005-0000-0000-0000486F0000}"/>
    <cellStyle name="Total 2 4 8 2 2" xfId="17143" xr:uid="{00000000-0005-0000-0000-0000496F0000}"/>
    <cellStyle name="Total 2 4 8 2 2 2" xfId="31975" xr:uid="{00000000-0005-0000-0000-00004A6F0000}"/>
    <cellStyle name="Total 2 4 8 2 3" xfId="19012" xr:uid="{00000000-0005-0000-0000-00004B6F0000}"/>
    <cellStyle name="Total 2 4 8 3" xfId="13706" xr:uid="{00000000-0005-0000-0000-00004C6F0000}"/>
    <cellStyle name="Total 2 4 8 3 2" xfId="28538" xr:uid="{00000000-0005-0000-0000-00004D6F0000}"/>
    <cellStyle name="Total 2 4 8 4" xfId="10762" xr:uid="{00000000-0005-0000-0000-00004E6F0000}"/>
    <cellStyle name="Total 2 4 8 4 2" xfId="25594" xr:uid="{00000000-0005-0000-0000-00004F6F0000}"/>
    <cellStyle name="Total 2 4 9" xfId="3230" xr:uid="{00000000-0005-0000-0000-0000506F0000}"/>
    <cellStyle name="Total 2 4 9 2" xfId="7294" xr:uid="{00000000-0005-0000-0000-0000516F0000}"/>
    <cellStyle name="Total 2 4 9 2 2" xfId="17054" xr:uid="{00000000-0005-0000-0000-0000526F0000}"/>
    <cellStyle name="Total 2 4 9 2 2 2" xfId="31886" xr:uid="{00000000-0005-0000-0000-0000536F0000}"/>
    <cellStyle name="Total 2 4 9 2 3" xfId="18970" xr:uid="{00000000-0005-0000-0000-0000546F0000}"/>
    <cellStyle name="Total 2 4 9 3" xfId="13568" xr:uid="{00000000-0005-0000-0000-0000556F0000}"/>
    <cellStyle name="Total 2 4 9 3 2" xfId="28400" xr:uid="{00000000-0005-0000-0000-0000566F0000}"/>
    <cellStyle name="Total 2 4 9 4" xfId="10694" xr:uid="{00000000-0005-0000-0000-0000576F0000}"/>
    <cellStyle name="Total 2 4 9 4 2" xfId="25526" xr:uid="{00000000-0005-0000-0000-0000586F0000}"/>
    <cellStyle name="Total 2 5" xfId="1271" xr:uid="{00000000-0005-0000-0000-0000596F0000}"/>
    <cellStyle name="Total 2 5 10" xfId="2338" xr:uid="{00000000-0005-0000-0000-00005A6F0000}"/>
    <cellStyle name="Total 2 5 10 2" xfId="6450" xr:uid="{00000000-0005-0000-0000-00005B6F0000}"/>
    <cellStyle name="Total 2 5 10 2 2" xfId="16542" xr:uid="{00000000-0005-0000-0000-00005C6F0000}"/>
    <cellStyle name="Total 2 5 10 2 2 2" xfId="31374" xr:uid="{00000000-0005-0000-0000-00005D6F0000}"/>
    <cellStyle name="Total 2 5 10 2 3" xfId="18630" xr:uid="{00000000-0005-0000-0000-00005E6F0000}"/>
    <cellStyle name="Total 2 5 10 3" xfId="12678" xr:uid="{00000000-0005-0000-0000-00005F6F0000}"/>
    <cellStyle name="Total 2 5 10 3 2" xfId="27510" xr:uid="{00000000-0005-0000-0000-0000606F0000}"/>
    <cellStyle name="Total 2 5 10 4" xfId="10193" xr:uid="{00000000-0005-0000-0000-0000616F0000}"/>
    <cellStyle name="Total 2 5 10 4 2" xfId="25025" xr:uid="{00000000-0005-0000-0000-0000626F0000}"/>
    <cellStyle name="Total 2 5 11" xfId="5300" xr:uid="{00000000-0005-0000-0000-0000636F0000}"/>
    <cellStyle name="Total 2 5 11 2" xfId="9308" xr:uid="{00000000-0005-0000-0000-0000646F0000}"/>
    <cellStyle name="Total 2 5 11 2 2" xfId="18175" xr:uid="{00000000-0005-0000-0000-0000656F0000}"/>
    <cellStyle name="Total 2 5 11 2 2 2" xfId="33007" xr:uid="{00000000-0005-0000-0000-0000666F0000}"/>
    <cellStyle name="Total 2 5 11 2 3" xfId="19694" xr:uid="{00000000-0005-0000-0000-0000676F0000}"/>
    <cellStyle name="Total 2 5 11 3" xfId="15616" xr:uid="{00000000-0005-0000-0000-0000686F0000}"/>
    <cellStyle name="Total 2 5 11 3 2" xfId="30448" xr:uid="{00000000-0005-0000-0000-0000696F0000}"/>
    <cellStyle name="Total 2 5 12" xfId="5458" xr:uid="{00000000-0005-0000-0000-00006A6F0000}"/>
    <cellStyle name="Total 2 5 12 2" xfId="15694" xr:uid="{00000000-0005-0000-0000-00006B6F0000}"/>
    <cellStyle name="Total 2 5 12 2 2" xfId="30526" xr:uid="{00000000-0005-0000-0000-00006C6F0000}"/>
    <cellStyle name="Total 2 5 12 3" xfId="18271" xr:uid="{00000000-0005-0000-0000-00006D6F0000}"/>
    <cellStyle name="Total 2 5 13" xfId="9333" xr:uid="{00000000-0005-0000-0000-00006E6F0000}"/>
    <cellStyle name="Total 2 5 13 2" xfId="24639" xr:uid="{00000000-0005-0000-0000-00006F6F0000}"/>
    <cellStyle name="Total 2 5 14" xfId="5322" xr:uid="{00000000-0005-0000-0000-0000706F0000}"/>
    <cellStyle name="Total 2 5 14 2" xfId="18196" xr:uid="{00000000-0005-0000-0000-0000716F0000}"/>
    <cellStyle name="Total 2 5 2" xfId="1370" xr:uid="{00000000-0005-0000-0000-0000726F0000}"/>
    <cellStyle name="Total 2 5 2 2" xfId="1874" xr:uid="{00000000-0005-0000-0000-0000736F0000}"/>
    <cellStyle name="Total 2 5 2 2 2" xfId="4148" xr:uid="{00000000-0005-0000-0000-0000746F0000}"/>
    <cellStyle name="Total 2 5 2 2 2 2" xfId="8191" xr:uid="{00000000-0005-0000-0000-0000756F0000}"/>
    <cellStyle name="Total 2 5 2 2 2 2 2" xfId="17544" xr:uid="{00000000-0005-0000-0000-0000766F0000}"/>
    <cellStyle name="Total 2 5 2 2 2 2 2 2" xfId="32376" xr:uid="{00000000-0005-0000-0000-0000776F0000}"/>
    <cellStyle name="Total 2 5 2 2 2 2 3" xfId="19283" xr:uid="{00000000-0005-0000-0000-0000786F0000}"/>
    <cellStyle name="Total 2 5 2 2 2 3" xfId="14480" xr:uid="{00000000-0005-0000-0000-0000796F0000}"/>
    <cellStyle name="Total 2 5 2 2 2 3 2" xfId="29312" xr:uid="{00000000-0005-0000-0000-00007A6F0000}"/>
    <cellStyle name="Total 2 5 2 2 2 4" xfId="11162" xr:uid="{00000000-0005-0000-0000-00007B6F0000}"/>
    <cellStyle name="Total 2 5 2 2 2 4 2" xfId="25994" xr:uid="{00000000-0005-0000-0000-00007C6F0000}"/>
    <cellStyle name="Total 2 5 2 2 3" xfId="4852" xr:uid="{00000000-0005-0000-0000-00007D6F0000}"/>
    <cellStyle name="Total 2 5 2 2 3 2" xfId="8891" xr:uid="{00000000-0005-0000-0000-00007E6F0000}"/>
    <cellStyle name="Total 2 5 2 2 3 2 2" xfId="17932" xr:uid="{00000000-0005-0000-0000-00007F6F0000}"/>
    <cellStyle name="Total 2 5 2 2 3 2 2 2" xfId="32764" xr:uid="{00000000-0005-0000-0000-0000806F0000}"/>
    <cellStyle name="Total 2 5 2 2 3 2 3" xfId="19534" xr:uid="{00000000-0005-0000-0000-0000816F0000}"/>
    <cellStyle name="Total 2 5 2 2 3 3" xfId="15176" xr:uid="{00000000-0005-0000-0000-0000826F0000}"/>
    <cellStyle name="Total 2 5 2 2 3 3 2" xfId="30008" xr:uid="{00000000-0005-0000-0000-0000836F0000}"/>
    <cellStyle name="Total 2 5 2 2 3 4" xfId="11535" xr:uid="{00000000-0005-0000-0000-0000846F0000}"/>
    <cellStyle name="Total 2 5 2 2 3 4 2" xfId="26367" xr:uid="{00000000-0005-0000-0000-0000856F0000}"/>
    <cellStyle name="Total 2 5 2 2 4" xfId="2842" xr:uid="{00000000-0005-0000-0000-0000866F0000}"/>
    <cellStyle name="Total 2 5 2 2 4 2" xfId="6933" xr:uid="{00000000-0005-0000-0000-0000876F0000}"/>
    <cellStyle name="Total 2 5 2 2 4 2 2" xfId="16826" xr:uid="{00000000-0005-0000-0000-0000886F0000}"/>
    <cellStyle name="Total 2 5 2 2 4 2 2 2" xfId="31658" xr:uid="{00000000-0005-0000-0000-0000896F0000}"/>
    <cellStyle name="Total 2 5 2 2 4 2 3" xfId="18825" xr:uid="{00000000-0005-0000-0000-00008A6F0000}"/>
    <cellStyle name="Total 2 5 2 2 4 3" xfId="13180" xr:uid="{00000000-0005-0000-0000-00008B6F0000}"/>
    <cellStyle name="Total 2 5 2 2 4 3 2" xfId="28012" xr:uid="{00000000-0005-0000-0000-00008C6F0000}"/>
    <cellStyle name="Total 2 5 2 2 4 4" xfId="10479" xr:uid="{00000000-0005-0000-0000-00008D6F0000}"/>
    <cellStyle name="Total 2 5 2 2 4 4 2" xfId="25311" xr:uid="{00000000-0005-0000-0000-00008E6F0000}"/>
    <cellStyle name="Total 2 5 2 2 5" xfId="6006" xr:uid="{00000000-0005-0000-0000-00008F6F0000}"/>
    <cellStyle name="Total 2 5 2 2 5 2" xfId="16198" xr:uid="{00000000-0005-0000-0000-0000906F0000}"/>
    <cellStyle name="Total 2 5 2 2 5 2 2" xfId="31030" xr:uid="{00000000-0005-0000-0000-0000916F0000}"/>
    <cellStyle name="Total 2 5 2 2 5 3" xfId="18467" xr:uid="{00000000-0005-0000-0000-0000926F0000}"/>
    <cellStyle name="Total 2 5 2 2 6" xfId="12268" xr:uid="{00000000-0005-0000-0000-0000936F0000}"/>
    <cellStyle name="Total 2 5 2 2 6 2" xfId="27100" xr:uid="{00000000-0005-0000-0000-0000946F0000}"/>
    <cellStyle name="Total 2 5 2 2 7" xfId="9864" xr:uid="{00000000-0005-0000-0000-0000956F0000}"/>
    <cellStyle name="Total 2 5 2 2 7 2" xfId="24790" xr:uid="{00000000-0005-0000-0000-0000966F0000}"/>
    <cellStyle name="Total 2 5 2 3" xfId="4048" xr:uid="{00000000-0005-0000-0000-0000976F0000}"/>
    <cellStyle name="Total 2 5 2 3 2" xfId="8095" xr:uid="{00000000-0005-0000-0000-0000986F0000}"/>
    <cellStyle name="Total 2 5 2 3 2 2" xfId="17491" xr:uid="{00000000-0005-0000-0000-0000996F0000}"/>
    <cellStyle name="Total 2 5 2 3 2 2 2" xfId="32323" xr:uid="{00000000-0005-0000-0000-00009A6F0000}"/>
    <cellStyle name="Total 2 5 2 3 2 3" xfId="19247" xr:uid="{00000000-0005-0000-0000-00009B6F0000}"/>
    <cellStyle name="Total 2 5 2 3 3" xfId="14380" xr:uid="{00000000-0005-0000-0000-00009C6F0000}"/>
    <cellStyle name="Total 2 5 2 3 3 2" xfId="29212" xr:uid="{00000000-0005-0000-0000-00009D6F0000}"/>
    <cellStyle name="Total 2 5 2 3 4" xfId="11107" xr:uid="{00000000-0005-0000-0000-00009E6F0000}"/>
    <cellStyle name="Total 2 5 2 3 4 2" xfId="25939" xr:uid="{00000000-0005-0000-0000-00009F6F0000}"/>
    <cellStyle name="Total 2 5 2 4" xfId="4432" xr:uid="{00000000-0005-0000-0000-0000A06F0000}"/>
    <cellStyle name="Total 2 5 2 4 2" xfId="8471" xr:uid="{00000000-0005-0000-0000-0000A16F0000}"/>
    <cellStyle name="Total 2 5 2 4 2 2" xfId="17692" xr:uid="{00000000-0005-0000-0000-0000A26F0000}"/>
    <cellStyle name="Total 2 5 2 4 2 2 2" xfId="32524" xr:uid="{00000000-0005-0000-0000-0000A36F0000}"/>
    <cellStyle name="Total 2 5 2 4 2 3" xfId="19374" xr:uid="{00000000-0005-0000-0000-0000A46F0000}"/>
    <cellStyle name="Total 2 5 2 4 3" xfId="14761" xr:uid="{00000000-0005-0000-0000-0000A56F0000}"/>
    <cellStyle name="Total 2 5 2 4 3 2" xfId="29593" xr:uid="{00000000-0005-0000-0000-0000A66F0000}"/>
    <cellStyle name="Total 2 5 2 4 4" xfId="11300" xr:uid="{00000000-0005-0000-0000-0000A76F0000}"/>
    <cellStyle name="Total 2 5 2 4 4 2" xfId="26132" xr:uid="{00000000-0005-0000-0000-0000A86F0000}"/>
    <cellStyle name="Total 2 5 2 5" xfId="2422" xr:uid="{00000000-0005-0000-0000-0000A96F0000}"/>
    <cellStyle name="Total 2 5 2 5 2" xfId="6534" xr:uid="{00000000-0005-0000-0000-0000AA6F0000}"/>
    <cellStyle name="Total 2 5 2 5 2 2" xfId="16590" xr:uid="{00000000-0005-0000-0000-0000AB6F0000}"/>
    <cellStyle name="Total 2 5 2 5 2 2 2" xfId="31422" xr:uid="{00000000-0005-0000-0000-0000AC6F0000}"/>
    <cellStyle name="Total 2 5 2 5 2 3" xfId="18662" xr:uid="{00000000-0005-0000-0000-0000AD6F0000}"/>
    <cellStyle name="Total 2 5 2 5 3" xfId="12761" xr:uid="{00000000-0005-0000-0000-0000AE6F0000}"/>
    <cellStyle name="Total 2 5 2 5 3 2" xfId="27593" xr:uid="{00000000-0005-0000-0000-0000AF6F0000}"/>
    <cellStyle name="Total 2 5 2 5 4" xfId="10240" xr:uid="{00000000-0005-0000-0000-0000B06F0000}"/>
    <cellStyle name="Total 2 5 2 5 4 2" xfId="25072" xr:uid="{00000000-0005-0000-0000-0000B16F0000}"/>
    <cellStyle name="Total 2 5 2 6" xfId="5547" xr:uid="{00000000-0005-0000-0000-0000B26F0000}"/>
    <cellStyle name="Total 2 5 2 6 2" xfId="15782" xr:uid="{00000000-0005-0000-0000-0000B36F0000}"/>
    <cellStyle name="Total 2 5 2 6 2 2" xfId="30614" xr:uid="{00000000-0005-0000-0000-0000B46F0000}"/>
    <cellStyle name="Total 2 5 2 6 3" xfId="18304" xr:uid="{00000000-0005-0000-0000-0000B56F0000}"/>
    <cellStyle name="Total 2 5 2 7" xfId="11797" xr:uid="{00000000-0005-0000-0000-0000B66F0000}"/>
    <cellStyle name="Total 2 5 2 7 2" xfId="26629" xr:uid="{00000000-0005-0000-0000-0000B76F0000}"/>
    <cellStyle name="Total 2 5 2 8" xfId="9468" xr:uid="{00000000-0005-0000-0000-0000B86F0000}"/>
    <cellStyle name="Total 2 5 2 8 2" xfId="19772" xr:uid="{00000000-0005-0000-0000-0000B96F0000}"/>
    <cellStyle name="Total 2 5 3" xfId="1542" xr:uid="{00000000-0005-0000-0000-0000BA6F0000}"/>
    <cellStyle name="Total 2 5 3 2" xfId="2039" xr:uid="{00000000-0005-0000-0000-0000BB6F0000}"/>
    <cellStyle name="Total 2 5 3 2 2" xfId="3802" xr:uid="{00000000-0005-0000-0000-0000BC6F0000}"/>
    <cellStyle name="Total 2 5 3 2 2 2" xfId="7857" xr:uid="{00000000-0005-0000-0000-0000BD6F0000}"/>
    <cellStyle name="Total 2 5 3 2 2 2 2" xfId="17372" xr:uid="{00000000-0005-0000-0000-0000BE6F0000}"/>
    <cellStyle name="Total 2 5 3 2 2 2 2 2" xfId="32204" xr:uid="{00000000-0005-0000-0000-0000BF6F0000}"/>
    <cellStyle name="Total 2 5 3 2 2 2 3" xfId="19158" xr:uid="{00000000-0005-0000-0000-0000C06F0000}"/>
    <cellStyle name="Total 2 5 3 2 2 3" xfId="14137" xr:uid="{00000000-0005-0000-0000-0000C16F0000}"/>
    <cellStyle name="Total 2 5 3 2 2 3 2" xfId="28969" xr:uid="{00000000-0005-0000-0000-0000C26F0000}"/>
    <cellStyle name="Total 2 5 3 2 2 4" xfId="10989" xr:uid="{00000000-0005-0000-0000-0000C36F0000}"/>
    <cellStyle name="Total 2 5 3 2 2 4 2" xfId="25821" xr:uid="{00000000-0005-0000-0000-0000C46F0000}"/>
    <cellStyle name="Total 2 5 3 2 3" xfId="5007" xr:uid="{00000000-0005-0000-0000-0000C56F0000}"/>
    <cellStyle name="Total 2 5 3 2 3 2" xfId="9046" xr:uid="{00000000-0005-0000-0000-0000C66F0000}"/>
    <cellStyle name="Total 2 5 3 2 3 2 2" xfId="17984" xr:uid="{00000000-0005-0000-0000-0000C76F0000}"/>
    <cellStyle name="Total 2 5 3 2 3 2 2 2" xfId="32816" xr:uid="{00000000-0005-0000-0000-0000C86F0000}"/>
    <cellStyle name="Total 2 5 3 2 3 2 3" xfId="19566" xr:uid="{00000000-0005-0000-0000-0000C96F0000}"/>
    <cellStyle name="Total 2 5 3 2 3 3" xfId="15329" xr:uid="{00000000-0005-0000-0000-0000CA6F0000}"/>
    <cellStyle name="Total 2 5 3 2 3 3 2" xfId="30161" xr:uid="{00000000-0005-0000-0000-0000CB6F0000}"/>
    <cellStyle name="Total 2 5 3 2 3 4" xfId="11585" xr:uid="{00000000-0005-0000-0000-0000CC6F0000}"/>
    <cellStyle name="Total 2 5 3 2 3 4 2" xfId="26417" xr:uid="{00000000-0005-0000-0000-0000CD6F0000}"/>
    <cellStyle name="Total 2 5 3 2 4" xfId="2997" xr:uid="{00000000-0005-0000-0000-0000CE6F0000}"/>
    <cellStyle name="Total 2 5 3 2 4 2" xfId="7077" xr:uid="{00000000-0005-0000-0000-0000CF6F0000}"/>
    <cellStyle name="Total 2 5 3 2 4 2 2" xfId="16876" xr:uid="{00000000-0005-0000-0000-0000D06F0000}"/>
    <cellStyle name="Total 2 5 3 2 4 2 2 2" xfId="31708" xr:uid="{00000000-0005-0000-0000-0000D16F0000}"/>
    <cellStyle name="Total 2 5 3 2 4 2 3" xfId="18858" xr:uid="{00000000-0005-0000-0000-0000D26F0000}"/>
    <cellStyle name="Total 2 5 3 2 4 3" xfId="13335" xr:uid="{00000000-0005-0000-0000-0000D36F0000}"/>
    <cellStyle name="Total 2 5 3 2 4 3 2" xfId="28167" xr:uid="{00000000-0005-0000-0000-0000D46F0000}"/>
    <cellStyle name="Total 2 5 3 2 4 4" xfId="10531" xr:uid="{00000000-0005-0000-0000-0000D56F0000}"/>
    <cellStyle name="Total 2 5 3 2 4 4 2" xfId="25363" xr:uid="{00000000-0005-0000-0000-0000D66F0000}"/>
    <cellStyle name="Total 2 5 3 2 5" xfId="6169" xr:uid="{00000000-0005-0000-0000-0000D76F0000}"/>
    <cellStyle name="Total 2 5 3 2 5 2" xfId="16356" xr:uid="{00000000-0005-0000-0000-0000D86F0000}"/>
    <cellStyle name="Total 2 5 3 2 5 2 2" xfId="31188" xr:uid="{00000000-0005-0000-0000-0000D96F0000}"/>
    <cellStyle name="Total 2 5 3 2 5 3" xfId="18499" xr:uid="{00000000-0005-0000-0000-0000DA6F0000}"/>
    <cellStyle name="Total 2 5 3 2 6" xfId="12426" xr:uid="{00000000-0005-0000-0000-0000DB6F0000}"/>
    <cellStyle name="Total 2 5 3 2 6 2" xfId="27258" xr:uid="{00000000-0005-0000-0000-0000DC6F0000}"/>
    <cellStyle name="Total 2 5 3 2 7" xfId="10008" xr:uid="{00000000-0005-0000-0000-0000DD6F0000}"/>
    <cellStyle name="Total 2 5 3 2 7 2" xfId="24840" xr:uid="{00000000-0005-0000-0000-0000DE6F0000}"/>
    <cellStyle name="Total 2 5 3 3" xfId="3228" xr:uid="{00000000-0005-0000-0000-0000DF6F0000}"/>
    <cellStyle name="Total 2 5 3 3 2" xfId="7292" xr:uid="{00000000-0005-0000-0000-0000E06F0000}"/>
    <cellStyle name="Total 2 5 3 3 2 2" xfId="17052" xr:uid="{00000000-0005-0000-0000-0000E16F0000}"/>
    <cellStyle name="Total 2 5 3 3 2 2 2" xfId="31884" xr:uid="{00000000-0005-0000-0000-0000E26F0000}"/>
    <cellStyle name="Total 2 5 3 3 2 3" xfId="18969" xr:uid="{00000000-0005-0000-0000-0000E36F0000}"/>
    <cellStyle name="Total 2 5 3 3 3" xfId="13566" xr:uid="{00000000-0005-0000-0000-0000E46F0000}"/>
    <cellStyle name="Total 2 5 3 3 3 2" xfId="28398" xr:uid="{00000000-0005-0000-0000-0000E56F0000}"/>
    <cellStyle name="Total 2 5 3 3 4" xfId="10692" xr:uid="{00000000-0005-0000-0000-0000E66F0000}"/>
    <cellStyle name="Total 2 5 3 3 4 2" xfId="25524" xr:uid="{00000000-0005-0000-0000-0000E76F0000}"/>
    <cellStyle name="Total 2 5 3 4" xfId="4587" xr:uid="{00000000-0005-0000-0000-0000E86F0000}"/>
    <cellStyle name="Total 2 5 3 4 2" xfId="8626" xr:uid="{00000000-0005-0000-0000-0000E96F0000}"/>
    <cellStyle name="Total 2 5 3 4 2 2" xfId="17744" xr:uid="{00000000-0005-0000-0000-0000EA6F0000}"/>
    <cellStyle name="Total 2 5 3 4 2 2 2" xfId="32576" xr:uid="{00000000-0005-0000-0000-0000EB6F0000}"/>
    <cellStyle name="Total 2 5 3 4 2 3" xfId="19406" xr:uid="{00000000-0005-0000-0000-0000EC6F0000}"/>
    <cellStyle name="Total 2 5 3 4 3" xfId="14914" xr:uid="{00000000-0005-0000-0000-0000ED6F0000}"/>
    <cellStyle name="Total 2 5 3 4 3 2" xfId="29746" xr:uid="{00000000-0005-0000-0000-0000EE6F0000}"/>
    <cellStyle name="Total 2 5 3 4 4" xfId="11350" xr:uid="{00000000-0005-0000-0000-0000EF6F0000}"/>
    <cellStyle name="Total 2 5 3 4 4 2" xfId="26182" xr:uid="{00000000-0005-0000-0000-0000F06F0000}"/>
    <cellStyle name="Total 2 5 3 5" xfId="2577" xr:uid="{00000000-0005-0000-0000-0000F16F0000}"/>
    <cellStyle name="Total 2 5 3 5 2" xfId="6683" xr:uid="{00000000-0005-0000-0000-0000F26F0000}"/>
    <cellStyle name="Total 2 5 3 5 2 2" xfId="16641" xr:uid="{00000000-0005-0000-0000-0000F36F0000}"/>
    <cellStyle name="Total 2 5 3 5 2 2 2" xfId="31473" xr:uid="{00000000-0005-0000-0000-0000F46F0000}"/>
    <cellStyle name="Total 2 5 3 5 2 3" xfId="18694" xr:uid="{00000000-0005-0000-0000-0000F56F0000}"/>
    <cellStyle name="Total 2 5 3 5 3" xfId="12915" xr:uid="{00000000-0005-0000-0000-0000F66F0000}"/>
    <cellStyle name="Total 2 5 3 5 3 2" xfId="27747" xr:uid="{00000000-0005-0000-0000-0000F76F0000}"/>
    <cellStyle name="Total 2 5 3 5 4" xfId="10291" xr:uid="{00000000-0005-0000-0000-0000F86F0000}"/>
    <cellStyle name="Total 2 5 3 5 4 2" xfId="25123" xr:uid="{00000000-0005-0000-0000-0000F96F0000}"/>
    <cellStyle name="Total 2 5 3 6" xfId="5700" xr:uid="{00000000-0005-0000-0000-0000FA6F0000}"/>
    <cellStyle name="Total 2 5 3 6 2" xfId="15935" xr:uid="{00000000-0005-0000-0000-0000FB6F0000}"/>
    <cellStyle name="Total 2 5 3 6 2 2" xfId="30767" xr:uid="{00000000-0005-0000-0000-0000FC6F0000}"/>
    <cellStyle name="Total 2 5 3 6 3" xfId="18336" xr:uid="{00000000-0005-0000-0000-0000FD6F0000}"/>
    <cellStyle name="Total 2 5 3 7" xfId="11955" xr:uid="{00000000-0005-0000-0000-0000FE6F0000}"/>
    <cellStyle name="Total 2 5 3 7 2" xfId="26787" xr:uid="{00000000-0005-0000-0000-0000FF6F0000}"/>
    <cellStyle name="Total 2 5 3 8" xfId="9613" xr:uid="{00000000-0005-0000-0000-000000700000}"/>
    <cellStyle name="Total 2 5 3 8 2" xfId="19915" xr:uid="{00000000-0005-0000-0000-000001700000}"/>
    <cellStyle name="Total 2 5 4" xfId="1595" xr:uid="{00000000-0005-0000-0000-000002700000}"/>
    <cellStyle name="Total 2 5 4 2" xfId="2092" xr:uid="{00000000-0005-0000-0000-000003700000}"/>
    <cellStyle name="Total 2 5 4 2 2" xfId="3564" xr:uid="{00000000-0005-0000-0000-000004700000}"/>
    <cellStyle name="Total 2 5 4 2 2 2" xfId="7626" xr:uid="{00000000-0005-0000-0000-000005700000}"/>
    <cellStyle name="Total 2 5 4 2 2 2 2" xfId="17259" xr:uid="{00000000-0005-0000-0000-000006700000}"/>
    <cellStyle name="Total 2 5 4 2 2 2 2 2" xfId="32091" xr:uid="{00000000-0005-0000-0000-000007700000}"/>
    <cellStyle name="Total 2 5 4 2 2 2 3" xfId="19082" xr:uid="{00000000-0005-0000-0000-000008700000}"/>
    <cellStyle name="Total 2 5 4 2 2 3" xfId="13900" xr:uid="{00000000-0005-0000-0000-000009700000}"/>
    <cellStyle name="Total 2 5 4 2 2 3 2" xfId="28732" xr:uid="{00000000-0005-0000-0000-00000A700000}"/>
    <cellStyle name="Total 2 5 4 2 2 4" xfId="10876" xr:uid="{00000000-0005-0000-0000-00000B700000}"/>
    <cellStyle name="Total 2 5 4 2 2 4 2" xfId="25708" xr:uid="{00000000-0005-0000-0000-00000C700000}"/>
    <cellStyle name="Total 2 5 4 2 3" xfId="5060" xr:uid="{00000000-0005-0000-0000-00000D700000}"/>
    <cellStyle name="Total 2 5 4 2 3 2" xfId="9099" xr:uid="{00000000-0005-0000-0000-00000E700000}"/>
    <cellStyle name="Total 2 5 4 2 3 2 2" xfId="18032" xr:uid="{00000000-0005-0000-0000-00000F700000}"/>
    <cellStyle name="Total 2 5 4 2 3 2 2 2" xfId="32864" xr:uid="{00000000-0005-0000-0000-000010700000}"/>
    <cellStyle name="Total 2 5 4 2 3 2 3" xfId="19598" xr:uid="{00000000-0005-0000-0000-000011700000}"/>
    <cellStyle name="Total 2 5 4 2 3 3" xfId="15381" xr:uid="{00000000-0005-0000-0000-000012700000}"/>
    <cellStyle name="Total 2 5 4 2 3 3 2" xfId="30213" xr:uid="{00000000-0005-0000-0000-000013700000}"/>
    <cellStyle name="Total 2 5 4 2 3 4" xfId="11632" xr:uid="{00000000-0005-0000-0000-000014700000}"/>
    <cellStyle name="Total 2 5 4 2 3 4 2" xfId="26464" xr:uid="{00000000-0005-0000-0000-000015700000}"/>
    <cellStyle name="Total 2 5 4 2 4" xfId="3050" xr:uid="{00000000-0005-0000-0000-000016700000}"/>
    <cellStyle name="Total 2 5 4 2 4 2" xfId="7125" xr:uid="{00000000-0005-0000-0000-000017700000}"/>
    <cellStyle name="Total 2 5 4 2 4 2 2" xfId="16923" xr:uid="{00000000-0005-0000-0000-000018700000}"/>
    <cellStyle name="Total 2 5 4 2 4 2 2 2" xfId="31755" xr:uid="{00000000-0005-0000-0000-000019700000}"/>
    <cellStyle name="Total 2 5 4 2 4 2 3" xfId="18891" xr:uid="{00000000-0005-0000-0000-00001A700000}"/>
    <cellStyle name="Total 2 5 4 2 4 3" xfId="13388" xr:uid="{00000000-0005-0000-0000-00001B700000}"/>
    <cellStyle name="Total 2 5 4 2 4 3 2" xfId="28220" xr:uid="{00000000-0005-0000-0000-00001C700000}"/>
    <cellStyle name="Total 2 5 4 2 4 4" xfId="10579" xr:uid="{00000000-0005-0000-0000-00001D700000}"/>
    <cellStyle name="Total 2 5 4 2 4 4 2" xfId="25411" xr:uid="{00000000-0005-0000-0000-00001E700000}"/>
    <cellStyle name="Total 2 5 4 2 5" xfId="6217" xr:uid="{00000000-0005-0000-0000-00001F700000}"/>
    <cellStyle name="Total 2 5 4 2 5 2" xfId="16403" xr:uid="{00000000-0005-0000-0000-000020700000}"/>
    <cellStyle name="Total 2 5 4 2 5 2 2" xfId="31235" xr:uid="{00000000-0005-0000-0000-000021700000}"/>
    <cellStyle name="Total 2 5 4 2 5 3" xfId="18532" xr:uid="{00000000-0005-0000-0000-000022700000}"/>
    <cellStyle name="Total 2 5 4 2 6" xfId="12473" xr:uid="{00000000-0005-0000-0000-000023700000}"/>
    <cellStyle name="Total 2 5 4 2 6 2" xfId="27305" xr:uid="{00000000-0005-0000-0000-000024700000}"/>
    <cellStyle name="Total 2 5 4 2 7" xfId="10055" xr:uid="{00000000-0005-0000-0000-000025700000}"/>
    <cellStyle name="Total 2 5 4 2 7 2" xfId="24887" xr:uid="{00000000-0005-0000-0000-000026700000}"/>
    <cellStyle name="Total 2 5 4 3" xfId="3425" xr:uid="{00000000-0005-0000-0000-000027700000}"/>
    <cellStyle name="Total 2 5 4 3 2" xfId="7488" xr:uid="{00000000-0005-0000-0000-000028700000}"/>
    <cellStyle name="Total 2 5 4 3 2 2" xfId="17183" xr:uid="{00000000-0005-0000-0000-000029700000}"/>
    <cellStyle name="Total 2 5 4 3 2 2 2" xfId="32015" xr:uid="{00000000-0005-0000-0000-00002A700000}"/>
    <cellStyle name="Total 2 5 4 3 2 3" xfId="19031" xr:uid="{00000000-0005-0000-0000-00002B700000}"/>
    <cellStyle name="Total 2 5 4 3 3" xfId="13762" xr:uid="{00000000-0005-0000-0000-00002C700000}"/>
    <cellStyle name="Total 2 5 4 3 3 2" xfId="28594" xr:uid="{00000000-0005-0000-0000-00002D700000}"/>
    <cellStyle name="Total 2 5 4 3 4" xfId="10802" xr:uid="{00000000-0005-0000-0000-00002E700000}"/>
    <cellStyle name="Total 2 5 4 3 4 2" xfId="25634" xr:uid="{00000000-0005-0000-0000-00002F700000}"/>
    <cellStyle name="Total 2 5 4 4" xfId="4640" xr:uid="{00000000-0005-0000-0000-000030700000}"/>
    <cellStyle name="Total 2 5 4 4 2" xfId="8679" xr:uid="{00000000-0005-0000-0000-000031700000}"/>
    <cellStyle name="Total 2 5 4 4 2 2" xfId="17792" xr:uid="{00000000-0005-0000-0000-000032700000}"/>
    <cellStyle name="Total 2 5 4 4 2 2 2" xfId="32624" xr:uid="{00000000-0005-0000-0000-000033700000}"/>
    <cellStyle name="Total 2 5 4 4 2 3" xfId="19438" xr:uid="{00000000-0005-0000-0000-000034700000}"/>
    <cellStyle name="Total 2 5 4 4 3" xfId="14966" xr:uid="{00000000-0005-0000-0000-000035700000}"/>
    <cellStyle name="Total 2 5 4 4 3 2" xfId="29798" xr:uid="{00000000-0005-0000-0000-000036700000}"/>
    <cellStyle name="Total 2 5 4 4 4" xfId="11397" xr:uid="{00000000-0005-0000-0000-000037700000}"/>
    <cellStyle name="Total 2 5 4 4 4 2" xfId="26229" xr:uid="{00000000-0005-0000-0000-000038700000}"/>
    <cellStyle name="Total 2 5 4 5" xfId="2630" xr:uid="{00000000-0005-0000-0000-000039700000}"/>
    <cellStyle name="Total 2 5 4 5 2" xfId="6731" xr:uid="{00000000-0005-0000-0000-00003A700000}"/>
    <cellStyle name="Total 2 5 4 5 2 2" xfId="16688" xr:uid="{00000000-0005-0000-0000-00003B700000}"/>
    <cellStyle name="Total 2 5 4 5 2 2 2" xfId="31520" xr:uid="{00000000-0005-0000-0000-00003C700000}"/>
    <cellStyle name="Total 2 5 4 5 2 3" xfId="18727" xr:uid="{00000000-0005-0000-0000-00003D700000}"/>
    <cellStyle name="Total 2 5 4 5 3" xfId="12968" xr:uid="{00000000-0005-0000-0000-00003E700000}"/>
    <cellStyle name="Total 2 5 4 5 3 2" xfId="27800" xr:uid="{00000000-0005-0000-0000-00003F700000}"/>
    <cellStyle name="Total 2 5 4 5 4" xfId="10339" xr:uid="{00000000-0005-0000-0000-000040700000}"/>
    <cellStyle name="Total 2 5 4 5 4 2" xfId="25171" xr:uid="{00000000-0005-0000-0000-000041700000}"/>
    <cellStyle name="Total 2 5 4 6" xfId="5747" xr:uid="{00000000-0005-0000-0000-000042700000}"/>
    <cellStyle name="Total 2 5 4 6 2" xfId="15982" xr:uid="{00000000-0005-0000-0000-000043700000}"/>
    <cellStyle name="Total 2 5 4 6 2 2" xfId="30814" xr:uid="{00000000-0005-0000-0000-000044700000}"/>
    <cellStyle name="Total 2 5 4 6 3" xfId="18368" xr:uid="{00000000-0005-0000-0000-000045700000}"/>
    <cellStyle name="Total 2 5 4 7" xfId="12002" xr:uid="{00000000-0005-0000-0000-000046700000}"/>
    <cellStyle name="Total 2 5 4 7 2" xfId="26834" xr:uid="{00000000-0005-0000-0000-000047700000}"/>
    <cellStyle name="Total 2 5 4 8" xfId="9661" xr:uid="{00000000-0005-0000-0000-000048700000}"/>
    <cellStyle name="Total 2 5 4 8 2" xfId="19962" xr:uid="{00000000-0005-0000-0000-000049700000}"/>
    <cellStyle name="Total 2 5 5" xfId="1645" xr:uid="{00000000-0005-0000-0000-00004A700000}"/>
    <cellStyle name="Total 2 5 5 2" xfId="2142" xr:uid="{00000000-0005-0000-0000-00004B700000}"/>
    <cellStyle name="Total 2 5 5 2 2" xfId="3600" xr:uid="{00000000-0005-0000-0000-00004C700000}"/>
    <cellStyle name="Total 2 5 5 2 2 2" xfId="7661" xr:uid="{00000000-0005-0000-0000-00004D700000}"/>
    <cellStyle name="Total 2 5 5 2 2 2 2" xfId="17278" xr:uid="{00000000-0005-0000-0000-00004E700000}"/>
    <cellStyle name="Total 2 5 5 2 2 2 2 2" xfId="32110" xr:uid="{00000000-0005-0000-0000-00004F700000}"/>
    <cellStyle name="Total 2 5 5 2 2 2 3" xfId="19097" xr:uid="{00000000-0005-0000-0000-000050700000}"/>
    <cellStyle name="Total 2 5 5 2 2 3" xfId="13936" xr:uid="{00000000-0005-0000-0000-000051700000}"/>
    <cellStyle name="Total 2 5 5 2 2 3 2" xfId="28768" xr:uid="{00000000-0005-0000-0000-000052700000}"/>
    <cellStyle name="Total 2 5 5 2 2 4" xfId="10895" xr:uid="{00000000-0005-0000-0000-000053700000}"/>
    <cellStyle name="Total 2 5 5 2 2 4 2" xfId="25727" xr:uid="{00000000-0005-0000-0000-000054700000}"/>
    <cellStyle name="Total 2 5 5 2 3" xfId="5110" xr:uid="{00000000-0005-0000-0000-000055700000}"/>
    <cellStyle name="Total 2 5 5 2 3 2" xfId="9149" xr:uid="{00000000-0005-0000-0000-000056700000}"/>
    <cellStyle name="Total 2 5 5 2 3 2 2" xfId="18077" xr:uid="{00000000-0005-0000-0000-000057700000}"/>
    <cellStyle name="Total 2 5 5 2 3 2 2 2" xfId="32909" xr:uid="{00000000-0005-0000-0000-000058700000}"/>
    <cellStyle name="Total 2 5 5 2 3 2 3" xfId="19630" xr:uid="{00000000-0005-0000-0000-000059700000}"/>
    <cellStyle name="Total 2 5 5 2 3 3" xfId="15430" xr:uid="{00000000-0005-0000-0000-00005A700000}"/>
    <cellStyle name="Total 2 5 5 2 3 3 2" xfId="30262" xr:uid="{00000000-0005-0000-0000-00005B700000}"/>
    <cellStyle name="Total 2 5 5 2 3 4" xfId="11676" xr:uid="{00000000-0005-0000-0000-00005C700000}"/>
    <cellStyle name="Total 2 5 5 2 3 4 2" xfId="26508" xr:uid="{00000000-0005-0000-0000-00005D700000}"/>
    <cellStyle name="Total 2 5 5 2 4" xfId="3100" xr:uid="{00000000-0005-0000-0000-00005E700000}"/>
    <cellStyle name="Total 2 5 5 2 4 2" xfId="7170" xr:uid="{00000000-0005-0000-0000-00005F700000}"/>
    <cellStyle name="Total 2 5 5 2 4 2 2" xfId="16967" xr:uid="{00000000-0005-0000-0000-000060700000}"/>
    <cellStyle name="Total 2 5 5 2 4 2 2 2" xfId="31799" xr:uid="{00000000-0005-0000-0000-000061700000}"/>
    <cellStyle name="Total 2 5 5 2 4 2 3" xfId="18924" xr:uid="{00000000-0005-0000-0000-000062700000}"/>
    <cellStyle name="Total 2 5 5 2 4 3" xfId="13438" xr:uid="{00000000-0005-0000-0000-000063700000}"/>
    <cellStyle name="Total 2 5 5 2 4 3 2" xfId="28270" xr:uid="{00000000-0005-0000-0000-000064700000}"/>
    <cellStyle name="Total 2 5 5 2 4 4" xfId="10624" xr:uid="{00000000-0005-0000-0000-000065700000}"/>
    <cellStyle name="Total 2 5 5 2 4 4 2" xfId="25456" xr:uid="{00000000-0005-0000-0000-000066700000}"/>
    <cellStyle name="Total 2 5 5 2 5" xfId="6262" xr:uid="{00000000-0005-0000-0000-000067700000}"/>
    <cellStyle name="Total 2 5 5 2 5 2" xfId="16447" xr:uid="{00000000-0005-0000-0000-000068700000}"/>
    <cellStyle name="Total 2 5 5 2 5 2 2" xfId="31279" xr:uid="{00000000-0005-0000-0000-000069700000}"/>
    <cellStyle name="Total 2 5 5 2 5 3" xfId="18565" xr:uid="{00000000-0005-0000-0000-00006A700000}"/>
    <cellStyle name="Total 2 5 5 2 6" xfId="12517" xr:uid="{00000000-0005-0000-0000-00006B700000}"/>
    <cellStyle name="Total 2 5 5 2 6 2" xfId="27349" xr:uid="{00000000-0005-0000-0000-00006C700000}"/>
    <cellStyle name="Total 2 5 5 2 7" xfId="10099" xr:uid="{00000000-0005-0000-0000-00006D700000}"/>
    <cellStyle name="Total 2 5 5 2 7 2" xfId="24931" xr:uid="{00000000-0005-0000-0000-00006E700000}"/>
    <cellStyle name="Total 2 5 5 3" xfId="3742" xr:uid="{00000000-0005-0000-0000-00006F700000}"/>
    <cellStyle name="Total 2 5 5 3 2" xfId="7798" xr:uid="{00000000-0005-0000-0000-000070700000}"/>
    <cellStyle name="Total 2 5 5 3 2 2" xfId="17344" xr:uid="{00000000-0005-0000-0000-000071700000}"/>
    <cellStyle name="Total 2 5 5 3 2 2 2" xfId="32176" xr:uid="{00000000-0005-0000-0000-000072700000}"/>
    <cellStyle name="Total 2 5 5 3 2 3" xfId="19138" xr:uid="{00000000-0005-0000-0000-000073700000}"/>
    <cellStyle name="Total 2 5 5 3 3" xfId="14077" xr:uid="{00000000-0005-0000-0000-000074700000}"/>
    <cellStyle name="Total 2 5 5 3 3 2" xfId="28909" xr:uid="{00000000-0005-0000-0000-000075700000}"/>
    <cellStyle name="Total 2 5 5 3 4" xfId="10960" xr:uid="{00000000-0005-0000-0000-000076700000}"/>
    <cellStyle name="Total 2 5 5 3 4 2" xfId="25792" xr:uid="{00000000-0005-0000-0000-000077700000}"/>
    <cellStyle name="Total 2 5 5 4" xfId="4690" xr:uid="{00000000-0005-0000-0000-000078700000}"/>
    <cellStyle name="Total 2 5 5 4 2" xfId="8729" xr:uid="{00000000-0005-0000-0000-000079700000}"/>
    <cellStyle name="Total 2 5 5 4 2 2" xfId="17837" xr:uid="{00000000-0005-0000-0000-00007A700000}"/>
    <cellStyle name="Total 2 5 5 4 2 2 2" xfId="32669" xr:uid="{00000000-0005-0000-0000-00007B700000}"/>
    <cellStyle name="Total 2 5 5 4 2 3" xfId="19470" xr:uid="{00000000-0005-0000-0000-00007C700000}"/>
    <cellStyle name="Total 2 5 5 4 3" xfId="15015" xr:uid="{00000000-0005-0000-0000-00007D700000}"/>
    <cellStyle name="Total 2 5 5 4 3 2" xfId="29847" xr:uid="{00000000-0005-0000-0000-00007E700000}"/>
    <cellStyle name="Total 2 5 5 4 4" xfId="11441" xr:uid="{00000000-0005-0000-0000-00007F700000}"/>
    <cellStyle name="Total 2 5 5 4 4 2" xfId="26273" xr:uid="{00000000-0005-0000-0000-000080700000}"/>
    <cellStyle name="Total 2 5 5 5" xfId="2680" xr:uid="{00000000-0005-0000-0000-000081700000}"/>
    <cellStyle name="Total 2 5 5 5 2" xfId="6776" xr:uid="{00000000-0005-0000-0000-000082700000}"/>
    <cellStyle name="Total 2 5 5 5 2 2" xfId="16732" xr:uid="{00000000-0005-0000-0000-000083700000}"/>
    <cellStyle name="Total 2 5 5 5 2 2 2" xfId="31564" xr:uid="{00000000-0005-0000-0000-000084700000}"/>
    <cellStyle name="Total 2 5 5 5 2 3" xfId="18760" xr:uid="{00000000-0005-0000-0000-000085700000}"/>
    <cellStyle name="Total 2 5 5 5 3" xfId="13018" xr:uid="{00000000-0005-0000-0000-000086700000}"/>
    <cellStyle name="Total 2 5 5 5 3 2" xfId="27850" xr:uid="{00000000-0005-0000-0000-000087700000}"/>
    <cellStyle name="Total 2 5 5 5 4" xfId="10384" xr:uid="{00000000-0005-0000-0000-000088700000}"/>
    <cellStyle name="Total 2 5 5 5 4 2" xfId="25216" xr:uid="{00000000-0005-0000-0000-000089700000}"/>
    <cellStyle name="Total 2 5 5 6" xfId="5792" xr:uid="{00000000-0005-0000-0000-00008A700000}"/>
    <cellStyle name="Total 2 5 5 6 2" xfId="16026" xr:uid="{00000000-0005-0000-0000-00008B700000}"/>
    <cellStyle name="Total 2 5 5 6 2 2" xfId="30858" xr:uid="{00000000-0005-0000-0000-00008C700000}"/>
    <cellStyle name="Total 2 5 5 6 3" xfId="18401" xr:uid="{00000000-0005-0000-0000-00008D700000}"/>
    <cellStyle name="Total 2 5 5 7" xfId="12046" xr:uid="{00000000-0005-0000-0000-00008E700000}"/>
    <cellStyle name="Total 2 5 5 7 2" xfId="26878" xr:uid="{00000000-0005-0000-0000-00008F700000}"/>
    <cellStyle name="Total 2 5 5 8" xfId="9706" xr:uid="{00000000-0005-0000-0000-000090700000}"/>
    <cellStyle name="Total 2 5 5 8 2" xfId="20006" xr:uid="{00000000-0005-0000-0000-000091700000}"/>
    <cellStyle name="Total 2 5 6" xfId="1796" xr:uid="{00000000-0005-0000-0000-000092700000}"/>
    <cellStyle name="Total 2 5 6 2" xfId="3513" xr:uid="{00000000-0005-0000-0000-000093700000}"/>
    <cellStyle name="Total 2 5 6 2 2" xfId="7575" xr:uid="{00000000-0005-0000-0000-000094700000}"/>
    <cellStyle name="Total 2 5 6 2 2 2" xfId="17230" xr:uid="{00000000-0005-0000-0000-000095700000}"/>
    <cellStyle name="Total 2 5 6 2 2 2 2" xfId="32062" xr:uid="{00000000-0005-0000-0000-000096700000}"/>
    <cellStyle name="Total 2 5 6 2 2 3" xfId="19060" xr:uid="{00000000-0005-0000-0000-000097700000}"/>
    <cellStyle name="Total 2 5 6 2 3" xfId="13850" xr:uid="{00000000-0005-0000-0000-000098700000}"/>
    <cellStyle name="Total 2 5 6 2 3 2" xfId="28682" xr:uid="{00000000-0005-0000-0000-000099700000}"/>
    <cellStyle name="Total 2 5 6 2 4" xfId="10848" xr:uid="{00000000-0005-0000-0000-00009A700000}"/>
    <cellStyle name="Total 2 5 6 2 4 2" xfId="25680" xr:uid="{00000000-0005-0000-0000-00009B700000}"/>
    <cellStyle name="Total 2 5 6 3" xfId="4774" xr:uid="{00000000-0005-0000-0000-00009C700000}"/>
    <cellStyle name="Total 2 5 6 3 2" xfId="8813" xr:uid="{00000000-0005-0000-0000-00009D700000}"/>
    <cellStyle name="Total 2 5 6 3 2 2" xfId="17885" xr:uid="{00000000-0005-0000-0000-00009E700000}"/>
    <cellStyle name="Total 2 5 6 3 2 2 2" xfId="32717" xr:uid="{00000000-0005-0000-0000-00009F700000}"/>
    <cellStyle name="Total 2 5 6 3 2 3" xfId="19502" xr:uid="{00000000-0005-0000-0000-0000A0700000}"/>
    <cellStyle name="Total 2 5 6 3 3" xfId="15098" xr:uid="{00000000-0005-0000-0000-0000A1700000}"/>
    <cellStyle name="Total 2 5 6 3 3 2" xfId="29930" xr:uid="{00000000-0005-0000-0000-0000A2700000}"/>
    <cellStyle name="Total 2 5 6 3 4" xfId="11488" xr:uid="{00000000-0005-0000-0000-0000A3700000}"/>
    <cellStyle name="Total 2 5 6 3 4 2" xfId="26320" xr:uid="{00000000-0005-0000-0000-0000A4700000}"/>
    <cellStyle name="Total 2 5 6 4" xfId="2764" xr:uid="{00000000-0005-0000-0000-0000A5700000}"/>
    <cellStyle name="Total 2 5 6 4 2" xfId="6855" xr:uid="{00000000-0005-0000-0000-0000A6700000}"/>
    <cellStyle name="Total 2 5 6 4 2 2" xfId="16779" xr:uid="{00000000-0005-0000-0000-0000A7700000}"/>
    <cellStyle name="Total 2 5 6 4 2 2 2" xfId="31611" xr:uid="{00000000-0005-0000-0000-0000A8700000}"/>
    <cellStyle name="Total 2 5 6 4 2 3" xfId="18793" xr:uid="{00000000-0005-0000-0000-0000A9700000}"/>
    <cellStyle name="Total 2 5 6 4 3" xfId="13102" xr:uid="{00000000-0005-0000-0000-0000AA700000}"/>
    <cellStyle name="Total 2 5 6 4 3 2" xfId="27934" xr:uid="{00000000-0005-0000-0000-0000AB700000}"/>
    <cellStyle name="Total 2 5 6 4 4" xfId="10432" xr:uid="{00000000-0005-0000-0000-0000AC700000}"/>
    <cellStyle name="Total 2 5 6 4 4 2" xfId="25264" xr:uid="{00000000-0005-0000-0000-0000AD700000}"/>
    <cellStyle name="Total 2 5 6 5" xfId="5928" xr:uid="{00000000-0005-0000-0000-0000AE700000}"/>
    <cellStyle name="Total 2 5 6 5 2" xfId="16120" xr:uid="{00000000-0005-0000-0000-0000AF700000}"/>
    <cellStyle name="Total 2 5 6 5 2 2" xfId="30952" xr:uid="{00000000-0005-0000-0000-0000B0700000}"/>
    <cellStyle name="Total 2 5 6 5 3" xfId="18435" xr:uid="{00000000-0005-0000-0000-0000B1700000}"/>
    <cellStyle name="Total 2 5 6 6" xfId="12190" xr:uid="{00000000-0005-0000-0000-0000B2700000}"/>
    <cellStyle name="Total 2 5 6 6 2" xfId="27022" xr:uid="{00000000-0005-0000-0000-0000B3700000}"/>
    <cellStyle name="Total 2 5 6 7" xfId="9786" xr:uid="{00000000-0005-0000-0000-0000B4700000}"/>
    <cellStyle name="Total 2 5 6 7 2" xfId="24743" xr:uid="{00000000-0005-0000-0000-0000B5700000}"/>
    <cellStyle name="Total 2 5 7" xfId="2170" xr:uid="{00000000-0005-0000-0000-0000B6700000}"/>
    <cellStyle name="Total 2 5 7 2" xfId="3496" xr:uid="{00000000-0005-0000-0000-0000B7700000}"/>
    <cellStyle name="Total 2 5 7 2 2" xfId="7558" xr:uid="{00000000-0005-0000-0000-0000B8700000}"/>
    <cellStyle name="Total 2 5 7 2 2 2" xfId="17219" xr:uid="{00000000-0005-0000-0000-0000B9700000}"/>
    <cellStyle name="Total 2 5 7 2 2 2 2" xfId="32051" xr:uid="{00000000-0005-0000-0000-0000BA700000}"/>
    <cellStyle name="Total 2 5 7 2 2 3" xfId="19055" xr:uid="{00000000-0005-0000-0000-0000BB700000}"/>
    <cellStyle name="Total 2 5 7 2 3" xfId="13833" xr:uid="{00000000-0005-0000-0000-0000BC700000}"/>
    <cellStyle name="Total 2 5 7 2 3 2" xfId="28665" xr:uid="{00000000-0005-0000-0000-0000BD700000}"/>
    <cellStyle name="Total 2 5 7 2 4" xfId="10837" xr:uid="{00000000-0005-0000-0000-0000BE700000}"/>
    <cellStyle name="Total 2 5 7 2 4 2" xfId="25669" xr:uid="{00000000-0005-0000-0000-0000BF700000}"/>
    <cellStyle name="Total 2 5 7 3" xfId="5138" xr:uid="{00000000-0005-0000-0000-0000C0700000}"/>
    <cellStyle name="Total 2 5 7 3 2" xfId="9177" xr:uid="{00000000-0005-0000-0000-0000C1700000}"/>
    <cellStyle name="Total 2 5 7 3 2 2" xfId="18100" xr:uid="{00000000-0005-0000-0000-0000C2700000}"/>
    <cellStyle name="Total 2 5 7 3 2 2 2" xfId="32932" xr:uid="{00000000-0005-0000-0000-0000C3700000}"/>
    <cellStyle name="Total 2 5 7 3 2 3" xfId="19651" xr:uid="{00000000-0005-0000-0000-0000C4700000}"/>
    <cellStyle name="Total 2 5 7 3 3" xfId="15456" xr:uid="{00000000-0005-0000-0000-0000C5700000}"/>
    <cellStyle name="Total 2 5 7 3 3 2" xfId="30288" xr:uid="{00000000-0005-0000-0000-0000C6700000}"/>
    <cellStyle name="Total 2 5 7 3 4" xfId="11697" xr:uid="{00000000-0005-0000-0000-0000C7700000}"/>
    <cellStyle name="Total 2 5 7 3 4 2" xfId="26529" xr:uid="{00000000-0005-0000-0000-0000C8700000}"/>
    <cellStyle name="Total 2 5 7 4" xfId="4168" xr:uid="{00000000-0005-0000-0000-0000C9700000}"/>
    <cellStyle name="Total 2 5 7 4 2" xfId="8209" xr:uid="{00000000-0005-0000-0000-0000CA700000}"/>
    <cellStyle name="Total 2 5 7 4 2 2" xfId="17556" xr:uid="{00000000-0005-0000-0000-0000CB700000}"/>
    <cellStyle name="Total 2 5 7 4 2 2 2" xfId="32388" xr:uid="{00000000-0005-0000-0000-0000CC700000}"/>
    <cellStyle name="Total 2 5 7 4 2 3" xfId="19294" xr:uid="{00000000-0005-0000-0000-0000CD700000}"/>
    <cellStyle name="Total 2 5 7 4 3" xfId="14500" xr:uid="{00000000-0005-0000-0000-0000CE700000}"/>
    <cellStyle name="Total 2 5 7 4 3 2" xfId="29332" xr:uid="{00000000-0005-0000-0000-0000CF700000}"/>
    <cellStyle name="Total 2 5 7 4 4" xfId="11176" xr:uid="{00000000-0005-0000-0000-0000D0700000}"/>
    <cellStyle name="Total 2 5 7 4 4 2" xfId="26008" xr:uid="{00000000-0005-0000-0000-0000D1700000}"/>
    <cellStyle name="Total 2 5 7 5" xfId="6284" xr:uid="{00000000-0005-0000-0000-0000D2700000}"/>
    <cellStyle name="Total 2 5 7 5 2" xfId="16468" xr:uid="{00000000-0005-0000-0000-0000D3700000}"/>
    <cellStyle name="Total 2 5 7 5 2 2" xfId="31300" xr:uid="{00000000-0005-0000-0000-0000D4700000}"/>
    <cellStyle name="Total 2 5 7 5 3" xfId="18587" xr:uid="{00000000-0005-0000-0000-0000D5700000}"/>
    <cellStyle name="Total 2 5 7 6" xfId="12538" xr:uid="{00000000-0005-0000-0000-0000D6700000}"/>
    <cellStyle name="Total 2 5 7 6 2" xfId="27370" xr:uid="{00000000-0005-0000-0000-0000D7700000}"/>
    <cellStyle name="Total 2 5 7 7" xfId="10120" xr:uid="{00000000-0005-0000-0000-0000D8700000}"/>
    <cellStyle name="Total 2 5 7 7 2" xfId="24952" xr:uid="{00000000-0005-0000-0000-0000D9700000}"/>
    <cellStyle name="Total 2 5 8" xfId="4298" xr:uid="{00000000-0005-0000-0000-0000DA700000}"/>
    <cellStyle name="Total 2 5 8 2" xfId="8337" xr:uid="{00000000-0005-0000-0000-0000DB700000}"/>
    <cellStyle name="Total 2 5 8 2 2" xfId="17617" xr:uid="{00000000-0005-0000-0000-0000DC700000}"/>
    <cellStyle name="Total 2 5 8 2 2 2" xfId="32449" xr:uid="{00000000-0005-0000-0000-0000DD700000}"/>
    <cellStyle name="Total 2 5 8 2 3" xfId="19325" xr:uid="{00000000-0005-0000-0000-0000DE700000}"/>
    <cellStyle name="Total 2 5 8 3" xfId="14629" xr:uid="{00000000-0005-0000-0000-0000DF700000}"/>
    <cellStyle name="Total 2 5 8 3 2" xfId="29461" xr:uid="{00000000-0005-0000-0000-0000E0700000}"/>
    <cellStyle name="Total 2 5 8 4" xfId="11229" xr:uid="{00000000-0005-0000-0000-0000E1700000}"/>
    <cellStyle name="Total 2 5 8 4 2" xfId="26061" xr:uid="{00000000-0005-0000-0000-0000E2700000}"/>
    <cellStyle name="Total 2 5 9" xfId="4277" xr:uid="{00000000-0005-0000-0000-0000E3700000}"/>
    <cellStyle name="Total 2 5 9 2" xfId="8316" xr:uid="{00000000-0005-0000-0000-0000E4700000}"/>
    <cellStyle name="Total 2 5 9 2 2" xfId="17600" xr:uid="{00000000-0005-0000-0000-0000E5700000}"/>
    <cellStyle name="Total 2 5 9 2 2 2" xfId="32432" xr:uid="{00000000-0005-0000-0000-0000E6700000}"/>
    <cellStyle name="Total 2 5 9 2 3" xfId="19317" xr:uid="{00000000-0005-0000-0000-0000E7700000}"/>
    <cellStyle name="Total 2 5 9 3" xfId="14609" xr:uid="{00000000-0005-0000-0000-0000E8700000}"/>
    <cellStyle name="Total 2 5 9 3 2" xfId="29441" xr:uid="{00000000-0005-0000-0000-0000E9700000}"/>
    <cellStyle name="Total 2 5 9 4" xfId="11218" xr:uid="{00000000-0005-0000-0000-0000EA700000}"/>
    <cellStyle name="Total 2 5 9 4 2" xfId="26050" xr:uid="{00000000-0005-0000-0000-0000EB700000}"/>
    <cellStyle name="Total 2 6" xfId="1272" xr:uid="{00000000-0005-0000-0000-0000EC700000}"/>
    <cellStyle name="Total 2 6 10" xfId="2339" xr:uid="{00000000-0005-0000-0000-0000ED700000}"/>
    <cellStyle name="Total 2 6 10 2" xfId="6451" xr:uid="{00000000-0005-0000-0000-0000EE700000}"/>
    <cellStyle name="Total 2 6 10 2 2" xfId="16543" xr:uid="{00000000-0005-0000-0000-0000EF700000}"/>
    <cellStyle name="Total 2 6 10 2 2 2" xfId="31375" xr:uid="{00000000-0005-0000-0000-0000F0700000}"/>
    <cellStyle name="Total 2 6 10 2 3" xfId="18631" xr:uid="{00000000-0005-0000-0000-0000F1700000}"/>
    <cellStyle name="Total 2 6 10 3" xfId="12679" xr:uid="{00000000-0005-0000-0000-0000F2700000}"/>
    <cellStyle name="Total 2 6 10 3 2" xfId="27511" xr:uid="{00000000-0005-0000-0000-0000F3700000}"/>
    <cellStyle name="Total 2 6 10 4" xfId="10194" xr:uid="{00000000-0005-0000-0000-0000F4700000}"/>
    <cellStyle name="Total 2 6 10 4 2" xfId="25026" xr:uid="{00000000-0005-0000-0000-0000F5700000}"/>
    <cellStyle name="Total 2 6 11" xfId="5301" xr:uid="{00000000-0005-0000-0000-0000F6700000}"/>
    <cellStyle name="Total 2 6 11 2" xfId="9309" xr:uid="{00000000-0005-0000-0000-0000F7700000}"/>
    <cellStyle name="Total 2 6 11 2 2" xfId="18176" xr:uid="{00000000-0005-0000-0000-0000F8700000}"/>
    <cellStyle name="Total 2 6 11 2 2 2" xfId="33008" xr:uid="{00000000-0005-0000-0000-0000F9700000}"/>
    <cellStyle name="Total 2 6 11 2 3" xfId="19695" xr:uid="{00000000-0005-0000-0000-0000FA700000}"/>
    <cellStyle name="Total 2 6 11 3" xfId="15617" xr:uid="{00000000-0005-0000-0000-0000FB700000}"/>
    <cellStyle name="Total 2 6 11 3 2" xfId="30449" xr:uid="{00000000-0005-0000-0000-0000FC700000}"/>
    <cellStyle name="Total 2 6 12" xfId="5459" xr:uid="{00000000-0005-0000-0000-0000FD700000}"/>
    <cellStyle name="Total 2 6 12 2" xfId="15695" xr:uid="{00000000-0005-0000-0000-0000FE700000}"/>
    <cellStyle name="Total 2 6 12 2 2" xfId="30527" xr:uid="{00000000-0005-0000-0000-0000FF700000}"/>
    <cellStyle name="Total 2 6 12 3" xfId="18272" xr:uid="{00000000-0005-0000-0000-000000710000}"/>
    <cellStyle name="Total 2 6 13" xfId="9332" xr:uid="{00000000-0005-0000-0000-000001710000}"/>
    <cellStyle name="Total 2 6 13 2" xfId="24638" xr:uid="{00000000-0005-0000-0000-000002710000}"/>
    <cellStyle name="Total 2 6 14" xfId="5321" xr:uid="{00000000-0005-0000-0000-000003710000}"/>
    <cellStyle name="Total 2 6 14 2" xfId="18195" xr:uid="{00000000-0005-0000-0000-000004710000}"/>
    <cellStyle name="Total 2 6 2" xfId="1371" xr:uid="{00000000-0005-0000-0000-000005710000}"/>
    <cellStyle name="Total 2 6 2 2" xfId="1875" xr:uid="{00000000-0005-0000-0000-000006710000}"/>
    <cellStyle name="Total 2 6 2 2 2" xfId="3382" xr:uid="{00000000-0005-0000-0000-000007710000}"/>
    <cellStyle name="Total 2 6 2 2 2 2" xfId="7445" xr:uid="{00000000-0005-0000-0000-000008710000}"/>
    <cellStyle name="Total 2 6 2 2 2 2 2" xfId="17152" xr:uid="{00000000-0005-0000-0000-000009710000}"/>
    <cellStyle name="Total 2 6 2 2 2 2 2 2" xfId="31984" xr:uid="{00000000-0005-0000-0000-00000A710000}"/>
    <cellStyle name="Total 2 6 2 2 2 2 3" xfId="19018" xr:uid="{00000000-0005-0000-0000-00000B710000}"/>
    <cellStyle name="Total 2 6 2 2 2 3" xfId="13719" xr:uid="{00000000-0005-0000-0000-00000C710000}"/>
    <cellStyle name="Total 2 6 2 2 2 3 2" xfId="28551" xr:uid="{00000000-0005-0000-0000-00000D710000}"/>
    <cellStyle name="Total 2 6 2 2 2 4" xfId="10771" xr:uid="{00000000-0005-0000-0000-00000E710000}"/>
    <cellStyle name="Total 2 6 2 2 2 4 2" xfId="25603" xr:uid="{00000000-0005-0000-0000-00000F710000}"/>
    <cellStyle name="Total 2 6 2 2 3" xfId="4853" xr:uid="{00000000-0005-0000-0000-000010710000}"/>
    <cellStyle name="Total 2 6 2 2 3 2" xfId="8892" xr:uid="{00000000-0005-0000-0000-000011710000}"/>
    <cellStyle name="Total 2 6 2 2 3 2 2" xfId="17933" xr:uid="{00000000-0005-0000-0000-000012710000}"/>
    <cellStyle name="Total 2 6 2 2 3 2 2 2" xfId="32765" xr:uid="{00000000-0005-0000-0000-000013710000}"/>
    <cellStyle name="Total 2 6 2 2 3 2 3" xfId="19535" xr:uid="{00000000-0005-0000-0000-000014710000}"/>
    <cellStyle name="Total 2 6 2 2 3 3" xfId="15177" xr:uid="{00000000-0005-0000-0000-000015710000}"/>
    <cellStyle name="Total 2 6 2 2 3 3 2" xfId="30009" xr:uid="{00000000-0005-0000-0000-000016710000}"/>
    <cellStyle name="Total 2 6 2 2 3 4" xfId="11536" xr:uid="{00000000-0005-0000-0000-000017710000}"/>
    <cellStyle name="Total 2 6 2 2 3 4 2" xfId="26368" xr:uid="{00000000-0005-0000-0000-000018710000}"/>
    <cellStyle name="Total 2 6 2 2 4" xfId="2843" xr:uid="{00000000-0005-0000-0000-000019710000}"/>
    <cellStyle name="Total 2 6 2 2 4 2" xfId="6934" xr:uid="{00000000-0005-0000-0000-00001A710000}"/>
    <cellStyle name="Total 2 6 2 2 4 2 2" xfId="16827" xr:uid="{00000000-0005-0000-0000-00001B710000}"/>
    <cellStyle name="Total 2 6 2 2 4 2 2 2" xfId="31659" xr:uid="{00000000-0005-0000-0000-00001C710000}"/>
    <cellStyle name="Total 2 6 2 2 4 2 3" xfId="18826" xr:uid="{00000000-0005-0000-0000-00001D710000}"/>
    <cellStyle name="Total 2 6 2 2 4 3" xfId="13181" xr:uid="{00000000-0005-0000-0000-00001E710000}"/>
    <cellStyle name="Total 2 6 2 2 4 3 2" xfId="28013" xr:uid="{00000000-0005-0000-0000-00001F710000}"/>
    <cellStyle name="Total 2 6 2 2 4 4" xfId="10480" xr:uid="{00000000-0005-0000-0000-000020710000}"/>
    <cellStyle name="Total 2 6 2 2 4 4 2" xfId="25312" xr:uid="{00000000-0005-0000-0000-000021710000}"/>
    <cellStyle name="Total 2 6 2 2 5" xfId="6007" xr:uid="{00000000-0005-0000-0000-000022710000}"/>
    <cellStyle name="Total 2 6 2 2 5 2" xfId="16199" xr:uid="{00000000-0005-0000-0000-000023710000}"/>
    <cellStyle name="Total 2 6 2 2 5 2 2" xfId="31031" xr:uid="{00000000-0005-0000-0000-000024710000}"/>
    <cellStyle name="Total 2 6 2 2 5 3" xfId="18468" xr:uid="{00000000-0005-0000-0000-000025710000}"/>
    <cellStyle name="Total 2 6 2 2 6" xfId="12269" xr:uid="{00000000-0005-0000-0000-000026710000}"/>
    <cellStyle name="Total 2 6 2 2 6 2" xfId="27101" xr:uid="{00000000-0005-0000-0000-000027710000}"/>
    <cellStyle name="Total 2 6 2 2 7" xfId="9865" xr:uid="{00000000-0005-0000-0000-000028710000}"/>
    <cellStyle name="Total 2 6 2 2 7 2" xfId="24791" xr:uid="{00000000-0005-0000-0000-000029710000}"/>
    <cellStyle name="Total 2 6 2 3" xfId="3331" xr:uid="{00000000-0005-0000-0000-00002A710000}"/>
    <cellStyle name="Total 2 6 2 3 2" xfId="7394" xr:uid="{00000000-0005-0000-0000-00002B710000}"/>
    <cellStyle name="Total 2 6 2 3 2 2" xfId="17127" xr:uid="{00000000-0005-0000-0000-00002C710000}"/>
    <cellStyle name="Total 2 6 2 3 2 2 2" xfId="31959" xr:uid="{00000000-0005-0000-0000-00002D710000}"/>
    <cellStyle name="Total 2 6 2 3 2 3" xfId="19002" xr:uid="{00000000-0005-0000-0000-00002E710000}"/>
    <cellStyle name="Total 2 6 2 3 3" xfId="13668" xr:uid="{00000000-0005-0000-0000-00002F710000}"/>
    <cellStyle name="Total 2 6 2 3 3 2" xfId="28500" xr:uid="{00000000-0005-0000-0000-000030710000}"/>
    <cellStyle name="Total 2 6 2 3 4" xfId="10748" xr:uid="{00000000-0005-0000-0000-000031710000}"/>
    <cellStyle name="Total 2 6 2 3 4 2" xfId="25580" xr:uid="{00000000-0005-0000-0000-000032710000}"/>
    <cellStyle name="Total 2 6 2 4" xfId="4433" xr:uid="{00000000-0005-0000-0000-000033710000}"/>
    <cellStyle name="Total 2 6 2 4 2" xfId="8472" xr:uid="{00000000-0005-0000-0000-000034710000}"/>
    <cellStyle name="Total 2 6 2 4 2 2" xfId="17693" xr:uid="{00000000-0005-0000-0000-000035710000}"/>
    <cellStyle name="Total 2 6 2 4 2 2 2" xfId="32525" xr:uid="{00000000-0005-0000-0000-000036710000}"/>
    <cellStyle name="Total 2 6 2 4 2 3" xfId="19375" xr:uid="{00000000-0005-0000-0000-000037710000}"/>
    <cellStyle name="Total 2 6 2 4 3" xfId="14762" xr:uid="{00000000-0005-0000-0000-000038710000}"/>
    <cellStyle name="Total 2 6 2 4 3 2" xfId="29594" xr:uid="{00000000-0005-0000-0000-000039710000}"/>
    <cellStyle name="Total 2 6 2 4 4" xfId="11301" xr:uid="{00000000-0005-0000-0000-00003A710000}"/>
    <cellStyle name="Total 2 6 2 4 4 2" xfId="26133" xr:uid="{00000000-0005-0000-0000-00003B710000}"/>
    <cellStyle name="Total 2 6 2 5" xfId="2423" xr:uid="{00000000-0005-0000-0000-00003C710000}"/>
    <cellStyle name="Total 2 6 2 5 2" xfId="6535" xr:uid="{00000000-0005-0000-0000-00003D710000}"/>
    <cellStyle name="Total 2 6 2 5 2 2" xfId="16591" xr:uid="{00000000-0005-0000-0000-00003E710000}"/>
    <cellStyle name="Total 2 6 2 5 2 2 2" xfId="31423" xr:uid="{00000000-0005-0000-0000-00003F710000}"/>
    <cellStyle name="Total 2 6 2 5 2 3" xfId="18663" xr:uid="{00000000-0005-0000-0000-000040710000}"/>
    <cellStyle name="Total 2 6 2 5 3" xfId="12762" xr:uid="{00000000-0005-0000-0000-000041710000}"/>
    <cellStyle name="Total 2 6 2 5 3 2" xfId="27594" xr:uid="{00000000-0005-0000-0000-000042710000}"/>
    <cellStyle name="Total 2 6 2 5 4" xfId="10241" xr:uid="{00000000-0005-0000-0000-000043710000}"/>
    <cellStyle name="Total 2 6 2 5 4 2" xfId="25073" xr:uid="{00000000-0005-0000-0000-000044710000}"/>
    <cellStyle name="Total 2 6 2 6" xfId="5548" xr:uid="{00000000-0005-0000-0000-000045710000}"/>
    <cellStyle name="Total 2 6 2 6 2" xfId="15783" xr:uid="{00000000-0005-0000-0000-000046710000}"/>
    <cellStyle name="Total 2 6 2 6 2 2" xfId="30615" xr:uid="{00000000-0005-0000-0000-000047710000}"/>
    <cellStyle name="Total 2 6 2 6 3" xfId="18305" xr:uid="{00000000-0005-0000-0000-000048710000}"/>
    <cellStyle name="Total 2 6 2 7" xfId="11798" xr:uid="{00000000-0005-0000-0000-000049710000}"/>
    <cellStyle name="Total 2 6 2 7 2" xfId="26630" xr:uid="{00000000-0005-0000-0000-00004A710000}"/>
    <cellStyle name="Total 2 6 2 8" xfId="9469" xr:uid="{00000000-0005-0000-0000-00004B710000}"/>
    <cellStyle name="Total 2 6 2 8 2" xfId="19773" xr:uid="{00000000-0005-0000-0000-00004C710000}"/>
    <cellStyle name="Total 2 6 3" xfId="1543" xr:uid="{00000000-0005-0000-0000-00004D710000}"/>
    <cellStyle name="Total 2 6 3 2" xfId="2040" xr:uid="{00000000-0005-0000-0000-00004E710000}"/>
    <cellStyle name="Total 2 6 3 2 2" xfId="3548" xr:uid="{00000000-0005-0000-0000-00004F710000}"/>
    <cellStyle name="Total 2 6 3 2 2 2" xfId="7610" xr:uid="{00000000-0005-0000-0000-000050710000}"/>
    <cellStyle name="Total 2 6 3 2 2 2 2" xfId="17252" xr:uid="{00000000-0005-0000-0000-000051710000}"/>
    <cellStyle name="Total 2 6 3 2 2 2 2 2" xfId="32084" xr:uid="{00000000-0005-0000-0000-000052710000}"/>
    <cellStyle name="Total 2 6 3 2 2 2 3" xfId="19075" xr:uid="{00000000-0005-0000-0000-000053710000}"/>
    <cellStyle name="Total 2 6 3 2 2 3" xfId="13884" xr:uid="{00000000-0005-0000-0000-000054710000}"/>
    <cellStyle name="Total 2 6 3 2 2 3 2" xfId="28716" xr:uid="{00000000-0005-0000-0000-000055710000}"/>
    <cellStyle name="Total 2 6 3 2 2 4" xfId="10869" xr:uid="{00000000-0005-0000-0000-000056710000}"/>
    <cellStyle name="Total 2 6 3 2 2 4 2" xfId="25701" xr:uid="{00000000-0005-0000-0000-000057710000}"/>
    <cellStyle name="Total 2 6 3 2 3" xfId="5008" xr:uid="{00000000-0005-0000-0000-000058710000}"/>
    <cellStyle name="Total 2 6 3 2 3 2" xfId="9047" xr:uid="{00000000-0005-0000-0000-000059710000}"/>
    <cellStyle name="Total 2 6 3 2 3 2 2" xfId="17985" xr:uid="{00000000-0005-0000-0000-00005A710000}"/>
    <cellStyle name="Total 2 6 3 2 3 2 2 2" xfId="32817" xr:uid="{00000000-0005-0000-0000-00005B710000}"/>
    <cellStyle name="Total 2 6 3 2 3 2 3" xfId="19567" xr:uid="{00000000-0005-0000-0000-00005C710000}"/>
    <cellStyle name="Total 2 6 3 2 3 3" xfId="15330" xr:uid="{00000000-0005-0000-0000-00005D710000}"/>
    <cellStyle name="Total 2 6 3 2 3 3 2" xfId="30162" xr:uid="{00000000-0005-0000-0000-00005E710000}"/>
    <cellStyle name="Total 2 6 3 2 3 4" xfId="11586" xr:uid="{00000000-0005-0000-0000-00005F710000}"/>
    <cellStyle name="Total 2 6 3 2 3 4 2" xfId="26418" xr:uid="{00000000-0005-0000-0000-000060710000}"/>
    <cellStyle name="Total 2 6 3 2 4" xfId="2998" xr:uid="{00000000-0005-0000-0000-000061710000}"/>
    <cellStyle name="Total 2 6 3 2 4 2" xfId="7078" xr:uid="{00000000-0005-0000-0000-000062710000}"/>
    <cellStyle name="Total 2 6 3 2 4 2 2" xfId="16877" xr:uid="{00000000-0005-0000-0000-000063710000}"/>
    <cellStyle name="Total 2 6 3 2 4 2 2 2" xfId="31709" xr:uid="{00000000-0005-0000-0000-000064710000}"/>
    <cellStyle name="Total 2 6 3 2 4 2 3" xfId="18859" xr:uid="{00000000-0005-0000-0000-000065710000}"/>
    <cellStyle name="Total 2 6 3 2 4 3" xfId="13336" xr:uid="{00000000-0005-0000-0000-000066710000}"/>
    <cellStyle name="Total 2 6 3 2 4 3 2" xfId="28168" xr:uid="{00000000-0005-0000-0000-000067710000}"/>
    <cellStyle name="Total 2 6 3 2 4 4" xfId="10532" xr:uid="{00000000-0005-0000-0000-000068710000}"/>
    <cellStyle name="Total 2 6 3 2 4 4 2" xfId="25364" xr:uid="{00000000-0005-0000-0000-000069710000}"/>
    <cellStyle name="Total 2 6 3 2 5" xfId="6170" xr:uid="{00000000-0005-0000-0000-00006A710000}"/>
    <cellStyle name="Total 2 6 3 2 5 2" xfId="16357" xr:uid="{00000000-0005-0000-0000-00006B710000}"/>
    <cellStyle name="Total 2 6 3 2 5 2 2" xfId="31189" xr:uid="{00000000-0005-0000-0000-00006C710000}"/>
    <cellStyle name="Total 2 6 3 2 5 3" xfId="18500" xr:uid="{00000000-0005-0000-0000-00006D710000}"/>
    <cellStyle name="Total 2 6 3 2 6" xfId="12427" xr:uid="{00000000-0005-0000-0000-00006E710000}"/>
    <cellStyle name="Total 2 6 3 2 6 2" xfId="27259" xr:uid="{00000000-0005-0000-0000-00006F710000}"/>
    <cellStyle name="Total 2 6 3 2 7" xfId="10009" xr:uid="{00000000-0005-0000-0000-000070710000}"/>
    <cellStyle name="Total 2 6 3 2 7 2" xfId="24841" xr:uid="{00000000-0005-0000-0000-000071710000}"/>
    <cellStyle name="Total 2 6 3 3" xfId="3167" xr:uid="{00000000-0005-0000-0000-000072710000}"/>
    <cellStyle name="Total 2 6 3 3 2" xfId="7231" xr:uid="{00000000-0005-0000-0000-000073710000}"/>
    <cellStyle name="Total 2 6 3 3 2 2" xfId="17007" xr:uid="{00000000-0005-0000-0000-000074710000}"/>
    <cellStyle name="Total 2 6 3 3 2 2 2" xfId="31839" xr:uid="{00000000-0005-0000-0000-000075710000}"/>
    <cellStyle name="Total 2 6 3 3 2 3" xfId="18949" xr:uid="{00000000-0005-0000-0000-000076710000}"/>
    <cellStyle name="Total 2 6 3 3 3" xfId="13505" xr:uid="{00000000-0005-0000-0000-000077710000}"/>
    <cellStyle name="Total 2 6 3 3 3 2" xfId="28337" xr:uid="{00000000-0005-0000-0000-000078710000}"/>
    <cellStyle name="Total 2 6 3 3 4" xfId="10658" xr:uid="{00000000-0005-0000-0000-000079710000}"/>
    <cellStyle name="Total 2 6 3 3 4 2" xfId="25490" xr:uid="{00000000-0005-0000-0000-00007A710000}"/>
    <cellStyle name="Total 2 6 3 4" xfId="4588" xr:uid="{00000000-0005-0000-0000-00007B710000}"/>
    <cellStyle name="Total 2 6 3 4 2" xfId="8627" xr:uid="{00000000-0005-0000-0000-00007C710000}"/>
    <cellStyle name="Total 2 6 3 4 2 2" xfId="17745" xr:uid="{00000000-0005-0000-0000-00007D710000}"/>
    <cellStyle name="Total 2 6 3 4 2 2 2" xfId="32577" xr:uid="{00000000-0005-0000-0000-00007E710000}"/>
    <cellStyle name="Total 2 6 3 4 2 3" xfId="19407" xr:uid="{00000000-0005-0000-0000-00007F710000}"/>
    <cellStyle name="Total 2 6 3 4 3" xfId="14915" xr:uid="{00000000-0005-0000-0000-000080710000}"/>
    <cellStyle name="Total 2 6 3 4 3 2" xfId="29747" xr:uid="{00000000-0005-0000-0000-000081710000}"/>
    <cellStyle name="Total 2 6 3 4 4" xfId="11351" xr:uid="{00000000-0005-0000-0000-000082710000}"/>
    <cellStyle name="Total 2 6 3 4 4 2" xfId="26183" xr:uid="{00000000-0005-0000-0000-000083710000}"/>
    <cellStyle name="Total 2 6 3 5" xfId="2578" xr:uid="{00000000-0005-0000-0000-000084710000}"/>
    <cellStyle name="Total 2 6 3 5 2" xfId="6684" xr:uid="{00000000-0005-0000-0000-000085710000}"/>
    <cellStyle name="Total 2 6 3 5 2 2" xfId="16642" xr:uid="{00000000-0005-0000-0000-000086710000}"/>
    <cellStyle name="Total 2 6 3 5 2 2 2" xfId="31474" xr:uid="{00000000-0005-0000-0000-000087710000}"/>
    <cellStyle name="Total 2 6 3 5 2 3" xfId="18695" xr:uid="{00000000-0005-0000-0000-000088710000}"/>
    <cellStyle name="Total 2 6 3 5 3" xfId="12916" xr:uid="{00000000-0005-0000-0000-000089710000}"/>
    <cellStyle name="Total 2 6 3 5 3 2" xfId="27748" xr:uid="{00000000-0005-0000-0000-00008A710000}"/>
    <cellStyle name="Total 2 6 3 5 4" xfId="10292" xr:uid="{00000000-0005-0000-0000-00008B710000}"/>
    <cellStyle name="Total 2 6 3 5 4 2" xfId="25124" xr:uid="{00000000-0005-0000-0000-00008C710000}"/>
    <cellStyle name="Total 2 6 3 6" xfId="5701" xr:uid="{00000000-0005-0000-0000-00008D710000}"/>
    <cellStyle name="Total 2 6 3 6 2" xfId="15936" xr:uid="{00000000-0005-0000-0000-00008E710000}"/>
    <cellStyle name="Total 2 6 3 6 2 2" xfId="30768" xr:uid="{00000000-0005-0000-0000-00008F710000}"/>
    <cellStyle name="Total 2 6 3 6 3" xfId="18337" xr:uid="{00000000-0005-0000-0000-000090710000}"/>
    <cellStyle name="Total 2 6 3 7" xfId="11956" xr:uid="{00000000-0005-0000-0000-000091710000}"/>
    <cellStyle name="Total 2 6 3 7 2" xfId="26788" xr:uid="{00000000-0005-0000-0000-000092710000}"/>
    <cellStyle name="Total 2 6 3 8" xfId="9614" xr:uid="{00000000-0005-0000-0000-000093710000}"/>
    <cellStyle name="Total 2 6 3 8 2" xfId="19916" xr:uid="{00000000-0005-0000-0000-000094710000}"/>
    <cellStyle name="Total 2 6 4" xfId="1596" xr:uid="{00000000-0005-0000-0000-000095710000}"/>
    <cellStyle name="Total 2 6 4 2" xfId="2093" xr:uid="{00000000-0005-0000-0000-000096710000}"/>
    <cellStyle name="Total 2 6 4 2 2" xfId="4025" xr:uid="{00000000-0005-0000-0000-000097710000}"/>
    <cellStyle name="Total 2 6 4 2 2 2" xfId="8072" xr:uid="{00000000-0005-0000-0000-000098710000}"/>
    <cellStyle name="Total 2 6 4 2 2 2 2" xfId="17482" xr:uid="{00000000-0005-0000-0000-000099710000}"/>
    <cellStyle name="Total 2 6 4 2 2 2 2 2" xfId="32314" xr:uid="{00000000-0005-0000-0000-00009A710000}"/>
    <cellStyle name="Total 2 6 4 2 2 2 3" xfId="19240" xr:uid="{00000000-0005-0000-0000-00009B710000}"/>
    <cellStyle name="Total 2 6 4 2 2 3" xfId="14357" xr:uid="{00000000-0005-0000-0000-00009C710000}"/>
    <cellStyle name="Total 2 6 4 2 2 3 2" xfId="29189" xr:uid="{00000000-0005-0000-0000-00009D710000}"/>
    <cellStyle name="Total 2 6 4 2 2 4" xfId="11098" xr:uid="{00000000-0005-0000-0000-00009E710000}"/>
    <cellStyle name="Total 2 6 4 2 2 4 2" xfId="25930" xr:uid="{00000000-0005-0000-0000-00009F710000}"/>
    <cellStyle name="Total 2 6 4 2 3" xfId="5061" xr:uid="{00000000-0005-0000-0000-0000A0710000}"/>
    <cellStyle name="Total 2 6 4 2 3 2" xfId="9100" xr:uid="{00000000-0005-0000-0000-0000A1710000}"/>
    <cellStyle name="Total 2 6 4 2 3 2 2" xfId="18033" xr:uid="{00000000-0005-0000-0000-0000A2710000}"/>
    <cellStyle name="Total 2 6 4 2 3 2 2 2" xfId="32865" xr:uid="{00000000-0005-0000-0000-0000A3710000}"/>
    <cellStyle name="Total 2 6 4 2 3 2 3" xfId="19599" xr:uid="{00000000-0005-0000-0000-0000A4710000}"/>
    <cellStyle name="Total 2 6 4 2 3 3" xfId="15382" xr:uid="{00000000-0005-0000-0000-0000A5710000}"/>
    <cellStyle name="Total 2 6 4 2 3 3 2" xfId="30214" xr:uid="{00000000-0005-0000-0000-0000A6710000}"/>
    <cellStyle name="Total 2 6 4 2 3 4" xfId="11633" xr:uid="{00000000-0005-0000-0000-0000A7710000}"/>
    <cellStyle name="Total 2 6 4 2 3 4 2" xfId="26465" xr:uid="{00000000-0005-0000-0000-0000A8710000}"/>
    <cellStyle name="Total 2 6 4 2 4" xfId="3051" xr:uid="{00000000-0005-0000-0000-0000A9710000}"/>
    <cellStyle name="Total 2 6 4 2 4 2" xfId="7126" xr:uid="{00000000-0005-0000-0000-0000AA710000}"/>
    <cellStyle name="Total 2 6 4 2 4 2 2" xfId="16924" xr:uid="{00000000-0005-0000-0000-0000AB710000}"/>
    <cellStyle name="Total 2 6 4 2 4 2 2 2" xfId="31756" xr:uid="{00000000-0005-0000-0000-0000AC710000}"/>
    <cellStyle name="Total 2 6 4 2 4 2 3" xfId="18892" xr:uid="{00000000-0005-0000-0000-0000AD710000}"/>
    <cellStyle name="Total 2 6 4 2 4 3" xfId="13389" xr:uid="{00000000-0005-0000-0000-0000AE710000}"/>
    <cellStyle name="Total 2 6 4 2 4 3 2" xfId="28221" xr:uid="{00000000-0005-0000-0000-0000AF710000}"/>
    <cellStyle name="Total 2 6 4 2 4 4" xfId="10580" xr:uid="{00000000-0005-0000-0000-0000B0710000}"/>
    <cellStyle name="Total 2 6 4 2 4 4 2" xfId="25412" xr:uid="{00000000-0005-0000-0000-0000B1710000}"/>
    <cellStyle name="Total 2 6 4 2 5" xfId="6218" xr:uid="{00000000-0005-0000-0000-0000B2710000}"/>
    <cellStyle name="Total 2 6 4 2 5 2" xfId="16404" xr:uid="{00000000-0005-0000-0000-0000B3710000}"/>
    <cellStyle name="Total 2 6 4 2 5 2 2" xfId="31236" xr:uid="{00000000-0005-0000-0000-0000B4710000}"/>
    <cellStyle name="Total 2 6 4 2 5 3" xfId="18533" xr:uid="{00000000-0005-0000-0000-0000B5710000}"/>
    <cellStyle name="Total 2 6 4 2 6" xfId="12474" xr:uid="{00000000-0005-0000-0000-0000B6710000}"/>
    <cellStyle name="Total 2 6 4 2 6 2" xfId="27306" xr:uid="{00000000-0005-0000-0000-0000B7710000}"/>
    <cellStyle name="Total 2 6 4 2 7" xfId="10056" xr:uid="{00000000-0005-0000-0000-0000B8710000}"/>
    <cellStyle name="Total 2 6 4 2 7 2" xfId="24888" xr:uid="{00000000-0005-0000-0000-0000B9710000}"/>
    <cellStyle name="Total 2 6 4 3" xfId="3447" xr:uid="{00000000-0005-0000-0000-0000BA710000}"/>
    <cellStyle name="Total 2 6 4 3 2" xfId="7510" xr:uid="{00000000-0005-0000-0000-0000BB710000}"/>
    <cellStyle name="Total 2 6 4 3 2 2" xfId="17194" xr:uid="{00000000-0005-0000-0000-0000BC710000}"/>
    <cellStyle name="Total 2 6 4 3 2 2 2" xfId="32026" xr:uid="{00000000-0005-0000-0000-0000BD710000}"/>
    <cellStyle name="Total 2 6 4 3 2 3" xfId="19039" xr:uid="{00000000-0005-0000-0000-0000BE710000}"/>
    <cellStyle name="Total 2 6 4 3 3" xfId="13784" xr:uid="{00000000-0005-0000-0000-0000BF710000}"/>
    <cellStyle name="Total 2 6 4 3 3 2" xfId="28616" xr:uid="{00000000-0005-0000-0000-0000C0710000}"/>
    <cellStyle name="Total 2 6 4 3 4" xfId="10813" xr:uid="{00000000-0005-0000-0000-0000C1710000}"/>
    <cellStyle name="Total 2 6 4 3 4 2" xfId="25645" xr:uid="{00000000-0005-0000-0000-0000C2710000}"/>
    <cellStyle name="Total 2 6 4 4" xfId="4641" xr:uid="{00000000-0005-0000-0000-0000C3710000}"/>
    <cellStyle name="Total 2 6 4 4 2" xfId="8680" xr:uid="{00000000-0005-0000-0000-0000C4710000}"/>
    <cellStyle name="Total 2 6 4 4 2 2" xfId="17793" xr:uid="{00000000-0005-0000-0000-0000C5710000}"/>
    <cellStyle name="Total 2 6 4 4 2 2 2" xfId="32625" xr:uid="{00000000-0005-0000-0000-0000C6710000}"/>
    <cellStyle name="Total 2 6 4 4 2 3" xfId="19439" xr:uid="{00000000-0005-0000-0000-0000C7710000}"/>
    <cellStyle name="Total 2 6 4 4 3" xfId="14967" xr:uid="{00000000-0005-0000-0000-0000C8710000}"/>
    <cellStyle name="Total 2 6 4 4 3 2" xfId="29799" xr:uid="{00000000-0005-0000-0000-0000C9710000}"/>
    <cellStyle name="Total 2 6 4 4 4" xfId="11398" xr:uid="{00000000-0005-0000-0000-0000CA710000}"/>
    <cellStyle name="Total 2 6 4 4 4 2" xfId="26230" xr:uid="{00000000-0005-0000-0000-0000CB710000}"/>
    <cellStyle name="Total 2 6 4 5" xfId="2631" xr:uid="{00000000-0005-0000-0000-0000CC710000}"/>
    <cellStyle name="Total 2 6 4 5 2" xfId="6732" xr:uid="{00000000-0005-0000-0000-0000CD710000}"/>
    <cellStyle name="Total 2 6 4 5 2 2" xfId="16689" xr:uid="{00000000-0005-0000-0000-0000CE710000}"/>
    <cellStyle name="Total 2 6 4 5 2 2 2" xfId="31521" xr:uid="{00000000-0005-0000-0000-0000CF710000}"/>
    <cellStyle name="Total 2 6 4 5 2 3" xfId="18728" xr:uid="{00000000-0005-0000-0000-0000D0710000}"/>
    <cellStyle name="Total 2 6 4 5 3" xfId="12969" xr:uid="{00000000-0005-0000-0000-0000D1710000}"/>
    <cellStyle name="Total 2 6 4 5 3 2" xfId="27801" xr:uid="{00000000-0005-0000-0000-0000D2710000}"/>
    <cellStyle name="Total 2 6 4 5 4" xfId="10340" xr:uid="{00000000-0005-0000-0000-0000D3710000}"/>
    <cellStyle name="Total 2 6 4 5 4 2" xfId="25172" xr:uid="{00000000-0005-0000-0000-0000D4710000}"/>
    <cellStyle name="Total 2 6 4 6" xfId="5748" xr:uid="{00000000-0005-0000-0000-0000D5710000}"/>
    <cellStyle name="Total 2 6 4 6 2" xfId="15983" xr:uid="{00000000-0005-0000-0000-0000D6710000}"/>
    <cellStyle name="Total 2 6 4 6 2 2" xfId="30815" xr:uid="{00000000-0005-0000-0000-0000D7710000}"/>
    <cellStyle name="Total 2 6 4 6 3" xfId="18369" xr:uid="{00000000-0005-0000-0000-0000D8710000}"/>
    <cellStyle name="Total 2 6 4 7" xfId="12003" xr:uid="{00000000-0005-0000-0000-0000D9710000}"/>
    <cellStyle name="Total 2 6 4 7 2" xfId="26835" xr:uid="{00000000-0005-0000-0000-0000DA710000}"/>
    <cellStyle name="Total 2 6 4 8" xfId="9662" xr:uid="{00000000-0005-0000-0000-0000DB710000}"/>
    <cellStyle name="Total 2 6 4 8 2" xfId="19963" xr:uid="{00000000-0005-0000-0000-0000DC710000}"/>
    <cellStyle name="Total 2 6 5" xfId="1646" xr:uid="{00000000-0005-0000-0000-0000DD710000}"/>
    <cellStyle name="Total 2 6 5 2" xfId="2143" xr:uid="{00000000-0005-0000-0000-0000DE710000}"/>
    <cellStyle name="Total 2 6 5 2 2" xfId="4123" xr:uid="{00000000-0005-0000-0000-0000DF710000}"/>
    <cellStyle name="Total 2 6 5 2 2 2" xfId="8167" xr:uid="{00000000-0005-0000-0000-0000E0710000}"/>
    <cellStyle name="Total 2 6 5 2 2 2 2" xfId="17529" xr:uid="{00000000-0005-0000-0000-0000E1710000}"/>
    <cellStyle name="Total 2 6 5 2 2 2 2 2" xfId="32361" xr:uid="{00000000-0005-0000-0000-0000E2710000}"/>
    <cellStyle name="Total 2 6 5 2 2 2 3" xfId="19274" xr:uid="{00000000-0005-0000-0000-0000E3710000}"/>
    <cellStyle name="Total 2 6 5 2 2 3" xfId="14455" xr:uid="{00000000-0005-0000-0000-0000E4710000}"/>
    <cellStyle name="Total 2 6 5 2 2 3 2" xfId="29287" xr:uid="{00000000-0005-0000-0000-0000E5710000}"/>
    <cellStyle name="Total 2 6 5 2 2 4" xfId="11147" xr:uid="{00000000-0005-0000-0000-0000E6710000}"/>
    <cellStyle name="Total 2 6 5 2 2 4 2" xfId="25979" xr:uid="{00000000-0005-0000-0000-0000E7710000}"/>
    <cellStyle name="Total 2 6 5 2 3" xfId="5111" xr:uid="{00000000-0005-0000-0000-0000E8710000}"/>
    <cellStyle name="Total 2 6 5 2 3 2" xfId="9150" xr:uid="{00000000-0005-0000-0000-0000E9710000}"/>
    <cellStyle name="Total 2 6 5 2 3 2 2" xfId="18078" xr:uid="{00000000-0005-0000-0000-0000EA710000}"/>
    <cellStyle name="Total 2 6 5 2 3 2 2 2" xfId="32910" xr:uid="{00000000-0005-0000-0000-0000EB710000}"/>
    <cellStyle name="Total 2 6 5 2 3 2 3" xfId="19631" xr:uid="{00000000-0005-0000-0000-0000EC710000}"/>
    <cellStyle name="Total 2 6 5 2 3 3" xfId="15431" xr:uid="{00000000-0005-0000-0000-0000ED710000}"/>
    <cellStyle name="Total 2 6 5 2 3 3 2" xfId="30263" xr:uid="{00000000-0005-0000-0000-0000EE710000}"/>
    <cellStyle name="Total 2 6 5 2 3 4" xfId="11677" xr:uid="{00000000-0005-0000-0000-0000EF710000}"/>
    <cellStyle name="Total 2 6 5 2 3 4 2" xfId="26509" xr:uid="{00000000-0005-0000-0000-0000F0710000}"/>
    <cellStyle name="Total 2 6 5 2 4" xfId="3101" xr:uid="{00000000-0005-0000-0000-0000F1710000}"/>
    <cellStyle name="Total 2 6 5 2 4 2" xfId="7171" xr:uid="{00000000-0005-0000-0000-0000F2710000}"/>
    <cellStyle name="Total 2 6 5 2 4 2 2" xfId="16968" xr:uid="{00000000-0005-0000-0000-0000F3710000}"/>
    <cellStyle name="Total 2 6 5 2 4 2 2 2" xfId="31800" xr:uid="{00000000-0005-0000-0000-0000F4710000}"/>
    <cellStyle name="Total 2 6 5 2 4 2 3" xfId="18925" xr:uid="{00000000-0005-0000-0000-0000F5710000}"/>
    <cellStyle name="Total 2 6 5 2 4 3" xfId="13439" xr:uid="{00000000-0005-0000-0000-0000F6710000}"/>
    <cellStyle name="Total 2 6 5 2 4 3 2" xfId="28271" xr:uid="{00000000-0005-0000-0000-0000F7710000}"/>
    <cellStyle name="Total 2 6 5 2 4 4" xfId="10625" xr:uid="{00000000-0005-0000-0000-0000F8710000}"/>
    <cellStyle name="Total 2 6 5 2 4 4 2" xfId="25457" xr:uid="{00000000-0005-0000-0000-0000F9710000}"/>
    <cellStyle name="Total 2 6 5 2 5" xfId="6263" xr:uid="{00000000-0005-0000-0000-0000FA710000}"/>
    <cellStyle name="Total 2 6 5 2 5 2" xfId="16448" xr:uid="{00000000-0005-0000-0000-0000FB710000}"/>
    <cellStyle name="Total 2 6 5 2 5 2 2" xfId="31280" xr:uid="{00000000-0005-0000-0000-0000FC710000}"/>
    <cellStyle name="Total 2 6 5 2 5 3" xfId="18566" xr:uid="{00000000-0005-0000-0000-0000FD710000}"/>
    <cellStyle name="Total 2 6 5 2 6" xfId="12518" xr:uid="{00000000-0005-0000-0000-0000FE710000}"/>
    <cellStyle name="Total 2 6 5 2 6 2" xfId="27350" xr:uid="{00000000-0005-0000-0000-0000FF710000}"/>
    <cellStyle name="Total 2 6 5 2 7" xfId="10100" xr:uid="{00000000-0005-0000-0000-000000720000}"/>
    <cellStyle name="Total 2 6 5 2 7 2" xfId="24932" xr:uid="{00000000-0005-0000-0000-000001720000}"/>
    <cellStyle name="Total 2 6 5 3" xfId="3773" xr:uid="{00000000-0005-0000-0000-000002720000}"/>
    <cellStyle name="Total 2 6 5 3 2" xfId="7829" xr:uid="{00000000-0005-0000-0000-000003720000}"/>
    <cellStyle name="Total 2 6 5 3 2 2" xfId="17361" xr:uid="{00000000-0005-0000-0000-000004720000}"/>
    <cellStyle name="Total 2 6 5 3 2 2 2" xfId="32193" xr:uid="{00000000-0005-0000-0000-000005720000}"/>
    <cellStyle name="Total 2 6 5 3 2 3" xfId="19154" xr:uid="{00000000-0005-0000-0000-000006720000}"/>
    <cellStyle name="Total 2 6 5 3 3" xfId="14108" xr:uid="{00000000-0005-0000-0000-000007720000}"/>
    <cellStyle name="Total 2 6 5 3 3 2" xfId="28940" xr:uid="{00000000-0005-0000-0000-000008720000}"/>
    <cellStyle name="Total 2 6 5 3 4" xfId="10977" xr:uid="{00000000-0005-0000-0000-000009720000}"/>
    <cellStyle name="Total 2 6 5 3 4 2" xfId="25809" xr:uid="{00000000-0005-0000-0000-00000A720000}"/>
    <cellStyle name="Total 2 6 5 4" xfId="4691" xr:uid="{00000000-0005-0000-0000-00000B720000}"/>
    <cellStyle name="Total 2 6 5 4 2" xfId="8730" xr:uid="{00000000-0005-0000-0000-00000C720000}"/>
    <cellStyle name="Total 2 6 5 4 2 2" xfId="17838" xr:uid="{00000000-0005-0000-0000-00000D720000}"/>
    <cellStyle name="Total 2 6 5 4 2 2 2" xfId="32670" xr:uid="{00000000-0005-0000-0000-00000E720000}"/>
    <cellStyle name="Total 2 6 5 4 2 3" xfId="19471" xr:uid="{00000000-0005-0000-0000-00000F720000}"/>
    <cellStyle name="Total 2 6 5 4 3" xfId="15016" xr:uid="{00000000-0005-0000-0000-000010720000}"/>
    <cellStyle name="Total 2 6 5 4 3 2" xfId="29848" xr:uid="{00000000-0005-0000-0000-000011720000}"/>
    <cellStyle name="Total 2 6 5 4 4" xfId="11442" xr:uid="{00000000-0005-0000-0000-000012720000}"/>
    <cellStyle name="Total 2 6 5 4 4 2" xfId="26274" xr:uid="{00000000-0005-0000-0000-000013720000}"/>
    <cellStyle name="Total 2 6 5 5" xfId="2681" xr:uid="{00000000-0005-0000-0000-000014720000}"/>
    <cellStyle name="Total 2 6 5 5 2" xfId="6777" xr:uid="{00000000-0005-0000-0000-000015720000}"/>
    <cellStyle name="Total 2 6 5 5 2 2" xfId="16733" xr:uid="{00000000-0005-0000-0000-000016720000}"/>
    <cellStyle name="Total 2 6 5 5 2 2 2" xfId="31565" xr:uid="{00000000-0005-0000-0000-000017720000}"/>
    <cellStyle name="Total 2 6 5 5 2 3" xfId="18761" xr:uid="{00000000-0005-0000-0000-000018720000}"/>
    <cellStyle name="Total 2 6 5 5 3" xfId="13019" xr:uid="{00000000-0005-0000-0000-000019720000}"/>
    <cellStyle name="Total 2 6 5 5 3 2" xfId="27851" xr:uid="{00000000-0005-0000-0000-00001A720000}"/>
    <cellStyle name="Total 2 6 5 5 4" xfId="10385" xr:uid="{00000000-0005-0000-0000-00001B720000}"/>
    <cellStyle name="Total 2 6 5 5 4 2" xfId="25217" xr:uid="{00000000-0005-0000-0000-00001C720000}"/>
    <cellStyle name="Total 2 6 5 6" xfId="5793" xr:uid="{00000000-0005-0000-0000-00001D720000}"/>
    <cellStyle name="Total 2 6 5 6 2" xfId="16027" xr:uid="{00000000-0005-0000-0000-00001E720000}"/>
    <cellStyle name="Total 2 6 5 6 2 2" xfId="30859" xr:uid="{00000000-0005-0000-0000-00001F720000}"/>
    <cellStyle name="Total 2 6 5 6 3" xfId="18402" xr:uid="{00000000-0005-0000-0000-000020720000}"/>
    <cellStyle name="Total 2 6 5 7" xfId="12047" xr:uid="{00000000-0005-0000-0000-000021720000}"/>
    <cellStyle name="Total 2 6 5 7 2" xfId="26879" xr:uid="{00000000-0005-0000-0000-000022720000}"/>
    <cellStyle name="Total 2 6 5 8" xfId="9707" xr:uid="{00000000-0005-0000-0000-000023720000}"/>
    <cellStyle name="Total 2 6 5 8 2" xfId="20007" xr:uid="{00000000-0005-0000-0000-000024720000}"/>
    <cellStyle name="Total 2 6 6" xfId="1797" xr:uid="{00000000-0005-0000-0000-000025720000}"/>
    <cellStyle name="Total 2 6 6 2" xfId="4064" xr:uid="{00000000-0005-0000-0000-000026720000}"/>
    <cellStyle name="Total 2 6 6 2 2" xfId="8111" xr:uid="{00000000-0005-0000-0000-000027720000}"/>
    <cellStyle name="Total 2 6 6 2 2 2" xfId="17501" xr:uid="{00000000-0005-0000-0000-000028720000}"/>
    <cellStyle name="Total 2 6 6 2 2 2 2" xfId="32333" xr:uid="{00000000-0005-0000-0000-000029720000}"/>
    <cellStyle name="Total 2 6 6 2 2 3" xfId="19253" xr:uid="{00000000-0005-0000-0000-00002A720000}"/>
    <cellStyle name="Total 2 6 6 2 3" xfId="14396" xr:uid="{00000000-0005-0000-0000-00002B720000}"/>
    <cellStyle name="Total 2 6 6 2 3 2" xfId="29228" xr:uid="{00000000-0005-0000-0000-00002C720000}"/>
    <cellStyle name="Total 2 6 6 2 4" xfId="11117" xr:uid="{00000000-0005-0000-0000-00002D720000}"/>
    <cellStyle name="Total 2 6 6 2 4 2" xfId="25949" xr:uid="{00000000-0005-0000-0000-00002E720000}"/>
    <cellStyle name="Total 2 6 6 3" xfId="4775" xr:uid="{00000000-0005-0000-0000-00002F720000}"/>
    <cellStyle name="Total 2 6 6 3 2" xfId="8814" xr:uid="{00000000-0005-0000-0000-000030720000}"/>
    <cellStyle name="Total 2 6 6 3 2 2" xfId="17886" xr:uid="{00000000-0005-0000-0000-000031720000}"/>
    <cellStyle name="Total 2 6 6 3 2 2 2" xfId="32718" xr:uid="{00000000-0005-0000-0000-000032720000}"/>
    <cellStyle name="Total 2 6 6 3 2 3" xfId="19503" xr:uid="{00000000-0005-0000-0000-000033720000}"/>
    <cellStyle name="Total 2 6 6 3 3" xfId="15099" xr:uid="{00000000-0005-0000-0000-000034720000}"/>
    <cellStyle name="Total 2 6 6 3 3 2" xfId="29931" xr:uid="{00000000-0005-0000-0000-000035720000}"/>
    <cellStyle name="Total 2 6 6 3 4" xfId="11489" xr:uid="{00000000-0005-0000-0000-000036720000}"/>
    <cellStyle name="Total 2 6 6 3 4 2" xfId="26321" xr:uid="{00000000-0005-0000-0000-000037720000}"/>
    <cellStyle name="Total 2 6 6 4" xfId="2765" xr:uid="{00000000-0005-0000-0000-000038720000}"/>
    <cellStyle name="Total 2 6 6 4 2" xfId="6856" xr:uid="{00000000-0005-0000-0000-000039720000}"/>
    <cellStyle name="Total 2 6 6 4 2 2" xfId="16780" xr:uid="{00000000-0005-0000-0000-00003A720000}"/>
    <cellStyle name="Total 2 6 6 4 2 2 2" xfId="31612" xr:uid="{00000000-0005-0000-0000-00003B720000}"/>
    <cellStyle name="Total 2 6 6 4 2 3" xfId="18794" xr:uid="{00000000-0005-0000-0000-00003C720000}"/>
    <cellStyle name="Total 2 6 6 4 3" xfId="13103" xr:uid="{00000000-0005-0000-0000-00003D720000}"/>
    <cellStyle name="Total 2 6 6 4 3 2" xfId="27935" xr:uid="{00000000-0005-0000-0000-00003E720000}"/>
    <cellStyle name="Total 2 6 6 4 4" xfId="10433" xr:uid="{00000000-0005-0000-0000-00003F720000}"/>
    <cellStyle name="Total 2 6 6 4 4 2" xfId="25265" xr:uid="{00000000-0005-0000-0000-000040720000}"/>
    <cellStyle name="Total 2 6 6 5" xfId="5929" xr:uid="{00000000-0005-0000-0000-000041720000}"/>
    <cellStyle name="Total 2 6 6 5 2" xfId="16121" xr:uid="{00000000-0005-0000-0000-000042720000}"/>
    <cellStyle name="Total 2 6 6 5 2 2" xfId="30953" xr:uid="{00000000-0005-0000-0000-000043720000}"/>
    <cellStyle name="Total 2 6 6 5 3" xfId="18436" xr:uid="{00000000-0005-0000-0000-000044720000}"/>
    <cellStyle name="Total 2 6 6 6" xfId="12191" xr:uid="{00000000-0005-0000-0000-000045720000}"/>
    <cellStyle name="Total 2 6 6 6 2" xfId="27023" xr:uid="{00000000-0005-0000-0000-000046720000}"/>
    <cellStyle name="Total 2 6 6 7" xfId="9787" xr:uid="{00000000-0005-0000-0000-000047720000}"/>
    <cellStyle name="Total 2 6 6 7 2" xfId="24744" xr:uid="{00000000-0005-0000-0000-000048720000}"/>
    <cellStyle name="Total 2 6 7" xfId="2169" xr:uid="{00000000-0005-0000-0000-000049720000}"/>
    <cellStyle name="Total 2 6 7 2" xfId="3122" xr:uid="{00000000-0005-0000-0000-00004A720000}"/>
    <cellStyle name="Total 2 6 7 2 2" xfId="7187" xr:uid="{00000000-0005-0000-0000-00004B720000}"/>
    <cellStyle name="Total 2 6 7 2 2 2" xfId="16980" xr:uid="{00000000-0005-0000-0000-00004C720000}"/>
    <cellStyle name="Total 2 6 7 2 2 2 2" xfId="31812" xr:uid="{00000000-0005-0000-0000-00004D720000}"/>
    <cellStyle name="Total 2 6 7 2 2 3" xfId="18937" xr:uid="{00000000-0005-0000-0000-00004E720000}"/>
    <cellStyle name="Total 2 6 7 2 3" xfId="13460" xr:uid="{00000000-0005-0000-0000-00004F720000}"/>
    <cellStyle name="Total 2 6 7 2 3 2" xfId="28292" xr:uid="{00000000-0005-0000-0000-000050720000}"/>
    <cellStyle name="Total 2 6 7 2 4" xfId="10638" xr:uid="{00000000-0005-0000-0000-000051720000}"/>
    <cellStyle name="Total 2 6 7 2 4 2" xfId="25470" xr:uid="{00000000-0005-0000-0000-000052720000}"/>
    <cellStyle name="Total 2 6 7 3" xfId="5137" xr:uid="{00000000-0005-0000-0000-000053720000}"/>
    <cellStyle name="Total 2 6 7 3 2" xfId="9176" xr:uid="{00000000-0005-0000-0000-000054720000}"/>
    <cellStyle name="Total 2 6 7 3 2 2" xfId="18099" xr:uid="{00000000-0005-0000-0000-000055720000}"/>
    <cellStyle name="Total 2 6 7 3 2 2 2" xfId="32931" xr:uid="{00000000-0005-0000-0000-000056720000}"/>
    <cellStyle name="Total 2 6 7 3 2 3" xfId="19650" xr:uid="{00000000-0005-0000-0000-000057720000}"/>
    <cellStyle name="Total 2 6 7 3 3" xfId="15455" xr:uid="{00000000-0005-0000-0000-000058720000}"/>
    <cellStyle name="Total 2 6 7 3 3 2" xfId="30287" xr:uid="{00000000-0005-0000-0000-000059720000}"/>
    <cellStyle name="Total 2 6 7 3 4" xfId="11696" xr:uid="{00000000-0005-0000-0000-00005A720000}"/>
    <cellStyle name="Total 2 6 7 3 4 2" xfId="26528" xr:uid="{00000000-0005-0000-0000-00005B720000}"/>
    <cellStyle name="Total 2 6 7 4" xfId="4167" xr:uid="{00000000-0005-0000-0000-00005C720000}"/>
    <cellStyle name="Total 2 6 7 4 2" xfId="8208" xr:uid="{00000000-0005-0000-0000-00005D720000}"/>
    <cellStyle name="Total 2 6 7 4 2 2" xfId="17555" xr:uid="{00000000-0005-0000-0000-00005E720000}"/>
    <cellStyle name="Total 2 6 7 4 2 2 2" xfId="32387" xr:uid="{00000000-0005-0000-0000-00005F720000}"/>
    <cellStyle name="Total 2 6 7 4 2 3" xfId="19293" xr:uid="{00000000-0005-0000-0000-000060720000}"/>
    <cellStyle name="Total 2 6 7 4 3" xfId="14499" xr:uid="{00000000-0005-0000-0000-000061720000}"/>
    <cellStyle name="Total 2 6 7 4 3 2" xfId="29331" xr:uid="{00000000-0005-0000-0000-000062720000}"/>
    <cellStyle name="Total 2 6 7 4 4" xfId="11175" xr:uid="{00000000-0005-0000-0000-000063720000}"/>
    <cellStyle name="Total 2 6 7 4 4 2" xfId="26007" xr:uid="{00000000-0005-0000-0000-000064720000}"/>
    <cellStyle name="Total 2 6 7 5" xfId="6283" xr:uid="{00000000-0005-0000-0000-000065720000}"/>
    <cellStyle name="Total 2 6 7 5 2" xfId="16467" xr:uid="{00000000-0005-0000-0000-000066720000}"/>
    <cellStyle name="Total 2 6 7 5 2 2" xfId="31299" xr:uid="{00000000-0005-0000-0000-000067720000}"/>
    <cellStyle name="Total 2 6 7 5 3" xfId="18586" xr:uid="{00000000-0005-0000-0000-000068720000}"/>
    <cellStyle name="Total 2 6 7 6" xfId="12537" xr:uid="{00000000-0005-0000-0000-000069720000}"/>
    <cellStyle name="Total 2 6 7 6 2" xfId="27369" xr:uid="{00000000-0005-0000-0000-00006A720000}"/>
    <cellStyle name="Total 2 6 7 7" xfId="10119" xr:uid="{00000000-0005-0000-0000-00006B720000}"/>
    <cellStyle name="Total 2 6 7 7 2" xfId="24951" xr:uid="{00000000-0005-0000-0000-00006C720000}"/>
    <cellStyle name="Total 2 6 8" xfId="3222" xr:uid="{00000000-0005-0000-0000-00006D720000}"/>
    <cellStyle name="Total 2 6 8 2" xfId="7286" xr:uid="{00000000-0005-0000-0000-00006E720000}"/>
    <cellStyle name="Total 2 6 8 2 2" xfId="17048" xr:uid="{00000000-0005-0000-0000-00006F720000}"/>
    <cellStyle name="Total 2 6 8 2 2 2" xfId="31880" xr:uid="{00000000-0005-0000-0000-000070720000}"/>
    <cellStyle name="Total 2 6 8 2 3" xfId="18967" xr:uid="{00000000-0005-0000-0000-000071720000}"/>
    <cellStyle name="Total 2 6 8 3" xfId="13560" xr:uid="{00000000-0005-0000-0000-000072720000}"/>
    <cellStyle name="Total 2 6 8 3 2" xfId="28392" xr:uid="{00000000-0005-0000-0000-000073720000}"/>
    <cellStyle name="Total 2 6 8 4" xfId="10688" xr:uid="{00000000-0005-0000-0000-000074720000}"/>
    <cellStyle name="Total 2 6 8 4 2" xfId="25520" xr:uid="{00000000-0005-0000-0000-000075720000}"/>
    <cellStyle name="Total 2 6 9" xfId="3140" xr:uid="{00000000-0005-0000-0000-000076720000}"/>
    <cellStyle name="Total 2 6 9 2" xfId="7204" xr:uid="{00000000-0005-0000-0000-000077720000}"/>
    <cellStyle name="Total 2 6 9 2 2" xfId="16989" xr:uid="{00000000-0005-0000-0000-000078720000}"/>
    <cellStyle name="Total 2 6 9 2 2 2" xfId="31821" xr:uid="{00000000-0005-0000-0000-000079720000}"/>
    <cellStyle name="Total 2 6 9 2 3" xfId="18940" xr:uid="{00000000-0005-0000-0000-00007A720000}"/>
    <cellStyle name="Total 2 6 9 3" xfId="13478" xr:uid="{00000000-0005-0000-0000-00007B720000}"/>
    <cellStyle name="Total 2 6 9 3 2" xfId="28310" xr:uid="{00000000-0005-0000-0000-00007C720000}"/>
    <cellStyle name="Total 2 6 9 4" xfId="10643" xr:uid="{00000000-0005-0000-0000-00007D720000}"/>
    <cellStyle name="Total 2 6 9 4 2" xfId="25475" xr:uid="{00000000-0005-0000-0000-00007E720000}"/>
    <cellStyle name="Total 2 7" xfId="1273" xr:uid="{00000000-0005-0000-0000-00007F720000}"/>
    <cellStyle name="Total 2 7 10" xfId="2340" xr:uid="{00000000-0005-0000-0000-000080720000}"/>
    <cellStyle name="Total 2 7 10 2" xfId="6452" xr:uid="{00000000-0005-0000-0000-000081720000}"/>
    <cellStyle name="Total 2 7 10 2 2" xfId="16544" xr:uid="{00000000-0005-0000-0000-000082720000}"/>
    <cellStyle name="Total 2 7 10 2 2 2" xfId="31376" xr:uid="{00000000-0005-0000-0000-000083720000}"/>
    <cellStyle name="Total 2 7 10 2 3" xfId="18632" xr:uid="{00000000-0005-0000-0000-000084720000}"/>
    <cellStyle name="Total 2 7 10 3" xfId="12680" xr:uid="{00000000-0005-0000-0000-000085720000}"/>
    <cellStyle name="Total 2 7 10 3 2" xfId="27512" xr:uid="{00000000-0005-0000-0000-000086720000}"/>
    <cellStyle name="Total 2 7 10 4" xfId="10195" xr:uid="{00000000-0005-0000-0000-000087720000}"/>
    <cellStyle name="Total 2 7 10 4 2" xfId="25027" xr:uid="{00000000-0005-0000-0000-000088720000}"/>
    <cellStyle name="Total 2 7 11" xfId="5302" xr:uid="{00000000-0005-0000-0000-000089720000}"/>
    <cellStyle name="Total 2 7 11 2" xfId="9310" xr:uid="{00000000-0005-0000-0000-00008A720000}"/>
    <cellStyle name="Total 2 7 11 2 2" xfId="18177" xr:uid="{00000000-0005-0000-0000-00008B720000}"/>
    <cellStyle name="Total 2 7 11 2 2 2" xfId="33009" xr:uid="{00000000-0005-0000-0000-00008C720000}"/>
    <cellStyle name="Total 2 7 11 2 3" xfId="19696" xr:uid="{00000000-0005-0000-0000-00008D720000}"/>
    <cellStyle name="Total 2 7 11 3" xfId="15618" xr:uid="{00000000-0005-0000-0000-00008E720000}"/>
    <cellStyle name="Total 2 7 11 3 2" xfId="30450" xr:uid="{00000000-0005-0000-0000-00008F720000}"/>
    <cellStyle name="Total 2 7 12" xfId="5460" xr:uid="{00000000-0005-0000-0000-000090720000}"/>
    <cellStyle name="Total 2 7 12 2" xfId="15696" xr:uid="{00000000-0005-0000-0000-000091720000}"/>
    <cellStyle name="Total 2 7 12 2 2" xfId="30528" xr:uid="{00000000-0005-0000-0000-000092720000}"/>
    <cellStyle name="Total 2 7 12 3" xfId="18273" xr:uid="{00000000-0005-0000-0000-000093720000}"/>
    <cellStyle name="Total 2 7 13" xfId="9331" xr:uid="{00000000-0005-0000-0000-000094720000}"/>
    <cellStyle name="Total 2 7 13 2" xfId="24637" xr:uid="{00000000-0005-0000-0000-000095720000}"/>
    <cellStyle name="Total 2 7 14" xfId="5320" xr:uid="{00000000-0005-0000-0000-000096720000}"/>
    <cellStyle name="Total 2 7 14 2" xfId="18194" xr:uid="{00000000-0005-0000-0000-000097720000}"/>
    <cellStyle name="Total 2 7 2" xfId="1372" xr:uid="{00000000-0005-0000-0000-000098720000}"/>
    <cellStyle name="Total 2 7 2 2" xfId="1876" xr:uid="{00000000-0005-0000-0000-000099720000}"/>
    <cellStyle name="Total 2 7 2 2 2" xfId="3435" xr:uid="{00000000-0005-0000-0000-00009A720000}"/>
    <cellStyle name="Total 2 7 2 2 2 2" xfId="7498" xr:uid="{00000000-0005-0000-0000-00009B720000}"/>
    <cellStyle name="Total 2 7 2 2 2 2 2" xfId="17188" xr:uid="{00000000-0005-0000-0000-00009C720000}"/>
    <cellStyle name="Total 2 7 2 2 2 2 2 2" xfId="32020" xr:uid="{00000000-0005-0000-0000-00009D720000}"/>
    <cellStyle name="Total 2 7 2 2 2 2 3" xfId="19034" xr:uid="{00000000-0005-0000-0000-00009E720000}"/>
    <cellStyle name="Total 2 7 2 2 2 3" xfId="13772" xr:uid="{00000000-0005-0000-0000-00009F720000}"/>
    <cellStyle name="Total 2 7 2 2 2 3 2" xfId="28604" xr:uid="{00000000-0005-0000-0000-0000A0720000}"/>
    <cellStyle name="Total 2 7 2 2 2 4" xfId="10807" xr:uid="{00000000-0005-0000-0000-0000A1720000}"/>
    <cellStyle name="Total 2 7 2 2 2 4 2" xfId="25639" xr:uid="{00000000-0005-0000-0000-0000A2720000}"/>
    <cellStyle name="Total 2 7 2 2 3" xfId="4854" xr:uid="{00000000-0005-0000-0000-0000A3720000}"/>
    <cellStyle name="Total 2 7 2 2 3 2" xfId="8893" xr:uid="{00000000-0005-0000-0000-0000A4720000}"/>
    <cellStyle name="Total 2 7 2 2 3 2 2" xfId="17934" xr:uid="{00000000-0005-0000-0000-0000A5720000}"/>
    <cellStyle name="Total 2 7 2 2 3 2 2 2" xfId="32766" xr:uid="{00000000-0005-0000-0000-0000A6720000}"/>
    <cellStyle name="Total 2 7 2 2 3 2 3" xfId="19536" xr:uid="{00000000-0005-0000-0000-0000A7720000}"/>
    <cellStyle name="Total 2 7 2 2 3 3" xfId="15178" xr:uid="{00000000-0005-0000-0000-0000A8720000}"/>
    <cellStyle name="Total 2 7 2 2 3 3 2" xfId="30010" xr:uid="{00000000-0005-0000-0000-0000A9720000}"/>
    <cellStyle name="Total 2 7 2 2 3 4" xfId="11537" xr:uid="{00000000-0005-0000-0000-0000AA720000}"/>
    <cellStyle name="Total 2 7 2 2 3 4 2" xfId="26369" xr:uid="{00000000-0005-0000-0000-0000AB720000}"/>
    <cellStyle name="Total 2 7 2 2 4" xfId="2844" xr:uid="{00000000-0005-0000-0000-0000AC720000}"/>
    <cellStyle name="Total 2 7 2 2 4 2" xfId="6935" xr:uid="{00000000-0005-0000-0000-0000AD720000}"/>
    <cellStyle name="Total 2 7 2 2 4 2 2" xfId="16828" xr:uid="{00000000-0005-0000-0000-0000AE720000}"/>
    <cellStyle name="Total 2 7 2 2 4 2 2 2" xfId="31660" xr:uid="{00000000-0005-0000-0000-0000AF720000}"/>
    <cellStyle name="Total 2 7 2 2 4 2 3" xfId="18827" xr:uid="{00000000-0005-0000-0000-0000B0720000}"/>
    <cellStyle name="Total 2 7 2 2 4 3" xfId="13182" xr:uid="{00000000-0005-0000-0000-0000B1720000}"/>
    <cellStyle name="Total 2 7 2 2 4 3 2" xfId="28014" xr:uid="{00000000-0005-0000-0000-0000B2720000}"/>
    <cellStyle name="Total 2 7 2 2 4 4" xfId="10481" xr:uid="{00000000-0005-0000-0000-0000B3720000}"/>
    <cellStyle name="Total 2 7 2 2 4 4 2" xfId="25313" xr:uid="{00000000-0005-0000-0000-0000B4720000}"/>
    <cellStyle name="Total 2 7 2 2 5" xfId="6008" xr:uid="{00000000-0005-0000-0000-0000B5720000}"/>
    <cellStyle name="Total 2 7 2 2 5 2" xfId="16200" xr:uid="{00000000-0005-0000-0000-0000B6720000}"/>
    <cellStyle name="Total 2 7 2 2 5 2 2" xfId="31032" xr:uid="{00000000-0005-0000-0000-0000B7720000}"/>
    <cellStyle name="Total 2 7 2 2 5 3" xfId="18469" xr:uid="{00000000-0005-0000-0000-0000B8720000}"/>
    <cellStyle name="Total 2 7 2 2 6" xfId="12270" xr:uid="{00000000-0005-0000-0000-0000B9720000}"/>
    <cellStyle name="Total 2 7 2 2 6 2" xfId="27102" xr:uid="{00000000-0005-0000-0000-0000BA720000}"/>
    <cellStyle name="Total 2 7 2 2 7" xfId="9866" xr:uid="{00000000-0005-0000-0000-0000BB720000}"/>
    <cellStyle name="Total 2 7 2 2 7 2" xfId="24792" xr:uid="{00000000-0005-0000-0000-0000BC720000}"/>
    <cellStyle name="Total 2 7 2 3" xfId="3897" xr:uid="{00000000-0005-0000-0000-0000BD720000}"/>
    <cellStyle name="Total 2 7 2 3 2" xfId="7948" xr:uid="{00000000-0005-0000-0000-0000BE720000}"/>
    <cellStyle name="Total 2 7 2 3 2 2" xfId="17418" xr:uid="{00000000-0005-0000-0000-0000BF720000}"/>
    <cellStyle name="Total 2 7 2 3 2 2 2" xfId="32250" xr:uid="{00000000-0005-0000-0000-0000C0720000}"/>
    <cellStyle name="Total 2 7 2 3 2 3" xfId="19191" xr:uid="{00000000-0005-0000-0000-0000C1720000}"/>
    <cellStyle name="Total 2 7 2 3 3" xfId="14230" xr:uid="{00000000-0005-0000-0000-0000C2720000}"/>
    <cellStyle name="Total 2 7 2 3 3 2" xfId="29062" xr:uid="{00000000-0005-0000-0000-0000C3720000}"/>
    <cellStyle name="Total 2 7 2 3 4" xfId="11034" xr:uid="{00000000-0005-0000-0000-0000C4720000}"/>
    <cellStyle name="Total 2 7 2 3 4 2" xfId="25866" xr:uid="{00000000-0005-0000-0000-0000C5720000}"/>
    <cellStyle name="Total 2 7 2 4" xfId="4434" xr:uid="{00000000-0005-0000-0000-0000C6720000}"/>
    <cellStyle name="Total 2 7 2 4 2" xfId="8473" xr:uid="{00000000-0005-0000-0000-0000C7720000}"/>
    <cellStyle name="Total 2 7 2 4 2 2" xfId="17694" xr:uid="{00000000-0005-0000-0000-0000C8720000}"/>
    <cellStyle name="Total 2 7 2 4 2 2 2" xfId="32526" xr:uid="{00000000-0005-0000-0000-0000C9720000}"/>
    <cellStyle name="Total 2 7 2 4 2 3" xfId="19376" xr:uid="{00000000-0005-0000-0000-0000CA720000}"/>
    <cellStyle name="Total 2 7 2 4 3" xfId="14763" xr:uid="{00000000-0005-0000-0000-0000CB720000}"/>
    <cellStyle name="Total 2 7 2 4 3 2" xfId="29595" xr:uid="{00000000-0005-0000-0000-0000CC720000}"/>
    <cellStyle name="Total 2 7 2 4 4" xfId="11302" xr:uid="{00000000-0005-0000-0000-0000CD720000}"/>
    <cellStyle name="Total 2 7 2 4 4 2" xfId="26134" xr:uid="{00000000-0005-0000-0000-0000CE720000}"/>
    <cellStyle name="Total 2 7 2 5" xfId="2424" xr:uid="{00000000-0005-0000-0000-0000CF720000}"/>
    <cellStyle name="Total 2 7 2 5 2" xfId="6536" xr:uid="{00000000-0005-0000-0000-0000D0720000}"/>
    <cellStyle name="Total 2 7 2 5 2 2" xfId="16592" xr:uid="{00000000-0005-0000-0000-0000D1720000}"/>
    <cellStyle name="Total 2 7 2 5 2 2 2" xfId="31424" xr:uid="{00000000-0005-0000-0000-0000D2720000}"/>
    <cellStyle name="Total 2 7 2 5 2 3" xfId="18664" xr:uid="{00000000-0005-0000-0000-0000D3720000}"/>
    <cellStyle name="Total 2 7 2 5 3" xfId="12763" xr:uid="{00000000-0005-0000-0000-0000D4720000}"/>
    <cellStyle name="Total 2 7 2 5 3 2" xfId="27595" xr:uid="{00000000-0005-0000-0000-0000D5720000}"/>
    <cellStyle name="Total 2 7 2 5 4" xfId="10242" xr:uid="{00000000-0005-0000-0000-0000D6720000}"/>
    <cellStyle name="Total 2 7 2 5 4 2" xfId="25074" xr:uid="{00000000-0005-0000-0000-0000D7720000}"/>
    <cellStyle name="Total 2 7 2 6" xfId="5549" xr:uid="{00000000-0005-0000-0000-0000D8720000}"/>
    <cellStyle name="Total 2 7 2 6 2" xfId="15784" xr:uid="{00000000-0005-0000-0000-0000D9720000}"/>
    <cellStyle name="Total 2 7 2 6 2 2" xfId="30616" xr:uid="{00000000-0005-0000-0000-0000DA720000}"/>
    <cellStyle name="Total 2 7 2 6 3" xfId="18306" xr:uid="{00000000-0005-0000-0000-0000DB720000}"/>
    <cellStyle name="Total 2 7 2 7" xfId="11799" xr:uid="{00000000-0005-0000-0000-0000DC720000}"/>
    <cellStyle name="Total 2 7 2 7 2" xfId="26631" xr:uid="{00000000-0005-0000-0000-0000DD720000}"/>
    <cellStyle name="Total 2 7 2 8" xfId="9470" xr:uid="{00000000-0005-0000-0000-0000DE720000}"/>
    <cellStyle name="Total 2 7 2 8 2" xfId="19774" xr:uid="{00000000-0005-0000-0000-0000DF720000}"/>
    <cellStyle name="Total 2 7 3" xfId="1544" xr:uid="{00000000-0005-0000-0000-0000E0720000}"/>
    <cellStyle name="Total 2 7 3 2" xfId="2041" xr:uid="{00000000-0005-0000-0000-0000E1720000}"/>
    <cellStyle name="Total 2 7 3 2 2" xfId="3768" xr:uid="{00000000-0005-0000-0000-0000E2720000}"/>
    <cellStyle name="Total 2 7 3 2 2 2" xfId="7824" xr:uid="{00000000-0005-0000-0000-0000E3720000}"/>
    <cellStyle name="Total 2 7 3 2 2 2 2" xfId="17358" xr:uid="{00000000-0005-0000-0000-0000E4720000}"/>
    <cellStyle name="Total 2 7 3 2 2 2 2 2" xfId="32190" xr:uid="{00000000-0005-0000-0000-0000E5720000}"/>
    <cellStyle name="Total 2 7 3 2 2 2 3" xfId="19152" xr:uid="{00000000-0005-0000-0000-0000E6720000}"/>
    <cellStyle name="Total 2 7 3 2 2 3" xfId="14103" xr:uid="{00000000-0005-0000-0000-0000E7720000}"/>
    <cellStyle name="Total 2 7 3 2 2 3 2" xfId="28935" xr:uid="{00000000-0005-0000-0000-0000E8720000}"/>
    <cellStyle name="Total 2 7 3 2 2 4" xfId="10974" xr:uid="{00000000-0005-0000-0000-0000E9720000}"/>
    <cellStyle name="Total 2 7 3 2 2 4 2" xfId="25806" xr:uid="{00000000-0005-0000-0000-0000EA720000}"/>
    <cellStyle name="Total 2 7 3 2 3" xfId="5009" xr:uid="{00000000-0005-0000-0000-0000EB720000}"/>
    <cellStyle name="Total 2 7 3 2 3 2" xfId="9048" xr:uid="{00000000-0005-0000-0000-0000EC720000}"/>
    <cellStyle name="Total 2 7 3 2 3 2 2" xfId="17986" xr:uid="{00000000-0005-0000-0000-0000ED720000}"/>
    <cellStyle name="Total 2 7 3 2 3 2 2 2" xfId="32818" xr:uid="{00000000-0005-0000-0000-0000EE720000}"/>
    <cellStyle name="Total 2 7 3 2 3 2 3" xfId="19568" xr:uid="{00000000-0005-0000-0000-0000EF720000}"/>
    <cellStyle name="Total 2 7 3 2 3 3" xfId="15331" xr:uid="{00000000-0005-0000-0000-0000F0720000}"/>
    <cellStyle name="Total 2 7 3 2 3 3 2" xfId="30163" xr:uid="{00000000-0005-0000-0000-0000F1720000}"/>
    <cellStyle name="Total 2 7 3 2 3 4" xfId="11587" xr:uid="{00000000-0005-0000-0000-0000F2720000}"/>
    <cellStyle name="Total 2 7 3 2 3 4 2" xfId="26419" xr:uid="{00000000-0005-0000-0000-0000F3720000}"/>
    <cellStyle name="Total 2 7 3 2 4" xfId="2999" xr:uid="{00000000-0005-0000-0000-0000F4720000}"/>
    <cellStyle name="Total 2 7 3 2 4 2" xfId="7079" xr:uid="{00000000-0005-0000-0000-0000F5720000}"/>
    <cellStyle name="Total 2 7 3 2 4 2 2" xfId="16878" xr:uid="{00000000-0005-0000-0000-0000F6720000}"/>
    <cellStyle name="Total 2 7 3 2 4 2 2 2" xfId="31710" xr:uid="{00000000-0005-0000-0000-0000F7720000}"/>
    <cellStyle name="Total 2 7 3 2 4 2 3" xfId="18860" xr:uid="{00000000-0005-0000-0000-0000F8720000}"/>
    <cellStyle name="Total 2 7 3 2 4 3" xfId="13337" xr:uid="{00000000-0005-0000-0000-0000F9720000}"/>
    <cellStyle name="Total 2 7 3 2 4 3 2" xfId="28169" xr:uid="{00000000-0005-0000-0000-0000FA720000}"/>
    <cellStyle name="Total 2 7 3 2 4 4" xfId="10533" xr:uid="{00000000-0005-0000-0000-0000FB720000}"/>
    <cellStyle name="Total 2 7 3 2 4 4 2" xfId="25365" xr:uid="{00000000-0005-0000-0000-0000FC720000}"/>
    <cellStyle name="Total 2 7 3 2 5" xfId="6171" xr:uid="{00000000-0005-0000-0000-0000FD720000}"/>
    <cellStyle name="Total 2 7 3 2 5 2" xfId="16358" xr:uid="{00000000-0005-0000-0000-0000FE720000}"/>
    <cellStyle name="Total 2 7 3 2 5 2 2" xfId="31190" xr:uid="{00000000-0005-0000-0000-0000FF720000}"/>
    <cellStyle name="Total 2 7 3 2 5 3" xfId="18501" xr:uid="{00000000-0005-0000-0000-000000730000}"/>
    <cellStyle name="Total 2 7 3 2 6" xfId="12428" xr:uid="{00000000-0005-0000-0000-000001730000}"/>
    <cellStyle name="Total 2 7 3 2 6 2" xfId="27260" xr:uid="{00000000-0005-0000-0000-000002730000}"/>
    <cellStyle name="Total 2 7 3 2 7" xfId="10010" xr:uid="{00000000-0005-0000-0000-000003730000}"/>
    <cellStyle name="Total 2 7 3 2 7 2" xfId="24842" xr:uid="{00000000-0005-0000-0000-000004730000}"/>
    <cellStyle name="Total 2 7 3 3" xfId="3283" xr:uid="{00000000-0005-0000-0000-000005730000}"/>
    <cellStyle name="Total 2 7 3 3 2" xfId="7347" xr:uid="{00000000-0005-0000-0000-000006730000}"/>
    <cellStyle name="Total 2 7 3 3 2 2" xfId="17090" xr:uid="{00000000-0005-0000-0000-000007730000}"/>
    <cellStyle name="Total 2 7 3 3 2 2 2" xfId="31922" xr:uid="{00000000-0005-0000-0000-000008730000}"/>
    <cellStyle name="Total 2 7 3 3 2 3" xfId="18983" xr:uid="{00000000-0005-0000-0000-000009730000}"/>
    <cellStyle name="Total 2 7 3 3 3" xfId="13620" xr:uid="{00000000-0005-0000-0000-00000A730000}"/>
    <cellStyle name="Total 2 7 3 3 3 2" xfId="28452" xr:uid="{00000000-0005-0000-0000-00000B730000}"/>
    <cellStyle name="Total 2 7 3 3 4" xfId="10717" xr:uid="{00000000-0005-0000-0000-00000C730000}"/>
    <cellStyle name="Total 2 7 3 3 4 2" xfId="25549" xr:uid="{00000000-0005-0000-0000-00000D730000}"/>
    <cellStyle name="Total 2 7 3 4" xfId="4589" xr:uid="{00000000-0005-0000-0000-00000E730000}"/>
    <cellStyle name="Total 2 7 3 4 2" xfId="8628" xr:uid="{00000000-0005-0000-0000-00000F730000}"/>
    <cellStyle name="Total 2 7 3 4 2 2" xfId="17746" xr:uid="{00000000-0005-0000-0000-000010730000}"/>
    <cellStyle name="Total 2 7 3 4 2 2 2" xfId="32578" xr:uid="{00000000-0005-0000-0000-000011730000}"/>
    <cellStyle name="Total 2 7 3 4 2 3" xfId="19408" xr:uid="{00000000-0005-0000-0000-000012730000}"/>
    <cellStyle name="Total 2 7 3 4 3" xfId="14916" xr:uid="{00000000-0005-0000-0000-000013730000}"/>
    <cellStyle name="Total 2 7 3 4 3 2" xfId="29748" xr:uid="{00000000-0005-0000-0000-000014730000}"/>
    <cellStyle name="Total 2 7 3 4 4" xfId="11352" xr:uid="{00000000-0005-0000-0000-000015730000}"/>
    <cellStyle name="Total 2 7 3 4 4 2" xfId="26184" xr:uid="{00000000-0005-0000-0000-000016730000}"/>
    <cellStyle name="Total 2 7 3 5" xfId="2579" xr:uid="{00000000-0005-0000-0000-000017730000}"/>
    <cellStyle name="Total 2 7 3 5 2" xfId="6685" xr:uid="{00000000-0005-0000-0000-000018730000}"/>
    <cellStyle name="Total 2 7 3 5 2 2" xfId="16643" xr:uid="{00000000-0005-0000-0000-000019730000}"/>
    <cellStyle name="Total 2 7 3 5 2 2 2" xfId="31475" xr:uid="{00000000-0005-0000-0000-00001A730000}"/>
    <cellStyle name="Total 2 7 3 5 2 3" xfId="18696" xr:uid="{00000000-0005-0000-0000-00001B730000}"/>
    <cellStyle name="Total 2 7 3 5 3" xfId="12917" xr:uid="{00000000-0005-0000-0000-00001C730000}"/>
    <cellStyle name="Total 2 7 3 5 3 2" xfId="27749" xr:uid="{00000000-0005-0000-0000-00001D730000}"/>
    <cellStyle name="Total 2 7 3 5 4" xfId="10293" xr:uid="{00000000-0005-0000-0000-00001E730000}"/>
    <cellStyle name="Total 2 7 3 5 4 2" xfId="25125" xr:uid="{00000000-0005-0000-0000-00001F730000}"/>
    <cellStyle name="Total 2 7 3 6" xfId="5702" xr:uid="{00000000-0005-0000-0000-000020730000}"/>
    <cellStyle name="Total 2 7 3 6 2" xfId="15937" xr:uid="{00000000-0005-0000-0000-000021730000}"/>
    <cellStyle name="Total 2 7 3 6 2 2" xfId="30769" xr:uid="{00000000-0005-0000-0000-000022730000}"/>
    <cellStyle name="Total 2 7 3 6 3" xfId="18338" xr:uid="{00000000-0005-0000-0000-000023730000}"/>
    <cellStyle name="Total 2 7 3 7" xfId="11957" xr:uid="{00000000-0005-0000-0000-000024730000}"/>
    <cellStyle name="Total 2 7 3 7 2" xfId="26789" xr:uid="{00000000-0005-0000-0000-000025730000}"/>
    <cellStyle name="Total 2 7 3 8" xfId="9615" xr:uid="{00000000-0005-0000-0000-000026730000}"/>
    <cellStyle name="Total 2 7 3 8 2" xfId="19917" xr:uid="{00000000-0005-0000-0000-000027730000}"/>
    <cellStyle name="Total 2 7 4" xfId="1597" xr:uid="{00000000-0005-0000-0000-000028730000}"/>
    <cellStyle name="Total 2 7 4 2" xfId="2094" xr:uid="{00000000-0005-0000-0000-000029730000}"/>
    <cellStyle name="Total 2 7 4 2 2" xfId="4057" xr:uid="{00000000-0005-0000-0000-00002A730000}"/>
    <cellStyle name="Total 2 7 4 2 2 2" xfId="8104" xr:uid="{00000000-0005-0000-0000-00002B730000}"/>
    <cellStyle name="Total 2 7 4 2 2 2 2" xfId="17496" xr:uid="{00000000-0005-0000-0000-00002C730000}"/>
    <cellStyle name="Total 2 7 4 2 2 2 2 2" xfId="32328" xr:uid="{00000000-0005-0000-0000-00002D730000}"/>
    <cellStyle name="Total 2 7 4 2 2 2 3" xfId="19249" xr:uid="{00000000-0005-0000-0000-00002E730000}"/>
    <cellStyle name="Total 2 7 4 2 2 3" xfId="14389" xr:uid="{00000000-0005-0000-0000-00002F730000}"/>
    <cellStyle name="Total 2 7 4 2 2 3 2" xfId="29221" xr:uid="{00000000-0005-0000-0000-000030730000}"/>
    <cellStyle name="Total 2 7 4 2 2 4" xfId="11112" xr:uid="{00000000-0005-0000-0000-000031730000}"/>
    <cellStyle name="Total 2 7 4 2 2 4 2" xfId="25944" xr:uid="{00000000-0005-0000-0000-000032730000}"/>
    <cellStyle name="Total 2 7 4 2 3" xfId="5062" xr:uid="{00000000-0005-0000-0000-000033730000}"/>
    <cellStyle name="Total 2 7 4 2 3 2" xfId="9101" xr:uid="{00000000-0005-0000-0000-000034730000}"/>
    <cellStyle name="Total 2 7 4 2 3 2 2" xfId="18034" xr:uid="{00000000-0005-0000-0000-000035730000}"/>
    <cellStyle name="Total 2 7 4 2 3 2 2 2" xfId="32866" xr:uid="{00000000-0005-0000-0000-000036730000}"/>
    <cellStyle name="Total 2 7 4 2 3 2 3" xfId="19600" xr:uid="{00000000-0005-0000-0000-000037730000}"/>
    <cellStyle name="Total 2 7 4 2 3 3" xfId="15383" xr:uid="{00000000-0005-0000-0000-000038730000}"/>
    <cellStyle name="Total 2 7 4 2 3 3 2" xfId="30215" xr:uid="{00000000-0005-0000-0000-000039730000}"/>
    <cellStyle name="Total 2 7 4 2 3 4" xfId="11634" xr:uid="{00000000-0005-0000-0000-00003A730000}"/>
    <cellStyle name="Total 2 7 4 2 3 4 2" xfId="26466" xr:uid="{00000000-0005-0000-0000-00003B730000}"/>
    <cellStyle name="Total 2 7 4 2 4" xfId="3052" xr:uid="{00000000-0005-0000-0000-00003C730000}"/>
    <cellStyle name="Total 2 7 4 2 4 2" xfId="7127" xr:uid="{00000000-0005-0000-0000-00003D730000}"/>
    <cellStyle name="Total 2 7 4 2 4 2 2" xfId="16925" xr:uid="{00000000-0005-0000-0000-00003E730000}"/>
    <cellStyle name="Total 2 7 4 2 4 2 2 2" xfId="31757" xr:uid="{00000000-0005-0000-0000-00003F730000}"/>
    <cellStyle name="Total 2 7 4 2 4 2 3" xfId="18893" xr:uid="{00000000-0005-0000-0000-000040730000}"/>
    <cellStyle name="Total 2 7 4 2 4 3" xfId="13390" xr:uid="{00000000-0005-0000-0000-000041730000}"/>
    <cellStyle name="Total 2 7 4 2 4 3 2" xfId="28222" xr:uid="{00000000-0005-0000-0000-000042730000}"/>
    <cellStyle name="Total 2 7 4 2 4 4" xfId="10581" xr:uid="{00000000-0005-0000-0000-000043730000}"/>
    <cellStyle name="Total 2 7 4 2 4 4 2" xfId="25413" xr:uid="{00000000-0005-0000-0000-000044730000}"/>
    <cellStyle name="Total 2 7 4 2 5" xfId="6219" xr:uid="{00000000-0005-0000-0000-000045730000}"/>
    <cellStyle name="Total 2 7 4 2 5 2" xfId="16405" xr:uid="{00000000-0005-0000-0000-000046730000}"/>
    <cellStyle name="Total 2 7 4 2 5 2 2" xfId="31237" xr:uid="{00000000-0005-0000-0000-000047730000}"/>
    <cellStyle name="Total 2 7 4 2 5 3" xfId="18534" xr:uid="{00000000-0005-0000-0000-000048730000}"/>
    <cellStyle name="Total 2 7 4 2 6" xfId="12475" xr:uid="{00000000-0005-0000-0000-000049730000}"/>
    <cellStyle name="Total 2 7 4 2 6 2" xfId="27307" xr:uid="{00000000-0005-0000-0000-00004A730000}"/>
    <cellStyle name="Total 2 7 4 2 7" xfId="10057" xr:uid="{00000000-0005-0000-0000-00004B730000}"/>
    <cellStyle name="Total 2 7 4 2 7 2" xfId="24889" xr:uid="{00000000-0005-0000-0000-00004C730000}"/>
    <cellStyle name="Total 2 7 4 3" xfId="3302" xr:uid="{00000000-0005-0000-0000-00004D730000}"/>
    <cellStyle name="Total 2 7 4 3 2" xfId="7366" xr:uid="{00000000-0005-0000-0000-00004E730000}"/>
    <cellStyle name="Total 2 7 4 3 2 2" xfId="17105" xr:uid="{00000000-0005-0000-0000-00004F730000}"/>
    <cellStyle name="Total 2 7 4 3 2 2 2" xfId="31937" xr:uid="{00000000-0005-0000-0000-000050730000}"/>
    <cellStyle name="Total 2 7 4 3 2 3" xfId="18989" xr:uid="{00000000-0005-0000-0000-000051730000}"/>
    <cellStyle name="Total 2 7 4 3 3" xfId="13639" xr:uid="{00000000-0005-0000-0000-000052730000}"/>
    <cellStyle name="Total 2 7 4 3 3 2" xfId="28471" xr:uid="{00000000-0005-0000-0000-000053730000}"/>
    <cellStyle name="Total 2 7 4 3 4" xfId="10729" xr:uid="{00000000-0005-0000-0000-000054730000}"/>
    <cellStyle name="Total 2 7 4 3 4 2" xfId="25561" xr:uid="{00000000-0005-0000-0000-000055730000}"/>
    <cellStyle name="Total 2 7 4 4" xfId="4642" xr:uid="{00000000-0005-0000-0000-000056730000}"/>
    <cellStyle name="Total 2 7 4 4 2" xfId="8681" xr:uid="{00000000-0005-0000-0000-000057730000}"/>
    <cellStyle name="Total 2 7 4 4 2 2" xfId="17794" xr:uid="{00000000-0005-0000-0000-000058730000}"/>
    <cellStyle name="Total 2 7 4 4 2 2 2" xfId="32626" xr:uid="{00000000-0005-0000-0000-000059730000}"/>
    <cellStyle name="Total 2 7 4 4 2 3" xfId="19440" xr:uid="{00000000-0005-0000-0000-00005A730000}"/>
    <cellStyle name="Total 2 7 4 4 3" xfId="14968" xr:uid="{00000000-0005-0000-0000-00005B730000}"/>
    <cellStyle name="Total 2 7 4 4 3 2" xfId="29800" xr:uid="{00000000-0005-0000-0000-00005C730000}"/>
    <cellStyle name="Total 2 7 4 4 4" xfId="11399" xr:uid="{00000000-0005-0000-0000-00005D730000}"/>
    <cellStyle name="Total 2 7 4 4 4 2" xfId="26231" xr:uid="{00000000-0005-0000-0000-00005E730000}"/>
    <cellStyle name="Total 2 7 4 5" xfId="2632" xr:uid="{00000000-0005-0000-0000-00005F730000}"/>
    <cellStyle name="Total 2 7 4 5 2" xfId="6733" xr:uid="{00000000-0005-0000-0000-000060730000}"/>
    <cellStyle name="Total 2 7 4 5 2 2" xfId="16690" xr:uid="{00000000-0005-0000-0000-000061730000}"/>
    <cellStyle name="Total 2 7 4 5 2 2 2" xfId="31522" xr:uid="{00000000-0005-0000-0000-000062730000}"/>
    <cellStyle name="Total 2 7 4 5 2 3" xfId="18729" xr:uid="{00000000-0005-0000-0000-000063730000}"/>
    <cellStyle name="Total 2 7 4 5 3" xfId="12970" xr:uid="{00000000-0005-0000-0000-000064730000}"/>
    <cellStyle name="Total 2 7 4 5 3 2" xfId="27802" xr:uid="{00000000-0005-0000-0000-000065730000}"/>
    <cellStyle name="Total 2 7 4 5 4" xfId="10341" xr:uid="{00000000-0005-0000-0000-000066730000}"/>
    <cellStyle name="Total 2 7 4 5 4 2" xfId="25173" xr:uid="{00000000-0005-0000-0000-000067730000}"/>
    <cellStyle name="Total 2 7 4 6" xfId="5749" xr:uid="{00000000-0005-0000-0000-000068730000}"/>
    <cellStyle name="Total 2 7 4 6 2" xfId="15984" xr:uid="{00000000-0005-0000-0000-000069730000}"/>
    <cellStyle name="Total 2 7 4 6 2 2" xfId="30816" xr:uid="{00000000-0005-0000-0000-00006A730000}"/>
    <cellStyle name="Total 2 7 4 6 3" xfId="18370" xr:uid="{00000000-0005-0000-0000-00006B730000}"/>
    <cellStyle name="Total 2 7 4 7" xfId="12004" xr:uid="{00000000-0005-0000-0000-00006C730000}"/>
    <cellStyle name="Total 2 7 4 7 2" xfId="26836" xr:uid="{00000000-0005-0000-0000-00006D730000}"/>
    <cellStyle name="Total 2 7 4 8" xfId="9663" xr:uid="{00000000-0005-0000-0000-00006E730000}"/>
    <cellStyle name="Total 2 7 4 8 2" xfId="19964" xr:uid="{00000000-0005-0000-0000-00006F730000}"/>
    <cellStyle name="Total 2 7 5" xfId="1647" xr:uid="{00000000-0005-0000-0000-000070730000}"/>
    <cellStyle name="Total 2 7 5 2" xfId="2144" xr:uid="{00000000-0005-0000-0000-000071730000}"/>
    <cellStyle name="Total 2 7 5 2 2" xfId="4146" xr:uid="{00000000-0005-0000-0000-000072730000}"/>
    <cellStyle name="Total 2 7 5 2 2 2" xfId="8190" xr:uid="{00000000-0005-0000-0000-000073730000}"/>
    <cellStyle name="Total 2 7 5 2 2 2 2" xfId="17543" xr:uid="{00000000-0005-0000-0000-000074730000}"/>
    <cellStyle name="Total 2 7 5 2 2 2 2 2" xfId="32375" xr:uid="{00000000-0005-0000-0000-000075730000}"/>
    <cellStyle name="Total 2 7 5 2 2 2 3" xfId="19282" xr:uid="{00000000-0005-0000-0000-000076730000}"/>
    <cellStyle name="Total 2 7 5 2 2 3" xfId="14478" xr:uid="{00000000-0005-0000-0000-000077730000}"/>
    <cellStyle name="Total 2 7 5 2 2 3 2" xfId="29310" xr:uid="{00000000-0005-0000-0000-000078730000}"/>
    <cellStyle name="Total 2 7 5 2 2 4" xfId="11161" xr:uid="{00000000-0005-0000-0000-000079730000}"/>
    <cellStyle name="Total 2 7 5 2 2 4 2" xfId="25993" xr:uid="{00000000-0005-0000-0000-00007A730000}"/>
    <cellStyle name="Total 2 7 5 2 3" xfId="5112" xr:uid="{00000000-0005-0000-0000-00007B730000}"/>
    <cellStyle name="Total 2 7 5 2 3 2" xfId="9151" xr:uid="{00000000-0005-0000-0000-00007C730000}"/>
    <cellStyle name="Total 2 7 5 2 3 2 2" xfId="18079" xr:uid="{00000000-0005-0000-0000-00007D730000}"/>
    <cellStyle name="Total 2 7 5 2 3 2 2 2" xfId="32911" xr:uid="{00000000-0005-0000-0000-00007E730000}"/>
    <cellStyle name="Total 2 7 5 2 3 2 3" xfId="19632" xr:uid="{00000000-0005-0000-0000-00007F730000}"/>
    <cellStyle name="Total 2 7 5 2 3 3" xfId="15432" xr:uid="{00000000-0005-0000-0000-000080730000}"/>
    <cellStyle name="Total 2 7 5 2 3 3 2" xfId="30264" xr:uid="{00000000-0005-0000-0000-000081730000}"/>
    <cellStyle name="Total 2 7 5 2 3 4" xfId="11678" xr:uid="{00000000-0005-0000-0000-000082730000}"/>
    <cellStyle name="Total 2 7 5 2 3 4 2" xfId="26510" xr:uid="{00000000-0005-0000-0000-000083730000}"/>
    <cellStyle name="Total 2 7 5 2 4" xfId="3102" xr:uid="{00000000-0005-0000-0000-000084730000}"/>
    <cellStyle name="Total 2 7 5 2 4 2" xfId="7172" xr:uid="{00000000-0005-0000-0000-000085730000}"/>
    <cellStyle name="Total 2 7 5 2 4 2 2" xfId="16969" xr:uid="{00000000-0005-0000-0000-000086730000}"/>
    <cellStyle name="Total 2 7 5 2 4 2 2 2" xfId="31801" xr:uid="{00000000-0005-0000-0000-000087730000}"/>
    <cellStyle name="Total 2 7 5 2 4 2 3" xfId="18926" xr:uid="{00000000-0005-0000-0000-000088730000}"/>
    <cellStyle name="Total 2 7 5 2 4 3" xfId="13440" xr:uid="{00000000-0005-0000-0000-000089730000}"/>
    <cellStyle name="Total 2 7 5 2 4 3 2" xfId="28272" xr:uid="{00000000-0005-0000-0000-00008A730000}"/>
    <cellStyle name="Total 2 7 5 2 4 4" xfId="10626" xr:uid="{00000000-0005-0000-0000-00008B730000}"/>
    <cellStyle name="Total 2 7 5 2 4 4 2" xfId="25458" xr:uid="{00000000-0005-0000-0000-00008C730000}"/>
    <cellStyle name="Total 2 7 5 2 5" xfId="6264" xr:uid="{00000000-0005-0000-0000-00008D730000}"/>
    <cellStyle name="Total 2 7 5 2 5 2" xfId="16449" xr:uid="{00000000-0005-0000-0000-00008E730000}"/>
    <cellStyle name="Total 2 7 5 2 5 2 2" xfId="31281" xr:uid="{00000000-0005-0000-0000-00008F730000}"/>
    <cellStyle name="Total 2 7 5 2 5 3" xfId="18567" xr:uid="{00000000-0005-0000-0000-000090730000}"/>
    <cellStyle name="Total 2 7 5 2 6" xfId="12519" xr:uid="{00000000-0005-0000-0000-000091730000}"/>
    <cellStyle name="Total 2 7 5 2 6 2" xfId="27351" xr:uid="{00000000-0005-0000-0000-000092730000}"/>
    <cellStyle name="Total 2 7 5 2 7" xfId="10101" xr:uid="{00000000-0005-0000-0000-000093730000}"/>
    <cellStyle name="Total 2 7 5 2 7 2" xfId="24933" xr:uid="{00000000-0005-0000-0000-000094730000}"/>
    <cellStyle name="Total 2 7 5 3" xfId="3988" xr:uid="{00000000-0005-0000-0000-000095730000}"/>
    <cellStyle name="Total 2 7 5 3 2" xfId="8036" xr:uid="{00000000-0005-0000-0000-000096730000}"/>
    <cellStyle name="Total 2 7 5 3 2 2" xfId="17460" xr:uid="{00000000-0005-0000-0000-000097730000}"/>
    <cellStyle name="Total 2 7 5 3 2 2 2" xfId="32292" xr:uid="{00000000-0005-0000-0000-000098730000}"/>
    <cellStyle name="Total 2 7 5 3 2 3" xfId="19223" xr:uid="{00000000-0005-0000-0000-000099730000}"/>
    <cellStyle name="Total 2 7 5 3 3" xfId="14321" xr:uid="{00000000-0005-0000-0000-00009A730000}"/>
    <cellStyle name="Total 2 7 5 3 3 2" xfId="29153" xr:uid="{00000000-0005-0000-0000-00009B730000}"/>
    <cellStyle name="Total 2 7 5 3 4" xfId="11077" xr:uid="{00000000-0005-0000-0000-00009C730000}"/>
    <cellStyle name="Total 2 7 5 3 4 2" xfId="25909" xr:uid="{00000000-0005-0000-0000-00009D730000}"/>
    <cellStyle name="Total 2 7 5 4" xfId="4692" xr:uid="{00000000-0005-0000-0000-00009E730000}"/>
    <cellStyle name="Total 2 7 5 4 2" xfId="8731" xr:uid="{00000000-0005-0000-0000-00009F730000}"/>
    <cellStyle name="Total 2 7 5 4 2 2" xfId="17839" xr:uid="{00000000-0005-0000-0000-0000A0730000}"/>
    <cellStyle name="Total 2 7 5 4 2 2 2" xfId="32671" xr:uid="{00000000-0005-0000-0000-0000A1730000}"/>
    <cellStyle name="Total 2 7 5 4 2 3" xfId="19472" xr:uid="{00000000-0005-0000-0000-0000A2730000}"/>
    <cellStyle name="Total 2 7 5 4 3" xfId="15017" xr:uid="{00000000-0005-0000-0000-0000A3730000}"/>
    <cellStyle name="Total 2 7 5 4 3 2" xfId="29849" xr:uid="{00000000-0005-0000-0000-0000A4730000}"/>
    <cellStyle name="Total 2 7 5 4 4" xfId="11443" xr:uid="{00000000-0005-0000-0000-0000A5730000}"/>
    <cellStyle name="Total 2 7 5 4 4 2" xfId="26275" xr:uid="{00000000-0005-0000-0000-0000A6730000}"/>
    <cellStyle name="Total 2 7 5 5" xfId="2682" xr:uid="{00000000-0005-0000-0000-0000A7730000}"/>
    <cellStyle name="Total 2 7 5 5 2" xfId="6778" xr:uid="{00000000-0005-0000-0000-0000A8730000}"/>
    <cellStyle name="Total 2 7 5 5 2 2" xfId="16734" xr:uid="{00000000-0005-0000-0000-0000A9730000}"/>
    <cellStyle name="Total 2 7 5 5 2 2 2" xfId="31566" xr:uid="{00000000-0005-0000-0000-0000AA730000}"/>
    <cellStyle name="Total 2 7 5 5 2 3" xfId="18762" xr:uid="{00000000-0005-0000-0000-0000AB730000}"/>
    <cellStyle name="Total 2 7 5 5 3" xfId="13020" xr:uid="{00000000-0005-0000-0000-0000AC730000}"/>
    <cellStyle name="Total 2 7 5 5 3 2" xfId="27852" xr:uid="{00000000-0005-0000-0000-0000AD730000}"/>
    <cellStyle name="Total 2 7 5 5 4" xfId="10386" xr:uid="{00000000-0005-0000-0000-0000AE730000}"/>
    <cellStyle name="Total 2 7 5 5 4 2" xfId="25218" xr:uid="{00000000-0005-0000-0000-0000AF730000}"/>
    <cellStyle name="Total 2 7 5 6" xfId="5794" xr:uid="{00000000-0005-0000-0000-0000B0730000}"/>
    <cellStyle name="Total 2 7 5 6 2" xfId="16028" xr:uid="{00000000-0005-0000-0000-0000B1730000}"/>
    <cellStyle name="Total 2 7 5 6 2 2" xfId="30860" xr:uid="{00000000-0005-0000-0000-0000B2730000}"/>
    <cellStyle name="Total 2 7 5 6 3" xfId="18403" xr:uid="{00000000-0005-0000-0000-0000B3730000}"/>
    <cellStyle name="Total 2 7 5 7" xfId="12048" xr:uid="{00000000-0005-0000-0000-0000B4730000}"/>
    <cellStyle name="Total 2 7 5 7 2" xfId="26880" xr:uid="{00000000-0005-0000-0000-0000B5730000}"/>
    <cellStyle name="Total 2 7 5 8" xfId="9708" xr:uid="{00000000-0005-0000-0000-0000B6730000}"/>
    <cellStyle name="Total 2 7 5 8 2" xfId="20008" xr:uid="{00000000-0005-0000-0000-0000B7730000}"/>
    <cellStyle name="Total 2 7 6" xfId="1798" xr:uid="{00000000-0005-0000-0000-0000B8730000}"/>
    <cellStyle name="Total 2 7 6 2" xfId="3934" xr:uid="{00000000-0005-0000-0000-0000B9730000}"/>
    <cellStyle name="Total 2 7 6 2 2" xfId="7984" xr:uid="{00000000-0005-0000-0000-0000BA730000}"/>
    <cellStyle name="Total 2 7 6 2 2 2" xfId="17439" xr:uid="{00000000-0005-0000-0000-0000BB730000}"/>
    <cellStyle name="Total 2 7 6 2 2 2 2" xfId="32271" xr:uid="{00000000-0005-0000-0000-0000BC730000}"/>
    <cellStyle name="Total 2 7 6 2 2 3" xfId="19208" xr:uid="{00000000-0005-0000-0000-0000BD730000}"/>
    <cellStyle name="Total 2 7 6 2 3" xfId="14267" xr:uid="{00000000-0005-0000-0000-0000BE730000}"/>
    <cellStyle name="Total 2 7 6 2 3 2" xfId="29099" xr:uid="{00000000-0005-0000-0000-0000BF730000}"/>
    <cellStyle name="Total 2 7 6 2 4" xfId="11054" xr:uid="{00000000-0005-0000-0000-0000C0730000}"/>
    <cellStyle name="Total 2 7 6 2 4 2" xfId="25886" xr:uid="{00000000-0005-0000-0000-0000C1730000}"/>
    <cellStyle name="Total 2 7 6 3" xfId="4776" xr:uid="{00000000-0005-0000-0000-0000C2730000}"/>
    <cellStyle name="Total 2 7 6 3 2" xfId="8815" xr:uid="{00000000-0005-0000-0000-0000C3730000}"/>
    <cellStyle name="Total 2 7 6 3 2 2" xfId="17887" xr:uid="{00000000-0005-0000-0000-0000C4730000}"/>
    <cellStyle name="Total 2 7 6 3 2 2 2" xfId="32719" xr:uid="{00000000-0005-0000-0000-0000C5730000}"/>
    <cellStyle name="Total 2 7 6 3 2 3" xfId="19504" xr:uid="{00000000-0005-0000-0000-0000C6730000}"/>
    <cellStyle name="Total 2 7 6 3 3" xfId="15100" xr:uid="{00000000-0005-0000-0000-0000C7730000}"/>
    <cellStyle name="Total 2 7 6 3 3 2" xfId="29932" xr:uid="{00000000-0005-0000-0000-0000C8730000}"/>
    <cellStyle name="Total 2 7 6 3 4" xfId="11490" xr:uid="{00000000-0005-0000-0000-0000C9730000}"/>
    <cellStyle name="Total 2 7 6 3 4 2" xfId="26322" xr:uid="{00000000-0005-0000-0000-0000CA730000}"/>
    <cellStyle name="Total 2 7 6 4" xfId="2766" xr:uid="{00000000-0005-0000-0000-0000CB730000}"/>
    <cellStyle name="Total 2 7 6 4 2" xfId="6857" xr:uid="{00000000-0005-0000-0000-0000CC730000}"/>
    <cellStyle name="Total 2 7 6 4 2 2" xfId="16781" xr:uid="{00000000-0005-0000-0000-0000CD730000}"/>
    <cellStyle name="Total 2 7 6 4 2 2 2" xfId="31613" xr:uid="{00000000-0005-0000-0000-0000CE730000}"/>
    <cellStyle name="Total 2 7 6 4 2 3" xfId="18795" xr:uid="{00000000-0005-0000-0000-0000CF730000}"/>
    <cellStyle name="Total 2 7 6 4 3" xfId="13104" xr:uid="{00000000-0005-0000-0000-0000D0730000}"/>
    <cellStyle name="Total 2 7 6 4 3 2" xfId="27936" xr:uid="{00000000-0005-0000-0000-0000D1730000}"/>
    <cellStyle name="Total 2 7 6 4 4" xfId="10434" xr:uid="{00000000-0005-0000-0000-0000D2730000}"/>
    <cellStyle name="Total 2 7 6 4 4 2" xfId="25266" xr:uid="{00000000-0005-0000-0000-0000D3730000}"/>
    <cellStyle name="Total 2 7 6 5" xfId="5930" xr:uid="{00000000-0005-0000-0000-0000D4730000}"/>
    <cellStyle name="Total 2 7 6 5 2" xfId="16122" xr:uid="{00000000-0005-0000-0000-0000D5730000}"/>
    <cellStyle name="Total 2 7 6 5 2 2" xfId="30954" xr:uid="{00000000-0005-0000-0000-0000D6730000}"/>
    <cellStyle name="Total 2 7 6 5 3" xfId="18437" xr:uid="{00000000-0005-0000-0000-0000D7730000}"/>
    <cellStyle name="Total 2 7 6 6" xfId="12192" xr:uid="{00000000-0005-0000-0000-0000D8730000}"/>
    <cellStyle name="Total 2 7 6 6 2" xfId="27024" xr:uid="{00000000-0005-0000-0000-0000D9730000}"/>
    <cellStyle name="Total 2 7 6 7" xfId="9788" xr:uid="{00000000-0005-0000-0000-0000DA730000}"/>
    <cellStyle name="Total 2 7 6 7 2" xfId="24745" xr:uid="{00000000-0005-0000-0000-0000DB730000}"/>
    <cellStyle name="Total 2 7 7" xfId="2168" xr:uid="{00000000-0005-0000-0000-0000DC730000}"/>
    <cellStyle name="Total 2 7 7 2" xfId="3675" xr:uid="{00000000-0005-0000-0000-0000DD730000}"/>
    <cellStyle name="Total 2 7 7 2 2" xfId="7733" xr:uid="{00000000-0005-0000-0000-0000DE730000}"/>
    <cellStyle name="Total 2 7 7 2 2 2" xfId="17310" xr:uid="{00000000-0005-0000-0000-0000DF730000}"/>
    <cellStyle name="Total 2 7 7 2 2 2 2" xfId="32142" xr:uid="{00000000-0005-0000-0000-0000E0730000}"/>
    <cellStyle name="Total 2 7 7 2 2 3" xfId="19118" xr:uid="{00000000-0005-0000-0000-0000E1730000}"/>
    <cellStyle name="Total 2 7 7 2 3" xfId="14010" xr:uid="{00000000-0005-0000-0000-0000E2730000}"/>
    <cellStyle name="Total 2 7 7 2 3 2" xfId="28842" xr:uid="{00000000-0005-0000-0000-0000E3730000}"/>
    <cellStyle name="Total 2 7 7 2 4" xfId="10927" xr:uid="{00000000-0005-0000-0000-0000E4730000}"/>
    <cellStyle name="Total 2 7 7 2 4 2" xfId="25759" xr:uid="{00000000-0005-0000-0000-0000E5730000}"/>
    <cellStyle name="Total 2 7 7 3" xfId="5136" xr:uid="{00000000-0005-0000-0000-0000E6730000}"/>
    <cellStyle name="Total 2 7 7 3 2" xfId="9175" xr:uid="{00000000-0005-0000-0000-0000E7730000}"/>
    <cellStyle name="Total 2 7 7 3 2 2" xfId="18098" xr:uid="{00000000-0005-0000-0000-0000E8730000}"/>
    <cellStyle name="Total 2 7 7 3 2 2 2" xfId="32930" xr:uid="{00000000-0005-0000-0000-0000E9730000}"/>
    <cellStyle name="Total 2 7 7 3 2 3" xfId="19649" xr:uid="{00000000-0005-0000-0000-0000EA730000}"/>
    <cellStyle name="Total 2 7 7 3 3" xfId="15454" xr:uid="{00000000-0005-0000-0000-0000EB730000}"/>
    <cellStyle name="Total 2 7 7 3 3 2" xfId="30286" xr:uid="{00000000-0005-0000-0000-0000EC730000}"/>
    <cellStyle name="Total 2 7 7 3 4" xfId="11695" xr:uid="{00000000-0005-0000-0000-0000ED730000}"/>
    <cellStyle name="Total 2 7 7 3 4 2" xfId="26527" xr:uid="{00000000-0005-0000-0000-0000EE730000}"/>
    <cellStyle name="Total 2 7 7 4" xfId="4166" xr:uid="{00000000-0005-0000-0000-0000EF730000}"/>
    <cellStyle name="Total 2 7 7 4 2" xfId="8207" xr:uid="{00000000-0005-0000-0000-0000F0730000}"/>
    <cellStyle name="Total 2 7 7 4 2 2" xfId="17554" xr:uid="{00000000-0005-0000-0000-0000F1730000}"/>
    <cellStyle name="Total 2 7 7 4 2 2 2" xfId="32386" xr:uid="{00000000-0005-0000-0000-0000F2730000}"/>
    <cellStyle name="Total 2 7 7 4 2 3" xfId="19292" xr:uid="{00000000-0005-0000-0000-0000F3730000}"/>
    <cellStyle name="Total 2 7 7 4 3" xfId="14498" xr:uid="{00000000-0005-0000-0000-0000F4730000}"/>
    <cellStyle name="Total 2 7 7 4 3 2" xfId="29330" xr:uid="{00000000-0005-0000-0000-0000F5730000}"/>
    <cellStyle name="Total 2 7 7 4 4" xfId="11174" xr:uid="{00000000-0005-0000-0000-0000F6730000}"/>
    <cellStyle name="Total 2 7 7 4 4 2" xfId="26006" xr:uid="{00000000-0005-0000-0000-0000F7730000}"/>
    <cellStyle name="Total 2 7 7 5" xfId="6282" xr:uid="{00000000-0005-0000-0000-0000F8730000}"/>
    <cellStyle name="Total 2 7 7 5 2" xfId="16466" xr:uid="{00000000-0005-0000-0000-0000F9730000}"/>
    <cellStyle name="Total 2 7 7 5 2 2" xfId="31298" xr:uid="{00000000-0005-0000-0000-0000FA730000}"/>
    <cellStyle name="Total 2 7 7 5 3" xfId="18585" xr:uid="{00000000-0005-0000-0000-0000FB730000}"/>
    <cellStyle name="Total 2 7 7 6" xfId="12536" xr:uid="{00000000-0005-0000-0000-0000FC730000}"/>
    <cellStyle name="Total 2 7 7 6 2" xfId="27368" xr:uid="{00000000-0005-0000-0000-0000FD730000}"/>
    <cellStyle name="Total 2 7 7 7" xfId="10118" xr:uid="{00000000-0005-0000-0000-0000FE730000}"/>
    <cellStyle name="Total 2 7 7 7 2" xfId="24950" xr:uid="{00000000-0005-0000-0000-0000FF730000}"/>
    <cellStyle name="Total 2 7 8" xfId="3162" xr:uid="{00000000-0005-0000-0000-000000740000}"/>
    <cellStyle name="Total 2 7 8 2" xfId="7226" xr:uid="{00000000-0005-0000-0000-000001740000}"/>
    <cellStyle name="Total 2 7 8 2 2" xfId="17004" xr:uid="{00000000-0005-0000-0000-000002740000}"/>
    <cellStyle name="Total 2 7 8 2 2 2" xfId="31836" xr:uid="{00000000-0005-0000-0000-000003740000}"/>
    <cellStyle name="Total 2 7 8 2 3" xfId="18947" xr:uid="{00000000-0005-0000-0000-000004740000}"/>
    <cellStyle name="Total 2 7 8 3" xfId="13500" xr:uid="{00000000-0005-0000-0000-000005740000}"/>
    <cellStyle name="Total 2 7 8 3 2" xfId="28332" xr:uid="{00000000-0005-0000-0000-000006740000}"/>
    <cellStyle name="Total 2 7 8 4" xfId="10655" xr:uid="{00000000-0005-0000-0000-000007740000}"/>
    <cellStyle name="Total 2 7 8 4 2" xfId="25487" xr:uid="{00000000-0005-0000-0000-000008740000}"/>
    <cellStyle name="Total 2 7 9" xfId="3249" xr:uid="{00000000-0005-0000-0000-000009740000}"/>
    <cellStyle name="Total 2 7 9 2" xfId="7313" xr:uid="{00000000-0005-0000-0000-00000A740000}"/>
    <cellStyle name="Total 2 7 9 2 2" xfId="17067" xr:uid="{00000000-0005-0000-0000-00000B740000}"/>
    <cellStyle name="Total 2 7 9 2 2 2" xfId="31899" xr:uid="{00000000-0005-0000-0000-00000C740000}"/>
    <cellStyle name="Total 2 7 9 2 3" xfId="18972" xr:uid="{00000000-0005-0000-0000-00000D740000}"/>
    <cellStyle name="Total 2 7 9 3" xfId="13586" xr:uid="{00000000-0005-0000-0000-00000E740000}"/>
    <cellStyle name="Total 2 7 9 3 2" xfId="28418" xr:uid="{00000000-0005-0000-0000-00000F740000}"/>
    <cellStyle name="Total 2 7 9 4" xfId="10699" xr:uid="{00000000-0005-0000-0000-000010740000}"/>
    <cellStyle name="Total 2 7 9 4 2" xfId="25531" xr:uid="{00000000-0005-0000-0000-000011740000}"/>
    <cellStyle name="Total 2 8" xfId="1274" xr:uid="{00000000-0005-0000-0000-000012740000}"/>
    <cellStyle name="Total 2 8 10" xfId="2341" xr:uid="{00000000-0005-0000-0000-000013740000}"/>
    <cellStyle name="Total 2 8 10 2" xfId="6453" xr:uid="{00000000-0005-0000-0000-000014740000}"/>
    <cellStyle name="Total 2 8 10 2 2" xfId="16545" xr:uid="{00000000-0005-0000-0000-000015740000}"/>
    <cellStyle name="Total 2 8 10 2 2 2" xfId="31377" xr:uid="{00000000-0005-0000-0000-000016740000}"/>
    <cellStyle name="Total 2 8 10 2 3" xfId="18633" xr:uid="{00000000-0005-0000-0000-000017740000}"/>
    <cellStyle name="Total 2 8 10 3" xfId="12681" xr:uid="{00000000-0005-0000-0000-000018740000}"/>
    <cellStyle name="Total 2 8 10 3 2" xfId="27513" xr:uid="{00000000-0005-0000-0000-000019740000}"/>
    <cellStyle name="Total 2 8 10 4" xfId="10196" xr:uid="{00000000-0005-0000-0000-00001A740000}"/>
    <cellStyle name="Total 2 8 10 4 2" xfId="25028" xr:uid="{00000000-0005-0000-0000-00001B740000}"/>
    <cellStyle name="Total 2 8 11" xfId="5303" xr:uid="{00000000-0005-0000-0000-00001C740000}"/>
    <cellStyle name="Total 2 8 11 2" xfId="9311" xr:uid="{00000000-0005-0000-0000-00001D740000}"/>
    <cellStyle name="Total 2 8 11 2 2" xfId="18178" xr:uid="{00000000-0005-0000-0000-00001E740000}"/>
    <cellStyle name="Total 2 8 11 2 2 2" xfId="33010" xr:uid="{00000000-0005-0000-0000-00001F740000}"/>
    <cellStyle name="Total 2 8 11 2 3" xfId="19697" xr:uid="{00000000-0005-0000-0000-000020740000}"/>
    <cellStyle name="Total 2 8 11 3" xfId="15619" xr:uid="{00000000-0005-0000-0000-000021740000}"/>
    <cellStyle name="Total 2 8 11 3 2" xfId="30451" xr:uid="{00000000-0005-0000-0000-000022740000}"/>
    <cellStyle name="Total 2 8 12" xfId="5461" xr:uid="{00000000-0005-0000-0000-000023740000}"/>
    <cellStyle name="Total 2 8 12 2" xfId="15697" xr:uid="{00000000-0005-0000-0000-000024740000}"/>
    <cellStyle name="Total 2 8 12 2 2" xfId="30529" xr:uid="{00000000-0005-0000-0000-000025740000}"/>
    <cellStyle name="Total 2 8 12 3" xfId="18274" xr:uid="{00000000-0005-0000-0000-000026740000}"/>
    <cellStyle name="Total 2 8 13" xfId="9330" xr:uid="{00000000-0005-0000-0000-000027740000}"/>
    <cellStyle name="Total 2 8 13 2" xfId="24636" xr:uid="{00000000-0005-0000-0000-000028740000}"/>
    <cellStyle name="Total 2 8 14" xfId="5319" xr:uid="{00000000-0005-0000-0000-000029740000}"/>
    <cellStyle name="Total 2 8 14 2" xfId="18193" xr:uid="{00000000-0005-0000-0000-00002A740000}"/>
    <cellStyle name="Total 2 8 2" xfId="1373" xr:uid="{00000000-0005-0000-0000-00002B740000}"/>
    <cellStyle name="Total 2 8 2 2" xfId="1877" xr:uid="{00000000-0005-0000-0000-00002C740000}"/>
    <cellStyle name="Total 2 8 2 2 2" xfId="3789" xr:uid="{00000000-0005-0000-0000-00002D740000}"/>
    <cellStyle name="Total 2 8 2 2 2 2" xfId="7844" xr:uid="{00000000-0005-0000-0000-00002E740000}"/>
    <cellStyle name="Total 2 8 2 2 2 2 2" xfId="17365" xr:uid="{00000000-0005-0000-0000-00002F740000}"/>
    <cellStyle name="Total 2 8 2 2 2 2 2 2" xfId="32197" xr:uid="{00000000-0005-0000-0000-000030740000}"/>
    <cellStyle name="Total 2 8 2 2 2 2 3" xfId="19155" xr:uid="{00000000-0005-0000-0000-000031740000}"/>
    <cellStyle name="Total 2 8 2 2 2 3" xfId="14124" xr:uid="{00000000-0005-0000-0000-000032740000}"/>
    <cellStyle name="Total 2 8 2 2 2 3 2" xfId="28956" xr:uid="{00000000-0005-0000-0000-000033740000}"/>
    <cellStyle name="Total 2 8 2 2 2 4" xfId="10982" xr:uid="{00000000-0005-0000-0000-000034740000}"/>
    <cellStyle name="Total 2 8 2 2 2 4 2" xfId="25814" xr:uid="{00000000-0005-0000-0000-000035740000}"/>
    <cellStyle name="Total 2 8 2 2 3" xfId="4855" xr:uid="{00000000-0005-0000-0000-000036740000}"/>
    <cellStyle name="Total 2 8 2 2 3 2" xfId="8894" xr:uid="{00000000-0005-0000-0000-000037740000}"/>
    <cellStyle name="Total 2 8 2 2 3 2 2" xfId="17935" xr:uid="{00000000-0005-0000-0000-000038740000}"/>
    <cellStyle name="Total 2 8 2 2 3 2 2 2" xfId="32767" xr:uid="{00000000-0005-0000-0000-000039740000}"/>
    <cellStyle name="Total 2 8 2 2 3 2 3" xfId="19537" xr:uid="{00000000-0005-0000-0000-00003A740000}"/>
    <cellStyle name="Total 2 8 2 2 3 3" xfId="15179" xr:uid="{00000000-0005-0000-0000-00003B740000}"/>
    <cellStyle name="Total 2 8 2 2 3 3 2" xfId="30011" xr:uid="{00000000-0005-0000-0000-00003C740000}"/>
    <cellStyle name="Total 2 8 2 2 3 4" xfId="11538" xr:uid="{00000000-0005-0000-0000-00003D740000}"/>
    <cellStyle name="Total 2 8 2 2 3 4 2" xfId="26370" xr:uid="{00000000-0005-0000-0000-00003E740000}"/>
    <cellStyle name="Total 2 8 2 2 4" xfId="2845" xr:uid="{00000000-0005-0000-0000-00003F740000}"/>
    <cellStyle name="Total 2 8 2 2 4 2" xfId="6936" xr:uid="{00000000-0005-0000-0000-000040740000}"/>
    <cellStyle name="Total 2 8 2 2 4 2 2" xfId="16829" xr:uid="{00000000-0005-0000-0000-000041740000}"/>
    <cellStyle name="Total 2 8 2 2 4 2 2 2" xfId="31661" xr:uid="{00000000-0005-0000-0000-000042740000}"/>
    <cellStyle name="Total 2 8 2 2 4 2 3" xfId="18828" xr:uid="{00000000-0005-0000-0000-000043740000}"/>
    <cellStyle name="Total 2 8 2 2 4 3" xfId="13183" xr:uid="{00000000-0005-0000-0000-000044740000}"/>
    <cellStyle name="Total 2 8 2 2 4 3 2" xfId="28015" xr:uid="{00000000-0005-0000-0000-000045740000}"/>
    <cellStyle name="Total 2 8 2 2 4 4" xfId="10482" xr:uid="{00000000-0005-0000-0000-000046740000}"/>
    <cellStyle name="Total 2 8 2 2 4 4 2" xfId="25314" xr:uid="{00000000-0005-0000-0000-000047740000}"/>
    <cellStyle name="Total 2 8 2 2 5" xfId="6009" xr:uid="{00000000-0005-0000-0000-000048740000}"/>
    <cellStyle name="Total 2 8 2 2 5 2" xfId="16201" xr:uid="{00000000-0005-0000-0000-000049740000}"/>
    <cellStyle name="Total 2 8 2 2 5 2 2" xfId="31033" xr:uid="{00000000-0005-0000-0000-00004A740000}"/>
    <cellStyle name="Total 2 8 2 2 5 3" xfId="18470" xr:uid="{00000000-0005-0000-0000-00004B740000}"/>
    <cellStyle name="Total 2 8 2 2 6" xfId="12271" xr:uid="{00000000-0005-0000-0000-00004C740000}"/>
    <cellStyle name="Total 2 8 2 2 6 2" xfId="27103" xr:uid="{00000000-0005-0000-0000-00004D740000}"/>
    <cellStyle name="Total 2 8 2 2 7" xfId="9867" xr:uid="{00000000-0005-0000-0000-00004E740000}"/>
    <cellStyle name="Total 2 8 2 2 7 2" xfId="24793" xr:uid="{00000000-0005-0000-0000-00004F740000}"/>
    <cellStyle name="Total 2 8 2 3" xfId="3635" xr:uid="{00000000-0005-0000-0000-000050740000}"/>
    <cellStyle name="Total 2 8 2 3 2" xfId="7694" xr:uid="{00000000-0005-0000-0000-000051740000}"/>
    <cellStyle name="Total 2 8 2 3 2 2" xfId="17293" xr:uid="{00000000-0005-0000-0000-000052740000}"/>
    <cellStyle name="Total 2 8 2 3 2 2 2" xfId="32125" xr:uid="{00000000-0005-0000-0000-000053740000}"/>
    <cellStyle name="Total 2 8 2 3 2 3" xfId="19107" xr:uid="{00000000-0005-0000-0000-000054740000}"/>
    <cellStyle name="Total 2 8 2 3 3" xfId="13970" xr:uid="{00000000-0005-0000-0000-000055740000}"/>
    <cellStyle name="Total 2 8 2 3 3 2" xfId="28802" xr:uid="{00000000-0005-0000-0000-000056740000}"/>
    <cellStyle name="Total 2 8 2 3 4" xfId="10909" xr:uid="{00000000-0005-0000-0000-000057740000}"/>
    <cellStyle name="Total 2 8 2 3 4 2" xfId="25741" xr:uid="{00000000-0005-0000-0000-000058740000}"/>
    <cellStyle name="Total 2 8 2 4" xfId="4435" xr:uid="{00000000-0005-0000-0000-000059740000}"/>
    <cellStyle name="Total 2 8 2 4 2" xfId="8474" xr:uid="{00000000-0005-0000-0000-00005A740000}"/>
    <cellStyle name="Total 2 8 2 4 2 2" xfId="17695" xr:uid="{00000000-0005-0000-0000-00005B740000}"/>
    <cellStyle name="Total 2 8 2 4 2 2 2" xfId="32527" xr:uid="{00000000-0005-0000-0000-00005C740000}"/>
    <cellStyle name="Total 2 8 2 4 2 3" xfId="19377" xr:uid="{00000000-0005-0000-0000-00005D740000}"/>
    <cellStyle name="Total 2 8 2 4 3" xfId="14764" xr:uid="{00000000-0005-0000-0000-00005E740000}"/>
    <cellStyle name="Total 2 8 2 4 3 2" xfId="29596" xr:uid="{00000000-0005-0000-0000-00005F740000}"/>
    <cellStyle name="Total 2 8 2 4 4" xfId="11303" xr:uid="{00000000-0005-0000-0000-000060740000}"/>
    <cellStyle name="Total 2 8 2 4 4 2" xfId="26135" xr:uid="{00000000-0005-0000-0000-000061740000}"/>
    <cellStyle name="Total 2 8 2 5" xfId="2425" xr:uid="{00000000-0005-0000-0000-000062740000}"/>
    <cellStyle name="Total 2 8 2 5 2" xfId="6537" xr:uid="{00000000-0005-0000-0000-000063740000}"/>
    <cellStyle name="Total 2 8 2 5 2 2" xfId="16593" xr:uid="{00000000-0005-0000-0000-000064740000}"/>
    <cellStyle name="Total 2 8 2 5 2 2 2" xfId="31425" xr:uid="{00000000-0005-0000-0000-000065740000}"/>
    <cellStyle name="Total 2 8 2 5 2 3" xfId="18665" xr:uid="{00000000-0005-0000-0000-000066740000}"/>
    <cellStyle name="Total 2 8 2 5 3" xfId="12764" xr:uid="{00000000-0005-0000-0000-000067740000}"/>
    <cellStyle name="Total 2 8 2 5 3 2" xfId="27596" xr:uid="{00000000-0005-0000-0000-000068740000}"/>
    <cellStyle name="Total 2 8 2 5 4" xfId="10243" xr:uid="{00000000-0005-0000-0000-000069740000}"/>
    <cellStyle name="Total 2 8 2 5 4 2" xfId="25075" xr:uid="{00000000-0005-0000-0000-00006A740000}"/>
    <cellStyle name="Total 2 8 2 6" xfId="5550" xr:uid="{00000000-0005-0000-0000-00006B740000}"/>
    <cellStyle name="Total 2 8 2 6 2" xfId="15785" xr:uid="{00000000-0005-0000-0000-00006C740000}"/>
    <cellStyle name="Total 2 8 2 6 2 2" xfId="30617" xr:uid="{00000000-0005-0000-0000-00006D740000}"/>
    <cellStyle name="Total 2 8 2 6 3" xfId="18307" xr:uid="{00000000-0005-0000-0000-00006E740000}"/>
    <cellStyle name="Total 2 8 2 7" xfId="11800" xr:uid="{00000000-0005-0000-0000-00006F740000}"/>
    <cellStyle name="Total 2 8 2 7 2" xfId="26632" xr:uid="{00000000-0005-0000-0000-000070740000}"/>
    <cellStyle name="Total 2 8 2 8" xfId="9471" xr:uid="{00000000-0005-0000-0000-000071740000}"/>
    <cellStyle name="Total 2 8 2 8 2" xfId="19775" xr:uid="{00000000-0005-0000-0000-000072740000}"/>
    <cellStyle name="Total 2 8 3" xfId="1545" xr:uid="{00000000-0005-0000-0000-000073740000}"/>
    <cellStyle name="Total 2 8 3 2" xfId="2042" xr:uid="{00000000-0005-0000-0000-000074740000}"/>
    <cellStyle name="Total 2 8 3 2 2" xfId="4325" xr:uid="{00000000-0005-0000-0000-000075740000}"/>
    <cellStyle name="Total 2 8 3 2 2 2" xfId="8364" xr:uid="{00000000-0005-0000-0000-000076740000}"/>
    <cellStyle name="Total 2 8 3 2 2 2 2" xfId="17642" xr:uid="{00000000-0005-0000-0000-000077740000}"/>
    <cellStyle name="Total 2 8 3 2 2 2 2 2" xfId="32474" xr:uid="{00000000-0005-0000-0000-000078740000}"/>
    <cellStyle name="Total 2 8 3 2 2 2 3" xfId="19343" xr:uid="{00000000-0005-0000-0000-000079740000}"/>
    <cellStyle name="Total 2 8 3 2 2 3" xfId="14656" xr:uid="{00000000-0005-0000-0000-00007A740000}"/>
    <cellStyle name="Total 2 8 3 2 2 3 2" xfId="29488" xr:uid="{00000000-0005-0000-0000-00007B740000}"/>
    <cellStyle name="Total 2 8 3 2 2 4" xfId="11252" xr:uid="{00000000-0005-0000-0000-00007C740000}"/>
    <cellStyle name="Total 2 8 3 2 2 4 2" xfId="26084" xr:uid="{00000000-0005-0000-0000-00007D740000}"/>
    <cellStyle name="Total 2 8 3 2 3" xfId="5010" xr:uid="{00000000-0005-0000-0000-00007E740000}"/>
    <cellStyle name="Total 2 8 3 2 3 2" xfId="9049" xr:uid="{00000000-0005-0000-0000-00007F740000}"/>
    <cellStyle name="Total 2 8 3 2 3 2 2" xfId="17987" xr:uid="{00000000-0005-0000-0000-000080740000}"/>
    <cellStyle name="Total 2 8 3 2 3 2 2 2" xfId="32819" xr:uid="{00000000-0005-0000-0000-000081740000}"/>
    <cellStyle name="Total 2 8 3 2 3 2 3" xfId="19569" xr:uid="{00000000-0005-0000-0000-000082740000}"/>
    <cellStyle name="Total 2 8 3 2 3 3" xfId="15332" xr:uid="{00000000-0005-0000-0000-000083740000}"/>
    <cellStyle name="Total 2 8 3 2 3 3 2" xfId="30164" xr:uid="{00000000-0005-0000-0000-000084740000}"/>
    <cellStyle name="Total 2 8 3 2 3 4" xfId="11588" xr:uid="{00000000-0005-0000-0000-000085740000}"/>
    <cellStyle name="Total 2 8 3 2 3 4 2" xfId="26420" xr:uid="{00000000-0005-0000-0000-000086740000}"/>
    <cellStyle name="Total 2 8 3 2 4" xfId="3000" xr:uid="{00000000-0005-0000-0000-000087740000}"/>
    <cellStyle name="Total 2 8 3 2 4 2" xfId="7080" xr:uid="{00000000-0005-0000-0000-000088740000}"/>
    <cellStyle name="Total 2 8 3 2 4 2 2" xfId="16879" xr:uid="{00000000-0005-0000-0000-000089740000}"/>
    <cellStyle name="Total 2 8 3 2 4 2 2 2" xfId="31711" xr:uid="{00000000-0005-0000-0000-00008A740000}"/>
    <cellStyle name="Total 2 8 3 2 4 2 3" xfId="18861" xr:uid="{00000000-0005-0000-0000-00008B740000}"/>
    <cellStyle name="Total 2 8 3 2 4 3" xfId="13338" xr:uid="{00000000-0005-0000-0000-00008C740000}"/>
    <cellStyle name="Total 2 8 3 2 4 3 2" xfId="28170" xr:uid="{00000000-0005-0000-0000-00008D740000}"/>
    <cellStyle name="Total 2 8 3 2 4 4" xfId="10534" xr:uid="{00000000-0005-0000-0000-00008E740000}"/>
    <cellStyle name="Total 2 8 3 2 4 4 2" xfId="25366" xr:uid="{00000000-0005-0000-0000-00008F740000}"/>
    <cellStyle name="Total 2 8 3 2 5" xfId="6172" xr:uid="{00000000-0005-0000-0000-000090740000}"/>
    <cellStyle name="Total 2 8 3 2 5 2" xfId="16359" xr:uid="{00000000-0005-0000-0000-000091740000}"/>
    <cellStyle name="Total 2 8 3 2 5 2 2" xfId="31191" xr:uid="{00000000-0005-0000-0000-000092740000}"/>
    <cellStyle name="Total 2 8 3 2 5 3" xfId="18502" xr:uid="{00000000-0005-0000-0000-000093740000}"/>
    <cellStyle name="Total 2 8 3 2 6" xfId="12429" xr:uid="{00000000-0005-0000-0000-000094740000}"/>
    <cellStyle name="Total 2 8 3 2 6 2" xfId="27261" xr:uid="{00000000-0005-0000-0000-000095740000}"/>
    <cellStyle name="Total 2 8 3 2 7" xfId="10011" xr:uid="{00000000-0005-0000-0000-000096740000}"/>
    <cellStyle name="Total 2 8 3 2 7 2" xfId="24843" xr:uid="{00000000-0005-0000-0000-000097740000}"/>
    <cellStyle name="Total 2 8 3 3" xfId="3175" xr:uid="{00000000-0005-0000-0000-000098740000}"/>
    <cellStyle name="Total 2 8 3 3 2" xfId="7239" xr:uid="{00000000-0005-0000-0000-000099740000}"/>
    <cellStyle name="Total 2 8 3 3 2 2" xfId="17013" xr:uid="{00000000-0005-0000-0000-00009A740000}"/>
    <cellStyle name="Total 2 8 3 3 2 2 2" xfId="31845" xr:uid="{00000000-0005-0000-0000-00009B740000}"/>
    <cellStyle name="Total 2 8 3 3 2 3" xfId="18951" xr:uid="{00000000-0005-0000-0000-00009C740000}"/>
    <cellStyle name="Total 2 8 3 3 3" xfId="13513" xr:uid="{00000000-0005-0000-0000-00009D740000}"/>
    <cellStyle name="Total 2 8 3 3 3 2" xfId="28345" xr:uid="{00000000-0005-0000-0000-00009E740000}"/>
    <cellStyle name="Total 2 8 3 3 4" xfId="10663" xr:uid="{00000000-0005-0000-0000-00009F740000}"/>
    <cellStyle name="Total 2 8 3 3 4 2" xfId="25495" xr:uid="{00000000-0005-0000-0000-0000A0740000}"/>
    <cellStyle name="Total 2 8 3 4" xfId="4590" xr:uid="{00000000-0005-0000-0000-0000A1740000}"/>
    <cellStyle name="Total 2 8 3 4 2" xfId="8629" xr:uid="{00000000-0005-0000-0000-0000A2740000}"/>
    <cellStyle name="Total 2 8 3 4 2 2" xfId="17747" xr:uid="{00000000-0005-0000-0000-0000A3740000}"/>
    <cellStyle name="Total 2 8 3 4 2 2 2" xfId="32579" xr:uid="{00000000-0005-0000-0000-0000A4740000}"/>
    <cellStyle name="Total 2 8 3 4 2 3" xfId="19409" xr:uid="{00000000-0005-0000-0000-0000A5740000}"/>
    <cellStyle name="Total 2 8 3 4 3" xfId="14917" xr:uid="{00000000-0005-0000-0000-0000A6740000}"/>
    <cellStyle name="Total 2 8 3 4 3 2" xfId="29749" xr:uid="{00000000-0005-0000-0000-0000A7740000}"/>
    <cellStyle name="Total 2 8 3 4 4" xfId="11353" xr:uid="{00000000-0005-0000-0000-0000A8740000}"/>
    <cellStyle name="Total 2 8 3 4 4 2" xfId="26185" xr:uid="{00000000-0005-0000-0000-0000A9740000}"/>
    <cellStyle name="Total 2 8 3 5" xfId="2580" xr:uid="{00000000-0005-0000-0000-0000AA740000}"/>
    <cellStyle name="Total 2 8 3 5 2" xfId="6686" xr:uid="{00000000-0005-0000-0000-0000AB740000}"/>
    <cellStyle name="Total 2 8 3 5 2 2" xfId="16644" xr:uid="{00000000-0005-0000-0000-0000AC740000}"/>
    <cellStyle name="Total 2 8 3 5 2 2 2" xfId="31476" xr:uid="{00000000-0005-0000-0000-0000AD740000}"/>
    <cellStyle name="Total 2 8 3 5 2 3" xfId="18697" xr:uid="{00000000-0005-0000-0000-0000AE740000}"/>
    <cellStyle name="Total 2 8 3 5 3" xfId="12918" xr:uid="{00000000-0005-0000-0000-0000AF740000}"/>
    <cellStyle name="Total 2 8 3 5 3 2" xfId="27750" xr:uid="{00000000-0005-0000-0000-0000B0740000}"/>
    <cellStyle name="Total 2 8 3 5 4" xfId="10294" xr:uid="{00000000-0005-0000-0000-0000B1740000}"/>
    <cellStyle name="Total 2 8 3 5 4 2" xfId="25126" xr:uid="{00000000-0005-0000-0000-0000B2740000}"/>
    <cellStyle name="Total 2 8 3 6" xfId="5703" xr:uid="{00000000-0005-0000-0000-0000B3740000}"/>
    <cellStyle name="Total 2 8 3 6 2" xfId="15938" xr:uid="{00000000-0005-0000-0000-0000B4740000}"/>
    <cellStyle name="Total 2 8 3 6 2 2" xfId="30770" xr:uid="{00000000-0005-0000-0000-0000B5740000}"/>
    <cellStyle name="Total 2 8 3 6 3" xfId="18339" xr:uid="{00000000-0005-0000-0000-0000B6740000}"/>
    <cellStyle name="Total 2 8 3 7" xfId="11958" xr:uid="{00000000-0005-0000-0000-0000B7740000}"/>
    <cellStyle name="Total 2 8 3 7 2" xfId="26790" xr:uid="{00000000-0005-0000-0000-0000B8740000}"/>
    <cellStyle name="Total 2 8 3 8" xfId="9616" xr:uid="{00000000-0005-0000-0000-0000B9740000}"/>
    <cellStyle name="Total 2 8 3 8 2" xfId="19918" xr:uid="{00000000-0005-0000-0000-0000BA740000}"/>
    <cellStyle name="Total 2 8 4" xfId="1598" xr:uid="{00000000-0005-0000-0000-0000BB740000}"/>
    <cellStyle name="Total 2 8 4 2" xfId="2095" xr:uid="{00000000-0005-0000-0000-0000BC740000}"/>
    <cellStyle name="Total 2 8 4 2 2" xfId="3489" xr:uid="{00000000-0005-0000-0000-0000BD740000}"/>
    <cellStyle name="Total 2 8 4 2 2 2" xfId="7551" xr:uid="{00000000-0005-0000-0000-0000BE740000}"/>
    <cellStyle name="Total 2 8 4 2 2 2 2" xfId="17213" xr:uid="{00000000-0005-0000-0000-0000BF740000}"/>
    <cellStyle name="Total 2 8 4 2 2 2 2 2" xfId="32045" xr:uid="{00000000-0005-0000-0000-0000C0740000}"/>
    <cellStyle name="Total 2 8 4 2 2 2 3" xfId="19050" xr:uid="{00000000-0005-0000-0000-0000C1740000}"/>
    <cellStyle name="Total 2 8 4 2 2 3" xfId="13826" xr:uid="{00000000-0005-0000-0000-0000C2740000}"/>
    <cellStyle name="Total 2 8 4 2 2 3 2" xfId="28658" xr:uid="{00000000-0005-0000-0000-0000C3740000}"/>
    <cellStyle name="Total 2 8 4 2 2 4" xfId="10831" xr:uid="{00000000-0005-0000-0000-0000C4740000}"/>
    <cellStyle name="Total 2 8 4 2 2 4 2" xfId="25663" xr:uid="{00000000-0005-0000-0000-0000C5740000}"/>
    <cellStyle name="Total 2 8 4 2 3" xfId="5063" xr:uid="{00000000-0005-0000-0000-0000C6740000}"/>
    <cellStyle name="Total 2 8 4 2 3 2" xfId="9102" xr:uid="{00000000-0005-0000-0000-0000C7740000}"/>
    <cellStyle name="Total 2 8 4 2 3 2 2" xfId="18035" xr:uid="{00000000-0005-0000-0000-0000C8740000}"/>
    <cellStyle name="Total 2 8 4 2 3 2 2 2" xfId="32867" xr:uid="{00000000-0005-0000-0000-0000C9740000}"/>
    <cellStyle name="Total 2 8 4 2 3 2 3" xfId="19601" xr:uid="{00000000-0005-0000-0000-0000CA740000}"/>
    <cellStyle name="Total 2 8 4 2 3 3" xfId="15384" xr:uid="{00000000-0005-0000-0000-0000CB740000}"/>
    <cellStyle name="Total 2 8 4 2 3 3 2" xfId="30216" xr:uid="{00000000-0005-0000-0000-0000CC740000}"/>
    <cellStyle name="Total 2 8 4 2 3 4" xfId="11635" xr:uid="{00000000-0005-0000-0000-0000CD740000}"/>
    <cellStyle name="Total 2 8 4 2 3 4 2" xfId="26467" xr:uid="{00000000-0005-0000-0000-0000CE740000}"/>
    <cellStyle name="Total 2 8 4 2 4" xfId="3053" xr:uid="{00000000-0005-0000-0000-0000CF740000}"/>
    <cellStyle name="Total 2 8 4 2 4 2" xfId="7128" xr:uid="{00000000-0005-0000-0000-0000D0740000}"/>
    <cellStyle name="Total 2 8 4 2 4 2 2" xfId="16926" xr:uid="{00000000-0005-0000-0000-0000D1740000}"/>
    <cellStyle name="Total 2 8 4 2 4 2 2 2" xfId="31758" xr:uid="{00000000-0005-0000-0000-0000D2740000}"/>
    <cellStyle name="Total 2 8 4 2 4 2 3" xfId="18894" xr:uid="{00000000-0005-0000-0000-0000D3740000}"/>
    <cellStyle name="Total 2 8 4 2 4 3" xfId="13391" xr:uid="{00000000-0005-0000-0000-0000D4740000}"/>
    <cellStyle name="Total 2 8 4 2 4 3 2" xfId="28223" xr:uid="{00000000-0005-0000-0000-0000D5740000}"/>
    <cellStyle name="Total 2 8 4 2 4 4" xfId="10582" xr:uid="{00000000-0005-0000-0000-0000D6740000}"/>
    <cellStyle name="Total 2 8 4 2 4 4 2" xfId="25414" xr:uid="{00000000-0005-0000-0000-0000D7740000}"/>
    <cellStyle name="Total 2 8 4 2 5" xfId="6220" xr:uid="{00000000-0005-0000-0000-0000D8740000}"/>
    <cellStyle name="Total 2 8 4 2 5 2" xfId="16406" xr:uid="{00000000-0005-0000-0000-0000D9740000}"/>
    <cellStyle name="Total 2 8 4 2 5 2 2" xfId="31238" xr:uid="{00000000-0005-0000-0000-0000DA740000}"/>
    <cellStyle name="Total 2 8 4 2 5 3" xfId="18535" xr:uid="{00000000-0005-0000-0000-0000DB740000}"/>
    <cellStyle name="Total 2 8 4 2 6" xfId="12476" xr:uid="{00000000-0005-0000-0000-0000DC740000}"/>
    <cellStyle name="Total 2 8 4 2 6 2" xfId="27308" xr:uid="{00000000-0005-0000-0000-0000DD740000}"/>
    <cellStyle name="Total 2 8 4 2 7" xfId="10058" xr:uid="{00000000-0005-0000-0000-0000DE740000}"/>
    <cellStyle name="Total 2 8 4 2 7 2" xfId="24890" xr:uid="{00000000-0005-0000-0000-0000DF740000}"/>
    <cellStyle name="Total 2 8 4 3" xfId="4330" xr:uid="{00000000-0005-0000-0000-0000E0740000}"/>
    <cellStyle name="Total 2 8 4 3 2" xfId="8369" xr:uid="{00000000-0005-0000-0000-0000E1740000}"/>
    <cellStyle name="Total 2 8 4 3 2 2" xfId="17647" xr:uid="{00000000-0005-0000-0000-0000E2740000}"/>
    <cellStyle name="Total 2 8 4 3 2 2 2" xfId="32479" xr:uid="{00000000-0005-0000-0000-0000E3740000}"/>
    <cellStyle name="Total 2 8 4 3 2 3" xfId="19347" xr:uid="{00000000-0005-0000-0000-0000E4740000}"/>
    <cellStyle name="Total 2 8 4 3 3" xfId="14661" xr:uid="{00000000-0005-0000-0000-0000E5740000}"/>
    <cellStyle name="Total 2 8 4 3 3 2" xfId="29493" xr:uid="{00000000-0005-0000-0000-0000E6740000}"/>
    <cellStyle name="Total 2 8 4 3 4" xfId="11257" xr:uid="{00000000-0005-0000-0000-0000E7740000}"/>
    <cellStyle name="Total 2 8 4 3 4 2" xfId="26089" xr:uid="{00000000-0005-0000-0000-0000E8740000}"/>
    <cellStyle name="Total 2 8 4 4" xfId="4643" xr:uid="{00000000-0005-0000-0000-0000E9740000}"/>
    <cellStyle name="Total 2 8 4 4 2" xfId="8682" xr:uid="{00000000-0005-0000-0000-0000EA740000}"/>
    <cellStyle name="Total 2 8 4 4 2 2" xfId="17795" xr:uid="{00000000-0005-0000-0000-0000EB740000}"/>
    <cellStyle name="Total 2 8 4 4 2 2 2" xfId="32627" xr:uid="{00000000-0005-0000-0000-0000EC740000}"/>
    <cellStyle name="Total 2 8 4 4 2 3" xfId="19441" xr:uid="{00000000-0005-0000-0000-0000ED740000}"/>
    <cellStyle name="Total 2 8 4 4 3" xfId="14969" xr:uid="{00000000-0005-0000-0000-0000EE740000}"/>
    <cellStyle name="Total 2 8 4 4 3 2" xfId="29801" xr:uid="{00000000-0005-0000-0000-0000EF740000}"/>
    <cellStyle name="Total 2 8 4 4 4" xfId="11400" xr:uid="{00000000-0005-0000-0000-0000F0740000}"/>
    <cellStyle name="Total 2 8 4 4 4 2" xfId="26232" xr:uid="{00000000-0005-0000-0000-0000F1740000}"/>
    <cellStyle name="Total 2 8 4 5" xfId="2633" xr:uid="{00000000-0005-0000-0000-0000F2740000}"/>
    <cellStyle name="Total 2 8 4 5 2" xfId="6734" xr:uid="{00000000-0005-0000-0000-0000F3740000}"/>
    <cellStyle name="Total 2 8 4 5 2 2" xfId="16691" xr:uid="{00000000-0005-0000-0000-0000F4740000}"/>
    <cellStyle name="Total 2 8 4 5 2 2 2" xfId="31523" xr:uid="{00000000-0005-0000-0000-0000F5740000}"/>
    <cellStyle name="Total 2 8 4 5 2 3" xfId="18730" xr:uid="{00000000-0005-0000-0000-0000F6740000}"/>
    <cellStyle name="Total 2 8 4 5 3" xfId="12971" xr:uid="{00000000-0005-0000-0000-0000F7740000}"/>
    <cellStyle name="Total 2 8 4 5 3 2" xfId="27803" xr:uid="{00000000-0005-0000-0000-0000F8740000}"/>
    <cellStyle name="Total 2 8 4 5 4" xfId="10342" xr:uid="{00000000-0005-0000-0000-0000F9740000}"/>
    <cellStyle name="Total 2 8 4 5 4 2" xfId="25174" xr:uid="{00000000-0005-0000-0000-0000FA740000}"/>
    <cellStyle name="Total 2 8 4 6" xfId="5750" xr:uid="{00000000-0005-0000-0000-0000FB740000}"/>
    <cellStyle name="Total 2 8 4 6 2" xfId="15985" xr:uid="{00000000-0005-0000-0000-0000FC740000}"/>
    <cellStyle name="Total 2 8 4 6 2 2" xfId="30817" xr:uid="{00000000-0005-0000-0000-0000FD740000}"/>
    <cellStyle name="Total 2 8 4 6 3" xfId="18371" xr:uid="{00000000-0005-0000-0000-0000FE740000}"/>
    <cellStyle name="Total 2 8 4 7" xfId="12005" xr:uid="{00000000-0005-0000-0000-0000FF740000}"/>
    <cellStyle name="Total 2 8 4 7 2" xfId="26837" xr:uid="{00000000-0005-0000-0000-000000750000}"/>
    <cellStyle name="Total 2 8 4 8" xfId="9664" xr:uid="{00000000-0005-0000-0000-000001750000}"/>
    <cellStyle name="Total 2 8 4 8 2" xfId="19965" xr:uid="{00000000-0005-0000-0000-000002750000}"/>
    <cellStyle name="Total 2 8 5" xfId="1648" xr:uid="{00000000-0005-0000-0000-000003750000}"/>
    <cellStyle name="Total 2 8 5 2" xfId="2145" xr:uid="{00000000-0005-0000-0000-000004750000}"/>
    <cellStyle name="Total 2 8 5 2 2" xfId="3416" xr:uid="{00000000-0005-0000-0000-000005750000}"/>
    <cellStyle name="Total 2 8 5 2 2 2" xfId="7479" xr:uid="{00000000-0005-0000-0000-000006750000}"/>
    <cellStyle name="Total 2 8 5 2 2 2 2" xfId="17178" xr:uid="{00000000-0005-0000-0000-000007750000}"/>
    <cellStyle name="Total 2 8 5 2 2 2 2 2" xfId="32010" xr:uid="{00000000-0005-0000-0000-000008750000}"/>
    <cellStyle name="Total 2 8 5 2 2 2 3" xfId="19027" xr:uid="{00000000-0005-0000-0000-000009750000}"/>
    <cellStyle name="Total 2 8 5 2 2 3" xfId="13753" xr:uid="{00000000-0005-0000-0000-00000A750000}"/>
    <cellStyle name="Total 2 8 5 2 2 3 2" xfId="28585" xr:uid="{00000000-0005-0000-0000-00000B750000}"/>
    <cellStyle name="Total 2 8 5 2 2 4" xfId="10797" xr:uid="{00000000-0005-0000-0000-00000C750000}"/>
    <cellStyle name="Total 2 8 5 2 2 4 2" xfId="25629" xr:uid="{00000000-0005-0000-0000-00000D750000}"/>
    <cellStyle name="Total 2 8 5 2 3" xfId="5113" xr:uid="{00000000-0005-0000-0000-00000E750000}"/>
    <cellStyle name="Total 2 8 5 2 3 2" xfId="9152" xr:uid="{00000000-0005-0000-0000-00000F750000}"/>
    <cellStyle name="Total 2 8 5 2 3 2 2" xfId="18080" xr:uid="{00000000-0005-0000-0000-000010750000}"/>
    <cellStyle name="Total 2 8 5 2 3 2 2 2" xfId="32912" xr:uid="{00000000-0005-0000-0000-000011750000}"/>
    <cellStyle name="Total 2 8 5 2 3 2 3" xfId="19633" xr:uid="{00000000-0005-0000-0000-000012750000}"/>
    <cellStyle name="Total 2 8 5 2 3 3" xfId="15433" xr:uid="{00000000-0005-0000-0000-000013750000}"/>
    <cellStyle name="Total 2 8 5 2 3 3 2" xfId="30265" xr:uid="{00000000-0005-0000-0000-000014750000}"/>
    <cellStyle name="Total 2 8 5 2 3 4" xfId="11679" xr:uid="{00000000-0005-0000-0000-000015750000}"/>
    <cellStyle name="Total 2 8 5 2 3 4 2" xfId="26511" xr:uid="{00000000-0005-0000-0000-000016750000}"/>
    <cellStyle name="Total 2 8 5 2 4" xfId="3103" xr:uid="{00000000-0005-0000-0000-000017750000}"/>
    <cellStyle name="Total 2 8 5 2 4 2" xfId="7173" xr:uid="{00000000-0005-0000-0000-000018750000}"/>
    <cellStyle name="Total 2 8 5 2 4 2 2" xfId="16970" xr:uid="{00000000-0005-0000-0000-000019750000}"/>
    <cellStyle name="Total 2 8 5 2 4 2 2 2" xfId="31802" xr:uid="{00000000-0005-0000-0000-00001A750000}"/>
    <cellStyle name="Total 2 8 5 2 4 2 3" xfId="18927" xr:uid="{00000000-0005-0000-0000-00001B750000}"/>
    <cellStyle name="Total 2 8 5 2 4 3" xfId="13441" xr:uid="{00000000-0005-0000-0000-00001C750000}"/>
    <cellStyle name="Total 2 8 5 2 4 3 2" xfId="28273" xr:uid="{00000000-0005-0000-0000-00001D750000}"/>
    <cellStyle name="Total 2 8 5 2 4 4" xfId="10627" xr:uid="{00000000-0005-0000-0000-00001E750000}"/>
    <cellStyle name="Total 2 8 5 2 4 4 2" xfId="25459" xr:uid="{00000000-0005-0000-0000-00001F750000}"/>
    <cellStyle name="Total 2 8 5 2 5" xfId="6265" xr:uid="{00000000-0005-0000-0000-000020750000}"/>
    <cellStyle name="Total 2 8 5 2 5 2" xfId="16450" xr:uid="{00000000-0005-0000-0000-000021750000}"/>
    <cellStyle name="Total 2 8 5 2 5 2 2" xfId="31282" xr:uid="{00000000-0005-0000-0000-000022750000}"/>
    <cellStyle name="Total 2 8 5 2 5 3" xfId="18568" xr:uid="{00000000-0005-0000-0000-000023750000}"/>
    <cellStyle name="Total 2 8 5 2 6" xfId="12520" xr:uid="{00000000-0005-0000-0000-000024750000}"/>
    <cellStyle name="Total 2 8 5 2 6 2" xfId="27352" xr:uid="{00000000-0005-0000-0000-000025750000}"/>
    <cellStyle name="Total 2 8 5 2 7" xfId="10102" xr:uid="{00000000-0005-0000-0000-000026750000}"/>
    <cellStyle name="Total 2 8 5 2 7 2" xfId="24934" xr:uid="{00000000-0005-0000-0000-000027750000}"/>
    <cellStyle name="Total 2 8 5 3" xfId="3866" xr:uid="{00000000-0005-0000-0000-000028750000}"/>
    <cellStyle name="Total 2 8 5 3 2" xfId="7918" xr:uid="{00000000-0005-0000-0000-000029750000}"/>
    <cellStyle name="Total 2 8 5 3 2 2" xfId="17400" xr:uid="{00000000-0005-0000-0000-00002A750000}"/>
    <cellStyle name="Total 2 8 5 3 2 2 2" xfId="32232" xr:uid="{00000000-0005-0000-0000-00002B750000}"/>
    <cellStyle name="Total 2 8 5 3 2 3" xfId="19179" xr:uid="{00000000-0005-0000-0000-00002C750000}"/>
    <cellStyle name="Total 2 8 5 3 3" xfId="14201" xr:uid="{00000000-0005-0000-0000-00002D750000}"/>
    <cellStyle name="Total 2 8 5 3 3 2" xfId="29033" xr:uid="{00000000-0005-0000-0000-00002E750000}"/>
    <cellStyle name="Total 2 8 5 3 4" xfId="11019" xr:uid="{00000000-0005-0000-0000-00002F750000}"/>
    <cellStyle name="Total 2 8 5 3 4 2" xfId="25851" xr:uid="{00000000-0005-0000-0000-000030750000}"/>
    <cellStyle name="Total 2 8 5 4" xfId="4693" xr:uid="{00000000-0005-0000-0000-000031750000}"/>
    <cellStyle name="Total 2 8 5 4 2" xfId="8732" xr:uid="{00000000-0005-0000-0000-000032750000}"/>
    <cellStyle name="Total 2 8 5 4 2 2" xfId="17840" xr:uid="{00000000-0005-0000-0000-000033750000}"/>
    <cellStyle name="Total 2 8 5 4 2 2 2" xfId="32672" xr:uid="{00000000-0005-0000-0000-000034750000}"/>
    <cellStyle name="Total 2 8 5 4 2 3" xfId="19473" xr:uid="{00000000-0005-0000-0000-000035750000}"/>
    <cellStyle name="Total 2 8 5 4 3" xfId="15018" xr:uid="{00000000-0005-0000-0000-000036750000}"/>
    <cellStyle name="Total 2 8 5 4 3 2" xfId="29850" xr:uid="{00000000-0005-0000-0000-000037750000}"/>
    <cellStyle name="Total 2 8 5 4 4" xfId="11444" xr:uid="{00000000-0005-0000-0000-000038750000}"/>
    <cellStyle name="Total 2 8 5 4 4 2" xfId="26276" xr:uid="{00000000-0005-0000-0000-000039750000}"/>
    <cellStyle name="Total 2 8 5 5" xfId="2683" xr:uid="{00000000-0005-0000-0000-00003A750000}"/>
    <cellStyle name="Total 2 8 5 5 2" xfId="6779" xr:uid="{00000000-0005-0000-0000-00003B750000}"/>
    <cellStyle name="Total 2 8 5 5 2 2" xfId="16735" xr:uid="{00000000-0005-0000-0000-00003C750000}"/>
    <cellStyle name="Total 2 8 5 5 2 2 2" xfId="31567" xr:uid="{00000000-0005-0000-0000-00003D750000}"/>
    <cellStyle name="Total 2 8 5 5 2 3" xfId="18763" xr:uid="{00000000-0005-0000-0000-00003E750000}"/>
    <cellStyle name="Total 2 8 5 5 3" xfId="13021" xr:uid="{00000000-0005-0000-0000-00003F750000}"/>
    <cellStyle name="Total 2 8 5 5 3 2" xfId="27853" xr:uid="{00000000-0005-0000-0000-000040750000}"/>
    <cellStyle name="Total 2 8 5 5 4" xfId="10387" xr:uid="{00000000-0005-0000-0000-000041750000}"/>
    <cellStyle name="Total 2 8 5 5 4 2" xfId="25219" xr:uid="{00000000-0005-0000-0000-000042750000}"/>
    <cellStyle name="Total 2 8 5 6" xfId="5795" xr:uid="{00000000-0005-0000-0000-000043750000}"/>
    <cellStyle name="Total 2 8 5 6 2" xfId="16029" xr:uid="{00000000-0005-0000-0000-000044750000}"/>
    <cellStyle name="Total 2 8 5 6 2 2" xfId="30861" xr:uid="{00000000-0005-0000-0000-000045750000}"/>
    <cellStyle name="Total 2 8 5 6 3" xfId="18404" xr:uid="{00000000-0005-0000-0000-000046750000}"/>
    <cellStyle name="Total 2 8 5 7" xfId="12049" xr:uid="{00000000-0005-0000-0000-000047750000}"/>
    <cellStyle name="Total 2 8 5 7 2" xfId="26881" xr:uid="{00000000-0005-0000-0000-000048750000}"/>
    <cellStyle name="Total 2 8 5 8" xfId="9709" xr:uid="{00000000-0005-0000-0000-000049750000}"/>
    <cellStyle name="Total 2 8 5 8 2" xfId="20009" xr:uid="{00000000-0005-0000-0000-00004A750000}"/>
    <cellStyle name="Total 2 8 6" xfId="1799" xr:uid="{00000000-0005-0000-0000-00004B750000}"/>
    <cellStyle name="Total 2 8 6 2" xfId="4071" xr:uid="{00000000-0005-0000-0000-00004C750000}"/>
    <cellStyle name="Total 2 8 6 2 2" xfId="8118" xr:uid="{00000000-0005-0000-0000-00004D750000}"/>
    <cellStyle name="Total 2 8 6 2 2 2" xfId="17506" xr:uid="{00000000-0005-0000-0000-00004E750000}"/>
    <cellStyle name="Total 2 8 6 2 2 2 2" xfId="32338" xr:uid="{00000000-0005-0000-0000-00004F750000}"/>
    <cellStyle name="Total 2 8 6 2 2 3" xfId="19258" xr:uid="{00000000-0005-0000-0000-000050750000}"/>
    <cellStyle name="Total 2 8 6 2 3" xfId="14403" xr:uid="{00000000-0005-0000-0000-000051750000}"/>
    <cellStyle name="Total 2 8 6 2 3 2" xfId="29235" xr:uid="{00000000-0005-0000-0000-000052750000}"/>
    <cellStyle name="Total 2 8 6 2 4" xfId="11122" xr:uid="{00000000-0005-0000-0000-000053750000}"/>
    <cellStyle name="Total 2 8 6 2 4 2" xfId="25954" xr:uid="{00000000-0005-0000-0000-000054750000}"/>
    <cellStyle name="Total 2 8 6 3" xfId="4777" xr:uid="{00000000-0005-0000-0000-000055750000}"/>
    <cellStyle name="Total 2 8 6 3 2" xfId="8816" xr:uid="{00000000-0005-0000-0000-000056750000}"/>
    <cellStyle name="Total 2 8 6 3 2 2" xfId="17888" xr:uid="{00000000-0005-0000-0000-000057750000}"/>
    <cellStyle name="Total 2 8 6 3 2 2 2" xfId="32720" xr:uid="{00000000-0005-0000-0000-000058750000}"/>
    <cellStyle name="Total 2 8 6 3 2 3" xfId="19505" xr:uid="{00000000-0005-0000-0000-000059750000}"/>
    <cellStyle name="Total 2 8 6 3 3" xfId="15101" xr:uid="{00000000-0005-0000-0000-00005A750000}"/>
    <cellStyle name="Total 2 8 6 3 3 2" xfId="29933" xr:uid="{00000000-0005-0000-0000-00005B750000}"/>
    <cellStyle name="Total 2 8 6 3 4" xfId="11491" xr:uid="{00000000-0005-0000-0000-00005C750000}"/>
    <cellStyle name="Total 2 8 6 3 4 2" xfId="26323" xr:uid="{00000000-0005-0000-0000-00005D750000}"/>
    <cellStyle name="Total 2 8 6 4" xfId="2767" xr:uid="{00000000-0005-0000-0000-00005E750000}"/>
    <cellStyle name="Total 2 8 6 4 2" xfId="6858" xr:uid="{00000000-0005-0000-0000-00005F750000}"/>
    <cellStyle name="Total 2 8 6 4 2 2" xfId="16782" xr:uid="{00000000-0005-0000-0000-000060750000}"/>
    <cellStyle name="Total 2 8 6 4 2 2 2" xfId="31614" xr:uid="{00000000-0005-0000-0000-000061750000}"/>
    <cellStyle name="Total 2 8 6 4 2 3" xfId="18796" xr:uid="{00000000-0005-0000-0000-000062750000}"/>
    <cellStyle name="Total 2 8 6 4 3" xfId="13105" xr:uid="{00000000-0005-0000-0000-000063750000}"/>
    <cellStyle name="Total 2 8 6 4 3 2" xfId="27937" xr:uid="{00000000-0005-0000-0000-000064750000}"/>
    <cellStyle name="Total 2 8 6 4 4" xfId="10435" xr:uid="{00000000-0005-0000-0000-000065750000}"/>
    <cellStyle name="Total 2 8 6 4 4 2" xfId="25267" xr:uid="{00000000-0005-0000-0000-000066750000}"/>
    <cellStyle name="Total 2 8 6 5" xfId="5931" xr:uid="{00000000-0005-0000-0000-000067750000}"/>
    <cellStyle name="Total 2 8 6 5 2" xfId="16123" xr:uid="{00000000-0005-0000-0000-000068750000}"/>
    <cellStyle name="Total 2 8 6 5 2 2" xfId="30955" xr:uid="{00000000-0005-0000-0000-000069750000}"/>
    <cellStyle name="Total 2 8 6 5 3" xfId="18438" xr:uid="{00000000-0005-0000-0000-00006A750000}"/>
    <cellStyle name="Total 2 8 6 6" xfId="12193" xr:uid="{00000000-0005-0000-0000-00006B750000}"/>
    <cellStyle name="Total 2 8 6 6 2" xfId="27025" xr:uid="{00000000-0005-0000-0000-00006C750000}"/>
    <cellStyle name="Total 2 8 6 7" xfId="9789" xr:uid="{00000000-0005-0000-0000-00006D750000}"/>
    <cellStyle name="Total 2 8 6 7 2" xfId="24746" xr:uid="{00000000-0005-0000-0000-00006E750000}"/>
    <cellStyle name="Total 2 8 7" xfId="2167" xr:uid="{00000000-0005-0000-0000-00006F750000}"/>
    <cellStyle name="Total 2 8 7 2" xfId="3288" xr:uid="{00000000-0005-0000-0000-000070750000}"/>
    <cellStyle name="Total 2 8 7 2 2" xfId="7352" xr:uid="{00000000-0005-0000-0000-000071750000}"/>
    <cellStyle name="Total 2 8 7 2 2 2" xfId="17094" xr:uid="{00000000-0005-0000-0000-000072750000}"/>
    <cellStyle name="Total 2 8 7 2 2 2 2" xfId="31926" xr:uid="{00000000-0005-0000-0000-000073750000}"/>
    <cellStyle name="Total 2 8 7 2 2 3" xfId="18984" xr:uid="{00000000-0005-0000-0000-000074750000}"/>
    <cellStyle name="Total 2 8 7 2 3" xfId="13625" xr:uid="{00000000-0005-0000-0000-000075750000}"/>
    <cellStyle name="Total 2 8 7 2 3 2" xfId="28457" xr:uid="{00000000-0005-0000-0000-000076750000}"/>
    <cellStyle name="Total 2 8 7 2 4" xfId="10720" xr:uid="{00000000-0005-0000-0000-000077750000}"/>
    <cellStyle name="Total 2 8 7 2 4 2" xfId="25552" xr:uid="{00000000-0005-0000-0000-000078750000}"/>
    <cellStyle name="Total 2 8 7 3" xfId="5135" xr:uid="{00000000-0005-0000-0000-000079750000}"/>
    <cellStyle name="Total 2 8 7 3 2" xfId="9174" xr:uid="{00000000-0005-0000-0000-00007A750000}"/>
    <cellStyle name="Total 2 8 7 3 2 2" xfId="18097" xr:uid="{00000000-0005-0000-0000-00007B750000}"/>
    <cellStyle name="Total 2 8 7 3 2 2 2" xfId="32929" xr:uid="{00000000-0005-0000-0000-00007C750000}"/>
    <cellStyle name="Total 2 8 7 3 2 3" xfId="19648" xr:uid="{00000000-0005-0000-0000-00007D750000}"/>
    <cellStyle name="Total 2 8 7 3 3" xfId="15453" xr:uid="{00000000-0005-0000-0000-00007E750000}"/>
    <cellStyle name="Total 2 8 7 3 3 2" xfId="30285" xr:uid="{00000000-0005-0000-0000-00007F750000}"/>
    <cellStyle name="Total 2 8 7 3 4" xfId="11694" xr:uid="{00000000-0005-0000-0000-000080750000}"/>
    <cellStyle name="Total 2 8 7 3 4 2" xfId="26526" xr:uid="{00000000-0005-0000-0000-000081750000}"/>
    <cellStyle name="Total 2 8 7 4" xfId="4165" xr:uid="{00000000-0005-0000-0000-000082750000}"/>
    <cellStyle name="Total 2 8 7 4 2" xfId="8206" xr:uid="{00000000-0005-0000-0000-000083750000}"/>
    <cellStyle name="Total 2 8 7 4 2 2" xfId="17553" xr:uid="{00000000-0005-0000-0000-000084750000}"/>
    <cellStyle name="Total 2 8 7 4 2 2 2" xfId="32385" xr:uid="{00000000-0005-0000-0000-000085750000}"/>
    <cellStyle name="Total 2 8 7 4 2 3" xfId="19291" xr:uid="{00000000-0005-0000-0000-000086750000}"/>
    <cellStyle name="Total 2 8 7 4 3" xfId="14497" xr:uid="{00000000-0005-0000-0000-000087750000}"/>
    <cellStyle name="Total 2 8 7 4 3 2" xfId="29329" xr:uid="{00000000-0005-0000-0000-000088750000}"/>
    <cellStyle name="Total 2 8 7 4 4" xfId="11173" xr:uid="{00000000-0005-0000-0000-000089750000}"/>
    <cellStyle name="Total 2 8 7 4 4 2" xfId="26005" xr:uid="{00000000-0005-0000-0000-00008A750000}"/>
    <cellStyle name="Total 2 8 7 5" xfId="6281" xr:uid="{00000000-0005-0000-0000-00008B750000}"/>
    <cellStyle name="Total 2 8 7 5 2" xfId="16465" xr:uid="{00000000-0005-0000-0000-00008C750000}"/>
    <cellStyle name="Total 2 8 7 5 2 2" xfId="31297" xr:uid="{00000000-0005-0000-0000-00008D750000}"/>
    <cellStyle name="Total 2 8 7 5 3" xfId="18584" xr:uid="{00000000-0005-0000-0000-00008E750000}"/>
    <cellStyle name="Total 2 8 7 6" xfId="12535" xr:uid="{00000000-0005-0000-0000-00008F750000}"/>
    <cellStyle name="Total 2 8 7 6 2" xfId="27367" xr:uid="{00000000-0005-0000-0000-000090750000}"/>
    <cellStyle name="Total 2 8 7 7" xfId="10117" xr:uid="{00000000-0005-0000-0000-000091750000}"/>
    <cellStyle name="Total 2 8 7 7 2" xfId="24949" xr:uid="{00000000-0005-0000-0000-000092750000}"/>
    <cellStyle name="Total 2 8 8" xfId="3279" xr:uid="{00000000-0005-0000-0000-000093750000}"/>
    <cellStyle name="Total 2 8 8 2" xfId="7343" xr:uid="{00000000-0005-0000-0000-000094750000}"/>
    <cellStyle name="Total 2 8 8 2 2" xfId="17087" xr:uid="{00000000-0005-0000-0000-000095750000}"/>
    <cellStyle name="Total 2 8 8 2 2 2" xfId="31919" xr:uid="{00000000-0005-0000-0000-000096750000}"/>
    <cellStyle name="Total 2 8 8 2 3" xfId="18981" xr:uid="{00000000-0005-0000-0000-000097750000}"/>
    <cellStyle name="Total 2 8 8 3" xfId="13616" xr:uid="{00000000-0005-0000-0000-000098750000}"/>
    <cellStyle name="Total 2 8 8 3 2" xfId="28448" xr:uid="{00000000-0005-0000-0000-000099750000}"/>
    <cellStyle name="Total 2 8 8 4" xfId="10714" xr:uid="{00000000-0005-0000-0000-00009A750000}"/>
    <cellStyle name="Total 2 8 8 4 2" xfId="25546" xr:uid="{00000000-0005-0000-0000-00009B750000}"/>
    <cellStyle name="Total 2 8 9" xfId="3191" xr:uid="{00000000-0005-0000-0000-00009C750000}"/>
    <cellStyle name="Total 2 8 9 2" xfId="7255" xr:uid="{00000000-0005-0000-0000-00009D750000}"/>
    <cellStyle name="Total 2 8 9 2 2" xfId="17025" xr:uid="{00000000-0005-0000-0000-00009E750000}"/>
    <cellStyle name="Total 2 8 9 2 2 2" xfId="31857" xr:uid="{00000000-0005-0000-0000-00009F750000}"/>
    <cellStyle name="Total 2 8 9 2 3" xfId="18957" xr:uid="{00000000-0005-0000-0000-0000A0750000}"/>
    <cellStyle name="Total 2 8 9 3" xfId="13529" xr:uid="{00000000-0005-0000-0000-0000A1750000}"/>
    <cellStyle name="Total 2 8 9 3 2" xfId="28361" xr:uid="{00000000-0005-0000-0000-0000A2750000}"/>
    <cellStyle name="Total 2 8 9 4" xfId="10671" xr:uid="{00000000-0005-0000-0000-0000A3750000}"/>
    <cellStyle name="Total 2 8 9 4 2" xfId="25503" xr:uid="{00000000-0005-0000-0000-0000A4750000}"/>
    <cellStyle name="Total 2 9" xfId="1366" xr:uid="{00000000-0005-0000-0000-0000A5750000}"/>
    <cellStyle name="Total 2 9 2" xfId="1870" xr:uid="{00000000-0005-0000-0000-0000A6750000}"/>
    <cellStyle name="Total 2 9 2 2" xfId="4138" xr:uid="{00000000-0005-0000-0000-0000A7750000}"/>
    <cellStyle name="Total 2 9 2 2 2" xfId="8182" xr:uid="{00000000-0005-0000-0000-0000A8750000}"/>
    <cellStyle name="Total 2 9 2 2 2 2" xfId="17539" xr:uid="{00000000-0005-0000-0000-0000A9750000}"/>
    <cellStyle name="Total 2 9 2 2 2 2 2" xfId="32371" xr:uid="{00000000-0005-0000-0000-0000AA750000}"/>
    <cellStyle name="Total 2 9 2 2 2 3" xfId="19281" xr:uid="{00000000-0005-0000-0000-0000AB750000}"/>
    <cellStyle name="Total 2 9 2 2 3" xfId="14470" xr:uid="{00000000-0005-0000-0000-0000AC750000}"/>
    <cellStyle name="Total 2 9 2 2 3 2" xfId="29302" xr:uid="{00000000-0005-0000-0000-0000AD750000}"/>
    <cellStyle name="Total 2 9 2 2 4" xfId="11157" xr:uid="{00000000-0005-0000-0000-0000AE750000}"/>
    <cellStyle name="Total 2 9 2 2 4 2" xfId="25989" xr:uid="{00000000-0005-0000-0000-0000AF750000}"/>
    <cellStyle name="Total 2 9 2 3" xfId="4848" xr:uid="{00000000-0005-0000-0000-0000B0750000}"/>
    <cellStyle name="Total 2 9 2 3 2" xfId="8887" xr:uid="{00000000-0005-0000-0000-0000B1750000}"/>
    <cellStyle name="Total 2 9 2 3 2 2" xfId="17928" xr:uid="{00000000-0005-0000-0000-0000B2750000}"/>
    <cellStyle name="Total 2 9 2 3 2 2 2" xfId="32760" xr:uid="{00000000-0005-0000-0000-0000B3750000}"/>
    <cellStyle name="Total 2 9 2 3 2 3" xfId="19530" xr:uid="{00000000-0005-0000-0000-0000B4750000}"/>
    <cellStyle name="Total 2 9 2 3 3" xfId="15172" xr:uid="{00000000-0005-0000-0000-0000B5750000}"/>
    <cellStyle name="Total 2 9 2 3 3 2" xfId="30004" xr:uid="{00000000-0005-0000-0000-0000B6750000}"/>
    <cellStyle name="Total 2 9 2 3 4" xfId="11531" xr:uid="{00000000-0005-0000-0000-0000B7750000}"/>
    <cellStyle name="Total 2 9 2 3 4 2" xfId="26363" xr:uid="{00000000-0005-0000-0000-0000B8750000}"/>
    <cellStyle name="Total 2 9 2 4" xfId="2838" xr:uid="{00000000-0005-0000-0000-0000B9750000}"/>
    <cellStyle name="Total 2 9 2 4 2" xfId="6929" xr:uid="{00000000-0005-0000-0000-0000BA750000}"/>
    <cellStyle name="Total 2 9 2 4 2 2" xfId="16822" xr:uid="{00000000-0005-0000-0000-0000BB750000}"/>
    <cellStyle name="Total 2 9 2 4 2 2 2" xfId="31654" xr:uid="{00000000-0005-0000-0000-0000BC750000}"/>
    <cellStyle name="Total 2 9 2 4 2 3" xfId="18821" xr:uid="{00000000-0005-0000-0000-0000BD750000}"/>
    <cellStyle name="Total 2 9 2 4 3" xfId="13176" xr:uid="{00000000-0005-0000-0000-0000BE750000}"/>
    <cellStyle name="Total 2 9 2 4 3 2" xfId="28008" xr:uid="{00000000-0005-0000-0000-0000BF750000}"/>
    <cellStyle name="Total 2 9 2 4 4" xfId="10475" xr:uid="{00000000-0005-0000-0000-0000C0750000}"/>
    <cellStyle name="Total 2 9 2 4 4 2" xfId="25307" xr:uid="{00000000-0005-0000-0000-0000C1750000}"/>
    <cellStyle name="Total 2 9 2 5" xfId="6002" xr:uid="{00000000-0005-0000-0000-0000C2750000}"/>
    <cellStyle name="Total 2 9 2 5 2" xfId="16194" xr:uid="{00000000-0005-0000-0000-0000C3750000}"/>
    <cellStyle name="Total 2 9 2 5 2 2" xfId="31026" xr:uid="{00000000-0005-0000-0000-0000C4750000}"/>
    <cellStyle name="Total 2 9 2 5 3" xfId="18463" xr:uid="{00000000-0005-0000-0000-0000C5750000}"/>
    <cellStyle name="Total 2 9 2 6" xfId="12264" xr:uid="{00000000-0005-0000-0000-0000C6750000}"/>
    <cellStyle name="Total 2 9 2 6 2" xfId="27096" xr:uid="{00000000-0005-0000-0000-0000C7750000}"/>
    <cellStyle name="Total 2 9 2 7" xfId="9860" xr:uid="{00000000-0005-0000-0000-0000C8750000}"/>
    <cellStyle name="Total 2 9 2 7 2" xfId="24786" xr:uid="{00000000-0005-0000-0000-0000C9750000}"/>
    <cellStyle name="Total 2 9 3" xfId="3824" xr:uid="{00000000-0005-0000-0000-0000CA750000}"/>
    <cellStyle name="Total 2 9 3 2" xfId="7877" xr:uid="{00000000-0005-0000-0000-0000CB750000}"/>
    <cellStyle name="Total 2 9 3 2 2" xfId="17382" xr:uid="{00000000-0005-0000-0000-0000CC750000}"/>
    <cellStyle name="Total 2 9 3 2 2 2" xfId="32214" xr:uid="{00000000-0005-0000-0000-0000CD750000}"/>
    <cellStyle name="Total 2 9 3 2 3" xfId="19166" xr:uid="{00000000-0005-0000-0000-0000CE750000}"/>
    <cellStyle name="Total 2 9 3 3" xfId="14159" xr:uid="{00000000-0005-0000-0000-0000CF750000}"/>
    <cellStyle name="Total 2 9 3 3 2" xfId="28991" xr:uid="{00000000-0005-0000-0000-0000D0750000}"/>
    <cellStyle name="Total 2 9 3 4" xfId="11001" xr:uid="{00000000-0005-0000-0000-0000D1750000}"/>
    <cellStyle name="Total 2 9 3 4 2" xfId="25833" xr:uid="{00000000-0005-0000-0000-0000D2750000}"/>
    <cellStyle name="Total 2 9 4" xfId="4428" xr:uid="{00000000-0005-0000-0000-0000D3750000}"/>
    <cellStyle name="Total 2 9 4 2" xfId="8467" xr:uid="{00000000-0005-0000-0000-0000D4750000}"/>
    <cellStyle name="Total 2 9 4 2 2" xfId="17688" xr:uid="{00000000-0005-0000-0000-0000D5750000}"/>
    <cellStyle name="Total 2 9 4 2 2 2" xfId="32520" xr:uid="{00000000-0005-0000-0000-0000D6750000}"/>
    <cellStyle name="Total 2 9 4 2 3" xfId="19370" xr:uid="{00000000-0005-0000-0000-0000D7750000}"/>
    <cellStyle name="Total 2 9 4 3" xfId="14757" xr:uid="{00000000-0005-0000-0000-0000D8750000}"/>
    <cellStyle name="Total 2 9 4 3 2" xfId="29589" xr:uid="{00000000-0005-0000-0000-0000D9750000}"/>
    <cellStyle name="Total 2 9 4 4" xfId="11296" xr:uid="{00000000-0005-0000-0000-0000DA750000}"/>
    <cellStyle name="Total 2 9 4 4 2" xfId="26128" xr:uid="{00000000-0005-0000-0000-0000DB750000}"/>
    <cellStyle name="Total 2 9 5" xfId="2418" xr:uid="{00000000-0005-0000-0000-0000DC750000}"/>
    <cellStyle name="Total 2 9 5 2" xfId="6530" xr:uid="{00000000-0005-0000-0000-0000DD750000}"/>
    <cellStyle name="Total 2 9 5 2 2" xfId="16586" xr:uid="{00000000-0005-0000-0000-0000DE750000}"/>
    <cellStyle name="Total 2 9 5 2 2 2" xfId="31418" xr:uid="{00000000-0005-0000-0000-0000DF750000}"/>
    <cellStyle name="Total 2 9 5 2 3" xfId="18658" xr:uid="{00000000-0005-0000-0000-0000E0750000}"/>
    <cellStyle name="Total 2 9 5 3" xfId="12757" xr:uid="{00000000-0005-0000-0000-0000E1750000}"/>
    <cellStyle name="Total 2 9 5 3 2" xfId="27589" xr:uid="{00000000-0005-0000-0000-0000E2750000}"/>
    <cellStyle name="Total 2 9 5 4" xfId="10236" xr:uid="{00000000-0005-0000-0000-0000E3750000}"/>
    <cellStyle name="Total 2 9 5 4 2" xfId="25068" xr:uid="{00000000-0005-0000-0000-0000E4750000}"/>
    <cellStyle name="Total 2 9 6" xfId="5543" xr:uid="{00000000-0005-0000-0000-0000E5750000}"/>
    <cellStyle name="Total 2 9 6 2" xfId="15778" xr:uid="{00000000-0005-0000-0000-0000E6750000}"/>
    <cellStyle name="Total 2 9 6 2 2" xfId="30610" xr:uid="{00000000-0005-0000-0000-0000E7750000}"/>
    <cellStyle name="Total 2 9 6 3" xfId="18300" xr:uid="{00000000-0005-0000-0000-0000E8750000}"/>
    <cellStyle name="Total 2 9 7" xfId="11793" xr:uid="{00000000-0005-0000-0000-0000E9750000}"/>
    <cellStyle name="Total 2 9 7 2" xfId="26625" xr:uid="{00000000-0005-0000-0000-0000EA750000}"/>
    <cellStyle name="Total 2 9 8" xfId="9464" xr:uid="{00000000-0005-0000-0000-0000EB750000}"/>
    <cellStyle name="Total 2 9 8 2" xfId="19768" xr:uid="{00000000-0005-0000-0000-0000EC750000}"/>
    <cellStyle name="Total 3" xfId="1275" xr:uid="{00000000-0005-0000-0000-0000ED750000}"/>
    <cellStyle name="Total 3 10" xfId="2342" xr:uid="{00000000-0005-0000-0000-0000EE750000}"/>
    <cellStyle name="Total 3 10 2" xfId="6454" xr:uid="{00000000-0005-0000-0000-0000EF750000}"/>
    <cellStyle name="Total 3 10 2 2" xfId="16546" xr:uid="{00000000-0005-0000-0000-0000F0750000}"/>
    <cellStyle name="Total 3 10 2 2 2" xfId="31378" xr:uid="{00000000-0005-0000-0000-0000F1750000}"/>
    <cellStyle name="Total 3 10 2 3" xfId="18634" xr:uid="{00000000-0005-0000-0000-0000F2750000}"/>
    <cellStyle name="Total 3 10 3" xfId="12682" xr:uid="{00000000-0005-0000-0000-0000F3750000}"/>
    <cellStyle name="Total 3 10 3 2" xfId="27514" xr:uid="{00000000-0005-0000-0000-0000F4750000}"/>
    <cellStyle name="Total 3 10 4" xfId="10197" xr:uid="{00000000-0005-0000-0000-0000F5750000}"/>
    <cellStyle name="Total 3 10 4 2" xfId="25029" xr:uid="{00000000-0005-0000-0000-0000F6750000}"/>
    <cellStyle name="Total 3 11" xfId="5304" xr:uid="{00000000-0005-0000-0000-0000F7750000}"/>
    <cellStyle name="Total 3 11 2" xfId="9312" xr:uid="{00000000-0005-0000-0000-0000F8750000}"/>
    <cellStyle name="Total 3 11 2 2" xfId="18179" xr:uid="{00000000-0005-0000-0000-0000F9750000}"/>
    <cellStyle name="Total 3 11 2 2 2" xfId="33011" xr:uid="{00000000-0005-0000-0000-0000FA750000}"/>
    <cellStyle name="Total 3 11 2 3" xfId="19698" xr:uid="{00000000-0005-0000-0000-0000FB750000}"/>
    <cellStyle name="Total 3 11 3" xfId="15620" xr:uid="{00000000-0005-0000-0000-0000FC750000}"/>
    <cellStyle name="Total 3 11 3 2" xfId="30452" xr:uid="{00000000-0005-0000-0000-0000FD750000}"/>
    <cellStyle name="Total 3 12" xfId="5462" xr:uid="{00000000-0005-0000-0000-0000FE750000}"/>
    <cellStyle name="Total 3 12 2" xfId="15698" xr:uid="{00000000-0005-0000-0000-0000FF750000}"/>
    <cellStyle name="Total 3 12 2 2" xfId="30530" xr:uid="{00000000-0005-0000-0000-000000760000}"/>
    <cellStyle name="Total 3 12 3" xfId="18275" xr:uid="{00000000-0005-0000-0000-000001760000}"/>
    <cellStyle name="Total 3 13" xfId="9329" xr:uid="{00000000-0005-0000-0000-000002760000}"/>
    <cellStyle name="Total 3 13 2" xfId="24635" xr:uid="{00000000-0005-0000-0000-000003760000}"/>
    <cellStyle name="Total 3 14" xfId="5318" xr:uid="{00000000-0005-0000-0000-000004760000}"/>
    <cellStyle name="Total 3 14 2" xfId="18192" xr:uid="{00000000-0005-0000-0000-000005760000}"/>
    <cellStyle name="Total 3 2" xfId="1374" xr:uid="{00000000-0005-0000-0000-000006760000}"/>
    <cellStyle name="Total 3 2 2" xfId="1878" xr:uid="{00000000-0005-0000-0000-000007760000}"/>
    <cellStyle name="Total 3 2 2 2" xfId="3627" xr:uid="{00000000-0005-0000-0000-000008760000}"/>
    <cellStyle name="Total 3 2 2 2 2" xfId="7686" xr:uid="{00000000-0005-0000-0000-000009760000}"/>
    <cellStyle name="Total 3 2 2 2 2 2" xfId="17287" xr:uid="{00000000-0005-0000-0000-00000A760000}"/>
    <cellStyle name="Total 3 2 2 2 2 2 2" xfId="32119" xr:uid="{00000000-0005-0000-0000-00000B760000}"/>
    <cellStyle name="Total 3 2 2 2 2 3" xfId="19102" xr:uid="{00000000-0005-0000-0000-00000C760000}"/>
    <cellStyle name="Total 3 2 2 2 3" xfId="13962" xr:uid="{00000000-0005-0000-0000-00000D760000}"/>
    <cellStyle name="Total 3 2 2 2 3 2" xfId="28794" xr:uid="{00000000-0005-0000-0000-00000E760000}"/>
    <cellStyle name="Total 3 2 2 2 4" xfId="10903" xr:uid="{00000000-0005-0000-0000-00000F760000}"/>
    <cellStyle name="Total 3 2 2 2 4 2" xfId="25735" xr:uid="{00000000-0005-0000-0000-000010760000}"/>
    <cellStyle name="Total 3 2 2 3" xfId="4856" xr:uid="{00000000-0005-0000-0000-000011760000}"/>
    <cellStyle name="Total 3 2 2 3 2" xfId="8895" xr:uid="{00000000-0005-0000-0000-000012760000}"/>
    <cellStyle name="Total 3 2 2 3 2 2" xfId="17936" xr:uid="{00000000-0005-0000-0000-000013760000}"/>
    <cellStyle name="Total 3 2 2 3 2 2 2" xfId="32768" xr:uid="{00000000-0005-0000-0000-000014760000}"/>
    <cellStyle name="Total 3 2 2 3 2 3" xfId="19538" xr:uid="{00000000-0005-0000-0000-000015760000}"/>
    <cellStyle name="Total 3 2 2 3 3" xfId="15180" xr:uid="{00000000-0005-0000-0000-000016760000}"/>
    <cellStyle name="Total 3 2 2 3 3 2" xfId="30012" xr:uid="{00000000-0005-0000-0000-000017760000}"/>
    <cellStyle name="Total 3 2 2 3 4" xfId="11539" xr:uid="{00000000-0005-0000-0000-000018760000}"/>
    <cellStyle name="Total 3 2 2 3 4 2" xfId="26371" xr:uid="{00000000-0005-0000-0000-000019760000}"/>
    <cellStyle name="Total 3 2 2 4" xfId="2846" xr:uid="{00000000-0005-0000-0000-00001A760000}"/>
    <cellStyle name="Total 3 2 2 4 2" xfId="6937" xr:uid="{00000000-0005-0000-0000-00001B760000}"/>
    <cellStyle name="Total 3 2 2 4 2 2" xfId="16830" xr:uid="{00000000-0005-0000-0000-00001C760000}"/>
    <cellStyle name="Total 3 2 2 4 2 2 2" xfId="31662" xr:uid="{00000000-0005-0000-0000-00001D760000}"/>
    <cellStyle name="Total 3 2 2 4 2 3" xfId="18829" xr:uid="{00000000-0005-0000-0000-00001E760000}"/>
    <cellStyle name="Total 3 2 2 4 3" xfId="13184" xr:uid="{00000000-0005-0000-0000-00001F760000}"/>
    <cellStyle name="Total 3 2 2 4 3 2" xfId="28016" xr:uid="{00000000-0005-0000-0000-000020760000}"/>
    <cellStyle name="Total 3 2 2 4 4" xfId="10483" xr:uid="{00000000-0005-0000-0000-000021760000}"/>
    <cellStyle name="Total 3 2 2 4 4 2" xfId="25315" xr:uid="{00000000-0005-0000-0000-000022760000}"/>
    <cellStyle name="Total 3 2 2 5" xfId="6010" xr:uid="{00000000-0005-0000-0000-000023760000}"/>
    <cellStyle name="Total 3 2 2 5 2" xfId="16202" xr:uid="{00000000-0005-0000-0000-000024760000}"/>
    <cellStyle name="Total 3 2 2 5 2 2" xfId="31034" xr:uid="{00000000-0005-0000-0000-000025760000}"/>
    <cellStyle name="Total 3 2 2 5 3" xfId="18471" xr:uid="{00000000-0005-0000-0000-000026760000}"/>
    <cellStyle name="Total 3 2 2 6" xfId="12272" xr:uid="{00000000-0005-0000-0000-000027760000}"/>
    <cellStyle name="Total 3 2 2 6 2" xfId="27104" xr:uid="{00000000-0005-0000-0000-000028760000}"/>
    <cellStyle name="Total 3 2 2 7" xfId="9868" xr:uid="{00000000-0005-0000-0000-000029760000}"/>
    <cellStyle name="Total 3 2 2 7 2" xfId="24794" xr:uid="{00000000-0005-0000-0000-00002A760000}"/>
    <cellStyle name="Total 3 2 3" xfId="3812" xr:uid="{00000000-0005-0000-0000-00002B760000}"/>
    <cellStyle name="Total 3 2 3 2" xfId="7866" xr:uid="{00000000-0005-0000-0000-00002C760000}"/>
    <cellStyle name="Total 3 2 3 2 2" xfId="17379" xr:uid="{00000000-0005-0000-0000-00002D760000}"/>
    <cellStyle name="Total 3 2 3 2 2 2" xfId="32211" xr:uid="{00000000-0005-0000-0000-00002E760000}"/>
    <cellStyle name="Total 3 2 3 2 3" xfId="19163" xr:uid="{00000000-0005-0000-0000-00002F760000}"/>
    <cellStyle name="Total 3 2 3 3" xfId="14147" xr:uid="{00000000-0005-0000-0000-000030760000}"/>
    <cellStyle name="Total 3 2 3 3 2" xfId="28979" xr:uid="{00000000-0005-0000-0000-000031760000}"/>
    <cellStyle name="Total 3 2 3 4" xfId="10997" xr:uid="{00000000-0005-0000-0000-000032760000}"/>
    <cellStyle name="Total 3 2 3 4 2" xfId="25829" xr:uid="{00000000-0005-0000-0000-000033760000}"/>
    <cellStyle name="Total 3 2 4" xfId="4436" xr:uid="{00000000-0005-0000-0000-000034760000}"/>
    <cellStyle name="Total 3 2 4 2" xfId="8475" xr:uid="{00000000-0005-0000-0000-000035760000}"/>
    <cellStyle name="Total 3 2 4 2 2" xfId="17696" xr:uid="{00000000-0005-0000-0000-000036760000}"/>
    <cellStyle name="Total 3 2 4 2 2 2" xfId="32528" xr:uid="{00000000-0005-0000-0000-000037760000}"/>
    <cellStyle name="Total 3 2 4 2 3" xfId="19378" xr:uid="{00000000-0005-0000-0000-000038760000}"/>
    <cellStyle name="Total 3 2 4 3" xfId="14765" xr:uid="{00000000-0005-0000-0000-000039760000}"/>
    <cellStyle name="Total 3 2 4 3 2" xfId="29597" xr:uid="{00000000-0005-0000-0000-00003A760000}"/>
    <cellStyle name="Total 3 2 4 4" xfId="11304" xr:uid="{00000000-0005-0000-0000-00003B760000}"/>
    <cellStyle name="Total 3 2 4 4 2" xfId="26136" xr:uid="{00000000-0005-0000-0000-00003C760000}"/>
    <cellStyle name="Total 3 2 5" xfId="2426" xr:uid="{00000000-0005-0000-0000-00003D760000}"/>
    <cellStyle name="Total 3 2 5 2" xfId="6538" xr:uid="{00000000-0005-0000-0000-00003E760000}"/>
    <cellStyle name="Total 3 2 5 2 2" xfId="16594" xr:uid="{00000000-0005-0000-0000-00003F760000}"/>
    <cellStyle name="Total 3 2 5 2 2 2" xfId="31426" xr:uid="{00000000-0005-0000-0000-000040760000}"/>
    <cellStyle name="Total 3 2 5 2 3" xfId="18666" xr:uid="{00000000-0005-0000-0000-000041760000}"/>
    <cellStyle name="Total 3 2 5 3" xfId="12765" xr:uid="{00000000-0005-0000-0000-000042760000}"/>
    <cellStyle name="Total 3 2 5 3 2" xfId="27597" xr:uid="{00000000-0005-0000-0000-000043760000}"/>
    <cellStyle name="Total 3 2 5 4" xfId="10244" xr:uid="{00000000-0005-0000-0000-000044760000}"/>
    <cellStyle name="Total 3 2 5 4 2" xfId="25076" xr:uid="{00000000-0005-0000-0000-000045760000}"/>
    <cellStyle name="Total 3 2 6" xfId="5551" xr:uid="{00000000-0005-0000-0000-000046760000}"/>
    <cellStyle name="Total 3 2 6 2" xfId="15786" xr:uid="{00000000-0005-0000-0000-000047760000}"/>
    <cellStyle name="Total 3 2 6 2 2" xfId="30618" xr:uid="{00000000-0005-0000-0000-000048760000}"/>
    <cellStyle name="Total 3 2 6 3" xfId="18308" xr:uid="{00000000-0005-0000-0000-000049760000}"/>
    <cellStyle name="Total 3 2 7" xfId="11801" xr:uid="{00000000-0005-0000-0000-00004A760000}"/>
    <cellStyle name="Total 3 2 7 2" xfId="26633" xr:uid="{00000000-0005-0000-0000-00004B760000}"/>
    <cellStyle name="Total 3 2 8" xfId="9472" xr:uid="{00000000-0005-0000-0000-00004C760000}"/>
    <cellStyle name="Total 3 2 8 2" xfId="19776" xr:uid="{00000000-0005-0000-0000-00004D760000}"/>
    <cellStyle name="Total 3 3" xfId="1546" xr:uid="{00000000-0005-0000-0000-00004E760000}"/>
    <cellStyle name="Total 3 3 2" xfId="2043" xr:uid="{00000000-0005-0000-0000-00004F760000}"/>
    <cellStyle name="Total 3 3 2 2" xfId="4094" xr:uid="{00000000-0005-0000-0000-000050760000}"/>
    <cellStyle name="Total 3 3 2 2 2" xfId="8140" xr:uid="{00000000-0005-0000-0000-000051760000}"/>
    <cellStyle name="Total 3 3 2 2 2 2" xfId="17514" xr:uid="{00000000-0005-0000-0000-000052760000}"/>
    <cellStyle name="Total 3 3 2 2 2 2 2" xfId="32346" xr:uid="{00000000-0005-0000-0000-000053760000}"/>
    <cellStyle name="Total 3 3 2 2 2 3" xfId="19264" xr:uid="{00000000-0005-0000-0000-000054760000}"/>
    <cellStyle name="Total 3 3 2 2 3" xfId="14426" xr:uid="{00000000-0005-0000-0000-000055760000}"/>
    <cellStyle name="Total 3 3 2 2 3 2" xfId="29258" xr:uid="{00000000-0005-0000-0000-000056760000}"/>
    <cellStyle name="Total 3 3 2 2 4" xfId="11131" xr:uid="{00000000-0005-0000-0000-000057760000}"/>
    <cellStyle name="Total 3 3 2 2 4 2" xfId="25963" xr:uid="{00000000-0005-0000-0000-000058760000}"/>
    <cellStyle name="Total 3 3 2 3" xfId="5011" xr:uid="{00000000-0005-0000-0000-000059760000}"/>
    <cellStyle name="Total 3 3 2 3 2" xfId="9050" xr:uid="{00000000-0005-0000-0000-00005A760000}"/>
    <cellStyle name="Total 3 3 2 3 2 2" xfId="17988" xr:uid="{00000000-0005-0000-0000-00005B760000}"/>
    <cellStyle name="Total 3 3 2 3 2 2 2" xfId="32820" xr:uid="{00000000-0005-0000-0000-00005C760000}"/>
    <cellStyle name="Total 3 3 2 3 2 3" xfId="19570" xr:uid="{00000000-0005-0000-0000-00005D760000}"/>
    <cellStyle name="Total 3 3 2 3 3" xfId="15333" xr:uid="{00000000-0005-0000-0000-00005E760000}"/>
    <cellStyle name="Total 3 3 2 3 3 2" xfId="30165" xr:uid="{00000000-0005-0000-0000-00005F760000}"/>
    <cellStyle name="Total 3 3 2 3 4" xfId="11589" xr:uid="{00000000-0005-0000-0000-000060760000}"/>
    <cellStyle name="Total 3 3 2 3 4 2" xfId="26421" xr:uid="{00000000-0005-0000-0000-000061760000}"/>
    <cellStyle name="Total 3 3 2 4" xfId="3001" xr:uid="{00000000-0005-0000-0000-000062760000}"/>
    <cellStyle name="Total 3 3 2 4 2" xfId="7081" xr:uid="{00000000-0005-0000-0000-000063760000}"/>
    <cellStyle name="Total 3 3 2 4 2 2" xfId="16880" xr:uid="{00000000-0005-0000-0000-000064760000}"/>
    <cellStyle name="Total 3 3 2 4 2 2 2" xfId="31712" xr:uid="{00000000-0005-0000-0000-000065760000}"/>
    <cellStyle name="Total 3 3 2 4 2 3" xfId="18862" xr:uid="{00000000-0005-0000-0000-000066760000}"/>
    <cellStyle name="Total 3 3 2 4 3" xfId="13339" xr:uid="{00000000-0005-0000-0000-000067760000}"/>
    <cellStyle name="Total 3 3 2 4 3 2" xfId="28171" xr:uid="{00000000-0005-0000-0000-000068760000}"/>
    <cellStyle name="Total 3 3 2 4 4" xfId="10535" xr:uid="{00000000-0005-0000-0000-000069760000}"/>
    <cellStyle name="Total 3 3 2 4 4 2" xfId="25367" xr:uid="{00000000-0005-0000-0000-00006A760000}"/>
    <cellStyle name="Total 3 3 2 5" xfId="6173" xr:uid="{00000000-0005-0000-0000-00006B760000}"/>
    <cellStyle name="Total 3 3 2 5 2" xfId="16360" xr:uid="{00000000-0005-0000-0000-00006C760000}"/>
    <cellStyle name="Total 3 3 2 5 2 2" xfId="31192" xr:uid="{00000000-0005-0000-0000-00006D760000}"/>
    <cellStyle name="Total 3 3 2 5 3" xfId="18503" xr:uid="{00000000-0005-0000-0000-00006E760000}"/>
    <cellStyle name="Total 3 3 2 6" xfId="12430" xr:uid="{00000000-0005-0000-0000-00006F760000}"/>
    <cellStyle name="Total 3 3 2 6 2" xfId="27262" xr:uid="{00000000-0005-0000-0000-000070760000}"/>
    <cellStyle name="Total 3 3 2 7" xfId="10012" xr:uid="{00000000-0005-0000-0000-000071760000}"/>
    <cellStyle name="Total 3 3 2 7 2" xfId="24844" xr:uid="{00000000-0005-0000-0000-000072760000}"/>
    <cellStyle name="Total 3 3 3" xfId="3291" xr:uid="{00000000-0005-0000-0000-000073760000}"/>
    <cellStyle name="Total 3 3 3 2" xfId="7355" xr:uid="{00000000-0005-0000-0000-000074760000}"/>
    <cellStyle name="Total 3 3 3 2 2" xfId="17097" xr:uid="{00000000-0005-0000-0000-000075760000}"/>
    <cellStyle name="Total 3 3 3 2 2 2" xfId="31929" xr:uid="{00000000-0005-0000-0000-000076760000}"/>
    <cellStyle name="Total 3 3 3 2 3" xfId="18985" xr:uid="{00000000-0005-0000-0000-000077760000}"/>
    <cellStyle name="Total 3 3 3 3" xfId="13628" xr:uid="{00000000-0005-0000-0000-000078760000}"/>
    <cellStyle name="Total 3 3 3 3 2" xfId="28460" xr:uid="{00000000-0005-0000-0000-000079760000}"/>
    <cellStyle name="Total 3 3 3 4" xfId="10723" xr:uid="{00000000-0005-0000-0000-00007A760000}"/>
    <cellStyle name="Total 3 3 3 4 2" xfId="25555" xr:uid="{00000000-0005-0000-0000-00007B760000}"/>
    <cellStyle name="Total 3 3 4" xfId="4591" xr:uid="{00000000-0005-0000-0000-00007C760000}"/>
    <cellStyle name="Total 3 3 4 2" xfId="8630" xr:uid="{00000000-0005-0000-0000-00007D760000}"/>
    <cellStyle name="Total 3 3 4 2 2" xfId="17748" xr:uid="{00000000-0005-0000-0000-00007E760000}"/>
    <cellStyle name="Total 3 3 4 2 2 2" xfId="32580" xr:uid="{00000000-0005-0000-0000-00007F760000}"/>
    <cellStyle name="Total 3 3 4 2 3" xfId="19410" xr:uid="{00000000-0005-0000-0000-000080760000}"/>
    <cellStyle name="Total 3 3 4 3" xfId="14918" xr:uid="{00000000-0005-0000-0000-000081760000}"/>
    <cellStyle name="Total 3 3 4 3 2" xfId="29750" xr:uid="{00000000-0005-0000-0000-000082760000}"/>
    <cellStyle name="Total 3 3 4 4" xfId="11354" xr:uid="{00000000-0005-0000-0000-000083760000}"/>
    <cellStyle name="Total 3 3 4 4 2" xfId="26186" xr:uid="{00000000-0005-0000-0000-000084760000}"/>
    <cellStyle name="Total 3 3 5" xfId="2581" xr:uid="{00000000-0005-0000-0000-000085760000}"/>
    <cellStyle name="Total 3 3 5 2" xfId="6687" xr:uid="{00000000-0005-0000-0000-000086760000}"/>
    <cellStyle name="Total 3 3 5 2 2" xfId="16645" xr:uid="{00000000-0005-0000-0000-000087760000}"/>
    <cellStyle name="Total 3 3 5 2 2 2" xfId="31477" xr:uid="{00000000-0005-0000-0000-000088760000}"/>
    <cellStyle name="Total 3 3 5 2 3" xfId="18698" xr:uid="{00000000-0005-0000-0000-000089760000}"/>
    <cellStyle name="Total 3 3 5 3" xfId="12919" xr:uid="{00000000-0005-0000-0000-00008A760000}"/>
    <cellStyle name="Total 3 3 5 3 2" xfId="27751" xr:uid="{00000000-0005-0000-0000-00008B760000}"/>
    <cellStyle name="Total 3 3 5 4" xfId="10295" xr:uid="{00000000-0005-0000-0000-00008C760000}"/>
    <cellStyle name="Total 3 3 5 4 2" xfId="25127" xr:uid="{00000000-0005-0000-0000-00008D760000}"/>
    <cellStyle name="Total 3 3 6" xfId="5704" xr:uid="{00000000-0005-0000-0000-00008E760000}"/>
    <cellStyle name="Total 3 3 6 2" xfId="15939" xr:uid="{00000000-0005-0000-0000-00008F760000}"/>
    <cellStyle name="Total 3 3 6 2 2" xfId="30771" xr:uid="{00000000-0005-0000-0000-000090760000}"/>
    <cellStyle name="Total 3 3 6 3" xfId="18340" xr:uid="{00000000-0005-0000-0000-000091760000}"/>
    <cellStyle name="Total 3 3 7" xfId="11959" xr:uid="{00000000-0005-0000-0000-000092760000}"/>
    <cellStyle name="Total 3 3 7 2" xfId="26791" xr:uid="{00000000-0005-0000-0000-000093760000}"/>
    <cellStyle name="Total 3 3 8" xfId="9617" xr:uid="{00000000-0005-0000-0000-000094760000}"/>
    <cellStyle name="Total 3 3 8 2" xfId="19919" xr:uid="{00000000-0005-0000-0000-000095760000}"/>
    <cellStyle name="Total 3 4" xfId="1599" xr:uid="{00000000-0005-0000-0000-000096760000}"/>
    <cellStyle name="Total 3 4 2" xfId="2096" xr:uid="{00000000-0005-0000-0000-000097760000}"/>
    <cellStyle name="Total 3 4 2 2" xfId="4101" xr:uid="{00000000-0005-0000-0000-000098760000}"/>
    <cellStyle name="Total 3 4 2 2 2" xfId="8147" xr:uid="{00000000-0005-0000-0000-000099760000}"/>
    <cellStyle name="Total 3 4 2 2 2 2" xfId="17518" xr:uid="{00000000-0005-0000-0000-00009A760000}"/>
    <cellStyle name="Total 3 4 2 2 2 2 2" xfId="32350" xr:uid="{00000000-0005-0000-0000-00009B760000}"/>
    <cellStyle name="Total 3 4 2 2 2 3" xfId="19266" xr:uid="{00000000-0005-0000-0000-00009C760000}"/>
    <cellStyle name="Total 3 4 2 2 3" xfId="14433" xr:uid="{00000000-0005-0000-0000-00009D760000}"/>
    <cellStyle name="Total 3 4 2 2 3 2" xfId="29265" xr:uid="{00000000-0005-0000-0000-00009E760000}"/>
    <cellStyle name="Total 3 4 2 2 4" xfId="11135" xr:uid="{00000000-0005-0000-0000-00009F760000}"/>
    <cellStyle name="Total 3 4 2 2 4 2" xfId="25967" xr:uid="{00000000-0005-0000-0000-0000A0760000}"/>
    <cellStyle name="Total 3 4 2 3" xfId="5064" xr:uid="{00000000-0005-0000-0000-0000A1760000}"/>
    <cellStyle name="Total 3 4 2 3 2" xfId="9103" xr:uid="{00000000-0005-0000-0000-0000A2760000}"/>
    <cellStyle name="Total 3 4 2 3 2 2" xfId="18036" xr:uid="{00000000-0005-0000-0000-0000A3760000}"/>
    <cellStyle name="Total 3 4 2 3 2 2 2" xfId="32868" xr:uid="{00000000-0005-0000-0000-0000A4760000}"/>
    <cellStyle name="Total 3 4 2 3 2 3" xfId="19602" xr:uid="{00000000-0005-0000-0000-0000A5760000}"/>
    <cellStyle name="Total 3 4 2 3 3" xfId="15385" xr:uid="{00000000-0005-0000-0000-0000A6760000}"/>
    <cellStyle name="Total 3 4 2 3 3 2" xfId="30217" xr:uid="{00000000-0005-0000-0000-0000A7760000}"/>
    <cellStyle name="Total 3 4 2 3 4" xfId="11636" xr:uid="{00000000-0005-0000-0000-0000A8760000}"/>
    <cellStyle name="Total 3 4 2 3 4 2" xfId="26468" xr:uid="{00000000-0005-0000-0000-0000A9760000}"/>
    <cellStyle name="Total 3 4 2 4" xfId="3054" xr:uid="{00000000-0005-0000-0000-0000AA760000}"/>
    <cellStyle name="Total 3 4 2 4 2" xfId="7129" xr:uid="{00000000-0005-0000-0000-0000AB760000}"/>
    <cellStyle name="Total 3 4 2 4 2 2" xfId="16927" xr:uid="{00000000-0005-0000-0000-0000AC760000}"/>
    <cellStyle name="Total 3 4 2 4 2 2 2" xfId="31759" xr:uid="{00000000-0005-0000-0000-0000AD760000}"/>
    <cellStyle name="Total 3 4 2 4 2 3" xfId="18895" xr:uid="{00000000-0005-0000-0000-0000AE760000}"/>
    <cellStyle name="Total 3 4 2 4 3" xfId="13392" xr:uid="{00000000-0005-0000-0000-0000AF760000}"/>
    <cellStyle name="Total 3 4 2 4 3 2" xfId="28224" xr:uid="{00000000-0005-0000-0000-0000B0760000}"/>
    <cellStyle name="Total 3 4 2 4 4" xfId="10583" xr:uid="{00000000-0005-0000-0000-0000B1760000}"/>
    <cellStyle name="Total 3 4 2 4 4 2" xfId="25415" xr:uid="{00000000-0005-0000-0000-0000B2760000}"/>
    <cellStyle name="Total 3 4 2 5" xfId="6221" xr:uid="{00000000-0005-0000-0000-0000B3760000}"/>
    <cellStyle name="Total 3 4 2 5 2" xfId="16407" xr:uid="{00000000-0005-0000-0000-0000B4760000}"/>
    <cellStyle name="Total 3 4 2 5 2 2" xfId="31239" xr:uid="{00000000-0005-0000-0000-0000B5760000}"/>
    <cellStyle name="Total 3 4 2 5 3" xfId="18536" xr:uid="{00000000-0005-0000-0000-0000B6760000}"/>
    <cellStyle name="Total 3 4 2 6" xfId="12477" xr:uid="{00000000-0005-0000-0000-0000B7760000}"/>
    <cellStyle name="Total 3 4 2 6 2" xfId="27309" xr:uid="{00000000-0005-0000-0000-0000B8760000}"/>
    <cellStyle name="Total 3 4 2 7" xfId="10059" xr:uid="{00000000-0005-0000-0000-0000B9760000}"/>
    <cellStyle name="Total 3 4 2 7 2" xfId="24891" xr:uid="{00000000-0005-0000-0000-0000BA760000}"/>
    <cellStyle name="Total 3 4 3" xfId="3672" xr:uid="{00000000-0005-0000-0000-0000BB760000}"/>
    <cellStyle name="Total 3 4 3 2" xfId="7730" xr:uid="{00000000-0005-0000-0000-0000BC760000}"/>
    <cellStyle name="Total 3 4 3 2 2" xfId="17308" xr:uid="{00000000-0005-0000-0000-0000BD760000}"/>
    <cellStyle name="Total 3 4 3 2 2 2" xfId="32140" xr:uid="{00000000-0005-0000-0000-0000BE760000}"/>
    <cellStyle name="Total 3 4 3 2 3" xfId="19116" xr:uid="{00000000-0005-0000-0000-0000BF760000}"/>
    <cellStyle name="Total 3 4 3 3" xfId="14007" xr:uid="{00000000-0005-0000-0000-0000C0760000}"/>
    <cellStyle name="Total 3 4 3 3 2" xfId="28839" xr:uid="{00000000-0005-0000-0000-0000C1760000}"/>
    <cellStyle name="Total 3 4 3 4" xfId="10925" xr:uid="{00000000-0005-0000-0000-0000C2760000}"/>
    <cellStyle name="Total 3 4 3 4 2" xfId="25757" xr:uid="{00000000-0005-0000-0000-0000C3760000}"/>
    <cellStyle name="Total 3 4 4" xfId="4644" xr:uid="{00000000-0005-0000-0000-0000C4760000}"/>
    <cellStyle name="Total 3 4 4 2" xfId="8683" xr:uid="{00000000-0005-0000-0000-0000C5760000}"/>
    <cellStyle name="Total 3 4 4 2 2" xfId="17796" xr:uid="{00000000-0005-0000-0000-0000C6760000}"/>
    <cellStyle name="Total 3 4 4 2 2 2" xfId="32628" xr:uid="{00000000-0005-0000-0000-0000C7760000}"/>
    <cellStyle name="Total 3 4 4 2 3" xfId="19442" xr:uid="{00000000-0005-0000-0000-0000C8760000}"/>
    <cellStyle name="Total 3 4 4 3" xfId="14970" xr:uid="{00000000-0005-0000-0000-0000C9760000}"/>
    <cellStyle name="Total 3 4 4 3 2" xfId="29802" xr:uid="{00000000-0005-0000-0000-0000CA760000}"/>
    <cellStyle name="Total 3 4 4 4" xfId="11401" xr:uid="{00000000-0005-0000-0000-0000CB760000}"/>
    <cellStyle name="Total 3 4 4 4 2" xfId="26233" xr:uid="{00000000-0005-0000-0000-0000CC760000}"/>
    <cellStyle name="Total 3 4 5" xfId="2634" xr:uid="{00000000-0005-0000-0000-0000CD760000}"/>
    <cellStyle name="Total 3 4 5 2" xfId="6735" xr:uid="{00000000-0005-0000-0000-0000CE760000}"/>
    <cellStyle name="Total 3 4 5 2 2" xfId="16692" xr:uid="{00000000-0005-0000-0000-0000CF760000}"/>
    <cellStyle name="Total 3 4 5 2 2 2" xfId="31524" xr:uid="{00000000-0005-0000-0000-0000D0760000}"/>
    <cellStyle name="Total 3 4 5 2 3" xfId="18731" xr:uid="{00000000-0005-0000-0000-0000D1760000}"/>
    <cellStyle name="Total 3 4 5 3" xfId="12972" xr:uid="{00000000-0005-0000-0000-0000D2760000}"/>
    <cellStyle name="Total 3 4 5 3 2" xfId="27804" xr:uid="{00000000-0005-0000-0000-0000D3760000}"/>
    <cellStyle name="Total 3 4 5 4" xfId="10343" xr:uid="{00000000-0005-0000-0000-0000D4760000}"/>
    <cellStyle name="Total 3 4 5 4 2" xfId="25175" xr:uid="{00000000-0005-0000-0000-0000D5760000}"/>
    <cellStyle name="Total 3 4 6" xfId="5751" xr:uid="{00000000-0005-0000-0000-0000D6760000}"/>
    <cellStyle name="Total 3 4 6 2" xfId="15986" xr:uid="{00000000-0005-0000-0000-0000D7760000}"/>
    <cellStyle name="Total 3 4 6 2 2" xfId="30818" xr:uid="{00000000-0005-0000-0000-0000D8760000}"/>
    <cellStyle name="Total 3 4 6 3" xfId="18372" xr:uid="{00000000-0005-0000-0000-0000D9760000}"/>
    <cellStyle name="Total 3 4 7" xfId="12006" xr:uid="{00000000-0005-0000-0000-0000DA760000}"/>
    <cellStyle name="Total 3 4 7 2" xfId="26838" xr:uid="{00000000-0005-0000-0000-0000DB760000}"/>
    <cellStyle name="Total 3 4 8" xfId="9665" xr:uid="{00000000-0005-0000-0000-0000DC760000}"/>
    <cellStyle name="Total 3 4 8 2" xfId="19966" xr:uid="{00000000-0005-0000-0000-0000DD760000}"/>
    <cellStyle name="Total 3 5" xfId="1649" xr:uid="{00000000-0005-0000-0000-0000DE760000}"/>
    <cellStyle name="Total 3 5 2" xfId="2146" xr:uid="{00000000-0005-0000-0000-0000DF760000}"/>
    <cellStyle name="Total 3 5 2 2" xfId="3429" xr:uid="{00000000-0005-0000-0000-0000E0760000}"/>
    <cellStyle name="Total 3 5 2 2 2" xfId="7492" xr:uid="{00000000-0005-0000-0000-0000E1760000}"/>
    <cellStyle name="Total 3 5 2 2 2 2" xfId="17186" xr:uid="{00000000-0005-0000-0000-0000E2760000}"/>
    <cellStyle name="Total 3 5 2 2 2 2 2" xfId="32018" xr:uid="{00000000-0005-0000-0000-0000E3760000}"/>
    <cellStyle name="Total 3 5 2 2 2 3" xfId="19033" xr:uid="{00000000-0005-0000-0000-0000E4760000}"/>
    <cellStyle name="Total 3 5 2 2 3" xfId="13766" xr:uid="{00000000-0005-0000-0000-0000E5760000}"/>
    <cellStyle name="Total 3 5 2 2 3 2" xfId="28598" xr:uid="{00000000-0005-0000-0000-0000E6760000}"/>
    <cellStyle name="Total 3 5 2 2 4" xfId="10805" xr:uid="{00000000-0005-0000-0000-0000E7760000}"/>
    <cellStyle name="Total 3 5 2 2 4 2" xfId="25637" xr:uid="{00000000-0005-0000-0000-0000E8760000}"/>
    <cellStyle name="Total 3 5 2 3" xfId="5114" xr:uid="{00000000-0005-0000-0000-0000E9760000}"/>
    <cellStyle name="Total 3 5 2 3 2" xfId="9153" xr:uid="{00000000-0005-0000-0000-0000EA760000}"/>
    <cellStyle name="Total 3 5 2 3 2 2" xfId="18081" xr:uid="{00000000-0005-0000-0000-0000EB760000}"/>
    <cellStyle name="Total 3 5 2 3 2 2 2" xfId="32913" xr:uid="{00000000-0005-0000-0000-0000EC760000}"/>
    <cellStyle name="Total 3 5 2 3 2 3" xfId="19634" xr:uid="{00000000-0005-0000-0000-0000ED760000}"/>
    <cellStyle name="Total 3 5 2 3 3" xfId="15434" xr:uid="{00000000-0005-0000-0000-0000EE760000}"/>
    <cellStyle name="Total 3 5 2 3 3 2" xfId="30266" xr:uid="{00000000-0005-0000-0000-0000EF760000}"/>
    <cellStyle name="Total 3 5 2 3 4" xfId="11680" xr:uid="{00000000-0005-0000-0000-0000F0760000}"/>
    <cellStyle name="Total 3 5 2 3 4 2" xfId="26512" xr:uid="{00000000-0005-0000-0000-0000F1760000}"/>
    <cellStyle name="Total 3 5 2 4" xfId="3104" xr:uid="{00000000-0005-0000-0000-0000F2760000}"/>
    <cellStyle name="Total 3 5 2 4 2" xfId="7174" xr:uid="{00000000-0005-0000-0000-0000F3760000}"/>
    <cellStyle name="Total 3 5 2 4 2 2" xfId="16971" xr:uid="{00000000-0005-0000-0000-0000F4760000}"/>
    <cellStyle name="Total 3 5 2 4 2 2 2" xfId="31803" xr:uid="{00000000-0005-0000-0000-0000F5760000}"/>
    <cellStyle name="Total 3 5 2 4 2 3" xfId="18928" xr:uid="{00000000-0005-0000-0000-0000F6760000}"/>
    <cellStyle name="Total 3 5 2 4 3" xfId="13442" xr:uid="{00000000-0005-0000-0000-0000F7760000}"/>
    <cellStyle name="Total 3 5 2 4 3 2" xfId="28274" xr:uid="{00000000-0005-0000-0000-0000F8760000}"/>
    <cellStyle name="Total 3 5 2 4 4" xfId="10628" xr:uid="{00000000-0005-0000-0000-0000F9760000}"/>
    <cellStyle name="Total 3 5 2 4 4 2" xfId="25460" xr:uid="{00000000-0005-0000-0000-0000FA760000}"/>
    <cellStyle name="Total 3 5 2 5" xfId="6266" xr:uid="{00000000-0005-0000-0000-0000FB760000}"/>
    <cellStyle name="Total 3 5 2 5 2" xfId="16451" xr:uid="{00000000-0005-0000-0000-0000FC760000}"/>
    <cellStyle name="Total 3 5 2 5 2 2" xfId="31283" xr:uid="{00000000-0005-0000-0000-0000FD760000}"/>
    <cellStyle name="Total 3 5 2 5 3" xfId="18569" xr:uid="{00000000-0005-0000-0000-0000FE760000}"/>
    <cellStyle name="Total 3 5 2 6" xfId="12521" xr:uid="{00000000-0005-0000-0000-0000FF760000}"/>
    <cellStyle name="Total 3 5 2 6 2" xfId="27353" xr:uid="{00000000-0005-0000-0000-000000770000}"/>
    <cellStyle name="Total 3 5 2 7" xfId="10103" xr:uid="{00000000-0005-0000-0000-000001770000}"/>
    <cellStyle name="Total 3 5 2 7 2" xfId="24935" xr:uid="{00000000-0005-0000-0000-000002770000}"/>
    <cellStyle name="Total 3 5 3" xfId="3562" xr:uid="{00000000-0005-0000-0000-000003770000}"/>
    <cellStyle name="Total 3 5 3 2" xfId="7624" xr:uid="{00000000-0005-0000-0000-000004770000}"/>
    <cellStyle name="Total 3 5 3 2 2" xfId="17258" xr:uid="{00000000-0005-0000-0000-000005770000}"/>
    <cellStyle name="Total 3 5 3 2 2 2" xfId="32090" xr:uid="{00000000-0005-0000-0000-000006770000}"/>
    <cellStyle name="Total 3 5 3 2 3" xfId="19081" xr:uid="{00000000-0005-0000-0000-000007770000}"/>
    <cellStyle name="Total 3 5 3 3" xfId="13898" xr:uid="{00000000-0005-0000-0000-000008770000}"/>
    <cellStyle name="Total 3 5 3 3 2" xfId="28730" xr:uid="{00000000-0005-0000-0000-000009770000}"/>
    <cellStyle name="Total 3 5 3 4" xfId="10875" xr:uid="{00000000-0005-0000-0000-00000A770000}"/>
    <cellStyle name="Total 3 5 3 4 2" xfId="25707" xr:uid="{00000000-0005-0000-0000-00000B770000}"/>
    <cellStyle name="Total 3 5 4" xfId="4694" xr:uid="{00000000-0005-0000-0000-00000C770000}"/>
    <cellStyle name="Total 3 5 4 2" xfId="8733" xr:uid="{00000000-0005-0000-0000-00000D770000}"/>
    <cellStyle name="Total 3 5 4 2 2" xfId="17841" xr:uid="{00000000-0005-0000-0000-00000E770000}"/>
    <cellStyle name="Total 3 5 4 2 2 2" xfId="32673" xr:uid="{00000000-0005-0000-0000-00000F770000}"/>
    <cellStyle name="Total 3 5 4 2 3" xfId="19474" xr:uid="{00000000-0005-0000-0000-000010770000}"/>
    <cellStyle name="Total 3 5 4 3" xfId="15019" xr:uid="{00000000-0005-0000-0000-000011770000}"/>
    <cellStyle name="Total 3 5 4 3 2" xfId="29851" xr:uid="{00000000-0005-0000-0000-000012770000}"/>
    <cellStyle name="Total 3 5 4 4" xfId="11445" xr:uid="{00000000-0005-0000-0000-000013770000}"/>
    <cellStyle name="Total 3 5 4 4 2" xfId="26277" xr:uid="{00000000-0005-0000-0000-000014770000}"/>
    <cellStyle name="Total 3 5 5" xfId="2684" xr:uid="{00000000-0005-0000-0000-000015770000}"/>
    <cellStyle name="Total 3 5 5 2" xfId="6780" xr:uid="{00000000-0005-0000-0000-000016770000}"/>
    <cellStyle name="Total 3 5 5 2 2" xfId="16736" xr:uid="{00000000-0005-0000-0000-000017770000}"/>
    <cellStyle name="Total 3 5 5 2 2 2" xfId="31568" xr:uid="{00000000-0005-0000-0000-000018770000}"/>
    <cellStyle name="Total 3 5 5 2 3" xfId="18764" xr:uid="{00000000-0005-0000-0000-000019770000}"/>
    <cellStyle name="Total 3 5 5 3" xfId="13022" xr:uid="{00000000-0005-0000-0000-00001A770000}"/>
    <cellStyle name="Total 3 5 5 3 2" xfId="27854" xr:uid="{00000000-0005-0000-0000-00001B770000}"/>
    <cellStyle name="Total 3 5 5 4" xfId="10388" xr:uid="{00000000-0005-0000-0000-00001C770000}"/>
    <cellStyle name="Total 3 5 5 4 2" xfId="25220" xr:uid="{00000000-0005-0000-0000-00001D770000}"/>
    <cellStyle name="Total 3 5 6" xfId="5796" xr:uid="{00000000-0005-0000-0000-00001E770000}"/>
    <cellStyle name="Total 3 5 6 2" xfId="16030" xr:uid="{00000000-0005-0000-0000-00001F770000}"/>
    <cellStyle name="Total 3 5 6 2 2" xfId="30862" xr:uid="{00000000-0005-0000-0000-000020770000}"/>
    <cellStyle name="Total 3 5 6 3" xfId="18405" xr:uid="{00000000-0005-0000-0000-000021770000}"/>
    <cellStyle name="Total 3 5 7" xfId="12050" xr:uid="{00000000-0005-0000-0000-000022770000}"/>
    <cellStyle name="Total 3 5 7 2" xfId="26882" xr:uid="{00000000-0005-0000-0000-000023770000}"/>
    <cellStyle name="Total 3 5 8" xfId="9710" xr:uid="{00000000-0005-0000-0000-000024770000}"/>
    <cellStyle name="Total 3 5 8 2" xfId="20010" xr:uid="{00000000-0005-0000-0000-000025770000}"/>
    <cellStyle name="Total 3 6" xfId="1800" xr:uid="{00000000-0005-0000-0000-000026770000}"/>
    <cellStyle name="Total 3 6 2" xfId="3376" xr:uid="{00000000-0005-0000-0000-000027770000}"/>
    <cellStyle name="Total 3 6 2 2" xfId="7439" xr:uid="{00000000-0005-0000-0000-000028770000}"/>
    <cellStyle name="Total 3 6 2 2 2" xfId="17148" xr:uid="{00000000-0005-0000-0000-000029770000}"/>
    <cellStyle name="Total 3 6 2 2 2 2" xfId="31980" xr:uid="{00000000-0005-0000-0000-00002A770000}"/>
    <cellStyle name="Total 3 6 2 2 3" xfId="19015" xr:uid="{00000000-0005-0000-0000-00002B770000}"/>
    <cellStyle name="Total 3 6 2 3" xfId="13713" xr:uid="{00000000-0005-0000-0000-00002C770000}"/>
    <cellStyle name="Total 3 6 2 3 2" xfId="28545" xr:uid="{00000000-0005-0000-0000-00002D770000}"/>
    <cellStyle name="Total 3 6 2 4" xfId="10767" xr:uid="{00000000-0005-0000-0000-00002E770000}"/>
    <cellStyle name="Total 3 6 2 4 2" xfId="25599" xr:uid="{00000000-0005-0000-0000-00002F770000}"/>
    <cellStyle name="Total 3 6 3" xfId="4778" xr:uid="{00000000-0005-0000-0000-000030770000}"/>
    <cellStyle name="Total 3 6 3 2" xfId="8817" xr:uid="{00000000-0005-0000-0000-000031770000}"/>
    <cellStyle name="Total 3 6 3 2 2" xfId="17889" xr:uid="{00000000-0005-0000-0000-000032770000}"/>
    <cellStyle name="Total 3 6 3 2 2 2" xfId="32721" xr:uid="{00000000-0005-0000-0000-000033770000}"/>
    <cellStyle name="Total 3 6 3 2 3" xfId="19506" xr:uid="{00000000-0005-0000-0000-000034770000}"/>
    <cellStyle name="Total 3 6 3 3" xfId="15102" xr:uid="{00000000-0005-0000-0000-000035770000}"/>
    <cellStyle name="Total 3 6 3 3 2" xfId="29934" xr:uid="{00000000-0005-0000-0000-000036770000}"/>
    <cellStyle name="Total 3 6 3 4" xfId="11492" xr:uid="{00000000-0005-0000-0000-000037770000}"/>
    <cellStyle name="Total 3 6 3 4 2" xfId="26324" xr:uid="{00000000-0005-0000-0000-000038770000}"/>
    <cellStyle name="Total 3 6 4" xfId="2768" xr:uid="{00000000-0005-0000-0000-000039770000}"/>
    <cellStyle name="Total 3 6 4 2" xfId="6859" xr:uid="{00000000-0005-0000-0000-00003A770000}"/>
    <cellStyle name="Total 3 6 4 2 2" xfId="16783" xr:uid="{00000000-0005-0000-0000-00003B770000}"/>
    <cellStyle name="Total 3 6 4 2 2 2" xfId="31615" xr:uid="{00000000-0005-0000-0000-00003C770000}"/>
    <cellStyle name="Total 3 6 4 2 3" xfId="18797" xr:uid="{00000000-0005-0000-0000-00003D770000}"/>
    <cellStyle name="Total 3 6 4 3" xfId="13106" xr:uid="{00000000-0005-0000-0000-00003E770000}"/>
    <cellStyle name="Total 3 6 4 3 2" xfId="27938" xr:uid="{00000000-0005-0000-0000-00003F770000}"/>
    <cellStyle name="Total 3 6 4 4" xfId="10436" xr:uid="{00000000-0005-0000-0000-000040770000}"/>
    <cellStyle name="Total 3 6 4 4 2" xfId="25268" xr:uid="{00000000-0005-0000-0000-000041770000}"/>
    <cellStyle name="Total 3 6 5" xfId="5932" xr:uid="{00000000-0005-0000-0000-000042770000}"/>
    <cellStyle name="Total 3 6 5 2" xfId="16124" xr:uid="{00000000-0005-0000-0000-000043770000}"/>
    <cellStyle name="Total 3 6 5 2 2" xfId="30956" xr:uid="{00000000-0005-0000-0000-000044770000}"/>
    <cellStyle name="Total 3 6 5 3" xfId="18439" xr:uid="{00000000-0005-0000-0000-000045770000}"/>
    <cellStyle name="Total 3 6 6" xfId="12194" xr:uid="{00000000-0005-0000-0000-000046770000}"/>
    <cellStyle name="Total 3 6 6 2" xfId="27026" xr:uid="{00000000-0005-0000-0000-000047770000}"/>
    <cellStyle name="Total 3 6 7" xfId="9790" xr:uid="{00000000-0005-0000-0000-000048770000}"/>
    <cellStyle name="Total 3 6 7 2" xfId="24747" xr:uid="{00000000-0005-0000-0000-000049770000}"/>
    <cellStyle name="Total 3 7" xfId="2166" xr:uid="{00000000-0005-0000-0000-00004A770000}"/>
    <cellStyle name="Total 3 7 2" xfId="4001" xr:uid="{00000000-0005-0000-0000-00004B770000}"/>
    <cellStyle name="Total 3 7 2 2" xfId="8048" xr:uid="{00000000-0005-0000-0000-00004C770000}"/>
    <cellStyle name="Total 3 7 2 2 2" xfId="17468" xr:uid="{00000000-0005-0000-0000-00004D770000}"/>
    <cellStyle name="Total 3 7 2 2 2 2" xfId="32300" xr:uid="{00000000-0005-0000-0000-00004E770000}"/>
    <cellStyle name="Total 3 7 2 2 3" xfId="19229" xr:uid="{00000000-0005-0000-0000-00004F770000}"/>
    <cellStyle name="Total 3 7 2 3" xfId="14333" xr:uid="{00000000-0005-0000-0000-000050770000}"/>
    <cellStyle name="Total 3 7 2 3 2" xfId="29165" xr:uid="{00000000-0005-0000-0000-000051770000}"/>
    <cellStyle name="Total 3 7 2 4" xfId="11085" xr:uid="{00000000-0005-0000-0000-000052770000}"/>
    <cellStyle name="Total 3 7 2 4 2" xfId="25917" xr:uid="{00000000-0005-0000-0000-000053770000}"/>
    <cellStyle name="Total 3 7 3" xfId="5134" xr:uid="{00000000-0005-0000-0000-000054770000}"/>
    <cellStyle name="Total 3 7 3 2" xfId="9173" xr:uid="{00000000-0005-0000-0000-000055770000}"/>
    <cellStyle name="Total 3 7 3 2 2" xfId="18096" xr:uid="{00000000-0005-0000-0000-000056770000}"/>
    <cellStyle name="Total 3 7 3 2 2 2" xfId="32928" xr:uid="{00000000-0005-0000-0000-000057770000}"/>
    <cellStyle name="Total 3 7 3 2 3" xfId="19647" xr:uid="{00000000-0005-0000-0000-000058770000}"/>
    <cellStyle name="Total 3 7 3 3" xfId="15452" xr:uid="{00000000-0005-0000-0000-000059770000}"/>
    <cellStyle name="Total 3 7 3 3 2" xfId="30284" xr:uid="{00000000-0005-0000-0000-00005A770000}"/>
    <cellStyle name="Total 3 7 3 4" xfId="11693" xr:uid="{00000000-0005-0000-0000-00005B770000}"/>
    <cellStyle name="Total 3 7 3 4 2" xfId="26525" xr:uid="{00000000-0005-0000-0000-00005C770000}"/>
    <cellStyle name="Total 3 7 4" xfId="4164" xr:uid="{00000000-0005-0000-0000-00005D770000}"/>
    <cellStyle name="Total 3 7 4 2" xfId="8205" xr:uid="{00000000-0005-0000-0000-00005E770000}"/>
    <cellStyle name="Total 3 7 4 2 2" xfId="17552" xr:uid="{00000000-0005-0000-0000-00005F770000}"/>
    <cellStyle name="Total 3 7 4 2 2 2" xfId="32384" xr:uid="{00000000-0005-0000-0000-000060770000}"/>
    <cellStyle name="Total 3 7 4 2 3" xfId="19290" xr:uid="{00000000-0005-0000-0000-000061770000}"/>
    <cellStyle name="Total 3 7 4 3" xfId="14496" xr:uid="{00000000-0005-0000-0000-000062770000}"/>
    <cellStyle name="Total 3 7 4 3 2" xfId="29328" xr:uid="{00000000-0005-0000-0000-000063770000}"/>
    <cellStyle name="Total 3 7 4 4" xfId="11172" xr:uid="{00000000-0005-0000-0000-000064770000}"/>
    <cellStyle name="Total 3 7 4 4 2" xfId="26004" xr:uid="{00000000-0005-0000-0000-000065770000}"/>
    <cellStyle name="Total 3 7 5" xfId="6280" xr:uid="{00000000-0005-0000-0000-000066770000}"/>
    <cellStyle name="Total 3 7 5 2" xfId="16464" xr:uid="{00000000-0005-0000-0000-000067770000}"/>
    <cellStyle name="Total 3 7 5 2 2" xfId="31296" xr:uid="{00000000-0005-0000-0000-000068770000}"/>
    <cellStyle name="Total 3 7 5 3" xfId="18583" xr:uid="{00000000-0005-0000-0000-000069770000}"/>
    <cellStyle name="Total 3 7 6" xfId="12534" xr:uid="{00000000-0005-0000-0000-00006A770000}"/>
    <cellStyle name="Total 3 7 6 2" xfId="27366" xr:uid="{00000000-0005-0000-0000-00006B770000}"/>
    <cellStyle name="Total 3 7 7" xfId="10116" xr:uid="{00000000-0005-0000-0000-00006C770000}"/>
    <cellStyle name="Total 3 7 7 2" xfId="24948" xr:uid="{00000000-0005-0000-0000-00006D770000}"/>
    <cellStyle name="Total 3 8" xfId="3139" xr:uid="{00000000-0005-0000-0000-00006E770000}"/>
    <cellStyle name="Total 3 8 2" xfId="7203" xr:uid="{00000000-0005-0000-0000-00006F770000}"/>
    <cellStyle name="Total 3 8 2 2" xfId="16988" xr:uid="{00000000-0005-0000-0000-000070770000}"/>
    <cellStyle name="Total 3 8 2 2 2" xfId="31820" xr:uid="{00000000-0005-0000-0000-000071770000}"/>
    <cellStyle name="Total 3 8 2 3" xfId="18939" xr:uid="{00000000-0005-0000-0000-000072770000}"/>
    <cellStyle name="Total 3 8 3" xfId="13477" xr:uid="{00000000-0005-0000-0000-000073770000}"/>
    <cellStyle name="Total 3 8 3 2" xfId="28309" xr:uid="{00000000-0005-0000-0000-000074770000}"/>
    <cellStyle name="Total 3 8 4" xfId="10642" xr:uid="{00000000-0005-0000-0000-000075770000}"/>
    <cellStyle name="Total 3 8 4 2" xfId="25474" xr:uid="{00000000-0005-0000-0000-000076770000}"/>
    <cellStyle name="Total 3 9" xfId="4278" xr:uid="{00000000-0005-0000-0000-000077770000}"/>
    <cellStyle name="Total 3 9 2" xfId="8317" xr:uid="{00000000-0005-0000-0000-000078770000}"/>
    <cellStyle name="Total 3 9 2 2" xfId="17601" xr:uid="{00000000-0005-0000-0000-000079770000}"/>
    <cellStyle name="Total 3 9 2 2 2" xfId="32433" xr:uid="{00000000-0005-0000-0000-00007A770000}"/>
    <cellStyle name="Total 3 9 2 3" xfId="19318" xr:uid="{00000000-0005-0000-0000-00007B770000}"/>
    <cellStyle name="Total 3 9 3" xfId="14610" xr:uid="{00000000-0005-0000-0000-00007C770000}"/>
    <cellStyle name="Total 3 9 3 2" xfId="29442" xr:uid="{00000000-0005-0000-0000-00007D770000}"/>
    <cellStyle name="Total 3 9 4" xfId="11219" xr:uid="{00000000-0005-0000-0000-00007E770000}"/>
    <cellStyle name="Total 3 9 4 2" xfId="26051" xr:uid="{00000000-0005-0000-0000-00007F770000}"/>
    <cellStyle name="Total 4" xfId="1276" xr:uid="{00000000-0005-0000-0000-000080770000}"/>
    <cellStyle name="Total 4 10" xfId="2343" xr:uid="{00000000-0005-0000-0000-000081770000}"/>
    <cellStyle name="Total 4 10 2" xfId="6455" xr:uid="{00000000-0005-0000-0000-000082770000}"/>
    <cellStyle name="Total 4 10 2 2" xfId="16547" xr:uid="{00000000-0005-0000-0000-000083770000}"/>
    <cellStyle name="Total 4 10 2 2 2" xfId="31379" xr:uid="{00000000-0005-0000-0000-000084770000}"/>
    <cellStyle name="Total 4 10 2 3" xfId="18635" xr:uid="{00000000-0005-0000-0000-000085770000}"/>
    <cellStyle name="Total 4 10 3" xfId="12683" xr:uid="{00000000-0005-0000-0000-000086770000}"/>
    <cellStyle name="Total 4 10 3 2" xfId="27515" xr:uid="{00000000-0005-0000-0000-000087770000}"/>
    <cellStyle name="Total 4 10 4" xfId="10198" xr:uid="{00000000-0005-0000-0000-000088770000}"/>
    <cellStyle name="Total 4 10 4 2" xfId="25030" xr:uid="{00000000-0005-0000-0000-000089770000}"/>
    <cellStyle name="Total 4 11" xfId="5305" xr:uid="{00000000-0005-0000-0000-00008A770000}"/>
    <cellStyle name="Total 4 11 2" xfId="9313" xr:uid="{00000000-0005-0000-0000-00008B770000}"/>
    <cellStyle name="Total 4 11 2 2" xfId="18180" xr:uid="{00000000-0005-0000-0000-00008C770000}"/>
    <cellStyle name="Total 4 11 2 2 2" xfId="33012" xr:uid="{00000000-0005-0000-0000-00008D770000}"/>
    <cellStyle name="Total 4 11 2 3" xfId="19699" xr:uid="{00000000-0005-0000-0000-00008E770000}"/>
    <cellStyle name="Total 4 11 3" xfId="15621" xr:uid="{00000000-0005-0000-0000-00008F770000}"/>
    <cellStyle name="Total 4 11 3 2" xfId="30453" xr:uid="{00000000-0005-0000-0000-000090770000}"/>
    <cellStyle name="Total 4 12" xfId="5463" xr:uid="{00000000-0005-0000-0000-000091770000}"/>
    <cellStyle name="Total 4 12 2" xfId="15699" xr:uid="{00000000-0005-0000-0000-000092770000}"/>
    <cellStyle name="Total 4 12 2 2" xfId="30531" xr:uid="{00000000-0005-0000-0000-000093770000}"/>
    <cellStyle name="Total 4 12 3" xfId="18276" xr:uid="{00000000-0005-0000-0000-000094770000}"/>
    <cellStyle name="Total 4 13" xfId="9328" xr:uid="{00000000-0005-0000-0000-000095770000}"/>
    <cellStyle name="Total 4 13 2" xfId="24634" xr:uid="{00000000-0005-0000-0000-000096770000}"/>
    <cellStyle name="Total 4 14" xfId="5317" xr:uid="{00000000-0005-0000-0000-000097770000}"/>
    <cellStyle name="Total 4 14 2" xfId="18191" xr:uid="{00000000-0005-0000-0000-000098770000}"/>
    <cellStyle name="Total 4 2" xfId="1375" xr:uid="{00000000-0005-0000-0000-000099770000}"/>
    <cellStyle name="Total 4 2 2" xfId="1879" xr:uid="{00000000-0005-0000-0000-00009A770000}"/>
    <cellStyle name="Total 4 2 2 2" xfId="3836" xr:uid="{00000000-0005-0000-0000-00009B770000}"/>
    <cellStyle name="Total 4 2 2 2 2" xfId="7889" xr:uid="{00000000-0005-0000-0000-00009C770000}"/>
    <cellStyle name="Total 4 2 2 2 2 2" xfId="17387" xr:uid="{00000000-0005-0000-0000-00009D770000}"/>
    <cellStyle name="Total 4 2 2 2 2 2 2" xfId="32219" xr:uid="{00000000-0005-0000-0000-00009E770000}"/>
    <cellStyle name="Total 4 2 2 2 2 3" xfId="19171" xr:uid="{00000000-0005-0000-0000-00009F770000}"/>
    <cellStyle name="Total 4 2 2 2 3" xfId="14171" xr:uid="{00000000-0005-0000-0000-0000A0770000}"/>
    <cellStyle name="Total 4 2 2 2 3 2" xfId="29003" xr:uid="{00000000-0005-0000-0000-0000A1770000}"/>
    <cellStyle name="Total 4 2 2 2 4" xfId="11006" xr:uid="{00000000-0005-0000-0000-0000A2770000}"/>
    <cellStyle name="Total 4 2 2 2 4 2" xfId="25838" xr:uid="{00000000-0005-0000-0000-0000A3770000}"/>
    <cellStyle name="Total 4 2 2 3" xfId="4857" xr:uid="{00000000-0005-0000-0000-0000A4770000}"/>
    <cellStyle name="Total 4 2 2 3 2" xfId="8896" xr:uid="{00000000-0005-0000-0000-0000A5770000}"/>
    <cellStyle name="Total 4 2 2 3 2 2" xfId="17937" xr:uid="{00000000-0005-0000-0000-0000A6770000}"/>
    <cellStyle name="Total 4 2 2 3 2 2 2" xfId="32769" xr:uid="{00000000-0005-0000-0000-0000A7770000}"/>
    <cellStyle name="Total 4 2 2 3 2 3" xfId="19539" xr:uid="{00000000-0005-0000-0000-0000A8770000}"/>
    <cellStyle name="Total 4 2 2 3 3" xfId="15181" xr:uid="{00000000-0005-0000-0000-0000A9770000}"/>
    <cellStyle name="Total 4 2 2 3 3 2" xfId="30013" xr:uid="{00000000-0005-0000-0000-0000AA770000}"/>
    <cellStyle name="Total 4 2 2 3 4" xfId="11540" xr:uid="{00000000-0005-0000-0000-0000AB770000}"/>
    <cellStyle name="Total 4 2 2 3 4 2" xfId="26372" xr:uid="{00000000-0005-0000-0000-0000AC770000}"/>
    <cellStyle name="Total 4 2 2 4" xfId="2847" xr:uid="{00000000-0005-0000-0000-0000AD770000}"/>
    <cellStyle name="Total 4 2 2 4 2" xfId="6938" xr:uid="{00000000-0005-0000-0000-0000AE770000}"/>
    <cellStyle name="Total 4 2 2 4 2 2" xfId="16831" xr:uid="{00000000-0005-0000-0000-0000AF770000}"/>
    <cellStyle name="Total 4 2 2 4 2 2 2" xfId="31663" xr:uid="{00000000-0005-0000-0000-0000B0770000}"/>
    <cellStyle name="Total 4 2 2 4 2 3" xfId="18830" xr:uid="{00000000-0005-0000-0000-0000B1770000}"/>
    <cellStyle name="Total 4 2 2 4 3" xfId="13185" xr:uid="{00000000-0005-0000-0000-0000B2770000}"/>
    <cellStyle name="Total 4 2 2 4 3 2" xfId="28017" xr:uid="{00000000-0005-0000-0000-0000B3770000}"/>
    <cellStyle name="Total 4 2 2 4 4" xfId="10484" xr:uid="{00000000-0005-0000-0000-0000B4770000}"/>
    <cellStyle name="Total 4 2 2 4 4 2" xfId="25316" xr:uid="{00000000-0005-0000-0000-0000B5770000}"/>
    <cellStyle name="Total 4 2 2 5" xfId="6011" xr:uid="{00000000-0005-0000-0000-0000B6770000}"/>
    <cellStyle name="Total 4 2 2 5 2" xfId="16203" xr:uid="{00000000-0005-0000-0000-0000B7770000}"/>
    <cellStyle name="Total 4 2 2 5 2 2" xfId="31035" xr:uid="{00000000-0005-0000-0000-0000B8770000}"/>
    <cellStyle name="Total 4 2 2 5 3" xfId="18472" xr:uid="{00000000-0005-0000-0000-0000B9770000}"/>
    <cellStyle name="Total 4 2 2 6" xfId="12273" xr:uid="{00000000-0005-0000-0000-0000BA770000}"/>
    <cellStyle name="Total 4 2 2 6 2" xfId="27105" xr:uid="{00000000-0005-0000-0000-0000BB770000}"/>
    <cellStyle name="Total 4 2 2 7" xfId="9869" xr:uid="{00000000-0005-0000-0000-0000BC770000}"/>
    <cellStyle name="Total 4 2 2 7 2" xfId="24795" xr:uid="{00000000-0005-0000-0000-0000BD770000}"/>
    <cellStyle name="Total 4 2 3" xfId="3329" xr:uid="{00000000-0005-0000-0000-0000BE770000}"/>
    <cellStyle name="Total 4 2 3 2" xfId="7392" xr:uid="{00000000-0005-0000-0000-0000BF770000}"/>
    <cellStyle name="Total 4 2 3 2 2" xfId="17125" xr:uid="{00000000-0005-0000-0000-0000C0770000}"/>
    <cellStyle name="Total 4 2 3 2 2 2" xfId="31957" xr:uid="{00000000-0005-0000-0000-0000C1770000}"/>
    <cellStyle name="Total 4 2 3 2 3" xfId="19001" xr:uid="{00000000-0005-0000-0000-0000C2770000}"/>
    <cellStyle name="Total 4 2 3 3" xfId="13666" xr:uid="{00000000-0005-0000-0000-0000C3770000}"/>
    <cellStyle name="Total 4 2 3 3 2" xfId="28498" xr:uid="{00000000-0005-0000-0000-0000C4770000}"/>
    <cellStyle name="Total 4 2 3 4" xfId="10746" xr:uid="{00000000-0005-0000-0000-0000C5770000}"/>
    <cellStyle name="Total 4 2 3 4 2" xfId="25578" xr:uid="{00000000-0005-0000-0000-0000C6770000}"/>
    <cellStyle name="Total 4 2 4" xfId="4437" xr:uid="{00000000-0005-0000-0000-0000C7770000}"/>
    <cellStyle name="Total 4 2 4 2" xfId="8476" xr:uid="{00000000-0005-0000-0000-0000C8770000}"/>
    <cellStyle name="Total 4 2 4 2 2" xfId="17697" xr:uid="{00000000-0005-0000-0000-0000C9770000}"/>
    <cellStyle name="Total 4 2 4 2 2 2" xfId="32529" xr:uid="{00000000-0005-0000-0000-0000CA770000}"/>
    <cellStyle name="Total 4 2 4 2 3" xfId="19379" xr:uid="{00000000-0005-0000-0000-0000CB770000}"/>
    <cellStyle name="Total 4 2 4 3" xfId="14766" xr:uid="{00000000-0005-0000-0000-0000CC770000}"/>
    <cellStyle name="Total 4 2 4 3 2" xfId="29598" xr:uid="{00000000-0005-0000-0000-0000CD770000}"/>
    <cellStyle name="Total 4 2 4 4" xfId="11305" xr:uid="{00000000-0005-0000-0000-0000CE770000}"/>
    <cellStyle name="Total 4 2 4 4 2" xfId="26137" xr:uid="{00000000-0005-0000-0000-0000CF770000}"/>
    <cellStyle name="Total 4 2 5" xfId="2427" xr:uid="{00000000-0005-0000-0000-0000D0770000}"/>
    <cellStyle name="Total 4 2 5 2" xfId="6539" xr:uid="{00000000-0005-0000-0000-0000D1770000}"/>
    <cellStyle name="Total 4 2 5 2 2" xfId="16595" xr:uid="{00000000-0005-0000-0000-0000D2770000}"/>
    <cellStyle name="Total 4 2 5 2 2 2" xfId="31427" xr:uid="{00000000-0005-0000-0000-0000D3770000}"/>
    <cellStyle name="Total 4 2 5 2 3" xfId="18667" xr:uid="{00000000-0005-0000-0000-0000D4770000}"/>
    <cellStyle name="Total 4 2 5 3" xfId="12766" xr:uid="{00000000-0005-0000-0000-0000D5770000}"/>
    <cellStyle name="Total 4 2 5 3 2" xfId="27598" xr:uid="{00000000-0005-0000-0000-0000D6770000}"/>
    <cellStyle name="Total 4 2 5 4" xfId="10245" xr:uid="{00000000-0005-0000-0000-0000D7770000}"/>
    <cellStyle name="Total 4 2 5 4 2" xfId="25077" xr:uid="{00000000-0005-0000-0000-0000D8770000}"/>
    <cellStyle name="Total 4 2 6" xfId="5552" xr:uid="{00000000-0005-0000-0000-0000D9770000}"/>
    <cellStyle name="Total 4 2 6 2" xfId="15787" xr:uid="{00000000-0005-0000-0000-0000DA770000}"/>
    <cellStyle name="Total 4 2 6 2 2" xfId="30619" xr:uid="{00000000-0005-0000-0000-0000DB770000}"/>
    <cellStyle name="Total 4 2 6 3" xfId="18309" xr:uid="{00000000-0005-0000-0000-0000DC770000}"/>
    <cellStyle name="Total 4 2 7" xfId="11802" xr:uid="{00000000-0005-0000-0000-0000DD770000}"/>
    <cellStyle name="Total 4 2 7 2" xfId="26634" xr:uid="{00000000-0005-0000-0000-0000DE770000}"/>
    <cellStyle name="Total 4 2 8" xfId="9473" xr:uid="{00000000-0005-0000-0000-0000DF770000}"/>
    <cellStyle name="Total 4 2 8 2" xfId="19777" xr:uid="{00000000-0005-0000-0000-0000E0770000}"/>
    <cellStyle name="Total 4 3" xfId="1547" xr:uid="{00000000-0005-0000-0000-0000E1770000}"/>
    <cellStyle name="Total 4 3 2" xfId="2044" xr:uid="{00000000-0005-0000-0000-0000E2770000}"/>
    <cellStyle name="Total 4 3 2 2" xfId="4328" xr:uid="{00000000-0005-0000-0000-0000E3770000}"/>
    <cellStyle name="Total 4 3 2 2 2" xfId="8367" xr:uid="{00000000-0005-0000-0000-0000E4770000}"/>
    <cellStyle name="Total 4 3 2 2 2 2" xfId="17645" xr:uid="{00000000-0005-0000-0000-0000E5770000}"/>
    <cellStyle name="Total 4 3 2 2 2 2 2" xfId="32477" xr:uid="{00000000-0005-0000-0000-0000E6770000}"/>
    <cellStyle name="Total 4 3 2 2 2 3" xfId="19345" xr:uid="{00000000-0005-0000-0000-0000E7770000}"/>
    <cellStyle name="Total 4 3 2 2 3" xfId="14659" xr:uid="{00000000-0005-0000-0000-0000E8770000}"/>
    <cellStyle name="Total 4 3 2 2 3 2" xfId="29491" xr:uid="{00000000-0005-0000-0000-0000E9770000}"/>
    <cellStyle name="Total 4 3 2 2 4" xfId="11255" xr:uid="{00000000-0005-0000-0000-0000EA770000}"/>
    <cellStyle name="Total 4 3 2 2 4 2" xfId="26087" xr:uid="{00000000-0005-0000-0000-0000EB770000}"/>
    <cellStyle name="Total 4 3 2 3" xfId="5012" xr:uid="{00000000-0005-0000-0000-0000EC770000}"/>
    <cellStyle name="Total 4 3 2 3 2" xfId="9051" xr:uid="{00000000-0005-0000-0000-0000ED770000}"/>
    <cellStyle name="Total 4 3 2 3 2 2" xfId="17989" xr:uid="{00000000-0005-0000-0000-0000EE770000}"/>
    <cellStyle name="Total 4 3 2 3 2 2 2" xfId="32821" xr:uid="{00000000-0005-0000-0000-0000EF770000}"/>
    <cellStyle name="Total 4 3 2 3 2 3" xfId="19571" xr:uid="{00000000-0005-0000-0000-0000F0770000}"/>
    <cellStyle name="Total 4 3 2 3 3" xfId="15334" xr:uid="{00000000-0005-0000-0000-0000F1770000}"/>
    <cellStyle name="Total 4 3 2 3 3 2" xfId="30166" xr:uid="{00000000-0005-0000-0000-0000F2770000}"/>
    <cellStyle name="Total 4 3 2 3 4" xfId="11590" xr:uid="{00000000-0005-0000-0000-0000F3770000}"/>
    <cellStyle name="Total 4 3 2 3 4 2" xfId="26422" xr:uid="{00000000-0005-0000-0000-0000F4770000}"/>
    <cellStyle name="Total 4 3 2 4" xfId="3002" xr:uid="{00000000-0005-0000-0000-0000F5770000}"/>
    <cellStyle name="Total 4 3 2 4 2" xfId="7082" xr:uid="{00000000-0005-0000-0000-0000F6770000}"/>
    <cellStyle name="Total 4 3 2 4 2 2" xfId="16881" xr:uid="{00000000-0005-0000-0000-0000F7770000}"/>
    <cellStyle name="Total 4 3 2 4 2 2 2" xfId="31713" xr:uid="{00000000-0005-0000-0000-0000F8770000}"/>
    <cellStyle name="Total 4 3 2 4 2 3" xfId="18863" xr:uid="{00000000-0005-0000-0000-0000F9770000}"/>
    <cellStyle name="Total 4 3 2 4 3" xfId="13340" xr:uid="{00000000-0005-0000-0000-0000FA770000}"/>
    <cellStyle name="Total 4 3 2 4 3 2" xfId="28172" xr:uid="{00000000-0005-0000-0000-0000FB770000}"/>
    <cellStyle name="Total 4 3 2 4 4" xfId="10536" xr:uid="{00000000-0005-0000-0000-0000FC770000}"/>
    <cellStyle name="Total 4 3 2 4 4 2" xfId="25368" xr:uid="{00000000-0005-0000-0000-0000FD770000}"/>
    <cellStyle name="Total 4 3 2 5" xfId="6174" xr:uid="{00000000-0005-0000-0000-0000FE770000}"/>
    <cellStyle name="Total 4 3 2 5 2" xfId="16361" xr:uid="{00000000-0005-0000-0000-0000FF770000}"/>
    <cellStyle name="Total 4 3 2 5 2 2" xfId="31193" xr:uid="{00000000-0005-0000-0000-000000780000}"/>
    <cellStyle name="Total 4 3 2 5 3" xfId="18504" xr:uid="{00000000-0005-0000-0000-000001780000}"/>
    <cellStyle name="Total 4 3 2 6" xfId="12431" xr:uid="{00000000-0005-0000-0000-000002780000}"/>
    <cellStyle name="Total 4 3 2 6 2" xfId="27263" xr:uid="{00000000-0005-0000-0000-000003780000}"/>
    <cellStyle name="Total 4 3 2 7" xfId="10013" xr:uid="{00000000-0005-0000-0000-000004780000}"/>
    <cellStyle name="Total 4 3 2 7 2" xfId="24845" xr:uid="{00000000-0005-0000-0000-000005780000}"/>
    <cellStyle name="Total 4 3 3" xfId="3156" xr:uid="{00000000-0005-0000-0000-000006780000}"/>
    <cellStyle name="Total 4 3 3 2" xfId="7220" xr:uid="{00000000-0005-0000-0000-000007780000}"/>
    <cellStyle name="Total 4 3 3 2 2" xfId="16998" xr:uid="{00000000-0005-0000-0000-000008780000}"/>
    <cellStyle name="Total 4 3 3 2 2 2" xfId="31830" xr:uid="{00000000-0005-0000-0000-000009780000}"/>
    <cellStyle name="Total 4 3 3 2 3" xfId="18945" xr:uid="{00000000-0005-0000-0000-00000A780000}"/>
    <cellStyle name="Total 4 3 3 3" xfId="13494" xr:uid="{00000000-0005-0000-0000-00000B780000}"/>
    <cellStyle name="Total 4 3 3 3 2" xfId="28326" xr:uid="{00000000-0005-0000-0000-00000C780000}"/>
    <cellStyle name="Total 4 3 3 4" xfId="10650" xr:uid="{00000000-0005-0000-0000-00000D780000}"/>
    <cellStyle name="Total 4 3 3 4 2" xfId="25482" xr:uid="{00000000-0005-0000-0000-00000E780000}"/>
    <cellStyle name="Total 4 3 4" xfId="4592" xr:uid="{00000000-0005-0000-0000-00000F780000}"/>
    <cellStyle name="Total 4 3 4 2" xfId="8631" xr:uid="{00000000-0005-0000-0000-000010780000}"/>
    <cellStyle name="Total 4 3 4 2 2" xfId="17749" xr:uid="{00000000-0005-0000-0000-000011780000}"/>
    <cellStyle name="Total 4 3 4 2 2 2" xfId="32581" xr:uid="{00000000-0005-0000-0000-000012780000}"/>
    <cellStyle name="Total 4 3 4 2 3" xfId="19411" xr:uid="{00000000-0005-0000-0000-000013780000}"/>
    <cellStyle name="Total 4 3 4 3" xfId="14919" xr:uid="{00000000-0005-0000-0000-000014780000}"/>
    <cellStyle name="Total 4 3 4 3 2" xfId="29751" xr:uid="{00000000-0005-0000-0000-000015780000}"/>
    <cellStyle name="Total 4 3 4 4" xfId="11355" xr:uid="{00000000-0005-0000-0000-000016780000}"/>
    <cellStyle name="Total 4 3 4 4 2" xfId="26187" xr:uid="{00000000-0005-0000-0000-000017780000}"/>
    <cellStyle name="Total 4 3 5" xfId="2582" xr:uid="{00000000-0005-0000-0000-000018780000}"/>
    <cellStyle name="Total 4 3 5 2" xfId="6688" xr:uid="{00000000-0005-0000-0000-000019780000}"/>
    <cellStyle name="Total 4 3 5 2 2" xfId="16646" xr:uid="{00000000-0005-0000-0000-00001A780000}"/>
    <cellStyle name="Total 4 3 5 2 2 2" xfId="31478" xr:uid="{00000000-0005-0000-0000-00001B780000}"/>
    <cellStyle name="Total 4 3 5 2 3" xfId="18699" xr:uid="{00000000-0005-0000-0000-00001C780000}"/>
    <cellStyle name="Total 4 3 5 3" xfId="12920" xr:uid="{00000000-0005-0000-0000-00001D780000}"/>
    <cellStyle name="Total 4 3 5 3 2" xfId="27752" xr:uid="{00000000-0005-0000-0000-00001E780000}"/>
    <cellStyle name="Total 4 3 5 4" xfId="10296" xr:uid="{00000000-0005-0000-0000-00001F780000}"/>
    <cellStyle name="Total 4 3 5 4 2" xfId="25128" xr:uid="{00000000-0005-0000-0000-000020780000}"/>
    <cellStyle name="Total 4 3 6" xfId="5705" xr:uid="{00000000-0005-0000-0000-000021780000}"/>
    <cellStyle name="Total 4 3 6 2" xfId="15940" xr:uid="{00000000-0005-0000-0000-000022780000}"/>
    <cellStyle name="Total 4 3 6 2 2" xfId="30772" xr:uid="{00000000-0005-0000-0000-000023780000}"/>
    <cellStyle name="Total 4 3 6 3" xfId="18341" xr:uid="{00000000-0005-0000-0000-000024780000}"/>
    <cellStyle name="Total 4 3 7" xfId="11960" xr:uid="{00000000-0005-0000-0000-000025780000}"/>
    <cellStyle name="Total 4 3 7 2" xfId="26792" xr:uid="{00000000-0005-0000-0000-000026780000}"/>
    <cellStyle name="Total 4 3 8" xfId="9618" xr:uid="{00000000-0005-0000-0000-000027780000}"/>
    <cellStyle name="Total 4 3 8 2" xfId="19920" xr:uid="{00000000-0005-0000-0000-000028780000}"/>
    <cellStyle name="Total 4 4" xfId="1600" xr:uid="{00000000-0005-0000-0000-000029780000}"/>
    <cellStyle name="Total 4 4 2" xfId="2097" xr:uid="{00000000-0005-0000-0000-00002A780000}"/>
    <cellStyle name="Total 4 4 2 2" xfId="3532" xr:uid="{00000000-0005-0000-0000-00002B780000}"/>
    <cellStyle name="Total 4 4 2 2 2" xfId="7594" xr:uid="{00000000-0005-0000-0000-00002C780000}"/>
    <cellStyle name="Total 4 4 2 2 2 2" xfId="17239" xr:uid="{00000000-0005-0000-0000-00002D780000}"/>
    <cellStyle name="Total 4 4 2 2 2 2 2" xfId="32071" xr:uid="{00000000-0005-0000-0000-00002E780000}"/>
    <cellStyle name="Total 4 4 2 2 2 3" xfId="19067" xr:uid="{00000000-0005-0000-0000-00002F780000}"/>
    <cellStyle name="Total 4 4 2 2 3" xfId="13869" xr:uid="{00000000-0005-0000-0000-000030780000}"/>
    <cellStyle name="Total 4 4 2 2 3 2" xfId="28701" xr:uid="{00000000-0005-0000-0000-000031780000}"/>
    <cellStyle name="Total 4 4 2 2 4" xfId="10857" xr:uid="{00000000-0005-0000-0000-000032780000}"/>
    <cellStyle name="Total 4 4 2 2 4 2" xfId="25689" xr:uid="{00000000-0005-0000-0000-000033780000}"/>
    <cellStyle name="Total 4 4 2 3" xfId="5065" xr:uid="{00000000-0005-0000-0000-000034780000}"/>
    <cellStyle name="Total 4 4 2 3 2" xfId="9104" xr:uid="{00000000-0005-0000-0000-000035780000}"/>
    <cellStyle name="Total 4 4 2 3 2 2" xfId="18037" xr:uid="{00000000-0005-0000-0000-000036780000}"/>
    <cellStyle name="Total 4 4 2 3 2 2 2" xfId="32869" xr:uid="{00000000-0005-0000-0000-000037780000}"/>
    <cellStyle name="Total 4 4 2 3 2 3" xfId="19603" xr:uid="{00000000-0005-0000-0000-000038780000}"/>
    <cellStyle name="Total 4 4 2 3 3" xfId="15386" xr:uid="{00000000-0005-0000-0000-000039780000}"/>
    <cellStyle name="Total 4 4 2 3 3 2" xfId="30218" xr:uid="{00000000-0005-0000-0000-00003A780000}"/>
    <cellStyle name="Total 4 4 2 3 4" xfId="11637" xr:uid="{00000000-0005-0000-0000-00003B780000}"/>
    <cellStyle name="Total 4 4 2 3 4 2" xfId="26469" xr:uid="{00000000-0005-0000-0000-00003C780000}"/>
    <cellStyle name="Total 4 4 2 4" xfId="3055" xr:uid="{00000000-0005-0000-0000-00003D780000}"/>
    <cellStyle name="Total 4 4 2 4 2" xfId="7130" xr:uid="{00000000-0005-0000-0000-00003E780000}"/>
    <cellStyle name="Total 4 4 2 4 2 2" xfId="16928" xr:uid="{00000000-0005-0000-0000-00003F780000}"/>
    <cellStyle name="Total 4 4 2 4 2 2 2" xfId="31760" xr:uid="{00000000-0005-0000-0000-000040780000}"/>
    <cellStyle name="Total 4 4 2 4 2 3" xfId="18896" xr:uid="{00000000-0005-0000-0000-000041780000}"/>
    <cellStyle name="Total 4 4 2 4 3" xfId="13393" xr:uid="{00000000-0005-0000-0000-000042780000}"/>
    <cellStyle name="Total 4 4 2 4 3 2" xfId="28225" xr:uid="{00000000-0005-0000-0000-000043780000}"/>
    <cellStyle name="Total 4 4 2 4 4" xfId="10584" xr:uid="{00000000-0005-0000-0000-000044780000}"/>
    <cellStyle name="Total 4 4 2 4 4 2" xfId="25416" xr:uid="{00000000-0005-0000-0000-000045780000}"/>
    <cellStyle name="Total 4 4 2 5" xfId="6222" xr:uid="{00000000-0005-0000-0000-000046780000}"/>
    <cellStyle name="Total 4 4 2 5 2" xfId="16408" xr:uid="{00000000-0005-0000-0000-000047780000}"/>
    <cellStyle name="Total 4 4 2 5 2 2" xfId="31240" xr:uid="{00000000-0005-0000-0000-000048780000}"/>
    <cellStyle name="Total 4 4 2 5 3" xfId="18537" xr:uid="{00000000-0005-0000-0000-000049780000}"/>
    <cellStyle name="Total 4 4 2 6" xfId="12478" xr:uid="{00000000-0005-0000-0000-00004A780000}"/>
    <cellStyle name="Total 4 4 2 6 2" xfId="27310" xr:uid="{00000000-0005-0000-0000-00004B780000}"/>
    <cellStyle name="Total 4 4 2 7" xfId="10060" xr:uid="{00000000-0005-0000-0000-00004C780000}"/>
    <cellStyle name="Total 4 4 2 7 2" xfId="24892" xr:uid="{00000000-0005-0000-0000-00004D780000}"/>
    <cellStyle name="Total 4 4 3" xfId="3582" xr:uid="{00000000-0005-0000-0000-00004E780000}"/>
    <cellStyle name="Total 4 4 3 2" xfId="7644" xr:uid="{00000000-0005-0000-0000-00004F780000}"/>
    <cellStyle name="Total 4 4 3 2 2" xfId="17268" xr:uid="{00000000-0005-0000-0000-000050780000}"/>
    <cellStyle name="Total 4 4 3 2 2 2" xfId="32100" xr:uid="{00000000-0005-0000-0000-000051780000}"/>
    <cellStyle name="Total 4 4 3 2 3" xfId="19090" xr:uid="{00000000-0005-0000-0000-000052780000}"/>
    <cellStyle name="Total 4 4 3 3" xfId="13918" xr:uid="{00000000-0005-0000-0000-000053780000}"/>
    <cellStyle name="Total 4 4 3 3 2" xfId="28750" xr:uid="{00000000-0005-0000-0000-000054780000}"/>
    <cellStyle name="Total 4 4 3 4" xfId="10885" xr:uid="{00000000-0005-0000-0000-000055780000}"/>
    <cellStyle name="Total 4 4 3 4 2" xfId="25717" xr:uid="{00000000-0005-0000-0000-000056780000}"/>
    <cellStyle name="Total 4 4 4" xfId="4645" xr:uid="{00000000-0005-0000-0000-000057780000}"/>
    <cellStyle name="Total 4 4 4 2" xfId="8684" xr:uid="{00000000-0005-0000-0000-000058780000}"/>
    <cellStyle name="Total 4 4 4 2 2" xfId="17797" xr:uid="{00000000-0005-0000-0000-000059780000}"/>
    <cellStyle name="Total 4 4 4 2 2 2" xfId="32629" xr:uid="{00000000-0005-0000-0000-00005A780000}"/>
    <cellStyle name="Total 4 4 4 2 3" xfId="19443" xr:uid="{00000000-0005-0000-0000-00005B780000}"/>
    <cellStyle name="Total 4 4 4 3" xfId="14971" xr:uid="{00000000-0005-0000-0000-00005C780000}"/>
    <cellStyle name="Total 4 4 4 3 2" xfId="29803" xr:uid="{00000000-0005-0000-0000-00005D780000}"/>
    <cellStyle name="Total 4 4 4 4" xfId="11402" xr:uid="{00000000-0005-0000-0000-00005E780000}"/>
    <cellStyle name="Total 4 4 4 4 2" xfId="26234" xr:uid="{00000000-0005-0000-0000-00005F780000}"/>
    <cellStyle name="Total 4 4 5" xfId="2635" xr:uid="{00000000-0005-0000-0000-000060780000}"/>
    <cellStyle name="Total 4 4 5 2" xfId="6736" xr:uid="{00000000-0005-0000-0000-000061780000}"/>
    <cellStyle name="Total 4 4 5 2 2" xfId="16693" xr:uid="{00000000-0005-0000-0000-000062780000}"/>
    <cellStyle name="Total 4 4 5 2 2 2" xfId="31525" xr:uid="{00000000-0005-0000-0000-000063780000}"/>
    <cellStyle name="Total 4 4 5 2 3" xfId="18732" xr:uid="{00000000-0005-0000-0000-000064780000}"/>
    <cellStyle name="Total 4 4 5 3" xfId="12973" xr:uid="{00000000-0005-0000-0000-000065780000}"/>
    <cellStyle name="Total 4 4 5 3 2" xfId="27805" xr:uid="{00000000-0005-0000-0000-000066780000}"/>
    <cellStyle name="Total 4 4 5 4" xfId="10344" xr:uid="{00000000-0005-0000-0000-000067780000}"/>
    <cellStyle name="Total 4 4 5 4 2" xfId="25176" xr:uid="{00000000-0005-0000-0000-000068780000}"/>
    <cellStyle name="Total 4 4 6" xfId="5752" xr:uid="{00000000-0005-0000-0000-000069780000}"/>
    <cellStyle name="Total 4 4 6 2" xfId="15987" xr:uid="{00000000-0005-0000-0000-00006A780000}"/>
    <cellStyle name="Total 4 4 6 2 2" xfId="30819" xr:uid="{00000000-0005-0000-0000-00006B780000}"/>
    <cellStyle name="Total 4 4 6 3" xfId="18373" xr:uid="{00000000-0005-0000-0000-00006C780000}"/>
    <cellStyle name="Total 4 4 7" xfId="12007" xr:uid="{00000000-0005-0000-0000-00006D780000}"/>
    <cellStyle name="Total 4 4 7 2" xfId="26839" xr:uid="{00000000-0005-0000-0000-00006E780000}"/>
    <cellStyle name="Total 4 4 8" xfId="9666" xr:uid="{00000000-0005-0000-0000-00006F780000}"/>
    <cellStyle name="Total 4 4 8 2" xfId="19967" xr:uid="{00000000-0005-0000-0000-000070780000}"/>
    <cellStyle name="Total 4 5" xfId="1650" xr:uid="{00000000-0005-0000-0000-000071780000}"/>
    <cellStyle name="Total 4 5 2" xfId="2147" xr:uid="{00000000-0005-0000-0000-000072780000}"/>
    <cellStyle name="Total 4 5 2 2" xfId="4314" xr:uid="{00000000-0005-0000-0000-000073780000}"/>
    <cellStyle name="Total 4 5 2 2 2" xfId="8353" xr:uid="{00000000-0005-0000-0000-000074780000}"/>
    <cellStyle name="Total 4 5 2 2 2 2" xfId="17632" xr:uid="{00000000-0005-0000-0000-000075780000}"/>
    <cellStyle name="Total 4 5 2 2 2 2 2" xfId="32464" xr:uid="{00000000-0005-0000-0000-000076780000}"/>
    <cellStyle name="Total 4 5 2 2 2 3" xfId="19334" xr:uid="{00000000-0005-0000-0000-000077780000}"/>
    <cellStyle name="Total 4 5 2 2 3" xfId="14645" xr:uid="{00000000-0005-0000-0000-000078780000}"/>
    <cellStyle name="Total 4 5 2 2 3 2" xfId="29477" xr:uid="{00000000-0005-0000-0000-000079780000}"/>
    <cellStyle name="Total 4 5 2 2 4" xfId="11242" xr:uid="{00000000-0005-0000-0000-00007A780000}"/>
    <cellStyle name="Total 4 5 2 2 4 2" xfId="26074" xr:uid="{00000000-0005-0000-0000-00007B780000}"/>
    <cellStyle name="Total 4 5 2 3" xfId="5115" xr:uid="{00000000-0005-0000-0000-00007C780000}"/>
    <cellStyle name="Total 4 5 2 3 2" xfId="9154" xr:uid="{00000000-0005-0000-0000-00007D780000}"/>
    <cellStyle name="Total 4 5 2 3 2 2" xfId="18082" xr:uid="{00000000-0005-0000-0000-00007E780000}"/>
    <cellStyle name="Total 4 5 2 3 2 2 2" xfId="32914" xr:uid="{00000000-0005-0000-0000-00007F780000}"/>
    <cellStyle name="Total 4 5 2 3 2 3" xfId="19635" xr:uid="{00000000-0005-0000-0000-000080780000}"/>
    <cellStyle name="Total 4 5 2 3 3" xfId="15435" xr:uid="{00000000-0005-0000-0000-000081780000}"/>
    <cellStyle name="Total 4 5 2 3 3 2" xfId="30267" xr:uid="{00000000-0005-0000-0000-000082780000}"/>
    <cellStyle name="Total 4 5 2 3 4" xfId="11681" xr:uid="{00000000-0005-0000-0000-000083780000}"/>
    <cellStyle name="Total 4 5 2 3 4 2" xfId="26513" xr:uid="{00000000-0005-0000-0000-000084780000}"/>
    <cellStyle name="Total 4 5 2 4" xfId="3105" xr:uid="{00000000-0005-0000-0000-000085780000}"/>
    <cellStyle name="Total 4 5 2 4 2" xfId="7175" xr:uid="{00000000-0005-0000-0000-000086780000}"/>
    <cellStyle name="Total 4 5 2 4 2 2" xfId="16972" xr:uid="{00000000-0005-0000-0000-000087780000}"/>
    <cellStyle name="Total 4 5 2 4 2 2 2" xfId="31804" xr:uid="{00000000-0005-0000-0000-000088780000}"/>
    <cellStyle name="Total 4 5 2 4 2 3" xfId="18929" xr:uid="{00000000-0005-0000-0000-000089780000}"/>
    <cellStyle name="Total 4 5 2 4 3" xfId="13443" xr:uid="{00000000-0005-0000-0000-00008A780000}"/>
    <cellStyle name="Total 4 5 2 4 3 2" xfId="28275" xr:uid="{00000000-0005-0000-0000-00008B780000}"/>
    <cellStyle name="Total 4 5 2 4 4" xfId="10629" xr:uid="{00000000-0005-0000-0000-00008C780000}"/>
    <cellStyle name="Total 4 5 2 4 4 2" xfId="25461" xr:uid="{00000000-0005-0000-0000-00008D780000}"/>
    <cellStyle name="Total 4 5 2 5" xfId="6267" xr:uid="{00000000-0005-0000-0000-00008E780000}"/>
    <cellStyle name="Total 4 5 2 5 2" xfId="16452" xr:uid="{00000000-0005-0000-0000-00008F780000}"/>
    <cellStyle name="Total 4 5 2 5 2 2" xfId="31284" xr:uid="{00000000-0005-0000-0000-000090780000}"/>
    <cellStyle name="Total 4 5 2 5 3" xfId="18570" xr:uid="{00000000-0005-0000-0000-000091780000}"/>
    <cellStyle name="Total 4 5 2 6" xfId="12522" xr:uid="{00000000-0005-0000-0000-000092780000}"/>
    <cellStyle name="Total 4 5 2 6 2" xfId="27354" xr:uid="{00000000-0005-0000-0000-000093780000}"/>
    <cellStyle name="Total 4 5 2 7" xfId="10104" xr:uid="{00000000-0005-0000-0000-000094780000}"/>
    <cellStyle name="Total 4 5 2 7 2" xfId="24936" xr:uid="{00000000-0005-0000-0000-000095780000}"/>
    <cellStyle name="Total 4 5 3" xfId="3976" xr:uid="{00000000-0005-0000-0000-000096780000}"/>
    <cellStyle name="Total 4 5 3 2" xfId="8025" xr:uid="{00000000-0005-0000-0000-000097780000}"/>
    <cellStyle name="Total 4 5 3 2 2" xfId="17456" xr:uid="{00000000-0005-0000-0000-000098780000}"/>
    <cellStyle name="Total 4 5 3 2 2 2" xfId="32288" xr:uid="{00000000-0005-0000-0000-000099780000}"/>
    <cellStyle name="Total 4 5 3 2 3" xfId="19220" xr:uid="{00000000-0005-0000-0000-00009A780000}"/>
    <cellStyle name="Total 4 5 3 3" xfId="14309" xr:uid="{00000000-0005-0000-0000-00009B780000}"/>
    <cellStyle name="Total 4 5 3 3 2" xfId="29141" xr:uid="{00000000-0005-0000-0000-00009C780000}"/>
    <cellStyle name="Total 4 5 3 4" xfId="11072" xr:uid="{00000000-0005-0000-0000-00009D780000}"/>
    <cellStyle name="Total 4 5 3 4 2" xfId="25904" xr:uid="{00000000-0005-0000-0000-00009E780000}"/>
    <cellStyle name="Total 4 5 4" xfId="4695" xr:uid="{00000000-0005-0000-0000-00009F780000}"/>
    <cellStyle name="Total 4 5 4 2" xfId="8734" xr:uid="{00000000-0005-0000-0000-0000A0780000}"/>
    <cellStyle name="Total 4 5 4 2 2" xfId="17842" xr:uid="{00000000-0005-0000-0000-0000A1780000}"/>
    <cellStyle name="Total 4 5 4 2 2 2" xfId="32674" xr:uid="{00000000-0005-0000-0000-0000A2780000}"/>
    <cellStyle name="Total 4 5 4 2 3" xfId="19475" xr:uid="{00000000-0005-0000-0000-0000A3780000}"/>
    <cellStyle name="Total 4 5 4 3" xfId="15020" xr:uid="{00000000-0005-0000-0000-0000A4780000}"/>
    <cellStyle name="Total 4 5 4 3 2" xfId="29852" xr:uid="{00000000-0005-0000-0000-0000A5780000}"/>
    <cellStyle name="Total 4 5 4 4" xfId="11446" xr:uid="{00000000-0005-0000-0000-0000A6780000}"/>
    <cellStyle name="Total 4 5 4 4 2" xfId="26278" xr:uid="{00000000-0005-0000-0000-0000A7780000}"/>
    <cellStyle name="Total 4 5 5" xfId="2685" xr:uid="{00000000-0005-0000-0000-0000A8780000}"/>
    <cellStyle name="Total 4 5 5 2" xfId="6781" xr:uid="{00000000-0005-0000-0000-0000A9780000}"/>
    <cellStyle name="Total 4 5 5 2 2" xfId="16737" xr:uid="{00000000-0005-0000-0000-0000AA780000}"/>
    <cellStyle name="Total 4 5 5 2 2 2" xfId="31569" xr:uid="{00000000-0005-0000-0000-0000AB780000}"/>
    <cellStyle name="Total 4 5 5 2 3" xfId="18765" xr:uid="{00000000-0005-0000-0000-0000AC780000}"/>
    <cellStyle name="Total 4 5 5 3" xfId="13023" xr:uid="{00000000-0005-0000-0000-0000AD780000}"/>
    <cellStyle name="Total 4 5 5 3 2" xfId="27855" xr:uid="{00000000-0005-0000-0000-0000AE780000}"/>
    <cellStyle name="Total 4 5 5 4" xfId="10389" xr:uid="{00000000-0005-0000-0000-0000AF780000}"/>
    <cellStyle name="Total 4 5 5 4 2" xfId="25221" xr:uid="{00000000-0005-0000-0000-0000B0780000}"/>
    <cellStyle name="Total 4 5 6" xfId="5797" xr:uid="{00000000-0005-0000-0000-0000B1780000}"/>
    <cellStyle name="Total 4 5 6 2" xfId="16031" xr:uid="{00000000-0005-0000-0000-0000B2780000}"/>
    <cellStyle name="Total 4 5 6 2 2" xfId="30863" xr:uid="{00000000-0005-0000-0000-0000B3780000}"/>
    <cellStyle name="Total 4 5 6 3" xfId="18406" xr:uid="{00000000-0005-0000-0000-0000B4780000}"/>
    <cellStyle name="Total 4 5 7" xfId="12051" xr:uid="{00000000-0005-0000-0000-0000B5780000}"/>
    <cellStyle name="Total 4 5 7 2" xfId="26883" xr:uid="{00000000-0005-0000-0000-0000B6780000}"/>
    <cellStyle name="Total 4 5 8" xfId="9711" xr:uid="{00000000-0005-0000-0000-0000B7780000}"/>
    <cellStyle name="Total 4 5 8 2" xfId="20011" xr:uid="{00000000-0005-0000-0000-0000B8780000}"/>
    <cellStyle name="Total 4 6" xfId="1801" xr:uid="{00000000-0005-0000-0000-0000B9780000}"/>
    <cellStyle name="Total 4 6 2" xfId="3701" xr:uid="{00000000-0005-0000-0000-0000BA780000}"/>
    <cellStyle name="Total 4 6 2 2" xfId="7757" xr:uid="{00000000-0005-0000-0000-0000BB780000}"/>
    <cellStyle name="Total 4 6 2 2 2" xfId="17324" xr:uid="{00000000-0005-0000-0000-0000BC780000}"/>
    <cellStyle name="Total 4 6 2 2 2 2" xfId="32156" xr:uid="{00000000-0005-0000-0000-0000BD780000}"/>
    <cellStyle name="Total 4 6 2 2 3" xfId="19127" xr:uid="{00000000-0005-0000-0000-0000BE780000}"/>
    <cellStyle name="Total 4 6 2 3" xfId="14036" xr:uid="{00000000-0005-0000-0000-0000BF780000}"/>
    <cellStyle name="Total 4 6 2 3 2" xfId="28868" xr:uid="{00000000-0005-0000-0000-0000C0780000}"/>
    <cellStyle name="Total 4 6 2 4" xfId="10942" xr:uid="{00000000-0005-0000-0000-0000C1780000}"/>
    <cellStyle name="Total 4 6 2 4 2" xfId="25774" xr:uid="{00000000-0005-0000-0000-0000C2780000}"/>
    <cellStyle name="Total 4 6 3" xfId="4779" xr:uid="{00000000-0005-0000-0000-0000C3780000}"/>
    <cellStyle name="Total 4 6 3 2" xfId="8818" xr:uid="{00000000-0005-0000-0000-0000C4780000}"/>
    <cellStyle name="Total 4 6 3 2 2" xfId="17890" xr:uid="{00000000-0005-0000-0000-0000C5780000}"/>
    <cellStyle name="Total 4 6 3 2 2 2" xfId="32722" xr:uid="{00000000-0005-0000-0000-0000C6780000}"/>
    <cellStyle name="Total 4 6 3 2 3" xfId="19507" xr:uid="{00000000-0005-0000-0000-0000C7780000}"/>
    <cellStyle name="Total 4 6 3 3" xfId="15103" xr:uid="{00000000-0005-0000-0000-0000C8780000}"/>
    <cellStyle name="Total 4 6 3 3 2" xfId="29935" xr:uid="{00000000-0005-0000-0000-0000C9780000}"/>
    <cellStyle name="Total 4 6 3 4" xfId="11493" xr:uid="{00000000-0005-0000-0000-0000CA780000}"/>
    <cellStyle name="Total 4 6 3 4 2" xfId="26325" xr:uid="{00000000-0005-0000-0000-0000CB780000}"/>
    <cellStyle name="Total 4 6 4" xfId="2769" xr:uid="{00000000-0005-0000-0000-0000CC780000}"/>
    <cellStyle name="Total 4 6 4 2" xfId="6860" xr:uid="{00000000-0005-0000-0000-0000CD780000}"/>
    <cellStyle name="Total 4 6 4 2 2" xfId="16784" xr:uid="{00000000-0005-0000-0000-0000CE780000}"/>
    <cellStyle name="Total 4 6 4 2 2 2" xfId="31616" xr:uid="{00000000-0005-0000-0000-0000CF780000}"/>
    <cellStyle name="Total 4 6 4 2 3" xfId="18798" xr:uid="{00000000-0005-0000-0000-0000D0780000}"/>
    <cellStyle name="Total 4 6 4 3" xfId="13107" xr:uid="{00000000-0005-0000-0000-0000D1780000}"/>
    <cellStyle name="Total 4 6 4 3 2" xfId="27939" xr:uid="{00000000-0005-0000-0000-0000D2780000}"/>
    <cellStyle name="Total 4 6 4 4" xfId="10437" xr:uid="{00000000-0005-0000-0000-0000D3780000}"/>
    <cellStyle name="Total 4 6 4 4 2" xfId="25269" xr:uid="{00000000-0005-0000-0000-0000D4780000}"/>
    <cellStyle name="Total 4 6 5" xfId="5933" xr:uid="{00000000-0005-0000-0000-0000D5780000}"/>
    <cellStyle name="Total 4 6 5 2" xfId="16125" xr:uid="{00000000-0005-0000-0000-0000D6780000}"/>
    <cellStyle name="Total 4 6 5 2 2" xfId="30957" xr:uid="{00000000-0005-0000-0000-0000D7780000}"/>
    <cellStyle name="Total 4 6 5 3" xfId="18440" xr:uid="{00000000-0005-0000-0000-0000D8780000}"/>
    <cellStyle name="Total 4 6 6" xfId="12195" xr:uid="{00000000-0005-0000-0000-0000D9780000}"/>
    <cellStyle name="Total 4 6 6 2" xfId="27027" xr:uid="{00000000-0005-0000-0000-0000DA780000}"/>
    <cellStyle name="Total 4 6 7" xfId="9791" xr:uid="{00000000-0005-0000-0000-0000DB780000}"/>
    <cellStyle name="Total 4 6 7 2" xfId="24748" xr:uid="{00000000-0005-0000-0000-0000DC780000}"/>
    <cellStyle name="Total 4 7" xfId="2165" xr:uid="{00000000-0005-0000-0000-0000DD780000}"/>
    <cellStyle name="Total 4 7 2" xfId="3418" xr:uid="{00000000-0005-0000-0000-0000DE780000}"/>
    <cellStyle name="Total 4 7 2 2" xfId="7481" xr:uid="{00000000-0005-0000-0000-0000DF780000}"/>
    <cellStyle name="Total 4 7 2 2 2" xfId="17179" xr:uid="{00000000-0005-0000-0000-0000E0780000}"/>
    <cellStyle name="Total 4 7 2 2 2 2" xfId="32011" xr:uid="{00000000-0005-0000-0000-0000E1780000}"/>
    <cellStyle name="Total 4 7 2 2 3" xfId="19028" xr:uid="{00000000-0005-0000-0000-0000E2780000}"/>
    <cellStyle name="Total 4 7 2 3" xfId="13755" xr:uid="{00000000-0005-0000-0000-0000E3780000}"/>
    <cellStyle name="Total 4 7 2 3 2" xfId="28587" xr:uid="{00000000-0005-0000-0000-0000E4780000}"/>
    <cellStyle name="Total 4 7 2 4" xfId="10798" xr:uid="{00000000-0005-0000-0000-0000E5780000}"/>
    <cellStyle name="Total 4 7 2 4 2" xfId="25630" xr:uid="{00000000-0005-0000-0000-0000E6780000}"/>
    <cellStyle name="Total 4 7 3" xfId="5133" xr:uid="{00000000-0005-0000-0000-0000E7780000}"/>
    <cellStyle name="Total 4 7 3 2" xfId="9172" xr:uid="{00000000-0005-0000-0000-0000E8780000}"/>
    <cellStyle name="Total 4 7 3 2 2" xfId="18095" xr:uid="{00000000-0005-0000-0000-0000E9780000}"/>
    <cellStyle name="Total 4 7 3 2 2 2" xfId="32927" xr:uid="{00000000-0005-0000-0000-0000EA780000}"/>
    <cellStyle name="Total 4 7 3 2 3" xfId="19646" xr:uid="{00000000-0005-0000-0000-0000EB780000}"/>
    <cellStyle name="Total 4 7 3 3" xfId="15451" xr:uid="{00000000-0005-0000-0000-0000EC780000}"/>
    <cellStyle name="Total 4 7 3 3 2" xfId="30283" xr:uid="{00000000-0005-0000-0000-0000ED780000}"/>
    <cellStyle name="Total 4 7 3 4" xfId="11692" xr:uid="{00000000-0005-0000-0000-0000EE780000}"/>
    <cellStyle name="Total 4 7 3 4 2" xfId="26524" xr:uid="{00000000-0005-0000-0000-0000EF780000}"/>
    <cellStyle name="Total 4 7 4" xfId="4163" xr:uid="{00000000-0005-0000-0000-0000F0780000}"/>
    <cellStyle name="Total 4 7 4 2" xfId="8204" xr:uid="{00000000-0005-0000-0000-0000F1780000}"/>
    <cellStyle name="Total 4 7 4 2 2" xfId="17551" xr:uid="{00000000-0005-0000-0000-0000F2780000}"/>
    <cellStyle name="Total 4 7 4 2 2 2" xfId="32383" xr:uid="{00000000-0005-0000-0000-0000F3780000}"/>
    <cellStyle name="Total 4 7 4 2 3" xfId="19289" xr:uid="{00000000-0005-0000-0000-0000F4780000}"/>
    <cellStyle name="Total 4 7 4 3" xfId="14495" xr:uid="{00000000-0005-0000-0000-0000F5780000}"/>
    <cellStyle name="Total 4 7 4 3 2" xfId="29327" xr:uid="{00000000-0005-0000-0000-0000F6780000}"/>
    <cellStyle name="Total 4 7 4 4" xfId="11171" xr:uid="{00000000-0005-0000-0000-0000F7780000}"/>
    <cellStyle name="Total 4 7 4 4 2" xfId="26003" xr:uid="{00000000-0005-0000-0000-0000F8780000}"/>
    <cellStyle name="Total 4 7 5" xfId="6279" xr:uid="{00000000-0005-0000-0000-0000F9780000}"/>
    <cellStyle name="Total 4 7 5 2" xfId="16463" xr:uid="{00000000-0005-0000-0000-0000FA780000}"/>
    <cellStyle name="Total 4 7 5 2 2" xfId="31295" xr:uid="{00000000-0005-0000-0000-0000FB780000}"/>
    <cellStyle name="Total 4 7 5 3" xfId="18582" xr:uid="{00000000-0005-0000-0000-0000FC780000}"/>
    <cellStyle name="Total 4 7 6" xfId="12533" xr:uid="{00000000-0005-0000-0000-0000FD780000}"/>
    <cellStyle name="Total 4 7 6 2" xfId="27365" xr:uid="{00000000-0005-0000-0000-0000FE780000}"/>
    <cellStyle name="Total 4 7 7" xfId="10115" xr:uid="{00000000-0005-0000-0000-0000FF780000}"/>
    <cellStyle name="Total 4 7 7 2" xfId="24947" xr:uid="{00000000-0005-0000-0000-000000790000}"/>
    <cellStyle name="Total 4 8" xfId="3254" xr:uid="{00000000-0005-0000-0000-000001790000}"/>
    <cellStyle name="Total 4 8 2" xfId="7318" xr:uid="{00000000-0005-0000-0000-000002790000}"/>
    <cellStyle name="Total 4 8 2 2" xfId="17070" xr:uid="{00000000-0005-0000-0000-000003790000}"/>
    <cellStyle name="Total 4 8 2 2 2" xfId="31902" xr:uid="{00000000-0005-0000-0000-000004790000}"/>
    <cellStyle name="Total 4 8 2 3" xfId="18973" xr:uid="{00000000-0005-0000-0000-000005790000}"/>
    <cellStyle name="Total 4 8 3" xfId="13591" xr:uid="{00000000-0005-0000-0000-000006790000}"/>
    <cellStyle name="Total 4 8 3 2" xfId="28423" xr:uid="{00000000-0005-0000-0000-000007790000}"/>
    <cellStyle name="Total 4 8 4" xfId="10700" xr:uid="{00000000-0005-0000-0000-000008790000}"/>
    <cellStyle name="Total 4 8 4 2" xfId="25532" xr:uid="{00000000-0005-0000-0000-000009790000}"/>
    <cellStyle name="Total 4 9" xfId="3368" xr:uid="{00000000-0005-0000-0000-00000A790000}"/>
    <cellStyle name="Total 4 9 2" xfId="7431" xr:uid="{00000000-0005-0000-0000-00000B790000}"/>
    <cellStyle name="Total 4 9 2 2" xfId="17142" xr:uid="{00000000-0005-0000-0000-00000C790000}"/>
    <cellStyle name="Total 4 9 2 2 2" xfId="31974" xr:uid="{00000000-0005-0000-0000-00000D790000}"/>
    <cellStyle name="Total 4 9 2 3" xfId="19011" xr:uid="{00000000-0005-0000-0000-00000E790000}"/>
    <cellStyle name="Total 4 9 3" xfId="13705" xr:uid="{00000000-0005-0000-0000-00000F790000}"/>
    <cellStyle name="Total 4 9 3 2" xfId="28537" xr:uid="{00000000-0005-0000-0000-000010790000}"/>
    <cellStyle name="Total 4 9 4" xfId="10761" xr:uid="{00000000-0005-0000-0000-000011790000}"/>
    <cellStyle name="Total 4 9 4 2" xfId="25593" xr:uid="{00000000-0005-0000-0000-000012790000}"/>
    <cellStyle name="Total 5" xfId="1277" xr:uid="{00000000-0005-0000-0000-000013790000}"/>
    <cellStyle name="Total 5 10" xfId="2344" xr:uid="{00000000-0005-0000-0000-000014790000}"/>
    <cellStyle name="Total 5 10 2" xfId="6456" xr:uid="{00000000-0005-0000-0000-000015790000}"/>
    <cellStyle name="Total 5 10 2 2" xfId="16548" xr:uid="{00000000-0005-0000-0000-000016790000}"/>
    <cellStyle name="Total 5 10 2 2 2" xfId="31380" xr:uid="{00000000-0005-0000-0000-000017790000}"/>
    <cellStyle name="Total 5 10 2 3" xfId="18636" xr:uid="{00000000-0005-0000-0000-000018790000}"/>
    <cellStyle name="Total 5 10 3" xfId="12684" xr:uid="{00000000-0005-0000-0000-000019790000}"/>
    <cellStyle name="Total 5 10 3 2" xfId="27516" xr:uid="{00000000-0005-0000-0000-00001A790000}"/>
    <cellStyle name="Total 5 10 4" xfId="10199" xr:uid="{00000000-0005-0000-0000-00001B790000}"/>
    <cellStyle name="Total 5 10 4 2" xfId="25031" xr:uid="{00000000-0005-0000-0000-00001C790000}"/>
    <cellStyle name="Total 5 11" xfId="5306" xr:uid="{00000000-0005-0000-0000-00001D790000}"/>
    <cellStyle name="Total 5 11 2" xfId="9314" xr:uid="{00000000-0005-0000-0000-00001E790000}"/>
    <cellStyle name="Total 5 11 2 2" xfId="18181" xr:uid="{00000000-0005-0000-0000-00001F790000}"/>
    <cellStyle name="Total 5 11 2 2 2" xfId="33013" xr:uid="{00000000-0005-0000-0000-000020790000}"/>
    <cellStyle name="Total 5 11 2 3" xfId="19700" xr:uid="{00000000-0005-0000-0000-000021790000}"/>
    <cellStyle name="Total 5 11 3" xfId="15622" xr:uid="{00000000-0005-0000-0000-000022790000}"/>
    <cellStyle name="Total 5 11 3 2" xfId="30454" xr:uid="{00000000-0005-0000-0000-000023790000}"/>
    <cellStyle name="Total 5 12" xfId="5464" xr:uid="{00000000-0005-0000-0000-000024790000}"/>
    <cellStyle name="Total 5 12 2" xfId="15700" xr:uid="{00000000-0005-0000-0000-000025790000}"/>
    <cellStyle name="Total 5 12 2 2" xfId="30532" xr:uid="{00000000-0005-0000-0000-000026790000}"/>
    <cellStyle name="Total 5 12 3" xfId="18277" xr:uid="{00000000-0005-0000-0000-000027790000}"/>
    <cellStyle name="Total 5 13" xfId="9327" xr:uid="{00000000-0005-0000-0000-000028790000}"/>
    <cellStyle name="Total 5 13 2" xfId="24633" xr:uid="{00000000-0005-0000-0000-000029790000}"/>
    <cellStyle name="Total 5 14" xfId="5316" xr:uid="{00000000-0005-0000-0000-00002A790000}"/>
    <cellStyle name="Total 5 14 2" xfId="18190" xr:uid="{00000000-0005-0000-0000-00002B790000}"/>
    <cellStyle name="Total 5 2" xfId="1376" xr:uid="{00000000-0005-0000-0000-00002C790000}"/>
    <cellStyle name="Total 5 2 2" xfId="1880" xr:uid="{00000000-0005-0000-0000-00002D790000}"/>
    <cellStyle name="Total 5 2 2 2" xfId="3972" xr:uid="{00000000-0005-0000-0000-00002E790000}"/>
    <cellStyle name="Total 5 2 2 2 2" xfId="8021" xr:uid="{00000000-0005-0000-0000-00002F790000}"/>
    <cellStyle name="Total 5 2 2 2 2 2" xfId="17454" xr:uid="{00000000-0005-0000-0000-000030790000}"/>
    <cellStyle name="Total 5 2 2 2 2 2 2" xfId="32286" xr:uid="{00000000-0005-0000-0000-000031790000}"/>
    <cellStyle name="Total 5 2 2 2 2 3" xfId="19218" xr:uid="{00000000-0005-0000-0000-000032790000}"/>
    <cellStyle name="Total 5 2 2 2 3" xfId="14305" xr:uid="{00000000-0005-0000-0000-000033790000}"/>
    <cellStyle name="Total 5 2 2 2 3 2" xfId="29137" xr:uid="{00000000-0005-0000-0000-000034790000}"/>
    <cellStyle name="Total 5 2 2 2 4" xfId="11070" xr:uid="{00000000-0005-0000-0000-000035790000}"/>
    <cellStyle name="Total 5 2 2 2 4 2" xfId="25902" xr:uid="{00000000-0005-0000-0000-000036790000}"/>
    <cellStyle name="Total 5 2 2 3" xfId="4858" xr:uid="{00000000-0005-0000-0000-000037790000}"/>
    <cellStyle name="Total 5 2 2 3 2" xfId="8897" xr:uid="{00000000-0005-0000-0000-000038790000}"/>
    <cellStyle name="Total 5 2 2 3 2 2" xfId="17938" xr:uid="{00000000-0005-0000-0000-000039790000}"/>
    <cellStyle name="Total 5 2 2 3 2 2 2" xfId="32770" xr:uid="{00000000-0005-0000-0000-00003A790000}"/>
    <cellStyle name="Total 5 2 2 3 2 3" xfId="19540" xr:uid="{00000000-0005-0000-0000-00003B790000}"/>
    <cellStyle name="Total 5 2 2 3 3" xfId="15182" xr:uid="{00000000-0005-0000-0000-00003C790000}"/>
    <cellStyle name="Total 5 2 2 3 3 2" xfId="30014" xr:uid="{00000000-0005-0000-0000-00003D790000}"/>
    <cellStyle name="Total 5 2 2 3 4" xfId="11541" xr:uid="{00000000-0005-0000-0000-00003E790000}"/>
    <cellStyle name="Total 5 2 2 3 4 2" xfId="26373" xr:uid="{00000000-0005-0000-0000-00003F790000}"/>
    <cellStyle name="Total 5 2 2 4" xfId="2848" xr:uid="{00000000-0005-0000-0000-000040790000}"/>
    <cellStyle name="Total 5 2 2 4 2" xfId="6939" xr:uid="{00000000-0005-0000-0000-000041790000}"/>
    <cellStyle name="Total 5 2 2 4 2 2" xfId="16832" xr:uid="{00000000-0005-0000-0000-000042790000}"/>
    <cellStyle name="Total 5 2 2 4 2 2 2" xfId="31664" xr:uid="{00000000-0005-0000-0000-000043790000}"/>
    <cellStyle name="Total 5 2 2 4 2 3" xfId="18831" xr:uid="{00000000-0005-0000-0000-000044790000}"/>
    <cellStyle name="Total 5 2 2 4 3" xfId="13186" xr:uid="{00000000-0005-0000-0000-000045790000}"/>
    <cellStyle name="Total 5 2 2 4 3 2" xfId="28018" xr:uid="{00000000-0005-0000-0000-000046790000}"/>
    <cellStyle name="Total 5 2 2 4 4" xfId="10485" xr:uid="{00000000-0005-0000-0000-000047790000}"/>
    <cellStyle name="Total 5 2 2 4 4 2" xfId="25317" xr:uid="{00000000-0005-0000-0000-000048790000}"/>
    <cellStyle name="Total 5 2 2 5" xfId="6012" xr:uid="{00000000-0005-0000-0000-000049790000}"/>
    <cellStyle name="Total 5 2 2 5 2" xfId="16204" xr:uid="{00000000-0005-0000-0000-00004A790000}"/>
    <cellStyle name="Total 5 2 2 5 2 2" xfId="31036" xr:uid="{00000000-0005-0000-0000-00004B790000}"/>
    <cellStyle name="Total 5 2 2 5 3" xfId="18473" xr:uid="{00000000-0005-0000-0000-00004C790000}"/>
    <cellStyle name="Total 5 2 2 6" xfId="12274" xr:uid="{00000000-0005-0000-0000-00004D790000}"/>
    <cellStyle name="Total 5 2 2 6 2" xfId="27106" xr:uid="{00000000-0005-0000-0000-00004E790000}"/>
    <cellStyle name="Total 5 2 2 7" xfId="9870" xr:uid="{00000000-0005-0000-0000-00004F790000}"/>
    <cellStyle name="Total 5 2 2 7 2" xfId="24796" xr:uid="{00000000-0005-0000-0000-000050790000}"/>
    <cellStyle name="Total 5 2 3" xfId="3864" xr:uid="{00000000-0005-0000-0000-000051790000}"/>
    <cellStyle name="Total 5 2 3 2" xfId="7916" xr:uid="{00000000-0005-0000-0000-000052790000}"/>
    <cellStyle name="Total 5 2 3 2 2" xfId="17399" xr:uid="{00000000-0005-0000-0000-000053790000}"/>
    <cellStyle name="Total 5 2 3 2 2 2" xfId="32231" xr:uid="{00000000-0005-0000-0000-000054790000}"/>
    <cellStyle name="Total 5 2 3 2 3" xfId="19178" xr:uid="{00000000-0005-0000-0000-000055790000}"/>
    <cellStyle name="Total 5 2 3 3" xfId="14199" xr:uid="{00000000-0005-0000-0000-000056790000}"/>
    <cellStyle name="Total 5 2 3 3 2" xfId="29031" xr:uid="{00000000-0005-0000-0000-000057790000}"/>
    <cellStyle name="Total 5 2 3 4" xfId="11018" xr:uid="{00000000-0005-0000-0000-000058790000}"/>
    <cellStyle name="Total 5 2 3 4 2" xfId="25850" xr:uid="{00000000-0005-0000-0000-000059790000}"/>
    <cellStyle name="Total 5 2 4" xfId="4438" xr:uid="{00000000-0005-0000-0000-00005A790000}"/>
    <cellStyle name="Total 5 2 4 2" xfId="8477" xr:uid="{00000000-0005-0000-0000-00005B790000}"/>
    <cellStyle name="Total 5 2 4 2 2" xfId="17698" xr:uid="{00000000-0005-0000-0000-00005C790000}"/>
    <cellStyle name="Total 5 2 4 2 2 2" xfId="32530" xr:uid="{00000000-0005-0000-0000-00005D790000}"/>
    <cellStyle name="Total 5 2 4 2 3" xfId="19380" xr:uid="{00000000-0005-0000-0000-00005E790000}"/>
    <cellStyle name="Total 5 2 4 3" xfId="14767" xr:uid="{00000000-0005-0000-0000-00005F790000}"/>
    <cellStyle name="Total 5 2 4 3 2" xfId="29599" xr:uid="{00000000-0005-0000-0000-000060790000}"/>
    <cellStyle name="Total 5 2 4 4" xfId="11306" xr:uid="{00000000-0005-0000-0000-000061790000}"/>
    <cellStyle name="Total 5 2 4 4 2" xfId="26138" xr:uid="{00000000-0005-0000-0000-000062790000}"/>
    <cellStyle name="Total 5 2 5" xfId="2428" xr:uid="{00000000-0005-0000-0000-000063790000}"/>
    <cellStyle name="Total 5 2 5 2" xfId="6540" xr:uid="{00000000-0005-0000-0000-000064790000}"/>
    <cellStyle name="Total 5 2 5 2 2" xfId="16596" xr:uid="{00000000-0005-0000-0000-000065790000}"/>
    <cellStyle name="Total 5 2 5 2 2 2" xfId="31428" xr:uid="{00000000-0005-0000-0000-000066790000}"/>
    <cellStyle name="Total 5 2 5 2 3" xfId="18668" xr:uid="{00000000-0005-0000-0000-000067790000}"/>
    <cellStyle name="Total 5 2 5 3" xfId="12767" xr:uid="{00000000-0005-0000-0000-000068790000}"/>
    <cellStyle name="Total 5 2 5 3 2" xfId="27599" xr:uid="{00000000-0005-0000-0000-000069790000}"/>
    <cellStyle name="Total 5 2 5 4" xfId="10246" xr:uid="{00000000-0005-0000-0000-00006A790000}"/>
    <cellStyle name="Total 5 2 5 4 2" xfId="25078" xr:uid="{00000000-0005-0000-0000-00006B790000}"/>
    <cellStyle name="Total 5 2 6" xfId="5553" xr:uid="{00000000-0005-0000-0000-00006C790000}"/>
    <cellStyle name="Total 5 2 6 2" xfId="15788" xr:uid="{00000000-0005-0000-0000-00006D790000}"/>
    <cellStyle name="Total 5 2 6 2 2" xfId="30620" xr:uid="{00000000-0005-0000-0000-00006E790000}"/>
    <cellStyle name="Total 5 2 6 3" xfId="18310" xr:uid="{00000000-0005-0000-0000-00006F790000}"/>
    <cellStyle name="Total 5 2 7" xfId="11803" xr:uid="{00000000-0005-0000-0000-000070790000}"/>
    <cellStyle name="Total 5 2 7 2" xfId="26635" xr:uid="{00000000-0005-0000-0000-000071790000}"/>
    <cellStyle name="Total 5 2 8" xfId="9474" xr:uid="{00000000-0005-0000-0000-000072790000}"/>
    <cellStyle name="Total 5 2 8 2" xfId="19778" xr:uid="{00000000-0005-0000-0000-000073790000}"/>
    <cellStyle name="Total 5 3" xfId="1548" xr:uid="{00000000-0005-0000-0000-000074790000}"/>
    <cellStyle name="Total 5 3 2" xfId="2045" xr:uid="{00000000-0005-0000-0000-000075790000}"/>
    <cellStyle name="Total 5 3 2 2" xfId="4318" xr:uid="{00000000-0005-0000-0000-000076790000}"/>
    <cellStyle name="Total 5 3 2 2 2" xfId="8357" xr:uid="{00000000-0005-0000-0000-000077790000}"/>
    <cellStyle name="Total 5 3 2 2 2 2" xfId="17635" xr:uid="{00000000-0005-0000-0000-000078790000}"/>
    <cellStyle name="Total 5 3 2 2 2 2 2" xfId="32467" xr:uid="{00000000-0005-0000-0000-000079790000}"/>
    <cellStyle name="Total 5 3 2 2 2 3" xfId="19337" xr:uid="{00000000-0005-0000-0000-00007A790000}"/>
    <cellStyle name="Total 5 3 2 2 3" xfId="14649" xr:uid="{00000000-0005-0000-0000-00007B790000}"/>
    <cellStyle name="Total 5 3 2 2 3 2" xfId="29481" xr:uid="{00000000-0005-0000-0000-00007C790000}"/>
    <cellStyle name="Total 5 3 2 2 4" xfId="11245" xr:uid="{00000000-0005-0000-0000-00007D790000}"/>
    <cellStyle name="Total 5 3 2 2 4 2" xfId="26077" xr:uid="{00000000-0005-0000-0000-00007E790000}"/>
    <cellStyle name="Total 5 3 2 3" xfId="5013" xr:uid="{00000000-0005-0000-0000-00007F790000}"/>
    <cellStyle name="Total 5 3 2 3 2" xfId="9052" xr:uid="{00000000-0005-0000-0000-000080790000}"/>
    <cellStyle name="Total 5 3 2 3 2 2" xfId="17990" xr:uid="{00000000-0005-0000-0000-000081790000}"/>
    <cellStyle name="Total 5 3 2 3 2 2 2" xfId="32822" xr:uid="{00000000-0005-0000-0000-000082790000}"/>
    <cellStyle name="Total 5 3 2 3 2 3" xfId="19572" xr:uid="{00000000-0005-0000-0000-000083790000}"/>
    <cellStyle name="Total 5 3 2 3 3" xfId="15335" xr:uid="{00000000-0005-0000-0000-000084790000}"/>
    <cellStyle name="Total 5 3 2 3 3 2" xfId="30167" xr:uid="{00000000-0005-0000-0000-000085790000}"/>
    <cellStyle name="Total 5 3 2 3 4" xfId="11591" xr:uid="{00000000-0005-0000-0000-000086790000}"/>
    <cellStyle name="Total 5 3 2 3 4 2" xfId="26423" xr:uid="{00000000-0005-0000-0000-000087790000}"/>
    <cellStyle name="Total 5 3 2 4" xfId="3003" xr:uid="{00000000-0005-0000-0000-000088790000}"/>
    <cellStyle name="Total 5 3 2 4 2" xfId="7083" xr:uid="{00000000-0005-0000-0000-000089790000}"/>
    <cellStyle name="Total 5 3 2 4 2 2" xfId="16882" xr:uid="{00000000-0005-0000-0000-00008A790000}"/>
    <cellStyle name="Total 5 3 2 4 2 2 2" xfId="31714" xr:uid="{00000000-0005-0000-0000-00008B790000}"/>
    <cellStyle name="Total 5 3 2 4 2 3" xfId="18864" xr:uid="{00000000-0005-0000-0000-00008C790000}"/>
    <cellStyle name="Total 5 3 2 4 3" xfId="13341" xr:uid="{00000000-0005-0000-0000-00008D790000}"/>
    <cellStyle name="Total 5 3 2 4 3 2" xfId="28173" xr:uid="{00000000-0005-0000-0000-00008E790000}"/>
    <cellStyle name="Total 5 3 2 4 4" xfId="10537" xr:uid="{00000000-0005-0000-0000-00008F790000}"/>
    <cellStyle name="Total 5 3 2 4 4 2" xfId="25369" xr:uid="{00000000-0005-0000-0000-000090790000}"/>
    <cellStyle name="Total 5 3 2 5" xfId="6175" xr:uid="{00000000-0005-0000-0000-000091790000}"/>
    <cellStyle name="Total 5 3 2 5 2" xfId="16362" xr:uid="{00000000-0005-0000-0000-000092790000}"/>
    <cellStyle name="Total 5 3 2 5 2 2" xfId="31194" xr:uid="{00000000-0005-0000-0000-000093790000}"/>
    <cellStyle name="Total 5 3 2 5 3" xfId="18505" xr:uid="{00000000-0005-0000-0000-000094790000}"/>
    <cellStyle name="Total 5 3 2 6" xfId="12432" xr:uid="{00000000-0005-0000-0000-000095790000}"/>
    <cellStyle name="Total 5 3 2 6 2" xfId="27264" xr:uid="{00000000-0005-0000-0000-000096790000}"/>
    <cellStyle name="Total 5 3 2 7" xfId="10014" xr:uid="{00000000-0005-0000-0000-000097790000}"/>
    <cellStyle name="Total 5 3 2 7 2" xfId="24846" xr:uid="{00000000-0005-0000-0000-000098790000}"/>
    <cellStyle name="Total 5 3 3" xfId="3272" xr:uid="{00000000-0005-0000-0000-000099790000}"/>
    <cellStyle name="Total 5 3 3 2" xfId="7336" xr:uid="{00000000-0005-0000-0000-00009A790000}"/>
    <cellStyle name="Total 5 3 3 2 2" xfId="17080" xr:uid="{00000000-0005-0000-0000-00009B790000}"/>
    <cellStyle name="Total 5 3 3 2 2 2" xfId="31912" xr:uid="{00000000-0005-0000-0000-00009C790000}"/>
    <cellStyle name="Total 5 3 3 2 3" xfId="18979" xr:uid="{00000000-0005-0000-0000-00009D790000}"/>
    <cellStyle name="Total 5 3 3 3" xfId="13609" xr:uid="{00000000-0005-0000-0000-00009E790000}"/>
    <cellStyle name="Total 5 3 3 3 2" xfId="28441" xr:uid="{00000000-0005-0000-0000-00009F790000}"/>
    <cellStyle name="Total 5 3 3 4" xfId="10708" xr:uid="{00000000-0005-0000-0000-0000A0790000}"/>
    <cellStyle name="Total 5 3 3 4 2" xfId="25540" xr:uid="{00000000-0005-0000-0000-0000A1790000}"/>
    <cellStyle name="Total 5 3 4" xfId="4593" xr:uid="{00000000-0005-0000-0000-0000A2790000}"/>
    <cellStyle name="Total 5 3 4 2" xfId="8632" xr:uid="{00000000-0005-0000-0000-0000A3790000}"/>
    <cellStyle name="Total 5 3 4 2 2" xfId="17750" xr:uid="{00000000-0005-0000-0000-0000A4790000}"/>
    <cellStyle name="Total 5 3 4 2 2 2" xfId="32582" xr:uid="{00000000-0005-0000-0000-0000A5790000}"/>
    <cellStyle name="Total 5 3 4 2 3" xfId="19412" xr:uid="{00000000-0005-0000-0000-0000A6790000}"/>
    <cellStyle name="Total 5 3 4 3" xfId="14920" xr:uid="{00000000-0005-0000-0000-0000A7790000}"/>
    <cellStyle name="Total 5 3 4 3 2" xfId="29752" xr:uid="{00000000-0005-0000-0000-0000A8790000}"/>
    <cellStyle name="Total 5 3 4 4" xfId="11356" xr:uid="{00000000-0005-0000-0000-0000A9790000}"/>
    <cellStyle name="Total 5 3 4 4 2" xfId="26188" xr:uid="{00000000-0005-0000-0000-0000AA790000}"/>
    <cellStyle name="Total 5 3 5" xfId="2583" xr:uid="{00000000-0005-0000-0000-0000AB790000}"/>
    <cellStyle name="Total 5 3 5 2" xfId="6689" xr:uid="{00000000-0005-0000-0000-0000AC790000}"/>
    <cellStyle name="Total 5 3 5 2 2" xfId="16647" xr:uid="{00000000-0005-0000-0000-0000AD790000}"/>
    <cellStyle name="Total 5 3 5 2 2 2" xfId="31479" xr:uid="{00000000-0005-0000-0000-0000AE790000}"/>
    <cellStyle name="Total 5 3 5 2 3" xfId="18700" xr:uid="{00000000-0005-0000-0000-0000AF790000}"/>
    <cellStyle name="Total 5 3 5 3" xfId="12921" xr:uid="{00000000-0005-0000-0000-0000B0790000}"/>
    <cellStyle name="Total 5 3 5 3 2" xfId="27753" xr:uid="{00000000-0005-0000-0000-0000B1790000}"/>
    <cellStyle name="Total 5 3 5 4" xfId="10297" xr:uid="{00000000-0005-0000-0000-0000B2790000}"/>
    <cellStyle name="Total 5 3 5 4 2" xfId="25129" xr:uid="{00000000-0005-0000-0000-0000B3790000}"/>
    <cellStyle name="Total 5 3 6" xfId="5706" xr:uid="{00000000-0005-0000-0000-0000B4790000}"/>
    <cellStyle name="Total 5 3 6 2" xfId="15941" xr:uid="{00000000-0005-0000-0000-0000B5790000}"/>
    <cellStyle name="Total 5 3 6 2 2" xfId="30773" xr:uid="{00000000-0005-0000-0000-0000B6790000}"/>
    <cellStyle name="Total 5 3 6 3" xfId="18342" xr:uid="{00000000-0005-0000-0000-0000B7790000}"/>
    <cellStyle name="Total 5 3 7" xfId="11961" xr:uid="{00000000-0005-0000-0000-0000B8790000}"/>
    <cellStyle name="Total 5 3 7 2" xfId="26793" xr:uid="{00000000-0005-0000-0000-0000B9790000}"/>
    <cellStyle name="Total 5 3 8" xfId="9619" xr:uid="{00000000-0005-0000-0000-0000BA790000}"/>
    <cellStyle name="Total 5 3 8 2" xfId="19921" xr:uid="{00000000-0005-0000-0000-0000BB790000}"/>
    <cellStyle name="Total 5 4" xfId="1601" xr:uid="{00000000-0005-0000-0000-0000BC790000}"/>
    <cellStyle name="Total 5 4 2" xfId="2098" xr:uid="{00000000-0005-0000-0000-0000BD790000}"/>
    <cellStyle name="Total 5 4 2 2" xfId="4105" xr:uid="{00000000-0005-0000-0000-0000BE790000}"/>
    <cellStyle name="Total 5 4 2 2 2" xfId="8151" xr:uid="{00000000-0005-0000-0000-0000BF790000}"/>
    <cellStyle name="Total 5 4 2 2 2 2" xfId="17521" xr:uid="{00000000-0005-0000-0000-0000C0790000}"/>
    <cellStyle name="Total 5 4 2 2 2 2 2" xfId="32353" xr:uid="{00000000-0005-0000-0000-0000C1790000}"/>
    <cellStyle name="Total 5 4 2 2 2 3" xfId="19268" xr:uid="{00000000-0005-0000-0000-0000C2790000}"/>
    <cellStyle name="Total 5 4 2 2 3" xfId="14437" xr:uid="{00000000-0005-0000-0000-0000C3790000}"/>
    <cellStyle name="Total 5 4 2 2 3 2" xfId="29269" xr:uid="{00000000-0005-0000-0000-0000C4790000}"/>
    <cellStyle name="Total 5 4 2 2 4" xfId="11138" xr:uid="{00000000-0005-0000-0000-0000C5790000}"/>
    <cellStyle name="Total 5 4 2 2 4 2" xfId="25970" xr:uid="{00000000-0005-0000-0000-0000C6790000}"/>
    <cellStyle name="Total 5 4 2 3" xfId="5066" xr:uid="{00000000-0005-0000-0000-0000C7790000}"/>
    <cellStyle name="Total 5 4 2 3 2" xfId="9105" xr:uid="{00000000-0005-0000-0000-0000C8790000}"/>
    <cellStyle name="Total 5 4 2 3 2 2" xfId="18038" xr:uid="{00000000-0005-0000-0000-0000C9790000}"/>
    <cellStyle name="Total 5 4 2 3 2 2 2" xfId="32870" xr:uid="{00000000-0005-0000-0000-0000CA790000}"/>
    <cellStyle name="Total 5 4 2 3 2 3" xfId="19604" xr:uid="{00000000-0005-0000-0000-0000CB790000}"/>
    <cellStyle name="Total 5 4 2 3 3" xfId="15387" xr:uid="{00000000-0005-0000-0000-0000CC790000}"/>
    <cellStyle name="Total 5 4 2 3 3 2" xfId="30219" xr:uid="{00000000-0005-0000-0000-0000CD790000}"/>
    <cellStyle name="Total 5 4 2 3 4" xfId="11638" xr:uid="{00000000-0005-0000-0000-0000CE790000}"/>
    <cellStyle name="Total 5 4 2 3 4 2" xfId="26470" xr:uid="{00000000-0005-0000-0000-0000CF790000}"/>
    <cellStyle name="Total 5 4 2 4" xfId="3056" xr:uid="{00000000-0005-0000-0000-0000D0790000}"/>
    <cellStyle name="Total 5 4 2 4 2" xfId="7131" xr:uid="{00000000-0005-0000-0000-0000D1790000}"/>
    <cellStyle name="Total 5 4 2 4 2 2" xfId="16929" xr:uid="{00000000-0005-0000-0000-0000D2790000}"/>
    <cellStyle name="Total 5 4 2 4 2 2 2" xfId="31761" xr:uid="{00000000-0005-0000-0000-0000D3790000}"/>
    <cellStyle name="Total 5 4 2 4 2 3" xfId="18897" xr:uid="{00000000-0005-0000-0000-0000D4790000}"/>
    <cellStyle name="Total 5 4 2 4 3" xfId="13394" xr:uid="{00000000-0005-0000-0000-0000D5790000}"/>
    <cellStyle name="Total 5 4 2 4 3 2" xfId="28226" xr:uid="{00000000-0005-0000-0000-0000D6790000}"/>
    <cellStyle name="Total 5 4 2 4 4" xfId="10585" xr:uid="{00000000-0005-0000-0000-0000D7790000}"/>
    <cellStyle name="Total 5 4 2 4 4 2" xfId="25417" xr:uid="{00000000-0005-0000-0000-0000D8790000}"/>
    <cellStyle name="Total 5 4 2 5" xfId="6223" xr:uid="{00000000-0005-0000-0000-0000D9790000}"/>
    <cellStyle name="Total 5 4 2 5 2" xfId="16409" xr:uid="{00000000-0005-0000-0000-0000DA790000}"/>
    <cellStyle name="Total 5 4 2 5 2 2" xfId="31241" xr:uid="{00000000-0005-0000-0000-0000DB790000}"/>
    <cellStyle name="Total 5 4 2 5 3" xfId="18538" xr:uid="{00000000-0005-0000-0000-0000DC790000}"/>
    <cellStyle name="Total 5 4 2 6" xfId="12479" xr:uid="{00000000-0005-0000-0000-0000DD790000}"/>
    <cellStyle name="Total 5 4 2 6 2" xfId="27311" xr:uid="{00000000-0005-0000-0000-0000DE790000}"/>
    <cellStyle name="Total 5 4 2 7" xfId="10061" xr:uid="{00000000-0005-0000-0000-0000DF790000}"/>
    <cellStyle name="Total 5 4 2 7 2" xfId="24893" xr:uid="{00000000-0005-0000-0000-0000E0790000}"/>
    <cellStyle name="Total 5 4 3" xfId="3505" xr:uid="{00000000-0005-0000-0000-0000E1790000}"/>
    <cellStyle name="Total 5 4 3 2" xfId="7567" xr:uid="{00000000-0005-0000-0000-0000E2790000}"/>
    <cellStyle name="Total 5 4 3 2 2" xfId="17225" xr:uid="{00000000-0005-0000-0000-0000E3790000}"/>
    <cellStyle name="Total 5 4 3 2 2 2" xfId="32057" xr:uid="{00000000-0005-0000-0000-0000E4790000}"/>
    <cellStyle name="Total 5 4 3 2 3" xfId="19058" xr:uid="{00000000-0005-0000-0000-0000E5790000}"/>
    <cellStyle name="Total 5 4 3 3" xfId="13842" xr:uid="{00000000-0005-0000-0000-0000E6790000}"/>
    <cellStyle name="Total 5 4 3 3 2" xfId="28674" xr:uid="{00000000-0005-0000-0000-0000E7790000}"/>
    <cellStyle name="Total 5 4 3 4" xfId="10843" xr:uid="{00000000-0005-0000-0000-0000E8790000}"/>
    <cellStyle name="Total 5 4 3 4 2" xfId="25675" xr:uid="{00000000-0005-0000-0000-0000E9790000}"/>
    <cellStyle name="Total 5 4 4" xfId="4646" xr:uid="{00000000-0005-0000-0000-0000EA790000}"/>
    <cellStyle name="Total 5 4 4 2" xfId="8685" xr:uid="{00000000-0005-0000-0000-0000EB790000}"/>
    <cellStyle name="Total 5 4 4 2 2" xfId="17798" xr:uid="{00000000-0005-0000-0000-0000EC790000}"/>
    <cellStyle name="Total 5 4 4 2 2 2" xfId="32630" xr:uid="{00000000-0005-0000-0000-0000ED790000}"/>
    <cellStyle name="Total 5 4 4 2 3" xfId="19444" xr:uid="{00000000-0005-0000-0000-0000EE790000}"/>
    <cellStyle name="Total 5 4 4 3" xfId="14972" xr:uid="{00000000-0005-0000-0000-0000EF790000}"/>
    <cellStyle name="Total 5 4 4 3 2" xfId="29804" xr:uid="{00000000-0005-0000-0000-0000F0790000}"/>
    <cellStyle name="Total 5 4 4 4" xfId="11403" xr:uid="{00000000-0005-0000-0000-0000F1790000}"/>
    <cellStyle name="Total 5 4 4 4 2" xfId="26235" xr:uid="{00000000-0005-0000-0000-0000F2790000}"/>
    <cellStyle name="Total 5 4 5" xfId="2636" xr:uid="{00000000-0005-0000-0000-0000F3790000}"/>
    <cellStyle name="Total 5 4 5 2" xfId="6737" xr:uid="{00000000-0005-0000-0000-0000F4790000}"/>
    <cellStyle name="Total 5 4 5 2 2" xfId="16694" xr:uid="{00000000-0005-0000-0000-0000F5790000}"/>
    <cellStyle name="Total 5 4 5 2 2 2" xfId="31526" xr:uid="{00000000-0005-0000-0000-0000F6790000}"/>
    <cellStyle name="Total 5 4 5 2 3" xfId="18733" xr:uid="{00000000-0005-0000-0000-0000F7790000}"/>
    <cellStyle name="Total 5 4 5 3" xfId="12974" xr:uid="{00000000-0005-0000-0000-0000F8790000}"/>
    <cellStyle name="Total 5 4 5 3 2" xfId="27806" xr:uid="{00000000-0005-0000-0000-0000F9790000}"/>
    <cellStyle name="Total 5 4 5 4" xfId="10345" xr:uid="{00000000-0005-0000-0000-0000FA790000}"/>
    <cellStyle name="Total 5 4 5 4 2" xfId="25177" xr:uid="{00000000-0005-0000-0000-0000FB790000}"/>
    <cellStyle name="Total 5 4 6" xfId="5753" xr:uid="{00000000-0005-0000-0000-0000FC790000}"/>
    <cellStyle name="Total 5 4 6 2" xfId="15988" xr:uid="{00000000-0005-0000-0000-0000FD790000}"/>
    <cellStyle name="Total 5 4 6 2 2" xfId="30820" xr:uid="{00000000-0005-0000-0000-0000FE790000}"/>
    <cellStyle name="Total 5 4 6 3" xfId="18374" xr:uid="{00000000-0005-0000-0000-0000FF790000}"/>
    <cellStyle name="Total 5 4 7" xfId="12008" xr:uid="{00000000-0005-0000-0000-0000007A0000}"/>
    <cellStyle name="Total 5 4 7 2" xfId="26840" xr:uid="{00000000-0005-0000-0000-0000017A0000}"/>
    <cellStyle name="Total 5 4 8" xfId="9667" xr:uid="{00000000-0005-0000-0000-0000027A0000}"/>
    <cellStyle name="Total 5 4 8 2" xfId="19968" xr:uid="{00000000-0005-0000-0000-0000037A0000}"/>
    <cellStyle name="Total 5 5" xfId="1651" xr:uid="{00000000-0005-0000-0000-0000047A0000}"/>
    <cellStyle name="Total 5 5 2" xfId="2148" xr:uid="{00000000-0005-0000-0000-0000057A0000}"/>
    <cellStyle name="Total 5 5 2 2" xfId="3726" xr:uid="{00000000-0005-0000-0000-0000067A0000}"/>
    <cellStyle name="Total 5 5 2 2 2" xfId="7782" xr:uid="{00000000-0005-0000-0000-0000077A0000}"/>
    <cellStyle name="Total 5 5 2 2 2 2" xfId="17336" xr:uid="{00000000-0005-0000-0000-0000087A0000}"/>
    <cellStyle name="Total 5 5 2 2 2 2 2" xfId="32168" xr:uid="{00000000-0005-0000-0000-0000097A0000}"/>
    <cellStyle name="Total 5 5 2 2 2 3" xfId="19133" xr:uid="{00000000-0005-0000-0000-00000A7A0000}"/>
    <cellStyle name="Total 5 5 2 2 3" xfId="14061" xr:uid="{00000000-0005-0000-0000-00000B7A0000}"/>
    <cellStyle name="Total 5 5 2 2 3 2" xfId="28893" xr:uid="{00000000-0005-0000-0000-00000C7A0000}"/>
    <cellStyle name="Total 5 5 2 2 4" xfId="10952" xr:uid="{00000000-0005-0000-0000-00000D7A0000}"/>
    <cellStyle name="Total 5 5 2 2 4 2" xfId="25784" xr:uid="{00000000-0005-0000-0000-00000E7A0000}"/>
    <cellStyle name="Total 5 5 2 3" xfId="5116" xr:uid="{00000000-0005-0000-0000-00000F7A0000}"/>
    <cellStyle name="Total 5 5 2 3 2" xfId="9155" xr:uid="{00000000-0005-0000-0000-0000107A0000}"/>
    <cellStyle name="Total 5 5 2 3 2 2" xfId="18083" xr:uid="{00000000-0005-0000-0000-0000117A0000}"/>
    <cellStyle name="Total 5 5 2 3 2 2 2" xfId="32915" xr:uid="{00000000-0005-0000-0000-0000127A0000}"/>
    <cellStyle name="Total 5 5 2 3 2 3" xfId="19636" xr:uid="{00000000-0005-0000-0000-0000137A0000}"/>
    <cellStyle name="Total 5 5 2 3 3" xfId="15436" xr:uid="{00000000-0005-0000-0000-0000147A0000}"/>
    <cellStyle name="Total 5 5 2 3 3 2" xfId="30268" xr:uid="{00000000-0005-0000-0000-0000157A0000}"/>
    <cellStyle name="Total 5 5 2 3 4" xfId="11682" xr:uid="{00000000-0005-0000-0000-0000167A0000}"/>
    <cellStyle name="Total 5 5 2 3 4 2" xfId="26514" xr:uid="{00000000-0005-0000-0000-0000177A0000}"/>
    <cellStyle name="Total 5 5 2 4" xfId="3106" xr:uid="{00000000-0005-0000-0000-0000187A0000}"/>
    <cellStyle name="Total 5 5 2 4 2" xfId="7176" xr:uid="{00000000-0005-0000-0000-0000197A0000}"/>
    <cellStyle name="Total 5 5 2 4 2 2" xfId="16973" xr:uid="{00000000-0005-0000-0000-00001A7A0000}"/>
    <cellStyle name="Total 5 5 2 4 2 2 2" xfId="31805" xr:uid="{00000000-0005-0000-0000-00001B7A0000}"/>
    <cellStyle name="Total 5 5 2 4 2 3" xfId="18930" xr:uid="{00000000-0005-0000-0000-00001C7A0000}"/>
    <cellStyle name="Total 5 5 2 4 3" xfId="13444" xr:uid="{00000000-0005-0000-0000-00001D7A0000}"/>
    <cellStyle name="Total 5 5 2 4 3 2" xfId="28276" xr:uid="{00000000-0005-0000-0000-00001E7A0000}"/>
    <cellStyle name="Total 5 5 2 4 4" xfId="10630" xr:uid="{00000000-0005-0000-0000-00001F7A0000}"/>
    <cellStyle name="Total 5 5 2 4 4 2" xfId="25462" xr:uid="{00000000-0005-0000-0000-0000207A0000}"/>
    <cellStyle name="Total 5 5 2 5" xfId="6268" xr:uid="{00000000-0005-0000-0000-0000217A0000}"/>
    <cellStyle name="Total 5 5 2 5 2" xfId="16453" xr:uid="{00000000-0005-0000-0000-0000227A0000}"/>
    <cellStyle name="Total 5 5 2 5 2 2" xfId="31285" xr:uid="{00000000-0005-0000-0000-0000237A0000}"/>
    <cellStyle name="Total 5 5 2 5 3" xfId="18571" xr:uid="{00000000-0005-0000-0000-0000247A0000}"/>
    <cellStyle name="Total 5 5 2 6" xfId="12523" xr:uid="{00000000-0005-0000-0000-0000257A0000}"/>
    <cellStyle name="Total 5 5 2 6 2" xfId="27355" xr:uid="{00000000-0005-0000-0000-0000267A0000}"/>
    <cellStyle name="Total 5 5 2 7" xfId="10105" xr:uid="{00000000-0005-0000-0000-0000277A0000}"/>
    <cellStyle name="Total 5 5 2 7 2" xfId="24937" xr:uid="{00000000-0005-0000-0000-0000287A0000}"/>
    <cellStyle name="Total 5 5 3" xfId="3571" xr:uid="{00000000-0005-0000-0000-0000297A0000}"/>
    <cellStyle name="Total 5 5 3 2" xfId="7633" xr:uid="{00000000-0005-0000-0000-00002A7A0000}"/>
    <cellStyle name="Total 5 5 3 2 2" xfId="17262" xr:uid="{00000000-0005-0000-0000-00002B7A0000}"/>
    <cellStyle name="Total 5 5 3 2 2 2" xfId="32094" xr:uid="{00000000-0005-0000-0000-00002C7A0000}"/>
    <cellStyle name="Total 5 5 3 2 3" xfId="19085" xr:uid="{00000000-0005-0000-0000-00002D7A0000}"/>
    <cellStyle name="Total 5 5 3 3" xfId="13907" xr:uid="{00000000-0005-0000-0000-00002E7A0000}"/>
    <cellStyle name="Total 5 5 3 3 2" xfId="28739" xr:uid="{00000000-0005-0000-0000-00002F7A0000}"/>
    <cellStyle name="Total 5 5 3 4" xfId="10879" xr:uid="{00000000-0005-0000-0000-0000307A0000}"/>
    <cellStyle name="Total 5 5 3 4 2" xfId="25711" xr:uid="{00000000-0005-0000-0000-0000317A0000}"/>
    <cellStyle name="Total 5 5 4" xfId="4696" xr:uid="{00000000-0005-0000-0000-0000327A0000}"/>
    <cellStyle name="Total 5 5 4 2" xfId="8735" xr:uid="{00000000-0005-0000-0000-0000337A0000}"/>
    <cellStyle name="Total 5 5 4 2 2" xfId="17843" xr:uid="{00000000-0005-0000-0000-0000347A0000}"/>
    <cellStyle name="Total 5 5 4 2 2 2" xfId="32675" xr:uid="{00000000-0005-0000-0000-0000357A0000}"/>
    <cellStyle name="Total 5 5 4 2 3" xfId="19476" xr:uid="{00000000-0005-0000-0000-0000367A0000}"/>
    <cellStyle name="Total 5 5 4 3" xfId="15021" xr:uid="{00000000-0005-0000-0000-0000377A0000}"/>
    <cellStyle name="Total 5 5 4 3 2" xfId="29853" xr:uid="{00000000-0005-0000-0000-0000387A0000}"/>
    <cellStyle name="Total 5 5 4 4" xfId="11447" xr:uid="{00000000-0005-0000-0000-0000397A0000}"/>
    <cellStyle name="Total 5 5 4 4 2" xfId="26279" xr:uid="{00000000-0005-0000-0000-00003A7A0000}"/>
    <cellStyle name="Total 5 5 5" xfId="2686" xr:uid="{00000000-0005-0000-0000-00003B7A0000}"/>
    <cellStyle name="Total 5 5 5 2" xfId="6782" xr:uid="{00000000-0005-0000-0000-00003C7A0000}"/>
    <cellStyle name="Total 5 5 5 2 2" xfId="16738" xr:uid="{00000000-0005-0000-0000-00003D7A0000}"/>
    <cellStyle name="Total 5 5 5 2 2 2" xfId="31570" xr:uid="{00000000-0005-0000-0000-00003E7A0000}"/>
    <cellStyle name="Total 5 5 5 2 3" xfId="18766" xr:uid="{00000000-0005-0000-0000-00003F7A0000}"/>
    <cellStyle name="Total 5 5 5 3" xfId="13024" xr:uid="{00000000-0005-0000-0000-0000407A0000}"/>
    <cellStyle name="Total 5 5 5 3 2" xfId="27856" xr:uid="{00000000-0005-0000-0000-0000417A0000}"/>
    <cellStyle name="Total 5 5 5 4" xfId="10390" xr:uid="{00000000-0005-0000-0000-0000427A0000}"/>
    <cellStyle name="Total 5 5 5 4 2" xfId="25222" xr:uid="{00000000-0005-0000-0000-0000437A0000}"/>
    <cellStyle name="Total 5 5 6" xfId="5798" xr:uid="{00000000-0005-0000-0000-0000447A0000}"/>
    <cellStyle name="Total 5 5 6 2" xfId="16032" xr:uid="{00000000-0005-0000-0000-0000457A0000}"/>
    <cellStyle name="Total 5 5 6 2 2" xfId="30864" xr:uid="{00000000-0005-0000-0000-0000467A0000}"/>
    <cellStyle name="Total 5 5 6 3" xfId="18407" xr:uid="{00000000-0005-0000-0000-0000477A0000}"/>
    <cellStyle name="Total 5 5 7" xfId="12052" xr:uid="{00000000-0005-0000-0000-0000487A0000}"/>
    <cellStyle name="Total 5 5 7 2" xfId="26884" xr:uid="{00000000-0005-0000-0000-0000497A0000}"/>
    <cellStyle name="Total 5 5 8" xfId="9712" xr:uid="{00000000-0005-0000-0000-00004A7A0000}"/>
    <cellStyle name="Total 5 5 8 2" xfId="20012" xr:uid="{00000000-0005-0000-0000-00004B7A0000}"/>
    <cellStyle name="Total 5 6" xfId="1802" xr:uid="{00000000-0005-0000-0000-00004C7A0000}"/>
    <cellStyle name="Total 5 6 2" xfId="3894" xr:uid="{00000000-0005-0000-0000-00004D7A0000}"/>
    <cellStyle name="Total 5 6 2 2" xfId="7945" xr:uid="{00000000-0005-0000-0000-00004E7A0000}"/>
    <cellStyle name="Total 5 6 2 2 2" xfId="17417" xr:uid="{00000000-0005-0000-0000-00004F7A0000}"/>
    <cellStyle name="Total 5 6 2 2 2 2" xfId="32249" xr:uid="{00000000-0005-0000-0000-0000507A0000}"/>
    <cellStyle name="Total 5 6 2 2 3" xfId="19190" xr:uid="{00000000-0005-0000-0000-0000517A0000}"/>
    <cellStyle name="Total 5 6 2 3" xfId="14227" xr:uid="{00000000-0005-0000-0000-0000527A0000}"/>
    <cellStyle name="Total 5 6 2 3 2" xfId="29059" xr:uid="{00000000-0005-0000-0000-0000537A0000}"/>
    <cellStyle name="Total 5 6 2 4" xfId="11033" xr:uid="{00000000-0005-0000-0000-0000547A0000}"/>
    <cellStyle name="Total 5 6 2 4 2" xfId="25865" xr:uid="{00000000-0005-0000-0000-0000557A0000}"/>
    <cellStyle name="Total 5 6 3" xfId="4780" xr:uid="{00000000-0005-0000-0000-0000567A0000}"/>
    <cellStyle name="Total 5 6 3 2" xfId="8819" xr:uid="{00000000-0005-0000-0000-0000577A0000}"/>
    <cellStyle name="Total 5 6 3 2 2" xfId="17891" xr:uid="{00000000-0005-0000-0000-0000587A0000}"/>
    <cellStyle name="Total 5 6 3 2 2 2" xfId="32723" xr:uid="{00000000-0005-0000-0000-0000597A0000}"/>
    <cellStyle name="Total 5 6 3 2 3" xfId="19508" xr:uid="{00000000-0005-0000-0000-00005A7A0000}"/>
    <cellStyle name="Total 5 6 3 3" xfId="15104" xr:uid="{00000000-0005-0000-0000-00005B7A0000}"/>
    <cellStyle name="Total 5 6 3 3 2" xfId="29936" xr:uid="{00000000-0005-0000-0000-00005C7A0000}"/>
    <cellStyle name="Total 5 6 3 4" xfId="11494" xr:uid="{00000000-0005-0000-0000-00005D7A0000}"/>
    <cellStyle name="Total 5 6 3 4 2" xfId="26326" xr:uid="{00000000-0005-0000-0000-00005E7A0000}"/>
    <cellStyle name="Total 5 6 4" xfId="2770" xr:uid="{00000000-0005-0000-0000-00005F7A0000}"/>
    <cellStyle name="Total 5 6 4 2" xfId="6861" xr:uid="{00000000-0005-0000-0000-0000607A0000}"/>
    <cellStyle name="Total 5 6 4 2 2" xfId="16785" xr:uid="{00000000-0005-0000-0000-0000617A0000}"/>
    <cellStyle name="Total 5 6 4 2 2 2" xfId="31617" xr:uid="{00000000-0005-0000-0000-0000627A0000}"/>
    <cellStyle name="Total 5 6 4 2 3" xfId="18799" xr:uid="{00000000-0005-0000-0000-0000637A0000}"/>
    <cellStyle name="Total 5 6 4 3" xfId="13108" xr:uid="{00000000-0005-0000-0000-0000647A0000}"/>
    <cellStyle name="Total 5 6 4 3 2" xfId="27940" xr:uid="{00000000-0005-0000-0000-0000657A0000}"/>
    <cellStyle name="Total 5 6 4 4" xfId="10438" xr:uid="{00000000-0005-0000-0000-0000667A0000}"/>
    <cellStyle name="Total 5 6 4 4 2" xfId="25270" xr:uid="{00000000-0005-0000-0000-0000677A0000}"/>
    <cellStyle name="Total 5 6 5" xfId="5934" xr:uid="{00000000-0005-0000-0000-0000687A0000}"/>
    <cellStyle name="Total 5 6 5 2" xfId="16126" xr:uid="{00000000-0005-0000-0000-0000697A0000}"/>
    <cellStyle name="Total 5 6 5 2 2" xfId="30958" xr:uid="{00000000-0005-0000-0000-00006A7A0000}"/>
    <cellStyle name="Total 5 6 5 3" xfId="18441" xr:uid="{00000000-0005-0000-0000-00006B7A0000}"/>
    <cellStyle name="Total 5 6 6" xfId="12196" xr:uid="{00000000-0005-0000-0000-00006C7A0000}"/>
    <cellStyle name="Total 5 6 6 2" xfId="27028" xr:uid="{00000000-0005-0000-0000-00006D7A0000}"/>
    <cellStyle name="Total 5 6 7" xfId="9792" xr:uid="{00000000-0005-0000-0000-00006E7A0000}"/>
    <cellStyle name="Total 5 6 7 2" xfId="24749" xr:uid="{00000000-0005-0000-0000-00006F7A0000}"/>
    <cellStyle name="Total 5 7" xfId="2164" xr:uid="{00000000-0005-0000-0000-0000707A0000}"/>
    <cellStyle name="Total 5 7 2" xfId="3886" xr:uid="{00000000-0005-0000-0000-0000717A0000}"/>
    <cellStyle name="Total 5 7 2 2" xfId="7937" xr:uid="{00000000-0005-0000-0000-0000727A0000}"/>
    <cellStyle name="Total 5 7 2 2 2" xfId="17411" xr:uid="{00000000-0005-0000-0000-0000737A0000}"/>
    <cellStyle name="Total 5 7 2 2 2 2" xfId="32243" xr:uid="{00000000-0005-0000-0000-0000747A0000}"/>
    <cellStyle name="Total 5 7 2 2 3" xfId="19187" xr:uid="{00000000-0005-0000-0000-0000757A0000}"/>
    <cellStyle name="Total 5 7 2 3" xfId="14220" xr:uid="{00000000-0005-0000-0000-0000767A0000}"/>
    <cellStyle name="Total 5 7 2 3 2" xfId="29052" xr:uid="{00000000-0005-0000-0000-0000777A0000}"/>
    <cellStyle name="Total 5 7 2 4" xfId="11028" xr:uid="{00000000-0005-0000-0000-0000787A0000}"/>
    <cellStyle name="Total 5 7 2 4 2" xfId="25860" xr:uid="{00000000-0005-0000-0000-0000797A0000}"/>
    <cellStyle name="Total 5 7 3" xfId="5132" xr:uid="{00000000-0005-0000-0000-00007A7A0000}"/>
    <cellStyle name="Total 5 7 3 2" xfId="9171" xr:uid="{00000000-0005-0000-0000-00007B7A0000}"/>
    <cellStyle name="Total 5 7 3 2 2" xfId="18094" xr:uid="{00000000-0005-0000-0000-00007C7A0000}"/>
    <cellStyle name="Total 5 7 3 2 2 2" xfId="32926" xr:uid="{00000000-0005-0000-0000-00007D7A0000}"/>
    <cellStyle name="Total 5 7 3 2 3" xfId="19645" xr:uid="{00000000-0005-0000-0000-00007E7A0000}"/>
    <cellStyle name="Total 5 7 3 3" xfId="15450" xr:uid="{00000000-0005-0000-0000-00007F7A0000}"/>
    <cellStyle name="Total 5 7 3 3 2" xfId="30282" xr:uid="{00000000-0005-0000-0000-0000807A0000}"/>
    <cellStyle name="Total 5 7 3 4" xfId="11691" xr:uid="{00000000-0005-0000-0000-0000817A0000}"/>
    <cellStyle name="Total 5 7 3 4 2" xfId="26523" xr:uid="{00000000-0005-0000-0000-0000827A0000}"/>
    <cellStyle name="Total 5 7 4" xfId="4162" xr:uid="{00000000-0005-0000-0000-0000837A0000}"/>
    <cellStyle name="Total 5 7 4 2" xfId="8203" xr:uid="{00000000-0005-0000-0000-0000847A0000}"/>
    <cellStyle name="Total 5 7 4 2 2" xfId="17550" xr:uid="{00000000-0005-0000-0000-0000857A0000}"/>
    <cellStyle name="Total 5 7 4 2 2 2" xfId="32382" xr:uid="{00000000-0005-0000-0000-0000867A0000}"/>
    <cellStyle name="Total 5 7 4 2 3" xfId="19288" xr:uid="{00000000-0005-0000-0000-0000877A0000}"/>
    <cellStyle name="Total 5 7 4 3" xfId="14494" xr:uid="{00000000-0005-0000-0000-0000887A0000}"/>
    <cellStyle name="Total 5 7 4 3 2" xfId="29326" xr:uid="{00000000-0005-0000-0000-0000897A0000}"/>
    <cellStyle name="Total 5 7 4 4" xfId="11170" xr:uid="{00000000-0005-0000-0000-00008A7A0000}"/>
    <cellStyle name="Total 5 7 4 4 2" xfId="26002" xr:uid="{00000000-0005-0000-0000-00008B7A0000}"/>
    <cellStyle name="Total 5 7 5" xfId="6278" xr:uid="{00000000-0005-0000-0000-00008C7A0000}"/>
    <cellStyle name="Total 5 7 5 2" xfId="16462" xr:uid="{00000000-0005-0000-0000-00008D7A0000}"/>
    <cellStyle name="Total 5 7 5 2 2" xfId="31294" xr:uid="{00000000-0005-0000-0000-00008E7A0000}"/>
    <cellStyle name="Total 5 7 5 3" xfId="18581" xr:uid="{00000000-0005-0000-0000-00008F7A0000}"/>
    <cellStyle name="Total 5 7 6" xfId="12532" xr:uid="{00000000-0005-0000-0000-0000907A0000}"/>
    <cellStyle name="Total 5 7 6 2" xfId="27364" xr:uid="{00000000-0005-0000-0000-0000917A0000}"/>
    <cellStyle name="Total 5 7 7" xfId="10114" xr:uid="{00000000-0005-0000-0000-0000927A0000}"/>
    <cellStyle name="Total 5 7 7 2" xfId="24946" xr:uid="{00000000-0005-0000-0000-0000937A0000}"/>
    <cellStyle name="Total 5 8" xfId="3151" xr:uid="{00000000-0005-0000-0000-0000947A0000}"/>
    <cellStyle name="Total 5 8 2" xfId="7215" xr:uid="{00000000-0005-0000-0000-0000957A0000}"/>
    <cellStyle name="Total 5 8 2 2" xfId="16994" xr:uid="{00000000-0005-0000-0000-0000967A0000}"/>
    <cellStyle name="Total 5 8 2 2 2" xfId="31826" xr:uid="{00000000-0005-0000-0000-0000977A0000}"/>
    <cellStyle name="Total 5 8 2 3" xfId="18942" xr:uid="{00000000-0005-0000-0000-0000987A0000}"/>
    <cellStyle name="Total 5 8 3" xfId="13489" xr:uid="{00000000-0005-0000-0000-0000997A0000}"/>
    <cellStyle name="Total 5 8 3 2" xfId="28321" xr:uid="{00000000-0005-0000-0000-00009A7A0000}"/>
    <cellStyle name="Total 5 8 4" xfId="10646" xr:uid="{00000000-0005-0000-0000-00009B7A0000}"/>
    <cellStyle name="Total 5 8 4 2" xfId="25478" xr:uid="{00000000-0005-0000-0000-00009C7A0000}"/>
    <cellStyle name="Total 5 9" xfId="3142" xr:uid="{00000000-0005-0000-0000-00009D7A0000}"/>
    <cellStyle name="Total 5 9 2" xfId="7206" xr:uid="{00000000-0005-0000-0000-00009E7A0000}"/>
    <cellStyle name="Total 5 9 2 2" xfId="16990" xr:uid="{00000000-0005-0000-0000-00009F7A0000}"/>
    <cellStyle name="Total 5 9 2 2 2" xfId="31822" xr:uid="{00000000-0005-0000-0000-0000A07A0000}"/>
    <cellStyle name="Total 5 9 2 3" xfId="18941" xr:uid="{00000000-0005-0000-0000-0000A17A0000}"/>
    <cellStyle name="Total 5 9 3" xfId="13480" xr:uid="{00000000-0005-0000-0000-0000A27A0000}"/>
    <cellStyle name="Total 5 9 3 2" xfId="28312" xr:uid="{00000000-0005-0000-0000-0000A37A0000}"/>
    <cellStyle name="Total 5 9 4" xfId="10644" xr:uid="{00000000-0005-0000-0000-0000A47A0000}"/>
    <cellStyle name="Total 5 9 4 2" xfId="25476" xr:uid="{00000000-0005-0000-0000-0000A57A0000}"/>
    <cellStyle name="Total 6" xfId="1278" xr:uid="{00000000-0005-0000-0000-0000A67A0000}"/>
    <cellStyle name="Total 6 10" xfId="2345" xr:uid="{00000000-0005-0000-0000-0000A77A0000}"/>
    <cellStyle name="Total 6 10 2" xfId="6457" xr:uid="{00000000-0005-0000-0000-0000A87A0000}"/>
    <cellStyle name="Total 6 10 2 2" xfId="16549" xr:uid="{00000000-0005-0000-0000-0000A97A0000}"/>
    <cellStyle name="Total 6 10 2 2 2" xfId="31381" xr:uid="{00000000-0005-0000-0000-0000AA7A0000}"/>
    <cellStyle name="Total 6 10 2 3" xfId="18637" xr:uid="{00000000-0005-0000-0000-0000AB7A0000}"/>
    <cellStyle name="Total 6 10 3" xfId="12685" xr:uid="{00000000-0005-0000-0000-0000AC7A0000}"/>
    <cellStyle name="Total 6 10 3 2" xfId="27517" xr:uid="{00000000-0005-0000-0000-0000AD7A0000}"/>
    <cellStyle name="Total 6 10 4" xfId="10200" xr:uid="{00000000-0005-0000-0000-0000AE7A0000}"/>
    <cellStyle name="Total 6 10 4 2" xfId="25032" xr:uid="{00000000-0005-0000-0000-0000AF7A0000}"/>
    <cellStyle name="Total 6 11" xfId="5307" xr:uid="{00000000-0005-0000-0000-0000B07A0000}"/>
    <cellStyle name="Total 6 11 2" xfId="9315" xr:uid="{00000000-0005-0000-0000-0000B17A0000}"/>
    <cellStyle name="Total 6 11 2 2" xfId="18182" xr:uid="{00000000-0005-0000-0000-0000B27A0000}"/>
    <cellStyle name="Total 6 11 2 2 2" xfId="33014" xr:uid="{00000000-0005-0000-0000-0000B37A0000}"/>
    <cellStyle name="Total 6 11 2 3" xfId="19701" xr:uid="{00000000-0005-0000-0000-0000B47A0000}"/>
    <cellStyle name="Total 6 11 3" xfId="15623" xr:uid="{00000000-0005-0000-0000-0000B57A0000}"/>
    <cellStyle name="Total 6 11 3 2" xfId="30455" xr:uid="{00000000-0005-0000-0000-0000B67A0000}"/>
    <cellStyle name="Total 6 12" xfId="5465" xr:uid="{00000000-0005-0000-0000-0000B77A0000}"/>
    <cellStyle name="Total 6 12 2" xfId="15701" xr:uid="{00000000-0005-0000-0000-0000B87A0000}"/>
    <cellStyle name="Total 6 12 2 2" xfId="30533" xr:uid="{00000000-0005-0000-0000-0000B97A0000}"/>
    <cellStyle name="Total 6 12 3" xfId="18278" xr:uid="{00000000-0005-0000-0000-0000BA7A0000}"/>
    <cellStyle name="Total 6 13" xfId="9326" xr:uid="{00000000-0005-0000-0000-0000BB7A0000}"/>
    <cellStyle name="Total 6 13 2" xfId="24632" xr:uid="{00000000-0005-0000-0000-0000BC7A0000}"/>
    <cellStyle name="Total 6 14" xfId="5315" xr:uid="{00000000-0005-0000-0000-0000BD7A0000}"/>
    <cellStyle name="Total 6 14 2" xfId="18189" xr:uid="{00000000-0005-0000-0000-0000BE7A0000}"/>
    <cellStyle name="Total 6 2" xfId="1377" xr:uid="{00000000-0005-0000-0000-0000BF7A0000}"/>
    <cellStyle name="Total 6 2 2" xfId="1881" xr:uid="{00000000-0005-0000-0000-0000C07A0000}"/>
    <cellStyle name="Total 6 2 2 2" xfId="3905" xr:uid="{00000000-0005-0000-0000-0000C17A0000}"/>
    <cellStyle name="Total 6 2 2 2 2" xfId="7956" xr:uid="{00000000-0005-0000-0000-0000C27A0000}"/>
    <cellStyle name="Total 6 2 2 2 2 2" xfId="17423" xr:uid="{00000000-0005-0000-0000-0000C37A0000}"/>
    <cellStyle name="Total 6 2 2 2 2 2 2" xfId="32255" xr:uid="{00000000-0005-0000-0000-0000C47A0000}"/>
    <cellStyle name="Total 6 2 2 2 2 3" xfId="19196" xr:uid="{00000000-0005-0000-0000-0000C57A0000}"/>
    <cellStyle name="Total 6 2 2 2 3" xfId="14238" xr:uid="{00000000-0005-0000-0000-0000C67A0000}"/>
    <cellStyle name="Total 6 2 2 2 3 2" xfId="29070" xr:uid="{00000000-0005-0000-0000-0000C77A0000}"/>
    <cellStyle name="Total 6 2 2 2 4" xfId="11039" xr:uid="{00000000-0005-0000-0000-0000C87A0000}"/>
    <cellStyle name="Total 6 2 2 2 4 2" xfId="25871" xr:uid="{00000000-0005-0000-0000-0000C97A0000}"/>
    <cellStyle name="Total 6 2 2 3" xfId="4859" xr:uid="{00000000-0005-0000-0000-0000CA7A0000}"/>
    <cellStyle name="Total 6 2 2 3 2" xfId="8898" xr:uid="{00000000-0005-0000-0000-0000CB7A0000}"/>
    <cellStyle name="Total 6 2 2 3 2 2" xfId="17939" xr:uid="{00000000-0005-0000-0000-0000CC7A0000}"/>
    <cellStyle name="Total 6 2 2 3 2 2 2" xfId="32771" xr:uid="{00000000-0005-0000-0000-0000CD7A0000}"/>
    <cellStyle name="Total 6 2 2 3 2 3" xfId="19541" xr:uid="{00000000-0005-0000-0000-0000CE7A0000}"/>
    <cellStyle name="Total 6 2 2 3 3" xfId="15183" xr:uid="{00000000-0005-0000-0000-0000CF7A0000}"/>
    <cellStyle name="Total 6 2 2 3 3 2" xfId="30015" xr:uid="{00000000-0005-0000-0000-0000D07A0000}"/>
    <cellStyle name="Total 6 2 2 3 4" xfId="11542" xr:uid="{00000000-0005-0000-0000-0000D17A0000}"/>
    <cellStyle name="Total 6 2 2 3 4 2" xfId="26374" xr:uid="{00000000-0005-0000-0000-0000D27A0000}"/>
    <cellStyle name="Total 6 2 2 4" xfId="2849" xr:uid="{00000000-0005-0000-0000-0000D37A0000}"/>
    <cellStyle name="Total 6 2 2 4 2" xfId="6940" xr:uid="{00000000-0005-0000-0000-0000D47A0000}"/>
    <cellStyle name="Total 6 2 2 4 2 2" xfId="16833" xr:uid="{00000000-0005-0000-0000-0000D57A0000}"/>
    <cellStyle name="Total 6 2 2 4 2 2 2" xfId="31665" xr:uid="{00000000-0005-0000-0000-0000D67A0000}"/>
    <cellStyle name="Total 6 2 2 4 2 3" xfId="18832" xr:uid="{00000000-0005-0000-0000-0000D77A0000}"/>
    <cellStyle name="Total 6 2 2 4 3" xfId="13187" xr:uid="{00000000-0005-0000-0000-0000D87A0000}"/>
    <cellStyle name="Total 6 2 2 4 3 2" xfId="28019" xr:uid="{00000000-0005-0000-0000-0000D97A0000}"/>
    <cellStyle name="Total 6 2 2 4 4" xfId="10486" xr:uid="{00000000-0005-0000-0000-0000DA7A0000}"/>
    <cellStyle name="Total 6 2 2 4 4 2" xfId="25318" xr:uid="{00000000-0005-0000-0000-0000DB7A0000}"/>
    <cellStyle name="Total 6 2 2 5" xfId="6013" xr:uid="{00000000-0005-0000-0000-0000DC7A0000}"/>
    <cellStyle name="Total 6 2 2 5 2" xfId="16205" xr:uid="{00000000-0005-0000-0000-0000DD7A0000}"/>
    <cellStyle name="Total 6 2 2 5 2 2" xfId="31037" xr:uid="{00000000-0005-0000-0000-0000DE7A0000}"/>
    <cellStyle name="Total 6 2 2 5 3" xfId="18474" xr:uid="{00000000-0005-0000-0000-0000DF7A0000}"/>
    <cellStyle name="Total 6 2 2 6" xfId="12275" xr:uid="{00000000-0005-0000-0000-0000E07A0000}"/>
    <cellStyle name="Total 6 2 2 6 2" xfId="27107" xr:uid="{00000000-0005-0000-0000-0000E17A0000}"/>
    <cellStyle name="Total 6 2 2 7" xfId="9871" xr:uid="{00000000-0005-0000-0000-0000E27A0000}"/>
    <cellStyle name="Total 6 2 2 7 2" xfId="24797" xr:uid="{00000000-0005-0000-0000-0000E37A0000}"/>
    <cellStyle name="Total 6 2 3" xfId="4124" xr:uid="{00000000-0005-0000-0000-0000E47A0000}"/>
    <cellStyle name="Total 6 2 3 2" xfId="8168" xr:uid="{00000000-0005-0000-0000-0000E57A0000}"/>
    <cellStyle name="Total 6 2 3 2 2" xfId="17530" xr:uid="{00000000-0005-0000-0000-0000E67A0000}"/>
    <cellStyle name="Total 6 2 3 2 2 2" xfId="32362" xr:uid="{00000000-0005-0000-0000-0000E77A0000}"/>
    <cellStyle name="Total 6 2 3 2 3" xfId="19275" xr:uid="{00000000-0005-0000-0000-0000E87A0000}"/>
    <cellStyle name="Total 6 2 3 3" xfId="14456" xr:uid="{00000000-0005-0000-0000-0000E97A0000}"/>
    <cellStyle name="Total 6 2 3 3 2" xfId="29288" xr:uid="{00000000-0005-0000-0000-0000EA7A0000}"/>
    <cellStyle name="Total 6 2 3 4" xfId="11148" xr:uid="{00000000-0005-0000-0000-0000EB7A0000}"/>
    <cellStyle name="Total 6 2 3 4 2" xfId="25980" xr:uid="{00000000-0005-0000-0000-0000EC7A0000}"/>
    <cellStyle name="Total 6 2 4" xfId="4439" xr:uid="{00000000-0005-0000-0000-0000ED7A0000}"/>
    <cellStyle name="Total 6 2 4 2" xfId="8478" xr:uid="{00000000-0005-0000-0000-0000EE7A0000}"/>
    <cellStyle name="Total 6 2 4 2 2" xfId="17699" xr:uid="{00000000-0005-0000-0000-0000EF7A0000}"/>
    <cellStyle name="Total 6 2 4 2 2 2" xfId="32531" xr:uid="{00000000-0005-0000-0000-0000F07A0000}"/>
    <cellStyle name="Total 6 2 4 2 3" xfId="19381" xr:uid="{00000000-0005-0000-0000-0000F17A0000}"/>
    <cellStyle name="Total 6 2 4 3" xfId="14768" xr:uid="{00000000-0005-0000-0000-0000F27A0000}"/>
    <cellStyle name="Total 6 2 4 3 2" xfId="29600" xr:uid="{00000000-0005-0000-0000-0000F37A0000}"/>
    <cellStyle name="Total 6 2 4 4" xfId="11307" xr:uid="{00000000-0005-0000-0000-0000F47A0000}"/>
    <cellStyle name="Total 6 2 4 4 2" xfId="26139" xr:uid="{00000000-0005-0000-0000-0000F57A0000}"/>
    <cellStyle name="Total 6 2 5" xfId="2429" xr:uid="{00000000-0005-0000-0000-0000F67A0000}"/>
    <cellStyle name="Total 6 2 5 2" xfId="6541" xr:uid="{00000000-0005-0000-0000-0000F77A0000}"/>
    <cellStyle name="Total 6 2 5 2 2" xfId="16597" xr:uid="{00000000-0005-0000-0000-0000F87A0000}"/>
    <cellStyle name="Total 6 2 5 2 2 2" xfId="31429" xr:uid="{00000000-0005-0000-0000-0000F97A0000}"/>
    <cellStyle name="Total 6 2 5 2 3" xfId="18669" xr:uid="{00000000-0005-0000-0000-0000FA7A0000}"/>
    <cellStyle name="Total 6 2 5 3" xfId="12768" xr:uid="{00000000-0005-0000-0000-0000FB7A0000}"/>
    <cellStyle name="Total 6 2 5 3 2" xfId="27600" xr:uid="{00000000-0005-0000-0000-0000FC7A0000}"/>
    <cellStyle name="Total 6 2 5 4" xfId="10247" xr:uid="{00000000-0005-0000-0000-0000FD7A0000}"/>
    <cellStyle name="Total 6 2 5 4 2" xfId="25079" xr:uid="{00000000-0005-0000-0000-0000FE7A0000}"/>
    <cellStyle name="Total 6 2 6" xfId="5554" xr:uid="{00000000-0005-0000-0000-0000FF7A0000}"/>
    <cellStyle name="Total 6 2 6 2" xfId="15789" xr:uid="{00000000-0005-0000-0000-0000007B0000}"/>
    <cellStyle name="Total 6 2 6 2 2" xfId="30621" xr:uid="{00000000-0005-0000-0000-0000017B0000}"/>
    <cellStyle name="Total 6 2 6 3" xfId="18311" xr:uid="{00000000-0005-0000-0000-0000027B0000}"/>
    <cellStyle name="Total 6 2 7" xfId="11804" xr:uid="{00000000-0005-0000-0000-0000037B0000}"/>
    <cellStyle name="Total 6 2 7 2" xfId="26636" xr:uid="{00000000-0005-0000-0000-0000047B0000}"/>
    <cellStyle name="Total 6 2 8" xfId="9475" xr:uid="{00000000-0005-0000-0000-0000057B0000}"/>
    <cellStyle name="Total 6 2 8 2" xfId="19779" xr:uid="{00000000-0005-0000-0000-0000067B0000}"/>
    <cellStyle name="Total 6 3" xfId="1549" xr:uid="{00000000-0005-0000-0000-0000077B0000}"/>
    <cellStyle name="Total 6 3 2" xfId="2046" xr:uid="{00000000-0005-0000-0000-0000087B0000}"/>
    <cellStyle name="Total 6 3 2 2" xfId="4321" xr:uid="{00000000-0005-0000-0000-0000097B0000}"/>
    <cellStyle name="Total 6 3 2 2 2" xfId="8360" xr:uid="{00000000-0005-0000-0000-00000A7B0000}"/>
    <cellStyle name="Total 6 3 2 2 2 2" xfId="17638" xr:uid="{00000000-0005-0000-0000-00000B7B0000}"/>
    <cellStyle name="Total 6 3 2 2 2 2 2" xfId="32470" xr:uid="{00000000-0005-0000-0000-00000C7B0000}"/>
    <cellStyle name="Total 6 3 2 2 2 3" xfId="19340" xr:uid="{00000000-0005-0000-0000-00000D7B0000}"/>
    <cellStyle name="Total 6 3 2 2 3" xfId="14652" xr:uid="{00000000-0005-0000-0000-00000E7B0000}"/>
    <cellStyle name="Total 6 3 2 2 3 2" xfId="29484" xr:uid="{00000000-0005-0000-0000-00000F7B0000}"/>
    <cellStyle name="Total 6 3 2 2 4" xfId="11248" xr:uid="{00000000-0005-0000-0000-0000107B0000}"/>
    <cellStyle name="Total 6 3 2 2 4 2" xfId="26080" xr:uid="{00000000-0005-0000-0000-0000117B0000}"/>
    <cellStyle name="Total 6 3 2 3" xfId="5014" xr:uid="{00000000-0005-0000-0000-0000127B0000}"/>
    <cellStyle name="Total 6 3 2 3 2" xfId="9053" xr:uid="{00000000-0005-0000-0000-0000137B0000}"/>
    <cellStyle name="Total 6 3 2 3 2 2" xfId="17991" xr:uid="{00000000-0005-0000-0000-0000147B0000}"/>
    <cellStyle name="Total 6 3 2 3 2 2 2" xfId="32823" xr:uid="{00000000-0005-0000-0000-0000157B0000}"/>
    <cellStyle name="Total 6 3 2 3 2 3" xfId="19573" xr:uid="{00000000-0005-0000-0000-0000167B0000}"/>
    <cellStyle name="Total 6 3 2 3 3" xfId="15336" xr:uid="{00000000-0005-0000-0000-0000177B0000}"/>
    <cellStyle name="Total 6 3 2 3 3 2" xfId="30168" xr:uid="{00000000-0005-0000-0000-0000187B0000}"/>
    <cellStyle name="Total 6 3 2 3 4" xfId="11592" xr:uid="{00000000-0005-0000-0000-0000197B0000}"/>
    <cellStyle name="Total 6 3 2 3 4 2" xfId="26424" xr:uid="{00000000-0005-0000-0000-00001A7B0000}"/>
    <cellStyle name="Total 6 3 2 4" xfId="3004" xr:uid="{00000000-0005-0000-0000-00001B7B0000}"/>
    <cellStyle name="Total 6 3 2 4 2" xfId="7084" xr:uid="{00000000-0005-0000-0000-00001C7B0000}"/>
    <cellStyle name="Total 6 3 2 4 2 2" xfId="16883" xr:uid="{00000000-0005-0000-0000-00001D7B0000}"/>
    <cellStyle name="Total 6 3 2 4 2 2 2" xfId="31715" xr:uid="{00000000-0005-0000-0000-00001E7B0000}"/>
    <cellStyle name="Total 6 3 2 4 2 3" xfId="18865" xr:uid="{00000000-0005-0000-0000-00001F7B0000}"/>
    <cellStyle name="Total 6 3 2 4 3" xfId="13342" xr:uid="{00000000-0005-0000-0000-0000207B0000}"/>
    <cellStyle name="Total 6 3 2 4 3 2" xfId="28174" xr:uid="{00000000-0005-0000-0000-0000217B0000}"/>
    <cellStyle name="Total 6 3 2 4 4" xfId="10538" xr:uid="{00000000-0005-0000-0000-0000227B0000}"/>
    <cellStyle name="Total 6 3 2 4 4 2" xfId="25370" xr:uid="{00000000-0005-0000-0000-0000237B0000}"/>
    <cellStyle name="Total 6 3 2 5" xfId="6176" xr:uid="{00000000-0005-0000-0000-0000247B0000}"/>
    <cellStyle name="Total 6 3 2 5 2" xfId="16363" xr:uid="{00000000-0005-0000-0000-0000257B0000}"/>
    <cellStyle name="Total 6 3 2 5 2 2" xfId="31195" xr:uid="{00000000-0005-0000-0000-0000267B0000}"/>
    <cellStyle name="Total 6 3 2 5 3" xfId="18506" xr:uid="{00000000-0005-0000-0000-0000277B0000}"/>
    <cellStyle name="Total 6 3 2 6" xfId="12433" xr:uid="{00000000-0005-0000-0000-0000287B0000}"/>
    <cellStyle name="Total 6 3 2 6 2" xfId="27265" xr:uid="{00000000-0005-0000-0000-0000297B0000}"/>
    <cellStyle name="Total 6 3 2 7" xfId="10015" xr:uid="{00000000-0005-0000-0000-00002A7B0000}"/>
    <cellStyle name="Total 6 3 2 7 2" xfId="24847" xr:uid="{00000000-0005-0000-0000-00002B7B0000}"/>
    <cellStyle name="Total 6 3 3" xfId="3203" xr:uid="{00000000-0005-0000-0000-00002C7B0000}"/>
    <cellStyle name="Total 6 3 3 2" xfId="7267" xr:uid="{00000000-0005-0000-0000-00002D7B0000}"/>
    <cellStyle name="Total 6 3 3 2 2" xfId="17034" xr:uid="{00000000-0005-0000-0000-00002E7B0000}"/>
    <cellStyle name="Total 6 3 3 2 2 2" xfId="31866" xr:uid="{00000000-0005-0000-0000-00002F7B0000}"/>
    <cellStyle name="Total 6 3 3 2 3" xfId="18961" xr:uid="{00000000-0005-0000-0000-0000307B0000}"/>
    <cellStyle name="Total 6 3 3 3" xfId="13541" xr:uid="{00000000-0005-0000-0000-0000317B0000}"/>
    <cellStyle name="Total 6 3 3 3 2" xfId="28373" xr:uid="{00000000-0005-0000-0000-0000327B0000}"/>
    <cellStyle name="Total 6 3 3 4" xfId="10678" xr:uid="{00000000-0005-0000-0000-0000337B0000}"/>
    <cellStyle name="Total 6 3 3 4 2" xfId="25510" xr:uid="{00000000-0005-0000-0000-0000347B0000}"/>
    <cellStyle name="Total 6 3 4" xfId="4594" xr:uid="{00000000-0005-0000-0000-0000357B0000}"/>
    <cellStyle name="Total 6 3 4 2" xfId="8633" xr:uid="{00000000-0005-0000-0000-0000367B0000}"/>
    <cellStyle name="Total 6 3 4 2 2" xfId="17751" xr:uid="{00000000-0005-0000-0000-0000377B0000}"/>
    <cellStyle name="Total 6 3 4 2 2 2" xfId="32583" xr:uid="{00000000-0005-0000-0000-0000387B0000}"/>
    <cellStyle name="Total 6 3 4 2 3" xfId="19413" xr:uid="{00000000-0005-0000-0000-0000397B0000}"/>
    <cellStyle name="Total 6 3 4 3" xfId="14921" xr:uid="{00000000-0005-0000-0000-00003A7B0000}"/>
    <cellStyle name="Total 6 3 4 3 2" xfId="29753" xr:uid="{00000000-0005-0000-0000-00003B7B0000}"/>
    <cellStyle name="Total 6 3 4 4" xfId="11357" xr:uid="{00000000-0005-0000-0000-00003C7B0000}"/>
    <cellStyle name="Total 6 3 4 4 2" xfId="26189" xr:uid="{00000000-0005-0000-0000-00003D7B0000}"/>
    <cellStyle name="Total 6 3 5" xfId="2584" xr:uid="{00000000-0005-0000-0000-00003E7B0000}"/>
    <cellStyle name="Total 6 3 5 2" xfId="6690" xr:uid="{00000000-0005-0000-0000-00003F7B0000}"/>
    <cellStyle name="Total 6 3 5 2 2" xfId="16648" xr:uid="{00000000-0005-0000-0000-0000407B0000}"/>
    <cellStyle name="Total 6 3 5 2 2 2" xfId="31480" xr:uid="{00000000-0005-0000-0000-0000417B0000}"/>
    <cellStyle name="Total 6 3 5 2 3" xfId="18701" xr:uid="{00000000-0005-0000-0000-0000427B0000}"/>
    <cellStyle name="Total 6 3 5 3" xfId="12922" xr:uid="{00000000-0005-0000-0000-0000437B0000}"/>
    <cellStyle name="Total 6 3 5 3 2" xfId="27754" xr:uid="{00000000-0005-0000-0000-0000447B0000}"/>
    <cellStyle name="Total 6 3 5 4" xfId="10298" xr:uid="{00000000-0005-0000-0000-0000457B0000}"/>
    <cellStyle name="Total 6 3 5 4 2" xfId="25130" xr:uid="{00000000-0005-0000-0000-0000467B0000}"/>
    <cellStyle name="Total 6 3 6" xfId="5707" xr:uid="{00000000-0005-0000-0000-0000477B0000}"/>
    <cellStyle name="Total 6 3 6 2" xfId="15942" xr:uid="{00000000-0005-0000-0000-0000487B0000}"/>
    <cellStyle name="Total 6 3 6 2 2" xfId="30774" xr:uid="{00000000-0005-0000-0000-0000497B0000}"/>
    <cellStyle name="Total 6 3 6 3" xfId="18343" xr:uid="{00000000-0005-0000-0000-00004A7B0000}"/>
    <cellStyle name="Total 6 3 7" xfId="11962" xr:uid="{00000000-0005-0000-0000-00004B7B0000}"/>
    <cellStyle name="Total 6 3 7 2" xfId="26794" xr:uid="{00000000-0005-0000-0000-00004C7B0000}"/>
    <cellStyle name="Total 6 3 8" xfId="9620" xr:uid="{00000000-0005-0000-0000-00004D7B0000}"/>
    <cellStyle name="Total 6 3 8 2" xfId="19922" xr:uid="{00000000-0005-0000-0000-00004E7B0000}"/>
    <cellStyle name="Total 6 4" xfId="1602" xr:uid="{00000000-0005-0000-0000-00004F7B0000}"/>
    <cellStyle name="Total 6 4 2" xfId="2099" xr:uid="{00000000-0005-0000-0000-0000507B0000}"/>
    <cellStyle name="Total 6 4 2 2" xfId="4041" xr:uid="{00000000-0005-0000-0000-0000517B0000}"/>
    <cellStyle name="Total 6 4 2 2 2" xfId="8088" xr:uid="{00000000-0005-0000-0000-0000527B0000}"/>
    <cellStyle name="Total 6 4 2 2 2 2" xfId="17489" xr:uid="{00000000-0005-0000-0000-0000537B0000}"/>
    <cellStyle name="Total 6 4 2 2 2 2 2" xfId="32321" xr:uid="{00000000-0005-0000-0000-0000547B0000}"/>
    <cellStyle name="Total 6 4 2 2 2 3" xfId="19245" xr:uid="{00000000-0005-0000-0000-0000557B0000}"/>
    <cellStyle name="Total 6 4 2 2 3" xfId="14373" xr:uid="{00000000-0005-0000-0000-0000567B0000}"/>
    <cellStyle name="Total 6 4 2 2 3 2" xfId="29205" xr:uid="{00000000-0005-0000-0000-0000577B0000}"/>
    <cellStyle name="Total 6 4 2 2 4" xfId="11105" xr:uid="{00000000-0005-0000-0000-0000587B0000}"/>
    <cellStyle name="Total 6 4 2 2 4 2" xfId="25937" xr:uid="{00000000-0005-0000-0000-0000597B0000}"/>
    <cellStyle name="Total 6 4 2 3" xfId="5067" xr:uid="{00000000-0005-0000-0000-00005A7B0000}"/>
    <cellStyle name="Total 6 4 2 3 2" xfId="9106" xr:uid="{00000000-0005-0000-0000-00005B7B0000}"/>
    <cellStyle name="Total 6 4 2 3 2 2" xfId="18039" xr:uid="{00000000-0005-0000-0000-00005C7B0000}"/>
    <cellStyle name="Total 6 4 2 3 2 2 2" xfId="32871" xr:uid="{00000000-0005-0000-0000-00005D7B0000}"/>
    <cellStyle name="Total 6 4 2 3 2 3" xfId="19605" xr:uid="{00000000-0005-0000-0000-00005E7B0000}"/>
    <cellStyle name="Total 6 4 2 3 3" xfId="15388" xr:uid="{00000000-0005-0000-0000-00005F7B0000}"/>
    <cellStyle name="Total 6 4 2 3 3 2" xfId="30220" xr:uid="{00000000-0005-0000-0000-0000607B0000}"/>
    <cellStyle name="Total 6 4 2 3 4" xfId="11639" xr:uid="{00000000-0005-0000-0000-0000617B0000}"/>
    <cellStyle name="Total 6 4 2 3 4 2" xfId="26471" xr:uid="{00000000-0005-0000-0000-0000627B0000}"/>
    <cellStyle name="Total 6 4 2 4" xfId="3057" xr:uid="{00000000-0005-0000-0000-0000637B0000}"/>
    <cellStyle name="Total 6 4 2 4 2" xfId="7132" xr:uid="{00000000-0005-0000-0000-0000647B0000}"/>
    <cellStyle name="Total 6 4 2 4 2 2" xfId="16930" xr:uid="{00000000-0005-0000-0000-0000657B0000}"/>
    <cellStyle name="Total 6 4 2 4 2 2 2" xfId="31762" xr:uid="{00000000-0005-0000-0000-0000667B0000}"/>
    <cellStyle name="Total 6 4 2 4 2 3" xfId="18898" xr:uid="{00000000-0005-0000-0000-0000677B0000}"/>
    <cellStyle name="Total 6 4 2 4 3" xfId="13395" xr:uid="{00000000-0005-0000-0000-0000687B0000}"/>
    <cellStyle name="Total 6 4 2 4 3 2" xfId="28227" xr:uid="{00000000-0005-0000-0000-0000697B0000}"/>
    <cellStyle name="Total 6 4 2 4 4" xfId="10586" xr:uid="{00000000-0005-0000-0000-00006A7B0000}"/>
    <cellStyle name="Total 6 4 2 4 4 2" xfId="25418" xr:uid="{00000000-0005-0000-0000-00006B7B0000}"/>
    <cellStyle name="Total 6 4 2 5" xfId="6224" xr:uid="{00000000-0005-0000-0000-00006C7B0000}"/>
    <cellStyle name="Total 6 4 2 5 2" xfId="16410" xr:uid="{00000000-0005-0000-0000-00006D7B0000}"/>
    <cellStyle name="Total 6 4 2 5 2 2" xfId="31242" xr:uid="{00000000-0005-0000-0000-00006E7B0000}"/>
    <cellStyle name="Total 6 4 2 5 3" xfId="18539" xr:uid="{00000000-0005-0000-0000-00006F7B0000}"/>
    <cellStyle name="Total 6 4 2 6" xfId="12480" xr:uid="{00000000-0005-0000-0000-0000707B0000}"/>
    <cellStyle name="Total 6 4 2 6 2" xfId="27312" xr:uid="{00000000-0005-0000-0000-0000717B0000}"/>
    <cellStyle name="Total 6 4 2 7" xfId="10062" xr:uid="{00000000-0005-0000-0000-0000727B0000}"/>
    <cellStyle name="Total 6 4 2 7 2" xfId="24894" xr:uid="{00000000-0005-0000-0000-0000737B0000}"/>
    <cellStyle name="Total 6 4 3" xfId="3763" xr:uid="{00000000-0005-0000-0000-0000747B0000}"/>
    <cellStyle name="Total 6 4 3 2" xfId="7819" xr:uid="{00000000-0005-0000-0000-0000757B0000}"/>
    <cellStyle name="Total 6 4 3 2 2" xfId="17354" xr:uid="{00000000-0005-0000-0000-0000767B0000}"/>
    <cellStyle name="Total 6 4 3 2 2 2" xfId="32186" xr:uid="{00000000-0005-0000-0000-0000777B0000}"/>
    <cellStyle name="Total 6 4 3 2 3" xfId="19148" xr:uid="{00000000-0005-0000-0000-0000787B0000}"/>
    <cellStyle name="Total 6 4 3 3" xfId="14098" xr:uid="{00000000-0005-0000-0000-0000797B0000}"/>
    <cellStyle name="Total 6 4 3 3 2" xfId="28930" xr:uid="{00000000-0005-0000-0000-00007A7B0000}"/>
    <cellStyle name="Total 6 4 3 4" xfId="10970" xr:uid="{00000000-0005-0000-0000-00007B7B0000}"/>
    <cellStyle name="Total 6 4 3 4 2" xfId="25802" xr:uid="{00000000-0005-0000-0000-00007C7B0000}"/>
    <cellStyle name="Total 6 4 4" xfId="4647" xr:uid="{00000000-0005-0000-0000-00007D7B0000}"/>
    <cellStyle name="Total 6 4 4 2" xfId="8686" xr:uid="{00000000-0005-0000-0000-00007E7B0000}"/>
    <cellStyle name="Total 6 4 4 2 2" xfId="17799" xr:uid="{00000000-0005-0000-0000-00007F7B0000}"/>
    <cellStyle name="Total 6 4 4 2 2 2" xfId="32631" xr:uid="{00000000-0005-0000-0000-0000807B0000}"/>
    <cellStyle name="Total 6 4 4 2 3" xfId="19445" xr:uid="{00000000-0005-0000-0000-0000817B0000}"/>
    <cellStyle name="Total 6 4 4 3" xfId="14973" xr:uid="{00000000-0005-0000-0000-0000827B0000}"/>
    <cellStyle name="Total 6 4 4 3 2" xfId="29805" xr:uid="{00000000-0005-0000-0000-0000837B0000}"/>
    <cellStyle name="Total 6 4 4 4" xfId="11404" xr:uid="{00000000-0005-0000-0000-0000847B0000}"/>
    <cellStyle name="Total 6 4 4 4 2" xfId="26236" xr:uid="{00000000-0005-0000-0000-0000857B0000}"/>
    <cellStyle name="Total 6 4 5" xfId="2637" xr:uid="{00000000-0005-0000-0000-0000867B0000}"/>
    <cellStyle name="Total 6 4 5 2" xfId="6738" xr:uid="{00000000-0005-0000-0000-0000877B0000}"/>
    <cellStyle name="Total 6 4 5 2 2" xfId="16695" xr:uid="{00000000-0005-0000-0000-0000887B0000}"/>
    <cellStyle name="Total 6 4 5 2 2 2" xfId="31527" xr:uid="{00000000-0005-0000-0000-0000897B0000}"/>
    <cellStyle name="Total 6 4 5 2 3" xfId="18734" xr:uid="{00000000-0005-0000-0000-00008A7B0000}"/>
    <cellStyle name="Total 6 4 5 3" xfId="12975" xr:uid="{00000000-0005-0000-0000-00008B7B0000}"/>
    <cellStyle name="Total 6 4 5 3 2" xfId="27807" xr:uid="{00000000-0005-0000-0000-00008C7B0000}"/>
    <cellStyle name="Total 6 4 5 4" xfId="10346" xr:uid="{00000000-0005-0000-0000-00008D7B0000}"/>
    <cellStyle name="Total 6 4 5 4 2" xfId="25178" xr:uid="{00000000-0005-0000-0000-00008E7B0000}"/>
    <cellStyle name="Total 6 4 6" xfId="5754" xr:uid="{00000000-0005-0000-0000-00008F7B0000}"/>
    <cellStyle name="Total 6 4 6 2" xfId="15989" xr:uid="{00000000-0005-0000-0000-0000907B0000}"/>
    <cellStyle name="Total 6 4 6 2 2" xfId="30821" xr:uid="{00000000-0005-0000-0000-0000917B0000}"/>
    <cellStyle name="Total 6 4 6 3" xfId="18375" xr:uid="{00000000-0005-0000-0000-0000927B0000}"/>
    <cellStyle name="Total 6 4 7" xfId="12009" xr:uid="{00000000-0005-0000-0000-0000937B0000}"/>
    <cellStyle name="Total 6 4 7 2" xfId="26841" xr:uid="{00000000-0005-0000-0000-0000947B0000}"/>
    <cellStyle name="Total 6 4 8" xfId="9668" xr:uid="{00000000-0005-0000-0000-0000957B0000}"/>
    <cellStyle name="Total 6 4 8 2" xfId="19969" xr:uid="{00000000-0005-0000-0000-0000967B0000}"/>
    <cellStyle name="Total 6 5" xfId="1652" xr:uid="{00000000-0005-0000-0000-0000977B0000}"/>
    <cellStyle name="Total 6 5 2" xfId="2149" xr:uid="{00000000-0005-0000-0000-0000987B0000}"/>
    <cellStyle name="Total 6 5 2 2" xfId="3904" xr:uid="{00000000-0005-0000-0000-0000997B0000}"/>
    <cellStyle name="Total 6 5 2 2 2" xfId="7955" xr:uid="{00000000-0005-0000-0000-00009A7B0000}"/>
    <cellStyle name="Total 6 5 2 2 2 2" xfId="17422" xr:uid="{00000000-0005-0000-0000-00009B7B0000}"/>
    <cellStyle name="Total 6 5 2 2 2 2 2" xfId="32254" xr:uid="{00000000-0005-0000-0000-00009C7B0000}"/>
    <cellStyle name="Total 6 5 2 2 2 3" xfId="19195" xr:uid="{00000000-0005-0000-0000-00009D7B0000}"/>
    <cellStyle name="Total 6 5 2 2 3" xfId="14237" xr:uid="{00000000-0005-0000-0000-00009E7B0000}"/>
    <cellStyle name="Total 6 5 2 2 3 2" xfId="29069" xr:uid="{00000000-0005-0000-0000-00009F7B0000}"/>
    <cellStyle name="Total 6 5 2 2 4" xfId="11038" xr:uid="{00000000-0005-0000-0000-0000A07B0000}"/>
    <cellStyle name="Total 6 5 2 2 4 2" xfId="25870" xr:uid="{00000000-0005-0000-0000-0000A17B0000}"/>
    <cellStyle name="Total 6 5 2 3" xfId="5117" xr:uid="{00000000-0005-0000-0000-0000A27B0000}"/>
    <cellStyle name="Total 6 5 2 3 2" xfId="9156" xr:uid="{00000000-0005-0000-0000-0000A37B0000}"/>
    <cellStyle name="Total 6 5 2 3 2 2" xfId="18084" xr:uid="{00000000-0005-0000-0000-0000A47B0000}"/>
    <cellStyle name="Total 6 5 2 3 2 2 2" xfId="32916" xr:uid="{00000000-0005-0000-0000-0000A57B0000}"/>
    <cellStyle name="Total 6 5 2 3 2 3" xfId="19637" xr:uid="{00000000-0005-0000-0000-0000A67B0000}"/>
    <cellStyle name="Total 6 5 2 3 3" xfId="15437" xr:uid="{00000000-0005-0000-0000-0000A77B0000}"/>
    <cellStyle name="Total 6 5 2 3 3 2" xfId="30269" xr:uid="{00000000-0005-0000-0000-0000A87B0000}"/>
    <cellStyle name="Total 6 5 2 3 4" xfId="11683" xr:uid="{00000000-0005-0000-0000-0000A97B0000}"/>
    <cellStyle name="Total 6 5 2 3 4 2" xfId="26515" xr:uid="{00000000-0005-0000-0000-0000AA7B0000}"/>
    <cellStyle name="Total 6 5 2 4" xfId="3107" xr:uid="{00000000-0005-0000-0000-0000AB7B0000}"/>
    <cellStyle name="Total 6 5 2 4 2" xfId="7177" xr:uid="{00000000-0005-0000-0000-0000AC7B0000}"/>
    <cellStyle name="Total 6 5 2 4 2 2" xfId="16974" xr:uid="{00000000-0005-0000-0000-0000AD7B0000}"/>
    <cellStyle name="Total 6 5 2 4 2 2 2" xfId="31806" xr:uid="{00000000-0005-0000-0000-0000AE7B0000}"/>
    <cellStyle name="Total 6 5 2 4 2 3" xfId="18931" xr:uid="{00000000-0005-0000-0000-0000AF7B0000}"/>
    <cellStyle name="Total 6 5 2 4 3" xfId="13445" xr:uid="{00000000-0005-0000-0000-0000B07B0000}"/>
    <cellStyle name="Total 6 5 2 4 3 2" xfId="28277" xr:uid="{00000000-0005-0000-0000-0000B17B0000}"/>
    <cellStyle name="Total 6 5 2 4 4" xfId="10631" xr:uid="{00000000-0005-0000-0000-0000B27B0000}"/>
    <cellStyle name="Total 6 5 2 4 4 2" xfId="25463" xr:uid="{00000000-0005-0000-0000-0000B37B0000}"/>
    <cellStyle name="Total 6 5 2 5" xfId="6269" xr:uid="{00000000-0005-0000-0000-0000B47B0000}"/>
    <cellStyle name="Total 6 5 2 5 2" xfId="16454" xr:uid="{00000000-0005-0000-0000-0000B57B0000}"/>
    <cellStyle name="Total 6 5 2 5 2 2" xfId="31286" xr:uid="{00000000-0005-0000-0000-0000B67B0000}"/>
    <cellStyle name="Total 6 5 2 5 3" xfId="18572" xr:uid="{00000000-0005-0000-0000-0000B77B0000}"/>
    <cellStyle name="Total 6 5 2 6" xfId="12524" xr:uid="{00000000-0005-0000-0000-0000B87B0000}"/>
    <cellStyle name="Total 6 5 2 6 2" xfId="27356" xr:uid="{00000000-0005-0000-0000-0000B97B0000}"/>
    <cellStyle name="Total 6 5 2 7" xfId="10106" xr:uid="{00000000-0005-0000-0000-0000BA7B0000}"/>
    <cellStyle name="Total 6 5 2 7 2" xfId="24938" xr:uid="{00000000-0005-0000-0000-0000BB7B0000}"/>
    <cellStyle name="Total 6 5 3" xfId="3631" xr:uid="{00000000-0005-0000-0000-0000BC7B0000}"/>
    <cellStyle name="Total 6 5 3 2" xfId="7690" xr:uid="{00000000-0005-0000-0000-0000BD7B0000}"/>
    <cellStyle name="Total 6 5 3 2 2" xfId="17290" xr:uid="{00000000-0005-0000-0000-0000BE7B0000}"/>
    <cellStyle name="Total 6 5 3 2 2 2" xfId="32122" xr:uid="{00000000-0005-0000-0000-0000BF7B0000}"/>
    <cellStyle name="Total 6 5 3 2 3" xfId="19104" xr:uid="{00000000-0005-0000-0000-0000C07B0000}"/>
    <cellStyle name="Total 6 5 3 3" xfId="13966" xr:uid="{00000000-0005-0000-0000-0000C17B0000}"/>
    <cellStyle name="Total 6 5 3 3 2" xfId="28798" xr:uid="{00000000-0005-0000-0000-0000C27B0000}"/>
    <cellStyle name="Total 6 5 3 4" xfId="10906" xr:uid="{00000000-0005-0000-0000-0000C37B0000}"/>
    <cellStyle name="Total 6 5 3 4 2" xfId="25738" xr:uid="{00000000-0005-0000-0000-0000C47B0000}"/>
    <cellStyle name="Total 6 5 4" xfId="4697" xr:uid="{00000000-0005-0000-0000-0000C57B0000}"/>
    <cellStyle name="Total 6 5 4 2" xfId="8736" xr:uid="{00000000-0005-0000-0000-0000C67B0000}"/>
    <cellStyle name="Total 6 5 4 2 2" xfId="17844" xr:uid="{00000000-0005-0000-0000-0000C77B0000}"/>
    <cellStyle name="Total 6 5 4 2 2 2" xfId="32676" xr:uid="{00000000-0005-0000-0000-0000C87B0000}"/>
    <cellStyle name="Total 6 5 4 2 3" xfId="19477" xr:uid="{00000000-0005-0000-0000-0000C97B0000}"/>
    <cellStyle name="Total 6 5 4 3" xfId="15022" xr:uid="{00000000-0005-0000-0000-0000CA7B0000}"/>
    <cellStyle name="Total 6 5 4 3 2" xfId="29854" xr:uid="{00000000-0005-0000-0000-0000CB7B0000}"/>
    <cellStyle name="Total 6 5 4 4" xfId="11448" xr:uid="{00000000-0005-0000-0000-0000CC7B0000}"/>
    <cellStyle name="Total 6 5 4 4 2" xfId="26280" xr:uid="{00000000-0005-0000-0000-0000CD7B0000}"/>
    <cellStyle name="Total 6 5 5" xfId="2687" xr:uid="{00000000-0005-0000-0000-0000CE7B0000}"/>
    <cellStyle name="Total 6 5 5 2" xfId="6783" xr:uid="{00000000-0005-0000-0000-0000CF7B0000}"/>
    <cellStyle name="Total 6 5 5 2 2" xfId="16739" xr:uid="{00000000-0005-0000-0000-0000D07B0000}"/>
    <cellStyle name="Total 6 5 5 2 2 2" xfId="31571" xr:uid="{00000000-0005-0000-0000-0000D17B0000}"/>
    <cellStyle name="Total 6 5 5 2 3" xfId="18767" xr:uid="{00000000-0005-0000-0000-0000D27B0000}"/>
    <cellStyle name="Total 6 5 5 3" xfId="13025" xr:uid="{00000000-0005-0000-0000-0000D37B0000}"/>
    <cellStyle name="Total 6 5 5 3 2" xfId="27857" xr:uid="{00000000-0005-0000-0000-0000D47B0000}"/>
    <cellStyle name="Total 6 5 5 4" xfId="10391" xr:uid="{00000000-0005-0000-0000-0000D57B0000}"/>
    <cellStyle name="Total 6 5 5 4 2" xfId="25223" xr:uid="{00000000-0005-0000-0000-0000D67B0000}"/>
    <cellStyle name="Total 6 5 6" xfId="5799" xr:uid="{00000000-0005-0000-0000-0000D77B0000}"/>
    <cellStyle name="Total 6 5 6 2" xfId="16033" xr:uid="{00000000-0005-0000-0000-0000D87B0000}"/>
    <cellStyle name="Total 6 5 6 2 2" xfId="30865" xr:uid="{00000000-0005-0000-0000-0000D97B0000}"/>
    <cellStyle name="Total 6 5 6 3" xfId="18408" xr:uid="{00000000-0005-0000-0000-0000DA7B0000}"/>
    <cellStyle name="Total 6 5 7" xfId="12053" xr:uid="{00000000-0005-0000-0000-0000DB7B0000}"/>
    <cellStyle name="Total 6 5 7 2" xfId="26885" xr:uid="{00000000-0005-0000-0000-0000DC7B0000}"/>
    <cellStyle name="Total 6 5 8" xfId="9713" xr:uid="{00000000-0005-0000-0000-0000DD7B0000}"/>
    <cellStyle name="Total 6 5 8 2" xfId="20013" xr:uid="{00000000-0005-0000-0000-0000DE7B0000}"/>
    <cellStyle name="Total 6 6" xfId="1803" xr:uid="{00000000-0005-0000-0000-0000DF7B0000}"/>
    <cellStyle name="Total 6 6 2" xfId="3676" xr:uid="{00000000-0005-0000-0000-0000E07B0000}"/>
    <cellStyle name="Total 6 6 2 2" xfId="7734" xr:uid="{00000000-0005-0000-0000-0000E17B0000}"/>
    <cellStyle name="Total 6 6 2 2 2" xfId="17311" xr:uid="{00000000-0005-0000-0000-0000E27B0000}"/>
    <cellStyle name="Total 6 6 2 2 2 2" xfId="32143" xr:uid="{00000000-0005-0000-0000-0000E37B0000}"/>
    <cellStyle name="Total 6 6 2 2 3" xfId="19119" xr:uid="{00000000-0005-0000-0000-0000E47B0000}"/>
    <cellStyle name="Total 6 6 2 3" xfId="14011" xr:uid="{00000000-0005-0000-0000-0000E57B0000}"/>
    <cellStyle name="Total 6 6 2 3 2" xfId="28843" xr:uid="{00000000-0005-0000-0000-0000E67B0000}"/>
    <cellStyle name="Total 6 6 2 4" xfId="10928" xr:uid="{00000000-0005-0000-0000-0000E77B0000}"/>
    <cellStyle name="Total 6 6 2 4 2" xfId="25760" xr:uid="{00000000-0005-0000-0000-0000E87B0000}"/>
    <cellStyle name="Total 6 6 3" xfId="4781" xr:uid="{00000000-0005-0000-0000-0000E97B0000}"/>
    <cellStyle name="Total 6 6 3 2" xfId="8820" xr:uid="{00000000-0005-0000-0000-0000EA7B0000}"/>
    <cellStyle name="Total 6 6 3 2 2" xfId="17892" xr:uid="{00000000-0005-0000-0000-0000EB7B0000}"/>
    <cellStyle name="Total 6 6 3 2 2 2" xfId="32724" xr:uid="{00000000-0005-0000-0000-0000EC7B0000}"/>
    <cellStyle name="Total 6 6 3 2 3" xfId="19509" xr:uid="{00000000-0005-0000-0000-0000ED7B0000}"/>
    <cellStyle name="Total 6 6 3 3" xfId="15105" xr:uid="{00000000-0005-0000-0000-0000EE7B0000}"/>
    <cellStyle name="Total 6 6 3 3 2" xfId="29937" xr:uid="{00000000-0005-0000-0000-0000EF7B0000}"/>
    <cellStyle name="Total 6 6 3 4" xfId="11495" xr:uid="{00000000-0005-0000-0000-0000F07B0000}"/>
    <cellStyle name="Total 6 6 3 4 2" xfId="26327" xr:uid="{00000000-0005-0000-0000-0000F17B0000}"/>
    <cellStyle name="Total 6 6 4" xfId="2771" xr:uid="{00000000-0005-0000-0000-0000F27B0000}"/>
    <cellStyle name="Total 6 6 4 2" xfId="6862" xr:uid="{00000000-0005-0000-0000-0000F37B0000}"/>
    <cellStyle name="Total 6 6 4 2 2" xfId="16786" xr:uid="{00000000-0005-0000-0000-0000F47B0000}"/>
    <cellStyle name="Total 6 6 4 2 2 2" xfId="31618" xr:uid="{00000000-0005-0000-0000-0000F57B0000}"/>
    <cellStyle name="Total 6 6 4 2 3" xfId="18800" xr:uid="{00000000-0005-0000-0000-0000F67B0000}"/>
    <cellStyle name="Total 6 6 4 3" xfId="13109" xr:uid="{00000000-0005-0000-0000-0000F77B0000}"/>
    <cellStyle name="Total 6 6 4 3 2" xfId="27941" xr:uid="{00000000-0005-0000-0000-0000F87B0000}"/>
    <cellStyle name="Total 6 6 4 4" xfId="10439" xr:uid="{00000000-0005-0000-0000-0000F97B0000}"/>
    <cellStyle name="Total 6 6 4 4 2" xfId="25271" xr:uid="{00000000-0005-0000-0000-0000FA7B0000}"/>
    <cellStyle name="Total 6 6 5" xfId="5935" xr:uid="{00000000-0005-0000-0000-0000FB7B0000}"/>
    <cellStyle name="Total 6 6 5 2" xfId="16127" xr:uid="{00000000-0005-0000-0000-0000FC7B0000}"/>
    <cellStyle name="Total 6 6 5 2 2" xfId="30959" xr:uid="{00000000-0005-0000-0000-0000FD7B0000}"/>
    <cellStyle name="Total 6 6 5 3" xfId="18442" xr:uid="{00000000-0005-0000-0000-0000FE7B0000}"/>
    <cellStyle name="Total 6 6 6" xfId="12197" xr:uid="{00000000-0005-0000-0000-0000FF7B0000}"/>
    <cellStyle name="Total 6 6 6 2" xfId="27029" xr:uid="{00000000-0005-0000-0000-0000007C0000}"/>
    <cellStyle name="Total 6 6 7" xfId="9793" xr:uid="{00000000-0005-0000-0000-0000017C0000}"/>
    <cellStyle name="Total 6 6 7 2" xfId="24750" xr:uid="{00000000-0005-0000-0000-0000027C0000}"/>
    <cellStyle name="Total 6 7" xfId="2163" xr:uid="{00000000-0005-0000-0000-0000037C0000}"/>
    <cellStyle name="Total 6 7 2" xfId="4009" xr:uid="{00000000-0005-0000-0000-0000047C0000}"/>
    <cellStyle name="Total 6 7 2 2" xfId="8056" xr:uid="{00000000-0005-0000-0000-0000057C0000}"/>
    <cellStyle name="Total 6 7 2 2 2" xfId="17472" xr:uid="{00000000-0005-0000-0000-0000067C0000}"/>
    <cellStyle name="Total 6 7 2 2 2 2" xfId="32304" xr:uid="{00000000-0005-0000-0000-0000077C0000}"/>
    <cellStyle name="Total 6 7 2 2 3" xfId="19232" xr:uid="{00000000-0005-0000-0000-0000087C0000}"/>
    <cellStyle name="Total 6 7 2 3" xfId="14341" xr:uid="{00000000-0005-0000-0000-0000097C0000}"/>
    <cellStyle name="Total 6 7 2 3 2" xfId="29173" xr:uid="{00000000-0005-0000-0000-00000A7C0000}"/>
    <cellStyle name="Total 6 7 2 4" xfId="11089" xr:uid="{00000000-0005-0000-0000-00000B7C0000}"/>
    <cellStyle name="Total 6 7 2 4 2" xfId="25921" xr:uid="{00000000-0005-0000-0000-00000C7C0000}"/>
    <cellStyle name="Total 6 7 3" xfId="5131" xr:uid="{00000000-0005-0000-0000-00000D7C0000}"/>
    <cellStyle name="Total 6 7 3 2" xfId="9170" xr:uid="{00000000-0005-0000-0000-00000E7C0000}"/>
    <cellStyle name="Total 6 7 3 2 2" xfId="18093" xr:uid="{00000000-0005-0000-0000-00000F7C0000}"/>
    <cellStyle name="Total 6 7 3 2 2 2" xfId="32925" xr:uid="{00000000-0005-0000-0000-0000107C0000}"/>
    <cellStyle name="Total 6 7 3 2 3" xfId="19644" xr:uid="{00000000-0005-0000-0000-0000117C0000}"/>
    <cellStyle name="Total 6 7 3 3" xfId="15449" xr:uid="{00000000-0005-0000-0000-0000127C0000}"/>
    <cellStyle name="Total 6 7 3 3 2" xfId="30281" xr:uid="{00000000-0005-0000-0000-0000137C0000}"/>
    <cellStyle name="Total 6 7 3 4" xfId="11690" xr:uid="{00000000-0005-0000-0000-0000147C0000}"/>
    <cellStyle name="Total 6 7 3 4 2" xfId="26522" xr:uid="{00000000-0005-0000-0000-0000157C0000}"/>
    <cellStyle name="Total 6 7 4" xfId="4161" xr:uid="{00000000-0005-0000-0000-0000167C0000}"/>
    <cellStyle name="Total 6 7 4 2" xfId="8202" xr:uid="{00000000-0005-0000-0000-0000177C0000}"/>
    <cellStyle name="Total 6 7 4 2 2" xfId="17549" xr:uid="{00000000-0005-0000-0000-0000187C0000}"/>
    <cellStyle name="Total 6 7 4 2 2 2" xfId="32381" xr:uid="{00000000-0005-0000-0000-0000197C0000}"/>
    <cellStyle name="Total 6 7 4 2 3" xfId="19287" xr:uid="{00000000-0005-0000-0000-00001A7C0000}"/>
    <cellStyle name="Total 6 7 4 3" xfId="14493" xr:uid="{00000000-0005-0000-0000-00001B7C0000}"/>
    <cellStyle name="Total 6 7 4 3 2" xfId="29325" xr:uid="{00000000-0005-0000-0000-00001C7C0000}"/>
    <cellStyle name="Total 6 7 4 4" xfId="11169" xr:uid="{00000000-0005-0000-0000-00001D7C0000}"/>
    <cellStyle name="Total 6 7 4 4 2" xfId="26001" xr:uid="{00000000-0005-0000-0000-00001E7C0000}"/>
    <cellStyle name="Total 6 7 5" xfId="6277" xr:uid="{00000000-0005-0000-0000-00001F7C0000}"/>
    <cellStyle name="Total 6 7 5 2" xfId="16461" xr:uid="{00000000-0005-0000-0000-0000207C0000}"/>
    <cellStyle name="Total 6 7 5 2 2" xfId="31293" xr:uid="{00000000-0005-0000-0000-0000217C0000}"/>
    <cellStyle name="Total 6 7 5 3" xfId="18580" xr:uid="{00000000-0005-0000-0000-0000227C0000}"/>
    <cellStyle name="Total 6 7 6" xfId="12531" xr:uid="{00000000-0005-0000-0000-0000237C0000}"/>
    <cellStyle name="Total 6 7 6 2" xfId="27363" xr:uid="{00000000-0005-0000-0000-0000247C0000}"/>
    <cellStyle name="Total 6 7 7" xfId="10113" xr:uid="{00000000-0005-0000-0000-0000257C0000}"/>
    <cellStyle name="Total 6 7 7 2" xfId="24945" xr:uid="{00000000-0005-0000-0000-0000267C0000}"/>
    <cellStyle name="Total 6 8" xfId="3267" xr:uid="{00000000-0005-0000-0000-0000277C0000}"/>
    <cellStyle name="Total 6 8 2" xfId="7331" xr:uid="{00000000-0005-0000-0000-0000287C0000}"/>
    <cellStyle name="Total 6 8 2 2" xfId="17076" xr:uid="{00000000-0005-0000-0000-0000297C0000}"/>
    <cellStyle name="Total 6 8 2 2 2" xfId="31908" xr:uid="{00000000-0005-0000-0000-00002A7C0000}"/>
    <cellStyle name="Total 6 8 2 3" xfId="18977" xr:uid="{00000000-0005-0000-0000-00002B7C0000}"/>
    <cellStyle name="Total 6 8 3" xfId="13604" xr:uid="{00000000-0005-0000-0000-00002C7C0000}"/>
    <cellStyle name="Total 6 8 3 2" xfId="28436" xr:uid="{00000000-0005-0000-0000-00002D7C0000}"/>
    <cellStyle name="Total 6 8 4" xfId="10704" xr:uid="{00000000-0005-0000-0000-00002E7C0000}"/>
    <cellStyle name="Total 6 8 4 2" xfId="25536" xr:uid="{00000000-0005-0000-0000-00002F7C0000}"/>
    <cellStyle name="Total 6 9" xfId="3189" xr:uid="{00000000-0005-0000-0000-0000307C0000}"/>
    <cellStyle name="Total 6 9 2" xfId="7253" xr:uid="{00000000-0005-0000-0000-0000317C0000}"/>
    <cellStyle name="Total 6 9 2 2" xfId="17023" xr:uid="{00000000-0005-0000-0000-0000327C0000}"/>
    <cellStyle name="Total 6 9 2 2 2" xfId="31855" xr:uid="{00000000-0005-0000-0000-0000337C0000}"/>
    <cellStyle name="Total 6 9 2 3" xfId="18956" xr:uid="{00000000-0005-0000-0000-0000347C0000}"/>
    <cellStyle name="Total 6 9 3" xfId="13527" xr:uid="{00000000-0005-0000-0000-0000357C0000}"/>
    <cellStyle name="Total 6 9 3 2" xfId="28359" xr:uid="{00000000-0005-0000-0000-0000367C0000}"/>
    <cellStyle name="Total 6 9 4" xfId="10670" xr:uid="{00000000-0005-0000-0000-0000377C0000}"/>
    <cellStyle name="Total 6 9 4 2" xfId="25502" xr:uid="{00000000-0005-0000-0000-0000387C0000}"/>
    <cellStyle name="Total 7" xfId="1279" xr:uid="{00000000-0005-0000-0000-0000397C0000}"/>
    <cellStyle name="Total 7 10" xfId="2346" xr:uid="{00000000-0005-0000-0000-00003A7C0000}"/>
    <cellStyle name="Total 7 10 2" xfId="6458" xr:uid="{00000000-0005-0000-0000-00003B7C0000}"/>
    <cellStyle name="Total 7 10 2 2" xfId="16550" xr:uid="{00000000-0005-0000-0000-00003C7C0000}"/>
    <cellStyle name="Total 7 10 2 2 2" xfId="31382" xr:uid="{00000000-0005-0000-0000-00003D7C0000}"/>
    <cellStyle name="Total 7 10 2 3" xfId="18638" xr:uid="{00000000-0005-0000-0000-00003E7C0000}"/>
    <cellStyle name="Total 7 10 3" xfId="12686" xr:uid="{00000000-0005-0000-0000-00003F7C0000}"/>
    <cellStyle name="Total 7 10 3 2" xfId="27518" xr:uid="{00000000-0005-0000-0000-0000407C0000}"/>
    <cellStyle name="Total 7 10 4" xfId="10201" xr:uid="{00000000-0005-0000-0000-0000417C0000}"/>
    <cellStyle name="Total 7 10 4 2" xfId="25033" xr:uid="{00000000-0005-0000-0000-0000427C0000}"/>
    <cellStyle name="Total 7 11" xfId="5308" xr:uid="{00000000-0005-0000-0000-0000437C0000}"/>
    <cellStyle name="Total 7 11 2" xfId="9316" xr:uid="{00000000-0005-0000-0000-0000447C0000}"/>
    <cellStyle name="Total 7 11 2 2" xfId="18183" xr:uid="{00000000-0005-0000-0000-0000457C0000}"/>
    <cellStyle name="Total 7 11 2 2 2" xfId="33015" xr:uid="{00000000-0005-0000-0000-0000467C0000}"/>
    <cellStyle name="Total 7 11 2 3" xfId="19702" xr:uid="{00000000-0005-0000-0000-0000477C0000}"/>
    <cellStyle name="Total 7 11 3" xfId="15624" xr:uid="{00000000-0005-0000-0000-0000487C0000}"/>
    <cellStyle name="Total 7 11 3 2" xfId="30456" xr:uid="{00000000-0005-0000-0000-0000497C0000}"/>
    <cellStyle name="Total 7 12" xfId="5466" xr:uid="{00000000-0005-0000-0000-00004A7C0000}"/>
    <cellStyle name="Total 7 12 2" xfId="15702" xr:uid="{00000000-0005-0000-0000-00004B7C0000}"/>
    <cellStyle name="Total 7 12 2 2" xfId="30534" xr:uid="{00000000-0005-0000-0000-00004C7C0000}"/>
    <cellStyle name="Total 7 12 3" xfId="18279" xr:uid="{00000000-0005-0000-0000-00004D7C0000}"/>
    <cellStyle name="Total 7 13" xfId="9325" xr:uid="{00000000-0005-0000-0000-00004E7C0000}"/>
    <cellStyle name="Total 7 13 2" xfId="24631" xr:uid="{00000000-0005-0000-0000-00004F7C0000}"/>
    <cellStyle name="Total 7 14" xfId="5314" xr:uid="{00000000-0005-0000-0000-0000507C0000}"/>
    <cellStyle name="Total 7 14 2" xfId="18188" xr:uid="{00000000-0005-0000-0000-0000517C0000}"/>
    <cellStyle name="Total 7 2" xfId="1378" xr:uid="{00000000-0005-0000-0000-0000527C0000}"/>
    <cellStyle name="Total 7 2 2" xfId="1882" xr:uid="{00000000-0005-0000-0000-0000537C0000}"/>
    <cellStyle name="Total 7 2 2 2" xfId="4338" xr:uid="{00000000-0005-0000-0000-0000547C0000}"/>
    <cellStyle name="Total 7 2 2 2 2" xfId="8377" xr:uid="{00000000-0005-0000-0000-0000557C0000}"/>
    <cellStyle name="Total 7 2 2 2 2 2" xfId="17652" xr:uid="{00000000-0005-0000-0000-0000567C0000}"/>
    <cellStyle name="Total 7 2 2 2 2 2 2" xfId="32484" xr:uid="{00000000-0005-0000-0000-0000577C0000}"/>
    <cellStyle name="Total 7 2 2 2 2 3" xfId="19351" xr:uid="{00000000-0005-0000-0000-0000587C0000}"/>
    <cellStyle name="Total 7 2 2 2 3" xfId="14669" xr:uid="{00000000-0005-0000-0000-0000597C0000}"/>
    <cellStyle name="Total 7 2 2 2 3 2" xfId="29501" xr:uid="{00000000-0005-0000-0000-00005A7C0000}"/>
    <cellStyle name="Total 7 2 2 2 4" xfId="11262" xr:uid="{00000000-0005-0000-0000-00005B7C0000}"/>
    <cellStyle name="Total 7 2 2 2 4 2" xfId="26094" xr:uid="{00000000-0005-0000-0000-00005C7C0000}"/>
    <cellStyle name="Total 7 2 2 3" xfId="4860" xr:uid="{00000000-0005-0000-0000-00005D7C0000}"/>
    <cellStyle name="Total 7 2 2 3 2" xfId="8899" xr:uid="{00000000-0005-0000-0000-00005E7C0000}"/>
    <cellStyle name="Total 7 2 2 3 2 2" xfId="17940" xr:uid="{00000000-0005-0000-0000-00005F7C0000}"/>
    <cellStyle name="Total 7 2 2 3 2 2 2" xfId="32772" xr:uid="{00000000-0005-0000-0000-0000607C0000}"/>
    <cellStyle name="Total 7 2 2 3 2 3" xfId="19542" xr:uid="{00000000-0005-0000-0000-0000617C0000}"/>
    <cellStyle name="Total 7 2 2 3 3" xfId="15184" xr:uid="{00000000-0005-0000-0000-0000627C0000}"/>
    <cellStyle name="Total 7 2 2 3 3 2" xfId="30016" xr:uid="{00000000-0005-0000-0000-0000637C0000}"/>
    <cellStyle name="Total 7 2 2 3 4" xfId="11543" xr:uid="{00000000-0005-0000-0000-0000647C0000}"/>
    <cellStyle name="Total 7 2 2 3 4 2" xfId="26375" xr:uid="{00000000-0005-0000-0000-0000657C0000}"/>
    <cellStyle name="Total 7 2 2 4" xfId="2850" xr:uid="{00000000-0005-0000-0000-0000667C0000}"/>
    <cellStyle name="Total 7 2 2 4 2" xfId="6941" xr:uid="{00000000-0005-0000-0000-0000677C0000}"/>
    <cellStyle name="Total 7 2 2 4 2 2" xfId="16834" xr:uid="{00000000-0005-0000-0000-0000687C0000}"/>
    <cellStyle name="Total 7 2 2 4 2 2 2" xfId="31666" xr:uid="{00000000-0005-0000-0000-0000697C0000}"/>
    <cellStyle name="Total 7 2 2 4 2 3" xfId="18833" xr:uid="{00000000-0005-0000-0000-00006A7C0000}"/>
    <cellStyle name="Total 7 2 2 4 3" xfId="13188" xr:uid="{00000000-0005-0000-0000-00006B7C0000}"/>
    <cellStyle name="Total 7 2 2 4 3 2" xfId="28020" xr:uid="{00000000-0005-0000-0000-00006C7C0000}"/>
    <cellStyle name="Total 7 2 2 4 4" xfId="10487" xr:uid="{00000000-0005-0000-0000-00006D7C0000}"/>
    <cellStyle name="Total 7 2 2 4 4 2" xfId="25319" xr:uid="{00000000-0005-0000-0000-00006E7C0000}"/>
    <cellStyle name="Total 7 2 2 5" xfId="6014" xr:uid="{00000000-0005-0000-0000-00006F7C0000}"/>
    <cellStyle name="Total 7 2 2 5 2" xfId="16206" xr:uid="{00000000-0005-0000-0000-0000707C0000}"/>
    <cellStyle name="Total 7 2 2 5 2 2" xfId="31038" xr:uid="{00000000-0005-0000-0000-0000717C0000}"/>
    <cellStyle name="Total 7 2 2 5 3" xfId="18475" xr:uid="{00000000-0005-0000-0000-0000727C0000}"/>
    <cellStyle name="Total 7 2 2 6" xfId="12276" xr:uid="{00000000-0005-0000-0000-0000737C0000}"/>
    <cellStyle name="Total 7 2 2 6 2" xfId="27108" xr:uid="{00000000-0005-0000-0000-0000747C0000}"/>
    <cellStyle name="Total 7 2 2 7" xfId="9872" xr:uid="{00000000-0005-0000-0000-0000757C0000}"/>
    <cellStyle name="Total 7 2 2 7 2" xfId="24798" xr:uid="{00000000-0005-0000-0000-0000767C0000}"/>
    <cellStyle name="Total 7 2 3" xfId="4016" xr:uid="{00000000-0005-0000-0000-0000777C0000}"/>
    <cellStyle name="Total 7 2 3 2" xfId="8063" xr:uid="{00000000-0005-0000-0000-0000787C0000}"/>
    <cellStyle name="Total 7 2 3 2 2" xfId="17476" xr:uid="{00000000-0005-0000-0000-0000797C0000}"/>
    <cellStyle name="Total 7 2 3 2 2 2" xfId="32308" xr:uid="{00000000-0005-0000-0000-00007A7C0000}"/>
    <cellStyle name="Total 7 2 3 2 3" xfId="19234" xr:uid="{00000000-0005-0000-0000-00007B7C0000}"/>
    <cellStyle name="Total 7 2 3 3" xfId="14348" xr:uid="{00000000-0005-0000-0000-00007C7C0000}"/>
    <cellStyle name="Total 7 2 3 3 2" xfId="29180" xr:uid="{00000000-0005-0000-0000-00007D7C0000}"/>
    <cellStyle name="Total 7 2 3 4" xfId="11092" xr:uid="{00000000-0005-0000-0000-00007E7C0000}"/>
    <cellStyle name="Total 7 2 3 4 2" xfId="25924" xr:uid="{00000000-0005-0000-0000-00007F7C0000}"/>
    <cellStyle name="Total 7 2 4" xfId="4440" xr:uid="{00000000-0005-0000-0000-0000807C0000}"/>
    <cellStyle name="Total 7 2 4 2" xfId="8479" xr:uid="{00000000-0005-0000-0000-0000817C0000}"/>
    <cellStyle name="Total 7 2 4 2 2" xfId="17700" xr:uid="{00000000-0005-0000-0000-0000827C0000}"/>
    <cellStyle name="Total 7 2 4 2 2 2" xfId="32532" xr:uid="{00000000-0005-0000-0000-0000837C0000}"/>
    <cellStyle name="Total 7 2 4 2 3" xfId="19382" xr:uid="{00000000-0005-0000-0000-0000847C0000}"/>
    <cellStyle name="Total 7 2 4 3" xfId="14769" xr:uid="{00000000-0005-0000-0000-0000857C0000}"/>
    <cellStyle name="Total 7 2 4 3 2" xfId="29601" xr:uid="{00000000-0005-0000-0000-0000867C0000}"/>
    <cellStyle name="Total 7 2 4 4" xfId="11308" xr:uid="{00000000-0005-0000-0000-0000877C0000}"/>
    <cellStyle name="Total 7 2 4 4 2" xfId="26140" xr:uid="{00000000-0005-0000-0000-0000887C0000}"/>
    <cellStyle name="Total 7 2 5" xfId="2430" xr:uid="{00000000-0005-0000-0000-0000897C0000}"/>
    <cellStyle name="Total 7 2 5 2" xfId="6542" xr:uid="{00000000-0005-0000-0000-00008A7C0000}"/>
    <cellStyle name="Total 7 2 5 2 2" xfId="16598" xr:uid="{00000000-0005-0000-0000-00008B7C0000}"/>
    <cellStyle name="Total 7 2 5 2 2 2" xfId="31430" xr:uid="{00000000-0005-0000-0000-00008C7C0000}"/>
    <cellStyle name="Total 7 2 5 2 3" xfId="18670" xr:uid="{00000000-0005-0000-0000-00008D7C0000}"/>
    <cellStyle name="Total 7 2 5 3" xfId="12769" xr:uid="{00000000-0005-0000-0000-00008E7C0000}"/>
    <cellStyle name="Total 7 2 5 3 2" xfId="27601" xr:uid="{00000000-0005-0000-0000-00008F7C0000}"/>
    <cellStyle name="Total 7 2 5 4" xfId="10248" xr:uid="{00000000-0005-0000-0000-0000907C0000}"/>
    <cellStyle name="Total 7 2 5 4 2" xfId="25080" xr:uid="{00000000-0005-0000-0000-0000917C0000}"/>
    <cellStyle name="Total 7 2 6" xfId="5555" xr:uid="{00000000-0005-0000-0000-0000927C0000}"/>
    <cellStyle name="Total 7 2 6 2" xfId="15790" xr:uid="{00000000-0005-0000-0000-0000937C0000}"/>
    <cellStyle name="Total 7 2 6 2 2" xfId="30622" xr:uid="{00000000-0005-0000-0000-0000947C0000}"/>
    <cellStyle name="Total 7 2 6 3" xfId="18312" xr:uid="{00000000-0005-0000-0000-0000957C0000}"/>
    <cellStyle name="Total 7 2 7" xfId="11805" xr:uid="{00000000-0005-0000-0000-0000967C0000}"/>
    <cellStyle name="Total 7 2 7 2" xfId="26637" xr:uid="{00000000-0005-0000-0000-0000977C0000}"/>
    <cellStyle name="Total 7 2 8" xfId="9476" xr:uid="{00000000-0005-0000-0000-0000987C0000}"/>
    <cellStyle name="Total 7 2 8 2" xfId="19780" xr:uid="{00000000-0005-0000-0000-0000997C0000}"/>
    <cellStyle name="Total 7 3" xfId="1550" xr:uid="{00000000-0005-0000-0000-00009A7C0000}"/>
    <cellStyle name="Total 7 3 2" xfId="2047" xr:uid="{00000000-0005-0000-0000-00009B7C0000}"/>
    <cellStyle name="Total 7 3 2 2" xfId="3334" xr:uid="{00000000-0005-0000-0000-00009C7C0000}"/>
    <cellStyle name="Total 7 3 2 2 2" xfId="7397" xr:uid="{00000000-0005-0000-0000-00009D7C0000}"/>
    <cellStyle name="Total 7 3 2 2 2 2" xfId="17130" xr:uid="{00000000-0005-0000-0000-00009E7C0000}"/>
    <cellStyle name="Total 7 3 2 2 2 2 2" xfId="31962" xr:uid="{00000000-0005-0000-0000-00009F7C0000}"/>
    <cellStyle name="Total 7 3 2 2 2 3" xfId="19004" xr:uid="{00000000-0005-0000-0000-0000A07C0000}"/>
    <cellStyle name="Total 7 3 2 2 3" xfId="13671" xr:uid="{00000000-0005-0000-0000-0000A17C0000}"/>
    <cellStyle name="Total 7 3 2 2 3 2" xfId="28503" xr:uid="{00000000-0005-0000-0000-0000A27C0000}"/>
    <cellStyle name="Total 7 3 2 2 4" xfId="10751" xr:uid="{00000000-0005-0000-0000-0000A37C0000}"/>
    <cellStyle name="Total 7 3 2 2 4 2" xfId="25583" xr:uid="{00000000-0005-0000-0000-0000A47C0000}"/>
    <cellStyle name="Total 7 3 2 3" xfId="5015" xr:uid="{00000000-0005-0000-0000-0000A57C0000}"/>
    <cellStyle name="Total 7 3 2 3 2" xfId="9054" xr:uid="{00000000-0005-0000-0000-0000A67C0000}"/>
    <cellStyle name="Total 7 3 2 3 2 2" xfId="17992" xr:uid="{00000000-0005-0000-0000-0000A77C0000}"/>
    <cellStyle name="Total 7 3 2 3 2 2 2" xfId="32824" xr:uid="{00000000-0005-0000-0000-0000A87C0000}"/>
    <cellStyle name="Total 7 3 2 3 2 3" xfId="19574" xr:uid="{00000000-0005-0000-0000-0000A97C0000}"/>
    <cellStyle name="Total 7 3 2 3 3" xfId="15337" xr:uid="{00000000-0005-0000-0000-0000AA7C0000}"/>
    <cellStyle name="Total 7 3 2 3 3 2" xfId="30169" xr:uid="{00000000-0005-0000-0000-0000AB7C0000}"/>
    <cellStyle name="Total 7 3 2 3 4" xfId="11593" xr:uid="{00000000-0005-0000-0000-0000AC7C0000}"/>
    <cellStyle name="Total 7 3 2 3 4 2" xfId="26425" xr:uid="{00000000-0005-0000-0000-0000AD7C0000}"/>
    <cellStyle name="Total 7 3 2 4" xfId="3005" xr:uid="{00000000-0005-0000-0000-0000AE7C0000}"/>
    <cellStyle name="Total 7 3 2 4 2" xfId="7085" xr:uid="{00000000-0005-0000-0000-0000AF7C0000}"/>
    <cellStyle name="Total 7 3 2 4 2 2" xfId="16884" xr:uid="{00000000-0005-0000-0000-0000B07C0000}"/>
    <cellStyle name="Total 7 3 2 4 2 2 2" xfId="31716" xr:uid="{00000000-0005-0000-0000-0000B17C0000}"/>
    <cellStyle name="Total 7 3 2 4 2 3" xfId="18866" xr:uid="{00000000-0005-0000-0000-0000B27C0000}"/>
    <cellStyle name="Total 7 3 2 4 3" xfId="13343" xr:uid="{00000000-0005-0000-0000-0000B37C0000}"/>
    <cellStyle name="Total 7 3 2 4 3 2" xfId="28175" xr:uid="{00000000-0005-0000-0000-0000B47C0000}"/>
    <cellStyle name="Total 7 3 2 4 4" xfId="10539" xr:uid="{00000000-0005-0000-0000-0000B57C0000}"/>
    <cellStyle name="Total 7 3 2 4 4 2" xfId="25371" xr:uid="{00000000-0005-0000-0000-0000B67C0000}"/>
    <cellStyle name="Total 7 3 2 5" xfId="6177" xr:uid="{00000000-0005-0000-0000-0000B77C0000}"/>
    <cellStyle name="Total 7 3 2 5 2" xfId="16364" xr:uid="{00000000-0005-0000-0000-0000B87C0000}"/>
    <cellStyle name="Total 7 3 2 5 2 2" xfId="31196" xr:uid="{00000000-0005-0000-0000-0000B97C0000}"/>
    <cellStyle name="Total 7 3 2 5 3" xfId="18507" xr:uid="{00000000-0005-0000-0000-0000BA7C0000}"/>
    <cellStyle name="Total 7 3 2 6" xfId="12434" xr:uid="{00000000-0005-0000-0000-0000BB7C0000}"/>
    <cellStyle name="Total 7 3 2 6 2" xfId="27266" xr:uid="{00000000-0005-0000-0000-0000BC7C0000}"/>
    <cellStyle name="Total 7 3 2 7" xfId="10016" xr:uid="{00000000-0005-0000-0000-0000BD7C0000}"/>
    <cellStyle name="Total 7 3 2 7 2" xfId="24848" xr:uid="{00000000-0005-0000-0000-0000BE7C0000}"/>
    <cellStyle name="Total 7 3 3" xfId="3327" xr:uid="{00000000-0005-0000-0000-0000BF7C0000}"/>
    <cellStyle name="Total 7 3 3 2" xfId="7390" xr:uid="{00000000-0005-0000-0000-0000C07C0000}"/>
    <cellStyle name="Total 7 3 3 2 2" xfId="17123" xr:uid="{00000000-0005-0000-0000-0000C17C0000}"/>
    <cellStyle name="Total 7 3 3 2 2 2" xfId="31955" xr:uid="{00000000-0005-0000-0000-0000C27C0000}"/>
    <cellStyle name="Total 7 3 3 2 3" xfId="19000" xr:uid="{00000000-0005-0000-0000-0000C37C0000}"/>
    <cellStyle name="Total 7 3 3 3" xfId="13664" xr:uid="{00000000-0005-0000-0000-0000C47C0000}"/>
    <cellStyle name="Total 7 3 3 3 2" xfId="28496" xr:uid="{00000000-0005-0000-0000-0000C57C0000}"/>
    <cellStyle name="Total 7 3 3 4" xfId="10744" xr:uid="{00000000-0005-0000-0000-0000C67C0000}"/>
    <cellStyle name="Total 7 3 3 4 2" xfId="25576" xr:uid="{00000000-0005-0000-0000-0000C77C0000}"/>
    <cellStyle name="Total 7 3 4" xfId="4595" xr:uid="{00000000-0005-0000-0000-0000C87C0000}"/>
    <cellStyle name="Total 7 3 4 2" xfId="8634" xr:uid="{00000000-0005-0000-0000-0000C97C0000}"/>
    <cellStyle name="Total 7 3 4 2 2" xfId="17752" xr:uid="{00000000-0005-0000-0000-0000CA7C0000}"/>
    <cellStyle name="Total 7 3 4 2 2 2" xfId="32584" xr:uid="{00000000-0005-0000-0000-0000CB7C0000}"/>
    <cellStyle name="Total 7 3 4 2 3" xfId="19414" xr:uid="{00000000-0005-0000-0000-0000CC7C0000}"/>
    <cellStyle name="Total 7 3 4 3" xfId="14922" xr:uid="{00000000-0005-0000-0000-0000CD7C0000}"/>
    <cellStyle name="Total 7 3 4 3 2" xfId="29754" xr:uid="{00000000-0005-0000-0000-0000CE7C0000}"/>
    <cellStyle name="Total 7 3 4 4" xfId="11358" xr:uid="{00000000-0005-0000-0000-0000CF7C0000}"/>
    <cellStyle name="Total 7 3 4 4 2" xfId="26190" xr:uid="{00000000-0005-0000-0000-0000D07C0000}"/>
    <cellStyle name="Total 7 3 5" xfId="2585" xr:uid="{00000000-0005-0000-0000-0000D17C0000}"/>
    <cellStyle name="Total 7 3 5 2" xfId="6691" xr:uid="{00000000-0005-0000-0000-0000D27C0000}"/>
    <cellStyle name="Total 7 3 5 2 2" xfId="16649" xr:uid="{00000000-0005-0000-0000-0000D37C0000}"/>
    <cellStyle name="Total 7 3 5 2 2 2" xfId="31481" xr:uid="{00000000-0005-0000-0000-0000D47C0000}"/>
    <cellStyle name="Total 7 3 5 2 3" xfId="18702" xr:uid="{00000000-0005-0000-0000-0000D57C0000}"/>
    <cellStyle name="Total 7 3 5 3" xfId="12923" xr:uid="{00000000-0005-0000-0000-0000D67C0000}"/>
    <cellStyle name="Total 7 3 5 3 2" xfId="27755" xr:uid="{00000000-0005-0000-0000-0000D77C0000}"/>
    <cellStyle name="Total 7 3 5 4" xfId="10299" xr:uid="{00000000-0005-0000-0000-0000D87C0000}"/>
    <cellStyle name="Total 7 3 5 4 2" xfId="25131" xr:uid="{00000000-0005-0000-0000-0000D97C0000}"/>
    <cellStyle name="Total 7 3 6" xfId="5708" xr:uid="{00000000-0005-0000-0000-0000DA7C0000}"/>
    <cellStyle name="Total 7 3 6 2" xfId="15943" xr:uid="{00000000-0005-0000-0000-0000DB7C0000}"/>
    <cellStyle name="Total 7 3 6 2 2" xfId="30775" xr:uid="{00000000-0005-0000-0000-0000DC7C0000}"/>
    <cellStyle name="Total 7 3 6 3" xfId="18344" xr:uid="{00000000-0005-0000-0000-0000DD7C0000}"/>
    <cellStyle name="Total 7 3 7" xfId="11963" xr:uid="{00000000-0005-0000-0000-0000DE7C0000}"/>
    <cellStyle name="Total 7 3 7 2" xfId="26795" xr:uid="{00000000-0005-0000-0000-0000DF7C0000}"/>
    <cellStyle name="Total 7 3 8" xfId="9621" xr:uid="{00000000-0005-0000-0000-0000E07C0000}"/>
    <cellStyle name="Total 7 3 8 2" xfId="19923" xr:uid="{00000000-0005-0000-0000-0000E17C0000}"/>
    <cellStyle name="Total 7 4" xfId="1603" xr:uid="{00000000-0005-0000-0000-0000E27C0000}"/>
    <cellStyle name="Total 7 4 2" xfId="2100" xr:uid="{00000000-0005-0000-0000-0000E37C0000}"/>
    <cellStyle name="Total 7 4 2 2" xfId="3962" xr:uid="{00000000-0005-0000-0000-0000E47C0000}"/>
    <cellStyle name="Total 7 4 2 2 2" xfId="8012" xr:uid="{00000000-0005-0000-0000-0000E57C0000}"/>
    <cellStyle name="Total 7 4 2 2 2 2" xfId="17452" xr:uid="{00000000-0005-0000-0000-0000E67C0000}"/>
    <cellStyle name="Total 7 4 2 2 2 2 2" xfId="32284" xr:uid="{00000000-0005-0000-0000-0000E77C0000}"/>
    <cellStyle name="Total 7 4 2 2 2 3" xfId="19217" xr:uid="{00000000-0005-0000-0000-0000E87C0000}"/>
    <cellStyle name="Total 7 4 2 2 3" xfId="14295" xr:uid="{00000000-0005-0000-0000-0000E97C0000}"/>
    <cellStyle name="Total 7 4 2 2 3 2" xfId="29127" xr:uid="{00000000-0005-0000-0000-0000EA7C0000}"/>
    <cellStyle name="Total 7 4 2 2 4" xfId="11067" xr:uid="{00000000-0005-0000-0000-0000EB7C0000}"/>
    <cellStyle name="Total 7 4 2 2 4 2" xfId="25899" xr:uid="{00000000-0005-0000-0000-0000EC7C0000}"/>
    <cellStyle name="Total 7 4 2 3" xfId="5068" xr:uid="{00000000-0005-0000-0000-0000ED7C0000}"/>
    <cellStyle name="Total 7 4 2 3 2" xfId="9107" xr:uid="{00000000-0005-0000-0000-0000EE7C0000}"/>
    <cellStyle name="Total 7 4 2 3 2 2" xfId="18040" xr:uid="{00000000-0005-0000-0000-0000EF7C0000}"/>
    <cellStyle name="Total 7 4 2 3 2 2 2" xfId="32872" xr:uid="{00000000-0005-0000-0000-0000F07C0000}"/>
    <cellStyle name="Total 7 4 2 3 2 3" xfId="19606" xr:uid="{00000000-0005-0000-0000-0000F17C0000}"/>
    <cellStyle name="Total 7 4 2 3 3" xfId="15389" xr:uid="{00000000-0005-0000-0000-0000F27C0000}"/>
    <cellStyle name="Total 7 4 2 3 3 2" xfId="30221" xr:uid="{00000000-0005-0000-0000-0000F37C0000}"/>
    <cellStyle name="Total 7 4 2 3 4" xfId="11640" xr:uid="{00000000-0005-0000-0000-0000F47C0000}"/>
    <cellStyle name="Total 7 4 2 3 4 2" xfId="26472" xr:uid="{00000000-0005-0000-0000-0000F57C0000}"/>
    <cellStyle name="Total 7 4 2 4" xfId="3058" xr:uid="{00000000-0005-0000-0000-0000F67C0000}"/>
    <cellStyle name="Total 7 4 2 4 2" xfId="7133" xr:uid="{00000000-0005-0000-0000-0000F77C0000}"/>
    <cellStyle name="Total 7 4 2 4 2 2" xfId="16931" xr:uid="{00000000-0005-0000-0000-0000F87C0000}"/>
    <cellStyle name="Total 7 4 2 4 2 2 2" xfId="31763" xr:uid="{00000000-0005-0000-0000-0000F97C0000}"/>
    <cellStyle name="Total 7 4 2 4 2 3" xfId="18899" xr:uid="{00000000-0005-0000-0000-0000FA7C0000}"/>
    <cellStyle name="Total 7 4 2 4 3" xfId="13396" xr:uid="{00000000-0005-0000-0000-0000FB7C0000}"/>
    <cellStyle name="Total 7 4 2 4 3 2" xfId="28228" xr:uid="{00000000-0005-0000-0000-0000FC7C0000}"/>
    <cellStyle name="Total 7 4 2 4 4" xfId="10587" xr:uid="{00000000-0005-0000-0000-0000FD7C0000}"/>
    <cellStyle name="Total 7 4 2 4 4 2" xfId="25419" xr:uid="{00000000-0005-0000-0000-0000FE7C0000}"/>
    <cellStyle name="Total 7 4 2 5" xfId="6225" xr:uid="{00000000-0005-0000-0000-0000FF7C0000}"/>
    <cellStyle name="Total 7 4 2 5 2" xfId="16411" xr:uid="{00000000-0005-0000-0000-0000007D0000}"/>
    <cellStyle name="Total 7 4 2 5 2 2" xfId="31243" xr:uid="{00000000-0005-0000-0000-0000017D0000}"/>
    <cellStyle name="Total 7 4 2 5 3" xfId="18540" xr:uid="{00000000-0005-0000-0000-0000027D0000}"/>
    <cellStyle name="Total 7 4 2 6" xfId="12481" xr:uid="{00000000-0005-0000-0000-0000037D0000}"/>
    <cellStyle name="Total 7 4 2 6 2" xfId="27313" xr:uid="{00000000-0005-0000-0000-0000047D0000}"/>
    <cellStyle name="Total 7 4 2 7" xfId="10063" xr:uid="{00000000-0005-0000-0000-0000057D0000}"/>
    <cellStyle name="Total 7 4 2 7 2" xfId="24895" xr:uid="{00000000-0005-0000-0000-0000067D0000}"/>
    <cellStyle name="Total 7 4 3" xfId="3546" xr:uid="{00000000-0005-0000-0000-0000077D0000}"/>
    <cellStyle name="Total 7 4 3 2" xfId="7608" xr:uid="{00000000-0005-0000-0000-0000087D0000}"/>
    <cellStyle name="Total 7 4 3 2 2" xfId="17250" xr:uid="{00000000-0005-0000-0000-0000097D0000}"/>
    <cellStyle name="Total 7 4 3 2 2 2" xfId="32082" xr:uid="{00000000-0005-0000-0000-00000A7D0000}"/>
    <cellStyle name="Total 7 4 3 2 3" xfId="19074" xr:uid="{00000000-0005-0000-0000-00000B7D0000}"/>
    <cellStyle name="Total 7 4 3 3" xfId="13882" xr:uid="{00000000-0005-0000-0000-00000C7D0000}"/>
    <cellStyle name="Total 7 4 3 3 2" xfId="28714" xr:uid="{00000000-0005-0000-0000-00000D7D0000}"/>
    <cellStyle name="Total 7 4 3 4" xfId="10867" xr:uid="{00000000-0005-0000-0000-00000E7D0000}"/>
    <cellStyle name="Total 7 4 3 4 2" xfId="25699" xr:uid="{00000000-0005-0000-0000-00000F7D0000}"/>
    <cellStyle name="Total 7 4 4" xfId="4648" xr:uid="{00000000-0005-0000-0000-0000107D0000}"/>
    <cellStyle name="Total 7 4 4 2" xfId="8687" xr:uid="{00000000-0005-0000-0000-0000117D0000}"/>
    <cellStyle name="Total 7 4 4 2 2" xfId="17800" xr:uid="{00000000-0005-0000-0000-0000127D0000}"/>
    <cellStyle name="Total 7 4 4 2 2 2" xfId="32632" xr:uid="{00000000-0005-0000-0000-0000137D0000}"/>
    <cellStyle name="Total 7 4 4 2 3" xfId="19446" xr:uid="{00000000-0005-0000-0000-0000147D0000}"/>
    <cellStyle name="Total 7 4 4 3" xfId="14974" xr:uid="{00000000-0005-0000-0000-0000157D0000}"/>
    <cellStyle name="Total 7 4 4 3 2" xfId="29806" xr:uid="{00000000-0005-0000-0000-0000167D0000}"/>
    <cellStyle name="Total 7 4 4 4" xfId="11405" xr:uid="{00000000-0005-0000-0000-0000177D0000}"/>
    <cellStyle name="Total 7 4 4 4 2" xfId="26237" xr:uid="{00000000-0005-0000-0000-0000187D0000}"/>
    <cellStyle name="Total 7 4 5" xfId="2638" xr:uid="{00000000-0005-0000-0000-0000197D0000}"/>
    <cellStyle name="Total 7 4 5 2" xfId="6739" xr:uid="{00000000-0005-0000-0000-00001A7D0000}"/>
    <cellStyle name="Total 7 4 5 2 2" xfId="16696" xr:uid="{00000000-0005-0000-0000-00001B7D0000}"/>
    <cellStyle name="Total 7 4 5 2 2 2" xfId="31528" xr:uid="{00000000-0005-0000-0000-00001C7D0000}"/>
    <cellStyle name="Total 7 4 5 2 3" xfId="18735" xr:uid="{00000000-0005-0000-0000-00001D7D0000}"/>
    <cellStyle name="Total 7 4 5 3" xfId="12976" xr:uid="{00000000-0005-0000-0000-00001E7D0000}"/>
    <cellStyle name="Total 7 4 5 3 2" xfId="27808" xr:uid="{00000000-0005-0000-0000-00001F7D0000}"/>
    <cellStyle name="Total 7 4 5 4" xfId="10347" xr:uid="{00000000-0005-0000-0000-0000207D0000}"/>
    <cellStyle name="Total 7 4 5 4 2" xfId="25179" xr:uid="{00000000-0005-0000-0000-0000217D0000}"/>
    <cellStyle name="Total 7 4 6" xfId="5755" xr:uid="{00000000-0005-0000-0000-0000227D0000}"/>
    <cellStyle name="Total 7 4 6 2" xfId="15990" xr:uid="{00000000-0005-0000-0000-0000237D0000}"/>
    <cellStyle name="Total 7 4 6 2 2" xfId="30822" xr:uid="{00000000-0005-0000-0000-0000247D0000}"/>
    <cellStyle name="Total 7 4 6 3" xfId="18376" xr:uid="{00000000-0005-0000-0000-0000257D0000}"/>
    <cellStyle name="Total 7 4 7" xfId="12010" xr:uid="{00000000-0005-0000-0000-0000267D0000}"/>
    <cellStyle name="Total 7 4 7 2" xfId="26842" xr:uid="{00000000-0005-0000-0000-0000277D0000}"/>
    <cellStyle name="Total 7 4 8" xfId="9669" xr:uid="{00000000-0005-0000-0000-0000287D0000}"/>
    <cellStyle name="Total 7 4 8 2" xfId="19970" xr:uid="{00000000-0005-0000-0000-0000297D0000}"/>
    <cellStyle name="Total 7 5" xfId="1653" xr:uid="{00000000-0005-0000-0000-00002A7D0000}"/>
    <cellStyle name="Total 7 5 2" xfId="2150" xr:uid="{00000000-0005-0000-0000-00002B7D0000}"/>
    <cellStyle name="Total 7 5 2 2" xfId="3495" xr:uid="{00000000-0005-0000-0000-00002C7D0000}"/>
    <cellStyle name="Total 7 5 2 2 2" xfId="7557" xr:uid="{00000000-0005-0000-0000-00002D7D0000}"/>
    <cellStyle name="Total 7 5 2 2 2 2" xfId="17218" xr:uid="{00000000-0005-0000-0000-00002E7D0000}"/>
    <cellStyle name="Total 7 5 2 2 2 2 2" xfId="32050" xr:uid="{00000000-0005-0000-0000-00002F7D0000}"/>
    <cellStyle name="Total 7 5 2 2 2 3" xfId="19054" xr:uid="{00000000-0005-0000-0000-0000307D0000}"/>
    <cellStyle name="Total 7 5 2 2 3" xfId="13832" xr:uid="{00000000-0005-0000-0000-0000317D0000}"/>
    <cellStyle name="Total 7 5 2 2 3 2" xfId="28664" xr:uid="{00000000-0005-0000-0000-0000327D0000}"/>
    <cellStyle name="Total 7 5 2 2 4" xfId="10836" xr:uid="{00000000-0005-0000-0000-0000337D0000}"/>
    <cellStyle name="Total 7 5 2 2 4 2" xfId="25668" xr:uid="{00000000-0005-0000-0000-0000347D0000}"/>
    <cellStyle name="Total 7 5 2 3" xfId="5118" xr:uid="{00000000-0005-0000-0000-0000357D0000}"/>
    <cellStyle name="Total 7 5 2 3 2" xfId="9157" xr:uid="{00000000-0005-0000-0000-0000367D0000}"/>
    <cellStyle name="Total 7 5 2 3 2 2" xfId="18085" xr:uid="{00000000-0005-0000-0000-0000377D0000}"/>
    <cellStyle name="Total 7 5 2 3 2 2 2" xfId="32917" xr:uid="{00000000-0005-0000-0000-0000387D0000}"/>
    <cellStyle name="Total 7 5 2 3 2 3" xfId="19638" xr:uid="{00000000-0005-0000-0000-0000397D0000}"/>
    <cellStyle name="Total 7 5 2 3 3" xfId="15438" xr:uid="{00000000-0005-0000-0000-00003A7D0000}"/>
    <cellStyle name="Total 7 5 2 3 3 2" xfId="30270" xr:uid="{00000000-0005-0000-0000-00003B7D0000}"/>
    <cellStyle name="Total 7 5 2 3 4" xfId="11684" xr:uid="{00000000-0005-0000-0000-00003C7D0000}"/>
    <cellStyle name="Total 7 5 2 3 4 2" xfId="26516" xr:uid="{00000000-0005-0000-0000-00003D7D0000}"/>
    <cellStyle name="Total 7 5 2 4" xfId="3108" xr:uid="{00000000-0005-0000-0000-00003E7D0000}"/>
    <cellStyle name="Total 7 5 2 4 2" xfId="7178" xr:uid="{00000000-0005-0000-0000-00003F7D0000}"/>
    <cellStyle name="Total 7 5 2 4 2 2" xfId="16975" xr:uid="{00000000-0005-0000-0000-0000407D0000}"/>
    <cellStyle name="Total 7 5 2 4 2 2 2" xfId="31807" xr:uid="{00000000-0005-0000-0000-0000417D0000}"/>
    <cellStyle name="Total 7 5 2 4 2 3" xfId="18932" xr:uid="{00000000-0005-0000-0000-0000427D0000}"/>
    <cellStyle name="Total 7 5 2 4 3" xfId="13446" xr:uid="{00000000-0005-0000-0000-0000437D0000}"/>
    <cellStyle name="Total 7 5 2 4 3 2" xfId="28278" xr:uid="{00000000-0005-0000-0000-0000447D0000}"/>
    <cellStyle name="Total 7 5 2 4 4" xfId="10632" xr:uid="{00000000-0005-0000-0000-0000457D0000}"/>
    <cellStyle name="Total 7 5 2 4 4 2" xfId="25464" xr:uid="{00000000-0005-0000-0000-0000467D0000}"/>
    <cellStyle name="Total 7 5 2 5" xfId="6270" xr:uid="{00000000-0005-0000-0000-0000477D0000}"/>
    <cellStyle name="Total 7 5 2 5 2" xfId="16455" xr:uid="{00000000-0005-0000-0000-0000487D0000}"/>
    <cellStyle name="Total 7 5 2 5 2 2" xfId="31287" xr:uid="{00000000-0005-0000-0000-0000497D0000}"/>
    <cellStyle name="Total 7 5 2 5 3" xfId="18573" xr:uid="{00000000-0005-0000-0000-00004A7D0000}"/>
    <cellStyle name="Total 7 5 2 6" xfId="12525" xr:uid="{00000000-0005-0000-0000-00004B7D0000}"/>
    <cellStyle name="Total 7 5 2 6 2" xfId="27357" xr:uid="{00000000-0005-0000-0000-00004C7D0000}"/>
    <cellStyle name="Total 7 5 2 7" xfId="10107" xr:uid="{00000000-0005-0000-0000-00004D7D0000}"/>
    <cellStyle name="Total 7 5 2 7 2" xfId="24939" xr:uid="{00000000-0005-0000-0000-00004E7D0000}"/>
    <cellStyle name="Total 7 5 3" xfId="3588" xr:uid="{00000000-0005-0000-0000-00004F7D0000}"/>
    <cellStyle name="Total 7 5 3 2" xfId="7650" xr:uid="{00000000-0005-0000-0000-0000507D0000}"/>
    <cellStyle name="Total 7 5 3 2 2" xfId="17274" xr:uid="{00000000-0005-0000-0000-0000517D0000}"/>
    <cellStyle name="Total 7 5 3 2 2 2" xfId="32106" xr:uid="{00000000-0005-0000-0000-0000527D0000}"/>
    <cellStyle name="Total 7 5 3 2 3" xfId="19094" xr:uid="{00000000-0005-0000-0000-0000537D0000}"/>
    <cellStyle name="Total 7 5 3 3" xfId="13924" xr:uid="{00000000-0005-0000-0000-0000547D0000}"/>
    <cellStyle name="Total 7 5 3 3 2" xfId="28756" xr:uid="{00000000-0005-0000-0000-0000557D0000}"/>
    <cellStyle name="Total 7 5 3 4" xfId="10891" xr:uid="{00000000-0005-0000-0000-0000567D0000}"/>
    <cellStyle name="Total 7 5 3 4 2" xfId="25723" xr:uid="{00000000-0005-0000-0000-0000577D0000}"/>
    <cellStyle name="Total 7 5 4" xfId="4698" xr:uid="{00000000-0005-0000-0000-0000587D0000}"/>
    <cellStyle name="Total 7 5 4 2" xfId="8737" xr:uid="{00000000-0005-0000-0000-0000597D0000}"/>
    <cellStyle name="Total 7 5 4 2 2" xfId="17845" xr:uid="{00000000-0005-0000-0000-00005A7D0000}"/>
    <cellStyle name="Total 7 5 4 2 2 2" xfId="32677" xr:uid="{00000000-0005-0000-0000-00005B7D0000}"/>
    <cellStyle name="Total 7 5 4 2 3" xfId="19478" xr:uid="{00000000-0005-0000-0000-00005C7D0000}"/>
    <cellStyle name="Total 7 5 4 3" xfId="15023" xr:uid="{00000000-0005-0000-0000-00005D7D0000}"/>
    <cellStyle name="Total 7 5 4 3 2" xfId="29855" xr:uid="{00000000-0005-0000-0000-00005E7D0000}"/>
    <cellStyle name="Total 7 5 4 4" xfId="11449" xr:uid="{00000000-0005-0000-0000-00005F7D0000}"/>
    <cellStyle name="Total 7 5 4 4 2" xfId="26281" xr:uid="{00000000-0005-0000-0000-0000607D0000}"/>
    <cellStyle name="Total 7 5 5" xfId="2688" xr:uid="{00000000-0005-0000-0000-0000617D0000}"/>
    <cellStyle name="Total 7 5 5 2" xfId="6784" xr:uid="{00000000-0005-0000-0000-0000627D0000}"/>
    <cellStyle name="Total 7 5 5 2 2" xfId="16740" xr:uid="{00000000-0005-0000-0000-0000637D0000}"/>
    <cellStyle name="Total 7 5 5 2 2 2" xfId="31572" xr:uid="{00000000-0005-0000-0000-0000647D0000}"/>
    <cellStyle name="Total 7 5 5 2 3" xfId="18768" xr:uid="{00000000-0005-0000-0000-0000657D0000}"/>
    <cellStyle name="Total 7 5 5 3" xfId="13026" xr:uid="{00000000-0005-0000-0000-0000667D0000}"/>
    <cellStyle name="Total 7 5 5 3 2" xfId="27858" xr:uid="{00000000-0005-0000-0000-0000677D0000}"/>
    <cellStyle name="Total 7 5 5 4" xfId="10392" xr:uid="{00000000-0005-0000-0000-0000687D0000}"/>
    <cellStyle name="Total 7 5 5 4 2" xfId="25224" xr:uid="{00000000-0005-0000-0000-0000697D0000}"/>
    <cellStyle name="Total 7 5 6" xfId="5800" xr:uid="{00000000-0005-0000-0000-00006A7D0000}"/>
    <cellStyle name="Total 7 5 6 2" xfId="16034" xr:uid="{00000000-0005-0000-0000-00006B7D0000}"/>
    <cellStyle name="Total 7 5 6 2 2" xfId="30866" xr:uid="{00000000-0005-0000-0000-00006C7D0000}"/>
    <cellStyle name="Total 7 5 6 3" xfId="18409" xr:uid="{00000000-0005-0000-0000-00006D7D0000}"/>
    <cellStyle name="Total 7 5 7" xfId="12054" xr:uid="{00000000-0005-0000-0000-00006E7D0000}"/>
    <cellStyle name="Total 7 5 7 2" xfId="26886" xr:uid="{00000000-0005-0000-0000-00006F7D0000}"/>
    <cellStyle name="Total 7 5 8" xfId="9714" xr:uid="{00000000-0005-0000-0000-0000707D0000}"/>
    <cellStyle name="Total 7 5 8 2" xfId="20014" xr:uid="{00000000-0005-0000-0000-0000717D0000}"/>
    <cellStyle name="Total 7 6" xfId="1804" xr:uid="{00000000-0005-0000-0000-0000727D0000}"/>
    <cellStyle name="Total 7 6 2" xfId="3648" xr:uid="{00000000-0005-0000-0000-0000737D0000}"/>
    <cellStyle name="Total 7 6 2 2" xfId="7707" xr:uid="{00000000-0005-0000-0000-0000747D0000}"/>
    <cellStyle name="Total 7 6 2 2 2" xfId="17299" xr:uid="{00000000-0005-0000-0000-0000757D0000}"/>
    <cellStyle name="Total 7 6 2 2 2 2" xfId="32131" xr:uid="{00000000-0005-0000-0000-0000767D0000}"/>
    <cellStyle name="Total 7 6 2 2 3" xfId="19111" xr:uid="{00000000-0005-0000-0000-0000777D0000}"/>
    <cellStyle name="Total 7 6 2 3" xfId="13983" xr:uid="{00000000-0005-0000-0000-0000787D0000}"/>
    <cellStyle name="Total 7 6 2 3 2" xfId="28815" xr:uid="{00000000-0005-0000-0000-0000797D0000}"/>
    <cellStyle name="Total 7 6 2 4" xfId="10915" xr:uid="{00000000-0005-0000-0000-00007A7D0000}"/>
    <cellStyle name="Total 7 6 2 4 2" xfId="25747" xr:uid="{00000000-0005-0000-0000-00007B7D0000}"/>
    <cellStyle name="Total 7 6 3" xfId="4782" xr:uid="{00000000-0005-0000-0000-00007C7D0000}"/>
    <cellStyle name="Total 7 6 3 2" xfId="8821" xr:uid="{00000000-0005-0000-0000-00007D7D0000}"/>
    <cellStyle name="Total 7 6 3 2 2" xfId="17893" xr:uid="{00000000-0005-0000-0000-00007E7D0000}"/>
    <cellStyle name="Total 7 6 3 2 2 2" xfId="32725" xr:uid="{00000000-0005-0000-0000-00007F7D0000}"/>
    <cellStyle name="Total 7 6 3 2 3" xfId="19510" xr:uid="{00000000-0005-0000-0000-0000807D0000}"/>
    <cellStyle name="Total 7 6 3 3" xfId="15106" xr:uid="{00000000-0005-0000-0000-0000817D0000}"/>
    <cellStyle name="Total 7 6 3 3 2" xfId="29938" xr:uid="{00000000-0005-0000-0000-0000827D0000}"/>
    <cellStyle name="Total 7 6 3 4" xfId="11496" xr:uid="{00000000-0005-0000-0000-0000837D0000}"/>
    <cellStyle name="Total 7 6 3 4 2" xfId="26328" xr:uid="{00000000-0005-0000-0000-0000847D0000}"/>
    <cellStyle name="Total 7 6 4" xfId="2772" xr:uid="{00000000-0005-0000-0000-0000857D0000}"/>
    <cellStyle name="Total 7 6 4 2" xfId="6863" xr:uid="{00000000-0005-0000-0000-0000867D0000}"/>
    <cellStyle name="Total 7 6 4 2 2" xfId="16787" xr:uid="{00000000-0005-0000-0000-0000877D0000}"/>
    <cellStyle name="Total 7 6 4 2 2 2" xfId="31619" xr:uid="{00000000-0005-0000-0000-0000887D0000}"/>
    <cellStyle name="Total 7 6 4 2 3" xfId="18801" xr:uid="{00000000-0005-0000-0000-0000897D0000}"/>
    <cellStyle name="Total 7 6 4 3" xfId="13110" xr:uid="{00000000-0005-0000-0000-00008A7D0000}"/>
    <cellStyle name="Total 7 6 4 3 2" xfId="27942" xr:uid="{00000000-0005-0000-0000-00008B7D0000}"/>
    <cellStyle name="Total 7 6 4 4" xfId="10440" xr:uid="{00000000-0005-0000-0000-00008C7D0000}"/>
    <cellStyle name="Total 7 6 4 4 2" xfId="25272" xr:uid="{00000000-0005-0000-0000-00008D7D0000}"/>
    <cellStyle name="Total 7 6 5" xfId="5936" xr:uid="{00000000-0005-0000-0000-00008E7D0000}"/>
    <cellStyle name="Total 7 6 5 2" xfId="16128" xr:uid="{00000000-0005-0000-0000-00008F7D0000}"/>
    <cellStyle name="Total 7 6 5 2 2" xfId="30960" xr:uid="{00000000-0005-0000-0000-0000907D0000}"/>
    <cellStyle name="Total 7 6 5 3" xfId="18443" xr:uid="{00000000-0005-0000-0000-0000917D0000}"/>
    <cellStyle name="Total 7 6 6" xfId="12198" xr:uid="{00000000-0005-0000-0000-0000927D0000}"/>
    <cellStyle name="Total 7 6 6 2" xfId="27030" xr:uid="{00000000-0005-0000-0000-0000937D0000}"/>
    <cellStyle name="Total 7 6 7" xfId="9794" xr:uid="{00000000-0005-0000-0000-0000947D0000}"/>
    <cellStyle name="Total 7 6 7 2" xfId="24751" xr:uid="{00000000-0005-0000-0000-0000957D0000}"/>
    <cellStyle name="Total 7 7" xfId="2162" xr:uid="{00000000-0005-0000-0000-0000967D0000}"/>
    <cellStyle name="Total 7 7 2" xfId="4107" xr:uid="{00000000-0005-0000-0000-0000977D0000}"/>
    <cellStyle name="Total 7 7 2 2" xfId="8153" xr:uid="{00000000-0005-0000-0000-0000987D0000}"/>
    <cellStyle name="Total 7 7 2 2 2" xfId="17523" xr:uid="{00000000-0005-0000-0000-0000997D0000}"/>
    <cellStyle name="Total 7 7 2 2 2 2" xfId="32355" xr:uid="{00000000-0005-0000-0000-00009A7D0000}"/>
    <cellStyle name="Total 7 7 2 2 3" xfId="19269" xr:uid="{00000000-0005-0000-0000-00009B7D0000}"/>
    <cellStyle name="Total 7 7 2 3" xfId="14439" xr:uid="{00000000-0005-0000-0000-00009C7D0000}"/>
    <cellStyle name="Total 7 7 2 3 2" xfId="29271" xr:uid="{00000000-0005-0000-0000-00009D7D0000}"/>
    <cellStyle name="Total 7 7 2 4" xfId="11140" xr:uid="{00000000-0005-0000-0000-00009E7D0000}"/>
    <cellStyle name="Total 7 7 2 4 2" xfId="25972" xr:uid="{00000000-0005-0000-0000-00009F7D0000}"/>
    <cellStyle name="Total 7 7 3" xfId="5130" xr:uid="{00000000-0005-0000-0000-0000A07D0000}"/>
    <cellStyle name="Total 7 7 3 2" xfId="9169" xr:uid="{00000000-0005-0000-0000-0000A17D0000}"/>
    <cellStyle name="Total 7 7 3 2 2" xfId="18092" xr:uid="{00000000-0005-0000-0000-0000A27D0000}"/>
    <cellStyle name="Total 7 7 3 2 2 2" xfId="32924" xr:uid="{00000000-0005-0000-0000-0000A37D0000}"/>
    <cellStyle name="Total 7 7 3 2 3" xfId="19643" xr:uid="{00000000-0005-0000-0000-0000A47D0000}"/>
    <cellStyle name="Total 7 7 3 3" xfId="15448" xr:uid="{00000000-0005-0000-0000-0000A57D0000}"/>
    <cellStyle name="Total 7 7 3 3 2" xfId="30280" xr:uid="{00000000-0005-0000-0000-0000A67D0000}"/>
    <cellStyle name="Total 7 7 3 4" xfId="11689" xr:uid="{00000000-0005-0000-0000-0000A77D0000}"/>
    <cellStyle name="Total 7 7 3 4 2" xfId="26521" xr:uid="{00000000-0005-0000-0000-0000A87D0000}"/>
    <cellStyle name="Total 7 7 4" xfId="4160" xr:uid="{00000000-0005-0000-0000-0000A97D0000}"/>
    <cellStyle name="Total 7 7 4 2" xfId="8201" xr:uid="{00000000-0005-0000-0000-0000AA7D0000}"/>
    <cellStyle name="Total 7 7 4 2 2" xfId="17548" xr:uid="{00000000-0005-0000-0000-0000AB7D0000}"/>
    <cellStyle name="Total 7 7 4 2 2 2" xfId="32380" xr:uid="{00000000-0005-0000-0000-0000AC7D0000}"/>
    <cellStyle name="Total 7 7 4 2 3" xfId="19286" xr:uid="{00000000-0005-0000-0000-0000AD7D0000}"/>
    <cellStyle name="Total 7 7 4 3" xfId="14492" xr:uid="{00000000-0005-0000-0000-0000AE7D0000}"/>
    <cellStyle name="Total 7 7 4 3 2" xfId="29324" xr:uid="{00000000-0005-0000-0000-0000AF7D0000}"/>
    <cellStyle name="Total 7 7 4 4" xfId="11168" xr:uid="{00000000-0005-0000-0000-0000B07D0000}"/>
    <cellStyle name="Total 7 7 4 4 2" xfId="26000" xr:uid="{00000000-0005-0000-0000-0000B17D0000}"/>
    <cellStyle name="Total 7 7 5" xfId="6276" xr:uid="{00000000-0005-0000-0000-0000B27D0000}"/>
    <cellStyle name="Total 7 7 5 2" xfId="16460" xr:uid="{00000000-0005-0000-0000-0000B37D0000}"/>
    <cellStyle name="Total 7 7 5 2 2" xfId="31292" xr:uid="{00000000-0005-0000-0000-0000B47D0000}"/>
    <cellStyle name="Total 7 7 5 3" xfId="18579" xr:uid="{00000000-0005-0000-0000-0000B57D0000}"/>
    <cellStyle name="Total 7 7 6" xfId="12530" xr:uid="{00000000-0005-0000-0000-0000B67D0000}"/>
    <cellStyle name="Total 7 7 6 2" xfId="27362" xr:uid="{00000000-0005-0000-0000-0000B77D0000}"/>
    <cellStyle name="Total 7 7 7" xfId="10112" xr:uid="{00000000-0005-0000-0000-0000B87D0000}"/>
    <cellStyle name="Total 7 7 7 2" xfId="24944" xr:uid="{00000000-0005-0000-0000-0000B97D0000}"/>
    <cellStyle name="Total 7 8" xfId="3197" xr:uid="{00000000-0005-0000-0000-0000BA7D0000}"/>
    <cellStyle name="Total 7 8 2" xfId="7261" xr:uid="{00000000-0005-0000-0000-0000BB7D0000}"/>
    <cellStyle name="Total 7 8 2 2" xfId="17030" xr:uid="{00000000-0005-0000-0000-0000BC7D0000}"/>
    <cellStyle name="Total 7 8 2 2 2" xfId="31862" xr:uid="{00000000-0005-0000-0000-0000BD7D0000}"/>
    <cellStyle name="Total 7 8 2 3" xfId="18959" xr:uid="{00000000-0005-0000-0000-0000BE7D0000}"/>
    <cellStyle name="Total 7 8 3" xfId="13535" xr:uid="{00000000-0005-0000-0000-0000BF7D0000}"/>
    <cellStyle name="Total 7 8 3 2" xfId="28367" xr:uid="{00000000-0005-0000-0000-0000C07D0000}"/>
    <cellStyle name="Total 7 8 4" xfId="10674" xr:uid="{00000000-0005-0000-0000-0000C17D0000}"/>
    <cellStyle name="Total 7 8 4 2" xfId="25506" xr:uid="{00000000-0005-0000-0000-0000C27D0000}"/>
    <cellStyle name="Total 7 9" xfId="3348" xr:uid="{00000000-0005-0000-0000-0000C37D0000}"/>
    <cellStyle name="Total 7 9 2" xfId="7411" xr:uid="{00000000-0005-0000-0000-0000C47D0000}"/>
    <cellStyle name="Total 7 9 2 2" xfId="17136" xr:uid="{00000000-0005-0000-0000-0000C57D0000}"/>
    <cellStyle name="Total 7 9 2 2 2" xfId="31968" xr:uid="{00000000-0005-0000-0000-0000C67D0000}"/>
    <cellStyle name="Total 7 9 2 3" xfId="19006" xr:uid="{00000000-0005-0000-0000-0000C77D0000}"/>
    <cellStyle name="Total 7 9 3" xfId="13685" xr:uid="{00000000-0005-0000-0000-0000C87D0000}"/>
    <cellStyle name="Total 7 9 3 2" xfId="28517" xr:uid="{00000000-0005-0000-0000-0000C97D0000}"/>
    <cellStyle name="Total 7 9 4" xfId="10755" xr:uid="{00000000-0005-0000-0000-0000CA7D0000}"/>
    <cellStyle name="Total 7 9 4 2" xfId="25587" xr:uid="{00000000-0005-0000-0000-0000CB7D0000}"/>
    <cellStyle name="Total 8" xfId="1280" xr:uid="{00000000-0005-0000-0000-0000CC7D0000}"/>
    <cellStyle name="Total 8 10" xfId="2347" xr:uid="{00000000-0005-0000-0000-0000CD7D0000}"/>
    <cellStyle name="Total 8 10 2" xfId="6459" xr:uid="{00000000-0005-0000-0000-0000CE7D0000}"/>
    <cellStyle name="Total 8 10 2 2" xfId="16551" xr:uid="{00000000-0005-0000-0000-0000CF7D0000}"/>
    <cellStyle name="Total 8 10 2 2 2" xfId="31383" xr:uid="{00000000-0005-0000-0000-0000D07D0000}"/>
    <cellStyle name="Total 8 10 2 3" xfId="18639" xr:uid="{00000000-0005-0000-0000-0000D17D0000}"/>
    <cellStyle name="Total 8 10 3" xfId="12687" xr:uid="{00000000-0005-0000-0000-0000D27D0000}"/>
    <cellStyle name="Total 8 10 3 2" xfId="27519" xr:uid="{00000000-0005-0000-0000-0000D37D0000}"/>
    <cellStyle name="Total 8 10 4" xfId="10202" xr:uid="{00000000-0005-0000-0000-0000D47D0000}"/>
    <cellStyle name="Total 8 10 4 2" xfId="25034" xr:uid="{00000000-0005-0000-0000-0000D57D0000}"/>
    <cellStyle name="Total 8 11" xfId="5309" xr:uid="{00000000-0005-0000-0000-0000D67D0000}"/>
    <cellStyle name="Total 8 11 2" xfId="9317" xr:uid="{00000000-0005-0000-0000-0000D77D0000}"/>
    <cellStyle name="Total 8 11 2 2" xfId="18184" xr:uid="{00000000-0005-0000-0000-0000D87D0000}"/>
    <cellStyle name="Total 8 11 2 2 2" xfId="33016" xr:uid="{00000000-0005-0000-0000-0000D97D0000}"/>
    <cellStyle name="Total 8 11 2 3" xfId="19703" xr:uid="{00000000-0005-0000-0000-0000DA7D0000}"/>
    <cellStyle name="Total 8 11 3" xfId="15625" xr:uid="{00000000-0005-0000-0000-0000DB7D0000}"/>
    <cellStyle name="Total 8 11 3 2" xfId="30457" xr:uid="{00000000-0005-0000-0000-0000DC7D0000}"/>
    <cellStyle name="Total 8 12" xfId="5467" xr:uid="{00000000-0005-0000-0000-0000DD7D0000}"/>
    <cellStyle name="Total 8 12 2" xfId="15703" xr:uid="{00000000-0005-0000-0000-0000DE7D0000}"/>
    <cellStyle name="Total 8 12 2 2" xfId="30535" xr:uid="{00000000-0005-0000-0000-0000DF7D0000}"/>
    <cellStyle name="Total 8 12 3" xfId="18280" xr:uid="{00000000-0005-0000-0000-0000E07D0000}"/>
    <cellStyle name="Total 8 13" xfId="9324" xr:uid="{00000000-0005-0000-0000-0000E17D0000}"/>
    <cellStyle name="Total 8 13 2" xfId="24630" xr:uid="{00000000-0005-0000-0000-0000E27D0000}"/>
    <cellStyle name="Total 8 14" xfId="5313" xr:uid="{00000000-0005-0000-0000-0000E37D0000}"/>
    <cellStyle name="Total 8 14 2" xfId="18187" xr:uid="{00000000-0005-0000-0000-0000E47D0000}"/>
    <cellStyle name="Total 8 2" xfId="1379" xr:uid="{00000000-0005-0000-0000-0000E57D0000}"/>
    <cellStyle name="Total 8 2 2" xfId="1883" xr:uid="{00000000-0005-0000-0000-0000E67D0000}"/>
    <cellStyle name="Total 8 2 2 2" xfId="4336" xr:uid="{00000000-0005-0000-0000-0000E77D0000}"/>
    <cellStyle name="Total 8 2 2 2 2" xfId="8375" xr:uid="{00000000-0005-0000-0000-0000E87D0000}"/>
    <cellStyle name="Total 8 2 2 2 2 2" xfId="17651" xr:uid="{00000000-0005-0000-0000-0000E97D0000}"/>
    <cellStyle name="Total 8 2 2 2 2 2 2" xfId="32483" xr:uid="{00000000-0005-0000-0000-0000EA7D0000}"/>
    <cellStyle name="Total 8 2 2 2 2 3" xfId="19350" xr:uid="{00000000-0005-0000-0000-0000EB7D0000}"/>
    <cellStyle name="Total 8 2 2 2 3" xfId="14667" xr:uid="{00000000-0005-0000-0000-0000EC7D0000}"/>
    <cellStyle name="Total 8 2 2 2 3 2" xfId="29499" xr:uid="{00000000-0005-0000-0000-0000ED7D0000}"/>
    <cellStyle name="Total 8 2 2 2 4" xfId="11261" xr:uid="{00000000-0005-0000-0000-0000EE7D0000}"/>
    <cellStyle name="Total 8 2 2 2 4 2" xfId="26093" xr:uid="{00000000-0005-0000-0000-0000EF7D0000}"/>
    <cellStyle name="Total 8 2 2 3" xfId="4861" xr:uid="{00000000-0005-0000-0000-0000F07D0000}"/>
    <cellStyle name="Total 8 2 2 3 2" xfId="8900" xr:uid="{00000000-0005-0000-0000-0000F17D0000}"/>
    <cellStyle name="Total 8 2 2 3 2 2" xfId="17941" xr:uid="{00000000-0005-0000-0000-0000F27D0000}"/>
    <cellStyle name="Total 8 2 2 3 2 2 2" xfId="32773" xr:uid="{00000000-0005-0000-0000-0000F37D0000}"/>
    <cellStyle name="Total 8 2 2 3 2 3" xfId="19543" xr:uid="{00000000-0005-0000-0000-0000F47D0000}"/>
    <cellStyle name="Total 8 2 2 3 3" xfId="15185" xr:uid="{00000000-0005-0000-0000-0000F57D0000}"/>
    <cellStyle name="Total 8 2 2 3 3 2" xfId="30017" xr:uid="{00000000-0005-0000-0000-0000F67D0000}"/>
    <cellStyle name="Total 8 2 2 3 4" xfId="11544" xr:uid="{00000000-0005-0000-0000-0000F77D0000}"/>
    <cellStyle name="Total 8 2 2 3 4 2" xfId="26376" xr:uid="{00000000-0005-0000-0000-0000F87D0000}"/>
    <cellStyle name="Total 8 2 2 4" xfId="2851" xr:uid="{00000000-0005-0000-0000-0000F97D0000}"/>
    <cellStyle name="Total 8 2 2 4 2" xfId="6942" xr:uid="{00000000-0005-0000-0000-0000FA7D0000}"/>
    <cellStyle name="Total 8 2 2 4 2 2" xfId="16835" xr:uid="{00000000-0005-0000-0000-0000FB7D0000}"/>
    <cellStyle name="Total 8 2 2 4 2 2 2" xfId="31667" xr:uid="{00000000-0005-0000-0000-0000FC7D0000}"/>
    <cellStyle name="Total 8 2 2 4 2 3" xfId="18834" xr:uid="{00000000-0005-0000-0000-0000FD7D0000}"/>
    <cellStyle name="Total 8 2 2 4 3" xfId="13189" xr:uid="{00000000-0005-0000-0000-0000FE7D0000}"/>
    <cellStyle name="Total 8 2 2 4 3 2" xfId="28021" xr:uid="{00000000-0005-0000-0000-0000FF7D0000}"/>
    <cellStyle name="Total 8 2 2 4 4" xfId="10488" xr:uid="{00000000-0005-0000-0000-0000007E0000}"/>
    <cellStyle name="Total 8 2 2 4 4 2" xfId="25320" xr:uid="{00000000-0005-0000-0000-0000017E0000}"/>
    <cellStyle name="Total 8 2 2 5" xfId="6015" xr:uid="{00000000-0005-0000-0000-0000027E0000}"/>
    <cellStyle name="Total 8 2 2 5 2" xfId="16207" xr:uid="{00000000-0005-0000-0000-0000037E0000}"/>
    <cellStyle name="Total 8 2 2 5 2 2" xfId="31039" xr:uid="{00000000-0005-0000-0000-0000047E0000}"/>
    <cellStyle name="Total 8 2 2 5 3" xfId="18476" xr:uid="{00000000-0005-0000-0000-0000057E0000}"/>
    <cellStyle name="Total 8 2 2 6" xfId="12277" xr:uid="{00000000-0005-0000-0000-0000067E0000}"/>
    <cellStyle name="Total 8 2 2 6 2" xfId="27109" xr:uid="{00000000-0005-0000-0000-0000077E0000}"/>
    <cellStyle name="Total 8 2 2 7" xfId="9873" xr:uid="{00000000-0005-0000-0000-0000087E0000}"/>
    <cellStyle name="Total 8 2 2 7 2" xfId="24799" xr:uid="{00000000-0005-0000-0000-0000097E0000}"/>
    <cellStyle name="Total 8 2 3" xfId="4131" xr:uid="{00000000-0005-0000-0000-00000A7E0000}"/>
    <cellStyle name="Total 8 2 3 2" xfId="8175" xr:uid="{00000000-0005-0000-0000-00000B7E0000}"/>
    <cellStyle name="Total 8 2 3 2 2" xfId="17534" xr:uid="{00000000-0005-0000-0000-00000C7E0000}"/>
    <cellStyle name="Total 8 2 3 2 2 2" xfId="32366" xr:uid="{00000000-0005-0000-0000-00000D7E0000}"/>
    <cellStyle name="Total 8 2 3 2 3" xfId="19278" xr:uid="{00000000-0005-0000-0000-00000E7E0000}"/>
    <cellStyle name="Total 8 2 3 3" xfId="14463" xr:uid="{00000000-0005-0000-0000-00000F7E0000}"/>
    <cellStyle name="Total 8 2 3 3 2" xfId="29295" xr:uid="{00000000-0005-0000-0000-0000107E0000}"/>
    <cellStyle name="Total 8 2 3 4" xfId="11152" xr:uid="{00000000-0005-0000-0000-0000117E0000}"/>
    <cellStyle name="Total 8 2 3 4 2" xfId="25984" xr:uid="{00000000-0005-0000-0000-0000127E0000}"/>
    <cellStyle name="Total 8 2 4" xfId="4441" xr:uid="{00000000-0005-0000-0000-0000137E0000}"/>
    <cellStyle name="Total 8 2 4 2" xfId="8480" xr:uid="{00000000-0005-0000-0000-0000147E0000}"/>
    <cellStyle name="Total 8 2 4 2 2" xfId="17701" xr:uid="{00000000-0005-0000-0000-0000157E0000}"/>
    <cellStyle name="Total 8 2 4 2 2 2" xfId="32533" xr:uid="{00000000-0005-0000-0000-0000167E0000}"/>
    <cellStyle name="Total 8 2 4 2 3" xfId="19383" xr:uid="{00000000-0005-0000-0000-0000177E0000}"/>
    <cellStyle name="Total 8 2 4 3" xfId="14770" xr:uid="{00000000-0005-0000-0000-0000187E0000}"/>
    <cellStyle name="Total 8 2 4 3 2" xfId="29602" xr:uid="{00000000-0005-0000-0000-0000197E0000}"/>
    <cellStyle name="Total 8 2 4 4" xfId="11309" xr:uid="{00000000-0005-0000-0000-00001A7E0000}"/>
    <cellStyle name="Total 8 2 4 4 2" xfId="26141" xr:uid="{00000000-0005-0000-0000-00001B7E0000}"/>
    <cellStyle name="Total 8 2 5" xfId="2431" xr:uid="{00000000-0005-0000-0000-00001C7E0000}"/>
    <cellStyle name="Total 8 2 5 2" xfId="6543" xr:uid="{00000000-0005-0000-0000-00001D7E0000}"/>
    <cellStyle name="Total 8 2 5 2 2" xfId="16599" xr:uid="{00000000-0005-0000-0000-00001E7E0000}"/>
    <cellStyle name="Total 8 2 5 2 2 2" xfId="31431" xr:uid="{00000000-0005-0000-0000-00001F7E0000}"/>
    <cellStyle name="Total 8 2 5 2 3" xfId="18671" xr:uid="{00000000-0005-0000-0000-0000207E0000}"/>
    <cellStyle name="Total 8 2 5 3" xfId="12770" xr:uid="{00000000-0005-0000-0000-0000217E0000}"/>
    <cellStyle name="Total 8 2 5 3 2" xfId="27602" xr:uid="{00000000-0005-0000-0000-0000227E0000}"/>
    <cellStyle name="Total 8 2 5 4" xfId="10249" xr:uid="{00000000-0005-0000-0000-0000237E0000}"/>
    <cellStyle name="Total 8 2 5 4 2" xfId="25081" xr:uid="{00000000-0005-0000-0000-0000247E0000}"/>
    <cellStyle name="Total 8 2 6" xfId="5556" xr:uid="{00000000-0005-0000-0000-0000257E0000}"/>
    <cellStyle name="Total 8 2 6 2" xfId="15791" xr:uid="{00000000-0005-0000-0000-0000267E0000}"/>
    <cellStyle name="Total 8 2 6 2 2" xfId="30623" xr:uid="{00000000-0005-0000-0000-0000277E0000}"/>
    <cellStyle name="Total 8 2 6 3" xfId="18313" xr:uid="{00000000-0005-0000-0000-0000287E0000}"/>
    <cellStyle name="Total 8 2 7" xfId="11806" xr:uid="{00000000-0005-0000-0000-0000297E0000}"/>
    <cellStyle name="Total 8 2 7 2" xfId="26638" xr:uid="{00000000-0005-0000-0000-00002A7E0000}"/>
    <cellStyle name="Total 8 2 8" xfId="9477" xr:uid="{00000000-0005-0000-0000-00002B7E0000}"/>
    <cellStyle name="Total 8 2 8 2" xfId="19781" xr:uid="{00000000-0005-0000-0000-00002C7E0000}"/>
    <cellStyle name="Total 8 3" xfId="1551" xr:uid="{00000000-0005-0000-0000-00002D7E0000}"/>
    <cellStyle name="Total 8 3 2" xfId="2048" xr:uid="{00000000-0005-0000-0000-00002E7E0000}"/>
    <cellStyle name="Total 8 3 2 2" xfId="3207" xr:uid="{00000000-0005-0000-0000-00002F7E0000}"/>
    <cellStyle name="Total 8 3 2 2 2" xfId="7271" xr:uid="{00000000-0005-0000-0000-0000307E0000}"/>
    <cellStyle name="Total 8 3 2 2 2 2" xfId="17038" xr:uid="{00000000-0005-0000-0000-0000317E0000}"/>
    <cellStyle name="Total 8 3 2 2 2 2 2" xfId="31870" xr:uid="{00000000-0005-0000-0000-0000327E0000}"/>
    <cellStyle name="Total 8 3 2 2 2 3" xfId="18963" xr:uid="{00000000-0005-0000-0000-0000337E0000}"/>
    <cellStyle name="Total 8 3 2 2 3" xfId="13545" xr:uid="{00000000-0005-0000-0000-0000347E0000}"/>
    <cellStyle name="Total 8 3 2 2 3 2" xfId="28377" xr:uid="{00000000-0005-0000-0000-0000357E0000}"/>
    <cellStyle name="Total 8 3 2 2 4" xfId="10682" xr:uid="{00000000-0005-0000-0000-0000367E0000}"/>
    <cellStyle name="Total 8 3 2 2 4 2" xfId="25514" xr:uid="{00000000-0005-0000-0000-0000377E0000}"/>
    <cellStyle name="Total 8 3 2 3" xfId="5016" xr:uid="{00000000-0005-0000-0000-0000387E0000}"/>
    <cellStyle name="Total 8 3 2 3 2" xfId="9055" xr:uid="{00000000-0005-0000-0000-0000397E0000}"/>
    <cellStyle name="Total 8 3 2 3 2 2" xfId="17993" xr:uid="{00000000-0005-0000-0000-00003A7E0000}"/>
    <cellStyle name="Total 8 3 2 3 2 2 2" xfId="32825" xr:uid="{00000000-0005-0000-0000-00003B7E0000}"/>
    <cellStyle name="Total 8 3 2 3 2 3" xfId="19575" xr:uid="{00000000-0005-0000-0000-00003C7E0000}"/>
    <cellStyle name="Total 8 3 2 3 3" xfId="15338" xr:uid="{00000000-0005-0000-0000-00003D7E0000}"/>
    <cellStyle name="Total 8 3 2 3 3 2" xfId="30170" xr:uid="{00000000-0005-0000-0000-00003E7E0000}"/>
    <cellStyle name="Total 8 3 2 3 4" xfId="11594" xr:uid="{00000000-0005-0000-0000-00003F7E0000}"/>
    <cellStyle name="Total 8 3 2 3 4 2" xfId="26426" xr:uid="{00000000-0005-0000-0000-0000407E0000}"/>
    <cellStyle name="Total 8 3 2 4" xfId="3006" xr:uid="{00000000-0005-0000-0000-0000417E0000}"/>
    <cellStyle name="Total 8 3 2 4 2" xfId="7086" xr:uid="{00000000-0005-0000-0000-0000427E0000}"/>
    <cellStyle name="Total 8 3 2 4 2 2" xfId="16885" xr:uid="{00000000-0005-0000-0000-0000437E0000}"/>
    <cellStyle name="Total 8 3 2 4 2 2 2" xfId="31717" xr:uid="{00000000-0005-0000-0000-0000447E0000}"/>
    <cellStyle name="Total 8 3 2 4 2 3" xfId="18867" xr:uid="{00000000-0005-0000-0000-0000457E0000}"/>
    <cellStyle name="Total 8 3 2 4 3" xfId="13344" xr:uid="{00000000-0005-0000-0000-0000467E0000}"/>
    <cellStyle name="Total 8 3 2 4 3 2" xfId="28176" xr:uid="{00000000-0005-0000-0000-0000477E0000}"/>
    <cellStyle name="Total 8 3 2 4 4" xfId="10540" xr:uid="{00000000-0005-0000-0000-0000487E0000}"/>
    <cellStyle name="Total 8 3 2 4 4 2" xfId="25372" xr:uid="{00000000-0005-0000-0000-0000497E0000}"/>
    <cellStyle name="Total 8 3 2 5" xfId="6178" xr:uid="{00000000-0005-0000-0000-00004A7E0000}"/>
    <cellStyle name="Total 8 3 2 5 2" xfId="16365" xr:uid="{00000000-0005-0000-0000-00004B7E0000}"/>
    <cellStyle name="Total 8 3 2 5 2 2" xfId="31197" xr:uid="{00000000-0005-0000-0000-00004C7E0000}"/>
    <cellStyle name="Total 8 3 2 5 3" xfId="18508" xr:uid="{00000000-0005-0000-0000-00004D7E0000}"/>
    <cellStyle name="Total 8 3 2 6" xfId="12435" xr:uid="{00000000-0005-0000-0000-00004E7E0000}"/>
    <cellStyle name="Total 8 3 2 6 2" xfId="27267" xr:uid="{00000000-0005-0000-0000-00004F7E0000}"/>
    <cellStyle name="Total 8 3 2 7" xfId="10017" xr:uid="{00000000-0005-0000-0000-0000507E0000}"/>
    <cellStyle name="Total 8 3 2 7 2" xfId="24849" xr:uid="{00000000-0005-0000-0000-0000517E0000}"/>
    <cellStyle name="Total 8 3 3" xfId="3859" xr:uid="{00000000-0005-0000-0000-0000527E0000}"/>
    <cellStyle name="Total 8 3 3 2" xfId="7911" xr:uid="{00000000-0005-0000-0000-0000537E0000}"/>
    <cellStyle name="Total 8 3 3 2 2" xfId="17396" xr:uid="{00000000-0005-0000-0000-0000547E0000}"/>
    <cellStyle name="Total 8 3 3 2 2 2" xfId="32228" xr:uid="{00000000-0005-0000-0000-0000557E0000}"/>
    <cellStyle name="Total 8 3 3 2 3" xfId="19175" xr:uid="{00000000-0005-0000-0000-0000567E0000}"/>
    <cellStyle name="Total 8 3 3 3" xfId="14194" xr:uid="{00000000-0005-0000-0000-0000577E0000}"/>
    <cellStyle name="Total 8 3 3 3 2" xfId="29026" xr:uid="{00000000-0005-0000-0000-0000587E0000}"/>
    <cellStyle name="Total 8 3 3 4" xfId="11015" xr:uid="{00000000-0005-0000-0000-0000597E0000}"/>
    <cellStyle name="Total 8 3 3 4 2" xfId="25847" xr:uid="{00000000-0005-0000-0000-00005A7E0000}"/>
    <cellStyle name="Total 8 3 4" xfId="4596" xr:uid="{00000000-0005-0000-0000-00005B7E0000}"/>
    <cellStyle name="Total 8 3 4 2" xfId="8635" xr:uid="{00000000-0005-0000-0000-00005C7E0000}"/>
    <cellStyle name="Total 8 3 4 2 2" xfId="17753" xr:uid="{00000000-0005-0000-0000-00005D7E0000}"/>
    <cellStyle name="Total 8 3 4 2 2 2" xfId="32585" xr:uid="{00000000-0005-0000-0000-00005E7E0000}"/>
    <cellStyle name="Total 8 3 4 2 3" xfId="19415" xr:uid="{00000000-0005-0000-0000-00005F7E0000}"/>
    <cellStyle name="Total 8 3 4 3" xfId="14923" xr:uid="{00000000-0005-0000-0000-0000607E0000}"/>
    <cellStyle name="Total 8 3 4 3 2" xfId="29755" xr:uid="{00000000-0005-0000-0000-0000617E0000}"/>
    <cellStyle name="Total 8 3 4 4" xfId="11359" xr:uid="{00000000-0005-0000-0000-0000627E0000}"/>
    <cellStyle name="Total 8 3 4 4 2" xfId="26191" xr:uid="{00000000-0005-0000-0000-0000637E0000}"/>
    <cellStyle name="Total 8 3 5" xfId="2586" xr:uid="{00000000-0005-0000-0000-0000647E0000}"/>
    <cellStyle name="Total 8 3 5 2" xfId="6692" xr:uid="{00000000-0005-0000-0000-0000657E0000}"/>
    <cellStyle name="Total 8 3 5 2 2" xfId="16650" xr:uid="{00000000-0005-0000-0000-0000667E0000}"/>
    <cellStyle name="Total 8 3 5 2 2 2" xfId="31482" xr:uid="{00000000-0005-0000-0000-0000677E0000}"/>
    <cellStyle name="Total 8 3 5 2 3" xfId="18703" xr:uid="{00000000-0005-0000-0000-0000687E0000}"/>
    <cellStyle name="Total 8 3 5 3" xfId="12924" xr:uid="{00000000-0005-0000-0000-0000697E0000}"/>
    <cellStyle name="Total 8 3 5 3 2" xfId="27756" xr:uid="{00000000-0005-0000-0000-00006A7E0000}"/>
    <cellStyle name="Total 8 3 5 4" xfId="10300" xr:uid="{00000000-0005-0000-0000-00006B7E0000}"/>
    <cellStyle name="Total 8 3 5 4 2" xfId="25132" xr:uid="{00000000-0005-0000-0000-00006C7E0000}"/>
    <cellStyle name="Total 8 3 6" xfId="5709" xr:uid="{00000000-0005-0000-0000-00006D7E0000}"/>
    <cellStyle name="Total 8 3 6 2" xfId="15944" xr:uid="{00000000-0005-0000-0000-00006E7E0000}"/>
    <cellStyle name="Total 8 3 6 2 2" xfId="30776" xr:uid="{00000000-0005-0000-0000-00006F7E0000}"/>
    <cellStyle name="Total 8 3 6 3" xfId="18345" xr:uid="{00000000-0005-0000-0000-0000707E0000}"/>
    <cellStyle name="Total 8 3 7" xfId="11964" xr:uid="{00000000-0005-0000-0000-0000717E0000}"/>
    <cellStyle name="Total 8 3 7 2" xfId="26796" xr:uid="{00000000-0005-0000-0000-0000727E0000}"/>
    <cellStyle name="Total 8 3 8" xfId="9622" xr:uid="{00000000-0005-0000-0000-0000737E0000}"/>
    <cellStyle name="Total 8 3 8 2" xfId="19924" xr:uid="{00000000-0005-0000-0000-0000747E0000}"/>
    <cellStyle name="Total 8 4" xfId="1604" xr:uid="{00000000-0005-0000-0000-0000757E0000}"/>
    <cellStyle name="Total 8 4 2" xfId="2101" xr:uid="{00000000-0005-0000-0000-0000767E0000}"/>
    <cellStyle name="Total 8 4 2 2" xfId="3398" xr:uid="{00000000-0005-0000-0000-0000777E0000}"/>
    <cellStyle name="Total 8 4 2 2 2" xfId="7461" xr:uid="{00000000-0005-0000-0000-0000787E0000}"/>
    <cellStyle name="Total 8 4 2 2 2 2" xfId="17160" xr:uid="{00000000-0005-0000-0000-0000797E0000}"/>
    <cellStyle name="Total 8 4 2 2 2 2 2" xfId="31992" xr:uid="{00000000-0005-0000-0000-00007A7E0000}"/>
    <cellStyle name="Total 8 4 2 2 2 3" xfId="19022" xr:uid="{00000000-0005-0000-0000-00007B7E0000}"/>
    <cellStyle name="Total 8 4 2 2 3" xfId="13735" xr:uid="{00000000-0005-0000-0000-00007C7E0000}"/>
    <cellStyle name="Total 8 4 2 2 3 2" xfId="28567" xr:uid="{00000000-0005-0000-0000-00007D7E0000}"/>
    <cellStyle name="Total 8 4 2 2 4" xfId="10779" xr:uid="{00000000-0005-0000-0000-00007E7E0000}"/>
    <cellStyle name="Total 8 4 2 2 4 2" xfId="25611" xr:uid="{00000000-0005-0000-0000-00007F7E0000}"/>
    <cellStyle name="Total 8 4 2 3" xfId="5069" xr:uid="{00000000-0005-0000-0000-0000807E0000}"/>
    <cellStyle name="Total 8 4 2 3 2" xfId="9108" xr:uid="{00000000-0005-0000-0000-0000817E0000}"/>
    <cellStyle name="Total 8 4 2 3 2 2" xfId="18041" xr:uid="{00000000-0005-0000-0000-0000827E0000}"/>
    <cellStyle name="Total 8 4 2 3 2 2 2" xfId="32873" xr:uid="{00000000-0005-0000-0000-0000837E0000}"/>
    <cellStyle name="Total 8 4 2 3 2 3" xfId="19607" xr:uid="{00000000-0005-0000-0000-0000847E0000}"/>
    <cellStyle name="Total 8 4 2 3 3" xfId="15390" xr:uid="{00000000-0005-0000-0000-0000857E0000}"/>
    <cellStyle name="Total 8 4 2 3 3 2" xfId="30222" xr:uid="{00000000-0005-0000-0000-0000867E0000}"/>
    <cellStyle name="Total 8 4 2 3 4" xfId="11641" xr:uid="{00000000-0005-0000-0000-0000877E0000}"/>
    <cellStyle name="Total 8 4 2 3 4 2" xfId="26473" xr:uid="{00000000-0005-0000-0000-0000887E0000}"/>
    <cellStyle name="Total 8 4 2 4" xfId="3059" xr:uid="{00000000-0005-0000-0000-0000897E0000}"/>
    <cellStyle name="Total 8 4 2 4 2" xfId="7134" xr:uid="{00000000-0005-0000-0000-00008A7E0000}"/>
    <cellStyle name="Total 8 4 2 4 2 2" xfId="16932" xr:uid="{00000000-0005-0000-0000-00008B7E0000}"/>
    <cellStyle name="Total 8 4 2 4 2 2 2" xfId="31764" xr:uid="{00000000-0005-0000-0000-00008C7E0000}"/>
    <cellStyle name="Total 8 4 2 4 2 3" xfId="18900" xr:uid="{00000000-0005-0000-0000-00008D7E0000}"/>
    <cellStyle name="Total 8 4 2 4 3" xfId="13397" xr:uid="{00000000-0005-0000-0000-00008E7E0000}"/>
    <cellStyle name="Total 8 4 2 4 3 2" xfId="28229" xr:uid="{00000000-0005-0000-0000-00008F7E0000}"/>
    <cellStyle name="Total 8 4 2 4 4" xfId="10588" xr:uid="{00000000-0005-0000-0000-0000907E0000}"/>
    <cellStyle name="Total 8 4 2 4 4 2" xfId="25420" xr:uid="{00000000-0005-0000-0000-0000917E0000}"/>
    <cellStyle name="Total 8 4 2 5" xfId="6226" xr:uid="{00000000-0005-0000-0000-0000927E0000}"/>
    <cellStyle name="Total 8 4 2 5 2" xfId="16412" xr:uid="{00000000-0005-0000-0000-0000937E0000}"/>
    <cellStyle name="Total 8 4 2 5 2 2" xfId="31244" xr:uid="{00000000-0005-0000-0000-0000947E0000}"/>
    <cellStyle name="Total 8 4 2 5 3" xfId="18541" xr:uid="{00000000-0005-0000-0000-0000957E0000}"/>
    <cellStyle name="Total 8 4 2 6" xfId="12482" xr:uid="{00000000-0005-0000-0000-0000967E0000}"/>
    <cellStyle name="Total 8 4 2 6 2" xfId="27314" xr:uid="{00000000-0005-0000-0000-0000977E0000}"/>
    <cellStyle name="Total 8 4 2 7" xfId="10064" xr:uid="{00000000-0005-0000-0000-0000987E0000}"/>
    <cellStyle name="Total 8 4 2 7 2" xfId="24896" xr:uid="{00000000-0005-0000-0000-0000997E0000}"/>
    <cellStyle name="Total 8 4 3" xfId="3658" xr:uid="{00000000-0005-0000-0000-00009A7E0000}"/>
    <cellStyle name="Total 8 4 3 2" xfId="7717" xr:uid="{00000000-0005-0000-0000-00009B7E0000}"/>
    <cellStyle name="Total 8 4 3 2 2" xfId="17305" xr:uid="{00000000-0005-0000-0000-00009C7E0000}"/>
    <cellStyle name="Total 8 4 3 2 2 2" xfId="32137" xr:uid="{00000000-0005-0000-0000-00009D7E0000}"/>
    <cellStyle name="Total 8 4 3 2 3" xfId="19114" xr:uid="{00000000-0005-0000-0000-00009E7E0000}"/>
    <cellStyle name="Total 8 4 3 3" xfId="13993" xr:uid="{00000000-0005-0000-0000-00009F7E0000}"/>
    <cellStyle name="Total 8 4 3 3 2" xfId="28825" xr:uid="{00000000-0005-0000-0000-0000A07E0000}"/>
    <cellStyle name="Total 8 4 3 4" xfId="10921" xr:uid="{00000000-0005-0000-0000-0000A17E0000}"/>
    <cellStyle name="Total 8 4 3 4 2" xfId="25753" xr:uid="{00000000-0005-0000-0000-0000A27E0000}"/>
    <cellStyle name="Total 8 4 4" xfId="4649" xr:uid="{00000000-0005-0000-0000-0000A37E0000}"/>
    <cellStyle name="Total 8 4 4 2" xfId="8688" xr:uid="{00000000-0005-0000-0000-0000A47E0000}"/>
    <cellStyle name="Total 8 4 4 2 2" xfId="17801" xr:uid="{00000000-0005-0000-0000-0000A57E0000}"/>
    <cellStyle name="Total 8 4 4 2 2 2" xfId="32633" xr:uid="{00000000-0005-0000-0000-0000A67E0000}"/>
    <cellStyle name="Total 8 4 4 2 3" xfId="19447" xr:uid="{00000000-0005-0000-0000-0000A77E0000}"/>
    <cellStyle name="Total 8 4 4 3" xfId="14975" xr:uid="{00000000-0005-0000-0000-0000A87E0000}"/>
    <cellStyle name="Total 8 4 4 3 2" xfId="29807" xr:uid="{00000000-0005-0000-0000-0000A97E0000}"/>
    <cellStyle name="Total 8 4 4 4" xfId="11406" xr:uid="{00000000-0005-0000-0000-0000AA7E0000}"/>
    <cellStyle name="Total 8 4 4 4 2" xfId="26238" xr:uid="{00000000-0005-0000-0000-0000AB7E0000}"/>
    <cellStyle name="Total 8 4 5" xfId="2639" xr:uid="{00000000-0005-0000-0000-0000AC7E0000}"/>
    <cellStyle name="Total 8 4 5 2" xfId="6740" xr:uid="{00000000-0005-0000-0000-0000AD7E0000}"/>
    <cellStyle name="Total 8 4 5 2 2" xfId="16697" xr:uid="{00000000-0005-0000-0000-0000AE7E0000}"/>
    <cellStyle name="Total 8 4 5 2 2 2" xfId="31529" xr:uid="{00000000-0005-0000-0000-0000AF7E0000}"/>
    <cellStyle name="Total 8 4 5 2 3" xfId="18736" xr:uid="{00000000-0005-0000-0000-0000B07E0000}"/>
    <cellStyle name="Total 8 4 5 3" xfId="12977" xr:uid="{00000000-0005-0000-0000-0000B17E0000}"/>
    <cellStyle name="Total 8 4 5 3 2" xfId="27809" xr:uid="{00000000-0005-0000-0000-0000B27E0000}"/>
    <cellStyle name="Total 8 4 5 4" xfId="10348" xr:uid="{00000000-0005-0000-0000-0000B37E0000}"/>
    <cellStyle name="Total 8 4 5 4 2" xfId="25180" xr:uid="{00000000-0005-0000-0000-0000B47E0000}"/>
    <cellStyle name="Total 8 4 6" xfId="5756" xr:uid="{00000000-0005-0000-0000-0000B57E0000}"/>
    <cellStyle name="Total 8 4 6 2" xfId="15991" xr:uid="{00000000-0005-0000-0000-0000B67E0000}"/>
    <cellStyle name="Total 8 4 6 2 2" xfId="30823" xr:uid="{00000000-0005-0000-0000-0000B77E0000}"/>
    <cellStyle name="Total 8 4 6 3" xfId="18377" xr:uid="{00000000-0005-0000-0000-0000B87E0000}"/>
    <cellStyle name="Total 8 4 7" xfId="12011" xr:uid="{00000000-0005-0000-0000-0000B97E0000}"/>
    <cellStyle name="Total 8 4 7 2" xfId="26843" xr:uid="{00000000-0005-0000-0000-0000BA7E0000}"/>
    <cellStyle name="Total 8 4 8" xfId="9670" xr:uid="{00000000-0005-0000-0000-0000BB7E0000}"/>
    <cellStyle name="Total 8 4 8 2" xfId="19971" xr:uid="{00000000-0005-0000-0000-0000BC7E0000}"/>
    <cellStyle name="Total 8 5" xfId="1654" xr:uid="{00000000-0005-0000-0000-0000BD7E0000}"/>
    <cellStyle name="Total 8 5 2" xfId="2151" xr:uid="{00000000-0005-0000-0000-0000BE7E0000}"/>
    <cellStyle name="Total 8 5 2 2" xfId="3653" xr:uid="{00000000-0005-0000-0000-0000BF7E0000}"/>
    <cellStyle name="Total 8 5 2 2 2" xfId="7712" xr:uid="{00000000-0005-0000-0000-0000C07E0000}"/>
    <cellStyle name="Total 8 5 2 2 2 2" xfId="17302" xr:uid="{00000000-0005-0000-0000-0000C17E0000}"/>
    <cellStyle name="Total 8 5 2 2 2 2 2" xfId="32134" xr:uid="{00000000-0005-0000-0000-0000C27E0000}"/>
    <cellStyle name="Total 8 5 2 2 2 3" xfId="19113" xr:uid="{00000000-0005-0000-0000-0000C37E0000}"/>
    <cellStyle name="Total 8 5 2 2 3" xfId="13988" xr:uid="{00000000-0005-0000-0000-0000C47E0000}"/>
    <cellStyle name="Total 8 5 2 2 3 2" xfId="28820" xr:uid="{00000000-0005-0000-0000-0000C57E0000}"/>
    <cellStyle name="Total 8 5 2 2 4" xfId="10918" xr:uid="{00000000-0005-0000-0000-0000C67E0000}"/>
    <cellStyle name="Total 8 5 2 2 4 2" xfId="25750" xr:uid="{00000000-0005-0000-0000-0000C77E0000}"/>
    <cellStyle name="Total 8 5 2 3" xfId="5119" xr:uid="{00000000-0005-0000-0000-0000C87E0000}"/>
    <cellStyle name="Total 8 5 2 3 2" xfId="9158" xr:uid="{00000000-0005-0000-0000-0000C97E0000}"/>
    <cellStyle name="Total 8 5 2 3 2 2" xfId="18086" xr:uid="{00000000-0005-0000-0000-0000CA7E0000}"/>
    <cellStyle name="Total 8 5 2 3 2 2 2" xfId="32918" xr:uid="{00000000-0005-0000-0000-0000CB7E0000}"/>
    <cellStyle name="Total 8 5 2 3 2 3" xfId="19639" xr:uid="{00000000-0005-0000-0000-0000CC7E0000}"/>
    <cellStyle name="Total 8 5 2 3 3" xfId="15439" xr:uid="{00000000-0005-0000-0000-0000CD7E0000}"/>
    <cellStyle name="Total 8 5 2 3 3 2" xfId="30271" xr:uid="{00000000-0005-0000-0000-0000CE7E0000}"/>
    <cellStyle name="Total 8 5 2 3 4" xfId="11685" xr:uid="{00000000-0005-0000-0000-0000CF7E0000}"/>
    <cellStyle name="Total 8 5 2 3 4 2" xfId="26517" xr:uid="{00000000-0005-0000-0000-0000D07E0000}"/>
    <cellStyle name="Total 8 5 2 4" xfId="3109" xr:uid="{00000000-0005-0000-0000-0000D17E0000}"/>
    <cellStyle name="Total 8 5 2 4 2" xfId="7179" xr:uid="{00000000-0005-0000-0000-0000D27E0000}"/>
    <cellStyle name="Total 8 5 2 4 2 2" xfId="16976" xr:uid="{00000000-0005-0000-0000-0000D37E0000}"/>
    <cellStyle name="Total 8 5 2 4 2 2 2" xfId="31808" xr:uid="{00000000-0005-0000-0000-0000D47E0000}"/>
    <cellStyle name="Total 8 5 2 4 2 3" xfId="18933" xr:uid="{00000000-0005-0000-0000-0000D57E0000}"/>
    <cellStyle name="Total 8 5 2 4 3" xfId="13447" xr:uid="{00000000-0005-0000-0000-0000D67E0000}"/>
    <cellStyle name="Total 8 5 2 4 3 2" xfId="28279" xr:uid="{00000000-0005-0000-0000-0000D77E0000}"/>
    <cellStyle name="Total 8 5 2 4 4" xfId="10633" xr:uid="{00000000-0005-0000-0000-0000D87E0000}"/>
    <cellStyle name="Total 8 5 2 4 4 2" xfId="25465" xr:uid="{00000000-0005-0000-0000-0000D97E0000}"/>
    <cellStyle name="Total 8 5 2 5" xfId="6271" xr:uid="{00000000-0005-0000-0000-0000DA7E0000}"/>
    <cellStyle name="Total 8 5 2 5 2" xfId="16456" xr:uid="{00000000-0005-0000-0000-0000DB7E0000}"/>
    <cellStyle name="Total 8 5 2 5 2 2" xfId="31288" xr:uid="{00000000-0005-0000-0000-0000DC7E0000}"/>
    <cellStyle name="Total 8 5 2 5 3" xfId="18574" xr:uid="{00000000-0005-0000-0000-0000DD7E0000}"/>
    <cellStyle name="Total 8 5 2 6" xfId="12526" xr:uid="{00000000-0005-0000-0000-0000DE7E0000}"/>
    <cellStyle name="Total 8 5 2 6 2" xfId="27358" xr:uid="{00000000-0005-0000-0000-0000DF7E0000}"/>
    <cellStyle name="Total 8 5 2 7" xfId="10108" xr:uid="{00000000-0005-0000-0000-0000E07E0000}"/>
    <cellStyle name="Total 8 5 2 7 2" xfId="24940" xr:uid="{00000000-0005-0000-0000-0000E17E0000}"/>
    <cellStyle name="Total 8 5 3" xfId="3117" xr:uid="{00000000-0005-0000-0000-0000E27E0000}"/>
    <cellStyle name="Total 8 5 3 2" xfId="7182" xr:uid="{00000000-0005-0000-0000-0000E37E0000}"/>
    <cellStyle name="Total 8 5 3 2 2" xfId="16978" xr:uid="{00000000-0005-0000-0000-0000E47E0000}"/>
    <cellStyle name="Total 8 5 3 2 2 2" xfId="31810" xr:uid="{00000000-0005-0000-0000-0000E57E0000}"/>
    <cellStyle name="Total 8 5 3 2 3" xfId="18936" xr:uid="{00000000-0005-0000-0000-0000E67E0000}"/>
    <cellStyle name="Total 8 5 3 3" xfId="13455" xr:uid="{00000000-0005-0000-0000-0000E77E0000}"/>
    <cellStyle name="Total 8 5 3 3 2" xfId="28287" xr:uid="{00000000-0005-0000-0000-0000E87E0000}"/>
    <cellStyle name="Total 8 5 3 4" xfId="10636" xr:uid="{00000000-0005-0000-0000-0000E97E0000}"/>
    <cellStyle name="Total 8 5 3 4 2" xfId="25468" xr:uid="{00000000-0005-0000-0000-0000EA7E0000}"/>
    <cellStyle name="Total 8 5 4" xfId="4699" xr:uid="{00000000-0005-0000-0000-0000EB7E0000}"/>
    <cellStyle name="Total 8 5 4 2" xfId="8738" xr:uid="{00000000-0005-0000-0000-0000EC7E0000}"/>
    <cellStyle name="Total 8 5 4 2 2" xfId="17846" xr:uid="{00000000-0005-0000-0000-0000ED7E0000}"/>
    <cellStyle name="Total 8 5 4 2 2 2" xfId="32678" xr:uid="{00000000-0005-0000-0000-0000EE7E0000}"/>
    <cellStyle name="Total 8 5 4 2 3" xfId="19479" xr:uid="{00000000-0005-0000-0000-0000EF7E0000}"/>
    <cellStyle name="Total 8 5 4 3" xfId="15024" xr:uid="{00000000-0005-0000-0000-0000F07E0000}"/>
    <cellStyle name="Total 8 5 4 3 2" xfId="29856" xr:uid="{00000000-0005-0000-0000-0000F17E0000}"/>
    <cellStyle name="Total 8 5 4 4" xfId="11450" xr:uid="{00000000-0005-0000-0000-0000F27E0000}"/>
    <cellStyle name="Total 8 5 4 4 2" xfId="26282" xr:uid="{00000000-0005-0000-0000-0000F37E0000}"/>
    <cellStyle name="Total 8 5 5" xfId="2689" xr:uid="{00000000-0005-0000-0000-0000F47E0000}"/>
    <cellStyle name="Total 8 5 5 2" xfId="6785" xr:uid="{00000000-0005-0000-0000-0000F57E0000}"/>
    <cellStyle name="Total 8 5 5 2 2" xfId="16741" xr:uid="{00000000-0005-0000-0000-0000F67E0000}"/>
    <cellStyle name="Total 8 5 5 2 2 2" xfId="31573" xr:uid="{00000000-0005-0000-0000-0000F77E0000}"/>
    <cellStyle name="Total 8 5 5 2 3" xfId="18769" xr:uid="{00000000-0005-0000-0000-0000F87E0000}"/>
    <cellStyle name="Total 8 5 5 3" xfId="13027" xr:uid="{00000000-0005-0000-0000-0000F97E0000}"/>
    <cellStyle name="Total 8 5 5 3 2" xfId="27859" xr:uid="{00000000-0005-0000-0000-0000FA7E0000}"/>
    <cellStyle name="Total 8 5 5 4" xfId="10393" xr:uid="{00000000-0005-0000-0000-0000FB7E0000}"/>
    <cellStyle name="Total 8 5 5 4 2" xfId="25225" xr:uid="{00000000-0005-0000-0000-0000FC7E0000}"/>
    <cellStyle name="Total 8 5 6" xfId="5801" xr:uid="{00000000-0005-0000-0000-0000FD7E0000}"/>
    <cellStyle name="Total 8 5 6 2" xfId="16035" xr:uid="{00000000-0005-0000-0000-0000FE7E0000}"/>
    <cellStyle name="Total 8 5 6 2 2" xfId="30867" xr:uid="{00000000-0005-0000-0000-0000FF7E0000}"/>
    <cellStyle name="Total 8 5 6 3" xfId="18410" xr:uid="{00000000-0005-0000-0000-0000007F0000}"/>
    <cellStyle name="Total 8 5 7" xfId="12055" xr:uid="{00000000-0005-0000-0000-0000017F0000}"/>
    <cellStyle name="Total 8 5 7 2" xfId="26887" xr:uid="{00000000-0005-0000-0000-0000027F0000}"/>
    <cellStyle name="Total 8 5 8" xfId="9715" xr:uid="{00000000-0005-0000-0000-0000037F0000}"/>
    <cellStyle name="Total 8 5 8 2" xfId="20015" xr:uid="{00000000-0005-0000-0000-0000047F0000}"/>
    <cellStyle name="Total 8 6" xfId="1805" xr:uid="{00000000-0005-0000-0000-0000057F0000}"/>
    <cellStyle name="Total 8 6 2" xfId="3478" xr:uid="{00000000-0005-0000-0000-0000067F0000}"/>
    <cellStyle name="Total 8 6 2 2" xfId="7540" xr:uid="{00000000-0005-0000-0000-0000077F0000}"/>
    <cellStyle name="Total 8 6 2 2 2" xfId="17208" xr:uid="{00000000-0005-0000-0000-0000087F0000}"/>
    <cellStyle name="Total 8 6 2 2 2 2" xfId="32040" xr:uid="{00000000-0005-0000-0000-0000097F0000}"/>
    <cellStyle name="Total 8 6 2 2 3" xfId="19046" xr:uid="{00000000-0005-0000-0000-00000A7F0000}"/>
    <cellStyle name="Total 8 6 2 3" xfId="13815" xr:uid="{00000000-0005-0000-0000-00000B7F0000}"/>
    <cellStyle name="Total 8 6 2 3 2" xfId="28647" xr:uid="{00000000-0005-0000-0000-00000C7F0000}"/>
    <cellStyle name="Total 8 6 2 4" xfId="10826" xr:uid="{00000000-0005-0000-0000-00000D7F0000}"/>
    <cellStyle name="Total 8 6 2 4 2" xfId="25658" xr:uid="{00000000-0005-0000-0000-00000E7F0000}"/>
    <cellStyle name="Total 8 6 3" xfId="4783" xr:uid="{00000000-0005-0000-0000-00000F7F0000}"/>
    <cellStyle name="Total 8 6 3 2" xfId="8822" xr:uid="{00000000-0005-0000-0000-0000107F0000}"/>
    <cellStyle name="Total 8 6 3 2 2" xfId="17894" xr:uid="{00000000-0005-0000-0000-0000117F0000}"/>
    <cellStyle name="Total 8 6 3 2 2 2" xfId="32726" xr:uid="{00000000-0005-0000-0000-0000127F0000}"/>
    <cellStyle name="Total 8 6 3 2 3" xfId="19511" xr:uid="{00000000-0005-0000-0000-0000137F0000}"/>
    <cellStyle name="Total 8 6 3 3" xfId="15107" xr:uid="{00000000-0005-0000-0000-0000147F0000}"/>
    <cellStyle name="Total 8 6 3 3 2" xfId="29939" xr:uid="{00000000-0005-0000-0000-0000157F0000}"/>
    <cellStyle name="Total 8 6 3 4" xfId="11497" xr:uid="{00000000-0005-0000-0000-0000167F0000}"/>
    <cellStyle name="Total 8 6 3 4 2" xfId="26329" xr:uid="{00000000-0005-0000-0000-0000177F0000}"/>
    <cellStyle name="Total 8 6 4" xfId="2773" xr:uid="{00000000-0005-0000-0000-0000187F0000}"/>
    <cellStyle name="Total 8 6 4 2" xfId="6864" xr:uid="{00000000-0005-0000-0000-0000197F0000}"/>
    <cellStyle name="Total 8 6 4 2 2" xfId="16788" xr:uid="{00000000-0005-0000-0000-00001A7F0000}"/>
    <cellStyle name="Total 8 6 4 2 2 2" xfId="31620" xr:uid="{00000000-0005-0000-0000-00001B7F0000}"/>
    <cellStyle name="Total 8 6 4 2 3" xfId="18802" xr:uid="{00000000-0005-0000-0000-00001C7F0000}"/>
    <cellStyle name="Total 8 6 4 3" xfId="13111" xr:uid="{00000000-0005-0000-0000-00001D7F0000}"/>
    <cellStyle name="Total 8 6 4 3 2" xfId="27943" xr:uid="{00000000-0005-0000-0000-00001E7F0000}"/>
    <cellStyle name="Total 8 6 4 4" xfId="10441" xr:uid="{00000000-0005-0000-0000-00001F7F0000}"/>
    <cellStyle name="Total 8 6 4 4 2" xfId="25273" xr:uid="{00000000-0005-0000-0000-0000207F0000}"/>
    <cellStyle name="Total 8 6 5" xfId="5937" xr:uid="{00000000-0005-0000-0000-0000217F0000}"/>
    <cellStyle name="Total 8 6 5 2" xfId="16129" xr:uid="{00000000-0005-0000-0000-0000227F0000}"/>
    <cellStyle name="Total 8 6 5 2 2" xfId="30961" xr:uid="{00000000-0005-0000-0000-0000237F0000}"/>
    <cellStyle name="Total 8 6 5 3" xfId="18444" xr:uid="{00000000-0005-0000-0000-0000247F0000}"/>
    <cellStyle name="Total 8 6 6" xfId="12199" xr:uid="{00000000-0005-0000-0000-0000257F0000}"/>
    <cellStyle name="Total 8 6 6 2" xfId="27031" xr:uid="{00000000-0005-0000-0000-0000267F0000}"/>
    <cellStyle name="Total 8 6 7" xfId="9795" xr:uid="{00000000-0005-0000-0000-0000277F0000}"/>
    <cellStyle name="Total 8 6 7 2" xfId="24752" xr:uid="{00000000-0005-0000-0000-0000287F0000}"/>
    <cellStyle name="Total 8 7" xfId="2161" xr:uid="{00000000-0005-0000-0000-0000297F0000}"/>
    <cellStyle name="Total 8 7 2" xfId="3633" xr:uid="{00000000-0005-0000-0000-00002A7F0000}"/>
    <cellStyle name="Total 8 7 2 2" xfId="7692" xr:uid="{00000000-0005-0000-0000-00002B7F0000}"/>
    <cellStyle name="Total 8 7 2 2 2" xfId="17291" xr:uid="{00000000-0005-0000-0000-00002C7F0000}"/>
    <cellStyle name="Total 8 7 2 2 2 2" xfId="32123" xr:uid="{00000000-0005-0000-0000-00002D7F0000}"/>
    <cellStyle name="Total 8 7 2 2 3" xfId="19105" xr:uid="{00000000-0005-0000-0000-00002E7F0000}"/>
    <cellStyle name="Total 8 7 2 3" xfId="13968" xr:uid="{00000000-0005-0000-0000-00002F7F0000}"/>
    <cellStyle name="Total 8 7 2 3 2" xfId="28800" xr:uid="{00000000-0005-0000-0000-0000307F0000}"/>
    <cellStyle name="Total 8 7 2 4" xfId="10907" xr:uid="{00000000-0005-0000-0000-0000317F0000}"/>
    <cellStyle name="Total 8 7 2 4 2" xfId="25739" xr:uid="{00000000-0005-0000-0000-0000327F0000}"/>
    <cellStyle name="Total 8 7 3" xfId="5129" xr:uid="{00000000-0005-0000-0000-0000337F0000}"/>
    <cellStyle name="Total 8 7 3 2" xfId="9168" xr:uid="{00000000-0005-0000-0000-0000347F0000}"/>
    <cellStyle name="Total 8 7 3 2 2" xfId="18091" xr:uid="{00000000-0005-0000-0000-0000357F0000}"/>
    <cellStyle name="Total 8 7 3 2 2 2" xfId="32923" xr:uid="{00000000-0005-0000-0000-0000367F0000}"/>
    <cellStyle name="Total 8 7 3 2 3" xfId="19642" xr:uid="{00000000-0005-0000-0000-0000377F0000}"/>
    <cellStyle name="Total 8 7 3 3" xfId="15447" xr:uid="{00000000-0005-0000-0000-0000387F0000}"/>
    <cellStyle name="Total 8 7 3 3 2" xfId="30279" xr:uid="{00000000-0005-0000-0000-0000397F0000}"/>
    <cellStyle name="Total 8 7 3 4" xfId="11688" xr:uid="{00000000-0005-0000-0000-00003A7F0000}"/>
    <cellStyle name="Total 8 7 3 4 2" xfId="26520" xr:uid="{00000000-0005-0000-0000-00003B7F0000}"/>
    <cellStyle name="Total 8 7 4" xfId="4159" xr:uid="{00000000-0005-0000-0000-00003C7F0000}"/>
    <cellStyle name="Total 8 7 4 2" xfId="8200" xr:uid="{00000000-0005-0000-0000-00003D7F0000}"/>
    <cellStyle name="Total 8 7 4 2 2" xfId="17547" xr:uid="{00000000-0005-0000-0000-00003E7F0000}"/>
    <cellStyle name="Total 8 7 4 2 2 2" xfId="32379" xr:uid="{00000000-0005-0000-0000-00003F7F0000}"/>
    <cellStyle name="Total 8 7 4 2 3" xfId="19285" xr:uid="{00000000-0005-0000-0000-0000407F0000}"/>
    <cellStyle name="Total 8 7 4 3" xfId="14491" xr:uid="{00000000-0005-0000-0000-0000417F0000}"/>
    <cellStyle name="Total 8 7 4 3 2" xfId="29323" xr:uid="{00000000-0005-0000-0000-0000427F0000}"/>
    <cellStyle name="Total 8 7 4 4" xfId="11167" xr:uid="{00000000-0005-0000-0000-0000437F0000}"/>
    <cellStyle name="Total 8 7 4 4 2" xfId="25999" xr:uid="{00000000-0005-0000-0000-0000447F0000}"/>
    <cellStyle name="Total 8 7 5" xfId="6275" xr:uid="{00000000-0005-0000-0000-0000457F0000}"/>
    <cellStyle name="Total 8 7 5 2" xfId="16459" xr:uid="{00000000-0005-0000-0000-0000467F0000}"/>
    <cellStyle name="Total 8 7 5 2 2" xfId="31291" xr:uid="{00000000-0005-0000-0000-0000477F0000}"/>
    <cellStyle name="Total 8 7 5 3" xfId="18578" xr:uid="{00000000-0005-0000-0000-0000487F0000}"/>
    <cellStyle name="Total 8 7 6" xfId="12529" xr:uid="{00000000-0005-0000-0000-0000497F0000}"/>
    <cellStyle name="Total 8 7 6 2" xfId="27361" xr:uid="{00000000-0005-0000-0000-00004A7F0000}"/>
    <cellStyle name="Total 8 7 7" xfId="10111" xr:uid="{00000000-0005-0000-0000-00004B7F0000}"/>
    <cellStyle name="Total 8 7 7 2" xfId="24943" xr:uid="{00000000-0005-0000-0000-00004C7F0000}"/>
    <cellStyle name="Total 8 8" xfId="3320" xr:uid="{00000000-0005-0000-0000-00004D7F0000}"/>
    <cellStyle name="Total 8 8 2" xfId="7383" xr:uid="{00000000-0005-0000-0000-00004E7F0000}"/>
    <cellStyle name="Total 8 8 2 2" xfId="17117" xr:uid="{00000000-0005-0000-0000-00004F7F0000}"/>
    <cellStyle name="Total 8 8 2 2 2" xfId="31949" xr:uid="{00000000-0005-0000-0000-0000507F0000}"/>
    <cellStyle name="Total 8 8 2 3" xfId="18997" xr:uid="{00000000-0005-0000-0000-0000517F0000}"/>
    <cellStyle name="Total 8 8 3" xfId="13657" xr:uid="{00000000-0005-0000-0000-0000527F0000}"/>
    <cellStyle name="Total 8 8 3 2" xfId="28489" xr:uid="{00000000-0005-0000-0000-0000537F0000}"/>
    <cellStyle name="Total 8 8 4" xfId="10738" xr:uid="{00000000-0005-0000-0000-0000547F0000}"/>
    <cellStyle name="Total 8 8 4 2" xfId="25570" xr:uid="{00000000-0005-0000-0000-0000557F0000}"/>
    <cellStyle name="Total 8 9" xfId="4311" xr:uid="{00000000-0005-0000-0000-0000567F0000}"/>
    <cellStyle name="Total 8 9 2" xfId="8350" xr:uid="{00000000-0005-0000-0000-0000577F0000}"/>
    <cellStyle name="Total 8 9 2 2" xfId="17629" xr:uid="{00000000-0005-0000-0000-0000587F0000}"/>
    <cellStyle name="Total 8 9 2 2 2" xfId="32461" xr:uid="{00000000-0005-0000-0000-0000597F0000}"/>
    <cellStyle name="Total 8 9 2 3" xfId="19332" xr:uid="{00000000-0005-0000-0000-00005A7F0000}"/>
    <cellStyle name="Total 8 9 3" xfId="14642" xr:uid="{00000000-0005-0000-0000-00005B7F0000}"/>
    <cellStyle name="Total 8 9 3 2" xfId="29474" xr:uid="{00000000-0005-0000-0000-00005C7F0000}"/>
    <cellStyle name="Total 8 9 4" xfId="11239" xr:uid="{00000000-0005-0000-0000-00005D7F0000}"/>
    <cellStyle name="Total 8 9 4 2" xfId="26071" xr:uid="{00000000-0005-0000-0000-00005E7F0000}"/>
    <cellStyle name="Total 9" xfId="1281" xr:uid="{00000000-0005-0000-0000-00005F7F0000}"/>
    <cellStyle name="Total 9 10" xfId="2348" xr:uid="{00000000-0005-0000-0000-0000607F0000}"/>
    <cellStyle name="Total 9 10 2" xfId="6460" xr:uid="{00000000-0005-0000-0000-0000617F0000}"/>
    <cellStyle name="Total 9 10 2 2" xfId="16552" xr:uid="{00000000-0005-0000-0000-0000627F0000}"/>
    <cellStyle name="Total 9 10 2 2 2" xfId="31384" xr:uid="{00000000-0005-0000-0000-0000637F0000}"/>
    <cellStyle name="Total 9 10 2 3" xfId="18640" xr:uid="{00000000-0005-0000-0000-0000647F0000}"/>
    <cellStyle name="Total 9 10 3" xfId="12688" xr:uid="{00000000-0005-0000-0000-0000657F0000}"/>
    <cellStyle name="Total 9 10 3 2" xfId="27520" xr:uid="{00000000-0005-0000-0000-0000667F0000}"/>
    <cellStyle name="Total 9 10 4" xfId="10203" xr:uid="{00000000-0005-0000-0000-0000677F0000}"/>
    <cellStyle name="Total 9 10 4 2" xfId="25035" xr:uid="{00000000-0005-0000-0000-0000687F0000}"/>
    <cellStyle name="Total 9 11" xfId="5310" xr:uid="{00000000-0005-0000-0000-0000697F0000}"/>
    <cellStyle name="Total 9 11 2" xfId="9318" xr:uid="{00000000-0005-0000-0000-00006A7F0000}"/>
    <cellStyle name="Total 9 11 2 2" xfId="18185" xr:uid="{00000000-0005-0000-0000-00006B7F0000}"/>
    <cellStyle name="Total 9 11 2 2 2" xfId="33017" xr:uid="{00000000-0005-0000-0000-00006C7F0000}"/>
    <cellStyle name="Total 9 11 2 3" xfId="19704" xr:uid="{00000000-0005-0000-0000-00006D7F0000}"/>
    <cellStyle name="Total 9 11 3" xfId="15626" xr:uid="{00000000-0005-0000-0000-00006E7F0000}"/>
    <cellStyle name="Total 9 11 3 2" xfId="30458" xr:uid="{00000000-0005-0000-0000-00006F7F0000}"/>
    <cellStyle name="Total 9 12" xfId="5468" xr:uid="{00000000-0005-0000-0000-0000707F0000}"/>
    <cellStyle name="Total 9 12 2" xfId="15704" xr:uid="{00000000-0005-0000-0000-0000717F0000}"/>
    <cellStyle name="Total 9 12 2 2" xfId="30536" xr:uid="{00000000-0005-0000-0000-0000727F0000}"/>
    <cellStyle name="Total 9 12 3" xfId="18281" xr:uid="{00000000-0005-0000-0000-0000737F0000}"/>
    <cellStyle name="Total 9 13" xfId="9323" xr:uid="{00000000-0005-0000-0000-0000747F0000}"/>
    <cellStyle name="Total 9 13 2" xfId="24629" xr:uid="{00000000-0005-0000-0000-0000757F0000}"/>
    <cellStyle name="Total 9 14" xfId="5312" xr:uid="{00000000-0005-0000-0000-0000767F0000}"/>
    <cellStyle name="Total 9 14 2" xfId="18186" xr:uid="{00000000-0005-0000-0000-0000777F0000}"/>
    <cellStyle name="Total 9 2" xfId="1380" xr:uid="{00000000-0005-0000-0000-0000787F0000}"/>
    <cellStyle name="Total 9 2 2" xfId="1884" xr:uid="{00000000-0005-0000-0000-0000797F0000}"/>
    <cellStyle name="Total 9 2 2 2" xfId="4340" xr:uid="{00000000-0005-0000-0000-00007A7F0000}"/>
    <cellStyle name="Total 9 2 2 2 2" xfId="8379" xr:uid="{00000000-0005-0000-0000-00007B7F0000}"/>
    <cellStyle name="Total 9 2 2 2 2 2" xfId="17653" xr:uid="{00000000-0005-0000-0000-00007C7F0000}"/>
    <cellStyle name="Total 9 2 2 2 2 2 2" xfId="32485" xr:uid="{00000000-0005-0000-0000-00007D7F0000}"/>
    <cellStyle name="Total 9 2 2 2 2 3" xfId="19352" xr:uid="{00000000-0005-0000-0000-00007E7F0000}"/>
    <cellStyle name="Total 9 2 2 2 3" xfId="14671" xr:uid="{00000000-0005-0000-0000-00007F7F0000}"/>
    <cellStyle name="Total 9 2 2 2 3 2" xfId="29503" xr:uid="{00000000-0005-0000-0000-0000807F0000}"/>
    <cellStyle name="Total 9 2 2 2 4" xfId="11263" xr:uid="{00000000-0005-0000-0000-0000817F0000}"/>
    <cellStyle name="Total 9 2 2 2 4 2" xfId="26095" xr:uid="{00000000-0005-0000-0000-0000827F0000}"/>
    <cellStyle name="Total 9 2 2 3" xfId="4862" xr:uid="{00000000-0005-0000-0000-0000837F0000}"/>
    <cellStyle name="Total 9 2 2 3 2" xfId="8901" xr:uid="{00000000-0005-0000-0000-0000847F0000}"/>
    <cellStyle name="Total 9 2 2 3 2 2" xfId="17942" xr:uid="{00000000-0005-0000-0000-0000857F0000}"/>
    <cellStyle name="Total 9 2 2 3 2 2 2" xfId="32774" xr:uid="{00000000-0005-0000-0000-0000867F0000}"/>
    <cellStyle name="Total 9 2 2 3 2 3" xfId="19544" xr:uid="{00000000-0005-0000-0000-0000877F0000}"/>
    <cellStyle name="Total 9 2 2 3 3" xfId="15186" xr:uid="{00000000-0005-0000-0000-0000887F0000}"/>
    <cellStyle name="Total 9 2 2 3 3 2" xfId="30018" xr:uid="{00000000-0005-0000-0000-0000897F0000}"/>
    <cellStyle name="Total 9 2 2 3 4" xfId="11545" xr:uid="{00000000-0005-0000-0000-00008A7F0000}"/>
    <cellStyle name="Total 9 2 2 3 4 2" xfId="26377" xr:uid="{00000000-0005-0000-0000-00008B7F0000}"/>
    <cellStyle name="Total 9 2 2 4" xfId="2852" xr:uid="{00000000-0005-0000-0000-00008C7F0000}"/>
    <cellStyle name="Total 9 2 2 4 2" xfId="6943" xr:uid="{00000000-0005-0000-0000-00008D7F0000}"/>
    <cellStyle name="Total 9 2 2 4 2 2" xfId="16836" xr:uid="{00000000-0005-0000-0000-00008E7F0000}"/>
    <cellStyle name="Total 9 2 2 4 2 2 2" xfId="31668" xr:uid="{00000000-0005-0000-0000-00008F7F0000}"/>
    <cellStyle name="Total 9 2 2 4 2 3" xfId="18835" xr:uid="{00000000-0005-0000-0000-0000907F0000}"/>
    <cellStyle name="Total 9 2 2 4 3" xfId="13190" xr:uid="{00000000-0005-0000-0000-0000917F0000}"/>
    <cellStyle name="Total 9 2 2 4 3 2" xfId="28022" xr:uid="{00000000-0005-0000-0000-0000927F0000}"/>
    <cellStyle name="Total 9 2 2 4 4" xfId="10489" xr:uid="{00000000-0005-0000-0000-0000937F0000}"/>
    <cellStyle name="Total 9 2 2 4 4 2" xfId="25321" xr:uid="{00000000-0005-0000-0000-0000947F0000}"/>
    <cellStyle name="Total 9 2 2 5" xfId="6016" xr:uid="{00000000-0005-0000-0000-0000957F0000}"/>
    <cellStyle name="Total 9 2 2 5 2" xfId="16208" xr:uid="{00000000-0005-0000-0000-0000967F0000}"/>
    <cellStyle name="Total 9 2 2 5 2 2" xfId="31040" xr:uid="{00000000-0005-0000-0000-0000977F0000}"/>
    <cellStyle name="Total 9 2 2 5 3" xfId="18477" xr:uid="{00000000-0005-0000-0000-0000987F0000}"/>
    <cellStyle name="Total 9 2 2 6" xfId="12278" xr:uid="{00000000-0005-0000-0000-0000997F0000}"/>
    <cellStyle name="Total 9 2 2 6 2" xfId="27110" xr:uid="{00000000-0005-0000-0000-00009A7F0000}"/>
    <cellStyle name="Total 9 2 2 7" xfId="9874" xr:uid="{00000000-0005-0000-0000-00009B7F0000}"/>
    <cellStyle name="Total 9 2 2 7 2" xfId="24800" xr:uid="{00000000-0005-0000-0000-00009C7F0000}"/>
    <cellStyle name="Total 9 2 3" xfId="3461" xr:uid="{00000000-0005-0000-0000-00009D7F0000}"/>
    <cellStyle name="Total 9 2 3 2" xfId="7524" xr:uid="{00000000-0005-0000-0000-00009E7F0000}"/>
    <cellStyle name="Total 9 2 3 2 2" xfId="17200" xr:uid="{00000000-0005-0000-0000-00009F7F0000}"/>
    <cellStyle name="Total 9 2 3 2 2 2" xfId="32032" xr:uid="{00000000-0005-0000-0000-0000A07F0000}"/>
    <cellStyle name="Total 9 2 3 2 3" xfId="19042" xr:uid="{00000000-0005-0000-0000-0000A17F0000}"/>
    <cellStyle name="Total 9 2 3 3" xfId="13798" xr:uid="{00000000-0005-0000-0000-0000A27F0000}"/>
    <cellStyle name="Total 9 2 3 3 2" xfId="28630" xr:uid="{00000000-0005-0000-0000-0000A37F0000}"/>
    <cellStyle name="Total 9 2 3 4" xfId="10819" xr:uid="{00000000-0005-0000-0000-0000A47F0000}"/>
    <cellStyle name="Total 9 2 3 4 2" xfId="25651" xr:uid="{00000000-0005-0000-0000-0000A57F0000}"/>
    <cellStyle name="Total 9 2 4" xfId="4442" xr:uid="{00000000-0005-0000-0000-0000A67F0000}"/>
    <cellStyle name="Total 9 2 4 2" xfId="8481" xr:uid="{00000000-0005-0000-0000-0000A77F0000}"/>
    <cellStyle name="Total 9 2 4 2 2" xfId="17702" xr:uid="{00000000-0005-0000-0000-0000A87F0000}"/>
    <cellStyle name="Total 9 2 4 2 2 2" xfId="32534" xr:uid="{00000000-0005-0000-0000-0000A97F0000}"/>
    <cellStyle name="Total 9 2 4 2 3" xfId="19384" xr:uid="{00000000-0005-0000-0000-0000AA7F0000}"/>
    <cellStyle name="Total 9 2 4 3" xfId="14771" xr:uid="{00000000-0005-0000-0000-0000AB7F0000}"/>
    <cellStyle name="Total 9 2 4 3 2" xfId="29603" xr:uid="{00000000-0005-0000-0000-0000AC7F0000}"/>
    <cellStyle name="Total 9 2 4 4" xfId="11310" xr:uid="{00000000-0005-0000-0000-0000AD7F0000}"/>
    <cellStyle name="Total 9 2 4 4 2" xfId="26142" xr:uid="{00000000-0005-0000-0000-0000AE7F0000}"/>
    <cellStyle name="Total 9 2 5" xfId="2432" xr:uid="{00000000-0005-0000-0000-0000AF7F0000}"/>
    <cellStyle name="Total 9 2 5 2" xfId="6544" xr:uid="{00000000-0005-0000-0000-0000B07F0000}"/>
    <cellStyle name="Total 9 2 5 2 2" xfId="16600" xr:uid="{00000000-0005-0000-0000-0000B17F0000}"/>
    <cellStyle name="Total 9 2 5 2 2 2" xfId="31432" xr:uid="{00000000-0005-0000-0000-0000B27F0000}"/>
    <cellStyle name="Total 9 2 5 2 3" xfId="18672" xr:uid="{00000000-0005-0000-0000-0000B37F0000}"/>
    <cellStyle name="Total 9 2 5 3" xfId="12771" xr:uid="{00000000-0005-0000-0000-0000B47F0000}"/>
    <cellStyle name="Total 9 2 5 3 2" xfId="27603" xr:uid="{00000000-0005-0000-0000-0000B57F0000}"/>
    <cellStyle name="Total 9 2 5 4" xfId="10250" xr:uid="{00000000-0005-0000-0000-0000B67F0000}"/>
    <cellStyle name="Total 9 2 5 4 2" xfId="25082" xr:uid="{00000000-0005-0000-0000-0000B77F0000}"/>
    <cellStyle name="Total 9 2 6" xfId="5557" xr:uid="{00000000-0005-0000-0000-0000B87F0000}"/>
    <cellStyle name="Total 9 2 6 2" xfId="15792" xr:uid="{00000000-0005-0000-0000-0000B97F0000}"/>
    <cellStyle name="Total 9 2 6 2 2" xfId="30624" xr:uid="{00000000-0005-0000-0000-0000BA7F0000}"/>
    <cellStyle name="Total 9 2 6 3" xfId="18314" xr:uid="{00000000-0005-0000-0000-0000BB7F0000}"/>
    <cellStyle name="Total 9 2 7" xfId="11807" xr:uid="{00000000-0005-0000-0000-0000BC7F0000}"/>
    <cellStyle name="Total 9 2 7 2" xfId="26639" xr:uid="{00000000-0005-0000-0000-0000BD7F0000}"/>
    <cellStyle name="Total 9 2 8" xfId="9478" xr:uid="{00000000-0005-0000-0000-0000BE7F0000}"/>
    <cellStyle name="Total 9 2 8 2" xfId="19782" xr:uid="{00000000-0005-0000-0000-0000BF7F0000}"/>
    <cellStyle name="Total 9 3" xfId="1552" xr:uid="{00000000-0005-0000-0000-0000C07F0000}"/>
    <cellStyle name="Total 9 3 2" xfId="2049" xr:uid="{00000000-0005-0000-0000-0000C17F0000}"/>
    <cellStyle name="Total 9 3 2 2" xfId="3393" xr:uid="{00000000-0005-0000-0000-0000C27F0000}"/>
    <cellStyle name="Total 9 3 2 2 2" xfId="7456" xr:uid="{00000000-0005-0000-0000-0000C37F0000}"/>
    <cellStyle name="Total 9 3 2 2 2 2" xfId="17159" xr:uid="{00000000-0005-0000-0000-0000C47F0000}"/>
    <cellStyle name="Total 9 3 2 2 2 2 2" xfId="31991" xr:uid="{00000000-0005-0000-0000-0000C57F0000}"/>
    <cellStyle name="Total 9 3 2 2 2 3" xfId="19021" xr:uid="{00000000-0005-0000-0000-0000C67F0000}"/>
    <cellStyle name="Total 9 3 2 2 3" xfId="13730" xr:uid="{00000000-0005-0000-0000-0000C77F0000}"/>
    <cellStyle name="Total 9 3 2 2 3 2" xfId="28562" xr:uid="{00000000-0005-0000-0000-0000C87F0000}"/>
    <cellStyle name="Total 9 3 2 2 4" xfId="10778" xr:uid="{00000000-0005-0000-0000-0000C97F0000}"/>
    <cellStyle name="Total 9 3 2 2 4 2" xfId="25610" xr:uid="{00000000-0005-0000-0000-0000CA7F0000}"/>
    <cellStyle name="Total 9 3 2 3" xfId="5017" xr:uid="{00000000-0005-0000-0000-0000CB7F0000}"/>
    <cellStyle name="Total 9 3 2 3 2" xfId="9056" xr:uid="{00000000-0005-0000-0000-0000CC7F0000}"/>
    <cellStyle name="Total 9 3 2 3 2 2" xfId="17994" xr:uid="{00000000-0005-0000-0000-0000CD7F0000}"/>
    <cellStyle name="Total 9 3 2 3 2 2 2" xfId="32826" xr:uid="{00000000-0005-0000-0000-0000CE7F0000}"/>
    <cellStyle name="Total 9 3 2 3 2 3" xfId="19576" xr:uid="{00000000-0005-0000-0000-0000CF7F0000}"/>
    <cellStyle name="Total 9 3 2 3 3" xfId="15339" xr:uid="{00000000-0005-0000-0000-0000D07F0000}"/>
    <cellStyle name="Total 9 3 2 3 3 2" xfId="30171" xr:uid="{00000000-0005-0000-0000-0000D17F0000}"/>
    <cellStyle name="Total 9 3 2 3 4" xfId="11595" xr:uid="{00000000-0005-0000-0000-0000D27F0000}"/>
    <cellStyle name="Total 9 3 2 3 4 2" xfId="26427" xr:uid="{00000000-0005-0000-0000-0000D37F0000}"/>
    <cellStyle name="Total 9 3 2 4" xfId="3007" xr:uid="{00000000-0005-0000-0000-0000D47F0000}"/>
    <cellStyle name="Total 9 3 2 4 2" xfId="7087" xr:uid="{00000000-0005-0000-0000-0000D57F0000}"/>
    <cellStyle name="Total 9 3 2 4 2 2" xfId="16886" xr:uid="{00000000-0005-0000-0000-0000D67F0000}"/>
    <cellStyle name="Total 9 3 2 4 2 2 2" xfId="31718" xr:uid="{00000000-0005-0000-0000-0000D77F0000}"/>
    <cellStyle name="Total 9 3 2 4 2 3" xfId="18868" xr:uid="{00000000-0005-0000-0000-0000D87F0000}"/>
    <cellStyle name="Total 9 3 2 4 3" xfId="13345" xr:uid="{00000000-0005-0000-0000-0000D97F0000}"/>
    <cellStyle name="Total 9 3 2 4 3 2" xfId="28177" xr:uid="{00000000-0005-0000-0000-0000DA7F0000}"/>
    <cellStyle name="Total 9 3 2 4 4" xfId="10541" xr:uid="{00000000-0005-0000-0000-0000DB7F0000}"/>
    <cellStyle name="Total 9 3 2 4 4 2" xfId="25373" xr:uid="{00000000-0005-0000-0000-0000DC7F0000}"/>
    <cellStyle name="Total 9 3 2 5" xfId="6179" xr:uid="{00000000-0005-0000-0000-0000DD7F0000}"/>
    <cellStyle name="Total 9 3 2 5 2" xfId="16366" xr:uid="{00000000-0005-0000-0000-0000DE7F0000}"/>
    <cellStyle name="Total 9 3 2 5 2 2" xfId="31198" xr:uid="{00000000-0005-0000-0000-0000DF7F0000}"/>
    <cellStyle name="Total 9 3 2 5 3" xfId="18509" xr:uid="{00000000-0005-0000-0000-0000E07F0000}"/>
    <cellStyle name="Total 9 3 2 6" xfId="12436" xr:uid="{00000000-0005-0000-0000-0000E17F0000}"/>
    <cellStyle name="Total 9 3 2 6 2" xfId="27268" xr:uid="{00000000-0005-0000-0000-0000E27F0000}"/>
    <cellStyle name="Total 9 3 2 7" xfId="10018" xr:uid="{00000000-0005-0000-0000-0000E37F0000}"/>
    <cellStyle name="Total 9 3 2 7 2" xfId="24850" xr:uid="{00000000-0005-0000-0000-0000E47F0000}"/>
    <cellStyle name="Total 9 3 3" xfId="4304" xr:uid="{00000000-0005-0000-0000-0000E57F0000}"/>
    <cellStyle name="Total 9 3 3 2" xfId="8343" xr:uid="{00000000-0005-0000-0000-0000E67F0000}"/>
    <cellStyle name="Total 9 3 3 2 2" xfId="17622" xr:uid="{00000000-0005-0000-0000-0000E77F0000}"/>
    <cellStyle name="Total 9 3 3 2 2 2" xfId="32454" xr:uid="{00000000-0005-0000-0000-0000E87F0000}"/>
    <cellStyle name="Total 9 3 3 2 3" xfId="19328" xr:uid="{00000000-0005-0000-0000-0000E97F0000}"/>
    <cellStyle name="Total 9 3 3 3" xfId="14635" xr:uid="{00000000-0005-0000-0000-0000EA7F0000}"/>
    <cellStyle name="Total 9 3 3 3 2" xfId="29467" xr:uid="{00000000-0005-0000-0000-0000EB7F0000}"/>
    <cellStyle name="Total 9 3 3 4" xfId="11234" xr:uid="{00000000-0005-0000-0000-0000EC7F0000}"/>
    <cellStyle name="Total 9 3 3 4 2" xfId="26066" xr:uid="{00000000-0005-0000-0000-0000ED7F0000}"/>
    <cellStyle name="Total 9 3 4" xfId="4597" xr:uid="{00000000-0005-0000-0000-0000EE7F0000}"/>
    <cellStyle name="Total 9 3 4 2" xfId="8636" xr:uid="{00000000-0005-0000-0000-0000EF7F0000}"/>
    <cellStyle name="Total 9 3 4 2 2" xfId="17754" xr:uid="{00000000-0005-0000-0000-0000F07F0000}"/>
    <cellStyle name="Total 9 3 4 2 2 2" xfId="32586" xr:uid="{00000000-0005-0000-0000-0000F17F0000}"/>
    <cellStyle name="Total 9 3 4 2 3" xfId="19416" xr:uid="{00000000-0005-0000-0000-0000F27F0000}"/>
    <cellStyle name="Total 9 3 4 3" xfId="14924" xr:uid="{00000000-0005-0000-0000-0000F37F0000}"/>
    <cellStyle name="Total 9 3 4 3 2" xfId="29756" xr:uid="{00000000-0005-0000-0000-0000F47F0000}"/>
    <cellStyle name="Total 9 3 4 4" xfId="11360" xr:uid="{00000000-0005-0000-0000-0000F57F0000}"/>
    <cellStyle name="Total 9 3 4 4 2" xfId="26192" xr:uid="{00000000-0005-0000-0000-0000F67F0000}"/>
    <cellStyle name="Total 9 3 5" xfId="2587" xr:uid="{00000000-0005-0000-0000-0000F77F0000}"/>
    <cellStyle name="Total 9 3 5 2" xfId="6693" xr:uid="{00000000-0005-0000-0000-0000F87F0000}"/>
    <cellStyle name="Total 9 3 5 2 2" xfId="16651" xr:uid="{00000000-0005-0000-0000-0000F97F0000}"/>
    <cellStyle name="Total 9 3 5 2 2 2" xfId="31483" xr:uid="{00000000-0005-0000-0000-0000FA7F0000}"/>
    <cellStyle name="Total 9 3 5 2 3" xfId="18704" xr:uid="{00000000-0005-0000-0000-0000FB7F0000}"/>
    <cellStyle name="Total 9 3 5 3" xfId="12925" xr:uid="{00000000-0005-0000-0000-0000FC7F0000}"/>
    <cellStyle name="Total 9 3 5 3 2" xfId="27757" xr:uid="{00000000-0005-0000-0000-0000FD7F0000}"/>
    <cellStyle name="Total 9 3 5 4" xfId="10301" xr:uid="{00000000-0005-0000-0000-0000FE7F0000}"/>
    <cellStyle name="Total 9 3 5 4 2" xfId="25133" xr:uid="{00000000-0005-0000-0000-0000FF7F0000}"/>
    <cellStyle name="Total 9 3 6" xfId="5710" xr:uid="{00000000-0005-0000-0000-000000800000}"/>
    <cellStyle name="Total 9 3 6 2" xfId="15945" xr:uid="{00000000-0005-0000-0000-000001800000}"/>
    <cellStyle name="Total 9 3 6 2 2" xfId="30777" xr:uid="{00000000-0005-0000-0000-000002800000}"/>
    <cellStyle name="Total 9 3 6 3" xfId="18346" xr:uid="{00000000-0005-0000-0000-000003800000}"/>
    <cellStyle name="Total 9 3 7" xfId="11965" xr:uid="{00000000-0005-0000-0000-000004800000}"/>
    <cellStyle name="Total 9 3 7 2" xfId="26797" xr:uid="{00000000-0005-0000-0000-000005800000}"/>
    <cellStyle name="Total 9 3 8" xfId="9623" xr:uid="{00000000-0005-0000-0000-000006800000}"/>
    <cellStyle name="Total 9 3 8 2" xfId="19925" xr:uid="{00000000-0005-0000-0000-000007800000}"/>
    <cellStyle name="Total 9 4" xfId="1605" xr:uid="{00000000-0005-0000-0000-000008800000}"/>
    <cellStyle name="Total 9 4 2" xfId="2102" xr:uid="{00000000-0005-0000-0000-000009800000}"/>
    <cellStyle name="Total 9 4 2 2" xfId="3439" xr:uid="{00000000-0005-0000-0000-00000A800000}"/>
    <cellStyle name="Total 9 4 2 2 2" xfId="7502" xr:uid="{00000000-0005-0000-0000-00000B800000}"/>
    <cellStyle name="Total 9 4 2 2 2 2" xfId="17190" xr:uid="{00000000-0005-0000-0000-00000C800000}"/>
    <cellStyle name="Total 9 4 2 2 2 2 2" xfId="32022" xr:uid="{00000000-0005-0000-0000-00000D800000}"/>
    <cellStyle name="Total 9 4 2 2 2 3" xfId="19036" xr:uid="{00000000-0005-0000-0000-00000E800000}"/>
    <cellStyle name="Total 9 4 2 2 3" xfId="13776" xr:uid="{00000000-0005-0000-0000-00000F800000}"/>
    <cellStyle name="Total 9 4 2 2 3 2" xfId="28608" xr:uid="{00000000-0005-0000-0000-000010800000}"/>
    <cellStyle name="Total 9 4 2 2 4" xfId="10809" xr:uid="{00000000-0005-0000-0000-000011800000}"/>
    <cellStyle name="Total 9 4 2 2 4 2" xfId="25641" xr:uid="{00000000-0005-0000-0000-000012800000}"/>
    <cellStyle name="Total 9 4 2 3" xfId="5070" xr:uid="{00000000-0005-0000-0000-000013800000}"/>
    <cellStyle name="Total 9 4 2 3 2" xfId="9109" xr:uid="{00000000-0005-0000-0000-000014800000}"/>
    <cellStyle name="Total 9 4 2 3 2 2" xfId="18042" xr:uid="{00000000-0005-0000-0000-000015800000}"/>
    <cellStyle name="Total 9 4 2 3 2 2 2" xfId="32874" xr:uid="{00000000-0005-0000-0000-000016800000}"/>
    <cellStyle name="Total 9 4 2 3 2 3" xfId="19608" xr:uid="{00000000-0005-0000-0000-000017800000}"/>
    <cellStyle name="Total 9 4 2 3 3" xfId="15391" xr:uid="{00000000-0005-0000-0000-000018800000}"/>
    <cellStyle name="Total 9 4 2 3 3 2" xfId="30223" xr:uid="{00000000-0005-0000-0000-000019800000}"/>
    <cellStyle name="Total 9 4 2 3 4" xfId="11642" xr:uid="{00000000-0005-0000-0000-00001A800000}"/>
    <cellStyle name="Total 9 4 2 3 4 2" xfId="26474" xr:uid="{00000000-0005-0000-0000-00001B800000}"/>
    <cellStyle name="Total 9 4 2 4" xfId="3060" xr:uid="{00000000-0005-0000-0000-00001C800000}"/>
    <cellStyle name="Total 9 4 2 4 2" xfId="7135" xr:uid="{00000000-0005-0000-0000-00001D800000}"/>
    <cellStyle name="Total 9 4 2 4 2 2" xfId="16933" xr:uid="{00000000-0005-0000-0000-00001E800000}"/>
    <cellStyle name="Total 9 4 2 4 2 2 2" xfId="31765" xr:uid="{00000000-0005-0000-0000-00001F800000}"/>
    <cellStyle name="Total 9 4 2 4 2 3" xfId="18901" xr:uid="{00000000-0005-0000-0000-000020800000}"/>
    <cellStyle name="Total 9 4 2 4 3" xfId="13398" xr:uid="{00000000-0005-0000-0000-000021800000}"/>
    <cellStyle name="Total 9 4 2 4 3 2" xfId="28230" xr:uid="{00000000-0005-0000-0000-000022800000}"/>
    <cellStyle name="Total 9 4 2 4 4" xfId="10589" xr:uid="{00000000-0005-0000-0000-000023800000}"/>
    <cellStyle name="Total 9 4 2 4 4 2" xfId="25421" xr:uid="{00000000-0005-0000-0000-000024800000}"/>
    <cellStyle name="Total 9 4 2 5" xfId="6227" xr:uid="{00000000-0005-0000-0000-000025800000}"/>
    <cellStyle name="Total 9 4 2 5 2" xfId="16413" xr:uid="{00000000-0005-0000-0000-000026800000}"/>
    <cellStyle name="Total 9 4 2 5 2 2" xfId="31245" xr:uid="{00000000-0005-0000-0000-000027800000}"/>
    <cellStyle name="Total 9 4 2 5 3" xfId="18542" xr:uid="{00000000-0005-0000-0000-000028800000}"/>
    <cellStyle name="Total 9 4 2 6" xfId="12483" xr:uid="{00000000-0005-0000-0000-000029800000}"/>
    <cellStyle name="Total 9 4 2 6 2" xfId="27315" xr:uid="{00000000-0005-0000-0000-00002A800000}"/>
    <cellStyle name="Total 9 4 2 7" xfId="10065" xr:uid="{00000000-0005-0000-0000-00002B800000}"/>
    <cellStyle name="Total 9 4 2 7 2" xfId="24897" xr:uid="{00000000-0005-0000-0000-00002C800000}"/>
    <cellStyle name="Total 9 4 3" xfId="4323" xr:uid="{00000000-0005-0000-0000-00002D800000}"/>
    <cellStyle name="Total 9 4 3 2" xfId="8362" xr:uid="{00000000-0005-0000-0000-00002E800000}"/>
    <cellStyle name="Total 9 4 3 2 2" xfId="17640" xr:uid="{00000000-0005-0000-0000-00002F800000}"/>
    <cellStyle name="Total 9 4 3 2 2 2" xfId="32472" xr:uid="{00000000-0005-0000-0000-000030800000}"/>
    <cellStyle name="Total 9 4 3 2 3" xfId="19342" xr:uid="{00000000-0005-0000-0000-000031800000}"/>
    <cellStyle name="Total 9 4 3 3" xfId="14654" xr:uid="{00000000-0005-0000-0000-000032800000}"/>
    <cellStyle name="Total 9 4 3 3 2" xfId="29486" xr:uid="{00000000-0005-0000-0000-000033800000}"/>
    <cellStyle name="Total 9 4 3 4" xfId="11250" xr:uid="{00000000-0005-0000-0000-000034800000}"/>
    <cellStyle name="Total 9 4 3 4 2" xfId="26082" xr:uid="{00000000-0005-0000-0000-000035800000}"/>
    <cellStyle name="Total 9 4 4" xfId="4650" xr:uid="{00000000-0005-0000-0000-000036800000}"/>
    <cellStyle name="Total 9 4 4 2" xfId="8689" xr:uid="{00000000-0005-0000-0000-000037800000}"/>
    <cellStyle name="Total 9 4 4 2 2" xfId="17802" xr:uid="{00000000-0005-0000-0000-000038800000}"/>
    <cellStyle name="Total 9 4 4 2 2 2" xfId="32634" xr:uid="{00000000-0005-0000-0000-000039800000}"/>
    <cellStyle name="Total 9 4 4 2 3" xfId="19448" xr:uid="{00000000-0005-0000-0000-00003A800000}"/>
    <cellStyle name="Total 9 4 4 3" xfId="14976" xr:uid="{00000000-0005-0000-0000-00003B800000}"/>
    <cellStyle name="Total 9 4 4 3 2" xfId="29808" xr:uid="{00000000-0005-0000-0000-00003C800000}"/>
    <cellStyle name="Total 9 4 4 4" xfId="11407" xr:uid="{00000000-0005-0000-0000-00003D800000}"/>
    <cellStyle name="Total 9 4 4 4 2" xfId="26239" xr:uid="{00000000-0005-0000-0000-00003E800000}"/>
    <cellStyle name="Total 9 4 5" xfId="2640" xr:uid="{00000000-0005-0000-0000-00003F800000}"/>
    <cellStyle name="Total 9 4 5 2" xfId="6741" xr:uid="{00000000-0005-0000-0000-000040800000}"/>
    <cellStyle name="Total 9 4 5 2 2" xfId="16698" xr:uid="{00000000-0005-0000-0000-000041800000}"/>
    <cellStyle name="Total 9 4 5 2 2 2" xfId="31530" xr:uid="{00000000-0005-0000-0000-000042800000}"/>
    <cellStyle name="Total 9 4 5 2 3" xfId="18737" xr:uid="{00000000-0005-0000-0000-000043800000}"/>
    <cellStyle name="Total 9 4 5 3" xfId="12978" xr:uid="{00000000-0005-0000-0000-000044800000}"/>
    <cellStyle name="Total 9 4 5 3 2" xfId="27810" xr:uid="{00000000-0005-0000-0000-000045800000}"/>
    <cellStyle name="Total 9 4 5 4" xfId="10349" xr:uid="{00000000-0005-0000-0000-000046800000}"/>
    <cellStyle name="Total 9 4 5 4 2" xfId="25181" xr:uid="{00000000-0005-0000-0000-000047800000}"/>
    <cellStyle name="Total 9 4 6" xfId="5757" xr:uid="{00000000-0005-0000-0000-000048800000}"/>
    <cellStyle name="Total 9 4 6 2" xfId="15992" xr:uid="{00000000-0005-0000-0000-000049800000}"/>
    <cellStyle name="Total 9 4 6 2 2" xfId="30824" xr:uid="{00000000-0005-0000-0000-00004A800000}"/>
    <cellStyle name="Total 9 4 6 3" xfId="18378" xr:uid="{00000000-0005-0000-0000-00004B800000}"/>
    <cellStyle name="Total 9 4 7" xfId="12012" xr:uid="{00000000-0005-0000-0000-00004C800000}"/>
    <cellStyle name="Total 9 4 7 2" xfId="26844" xr:uid="{00000000-0005-0000-0000-00004D800000}"/>
    <cellStyle name="Total 9 4 8" xfId="9671" xr:uid="{00000000-0005-0000-0000-00004E800000}"/>
    <cellStyle name="Total 9 4 8 2" xfId="19972" xr:uid="{00000000-0005-0000-0000-00004F800000}"/>
    <cellStyle name="Total 9 5" xfId="1655" xr:uid="{00000000-0005-0000-0000-000050800000}"/>
    <cellStyle name="Total 9 5 2" xfId="2152" xr:uid="{00000000-0005-0000-0000-000051800000}"/>
    <cellStyle name="Total 9 5 2 2" xfId="3537" xr:uid="{00000000-0005-0000-0000-000052800000}"/>
    <cellStyle name="Total 9 5 2 2 2" xfId="7599" xr:uid="{00000000-0005-0000-0000-000053800000}"/>
    <cellStyle name="Total 9 5 2 2 2 2" xfId="17243" xr:uid="{00000000-0005-0000-0000-000054800000}"/>
    <cellStyle name="Total 9 5 2 2 2 2 2" xfId="32075" xr:uid="{00000000-0005-0000-0000-000055800000}"/>
    <cellStyle name="Total 9 5 2 2 2 3" xfId="19070" xr:uid="{00000000-0005-0000-0000-000056800000}"/>
    <cellStyle name="Total 9 5 2 2 3" xfId="13874" xr:uid="{00000000-0005-0000-0000-000057800000}"/>
    <cellStyle name="Total 9 5 2 2 3 2" xfId="28706" xr:uid="{00000000-0005-0000-0000-000058800000}"/>
    <cellStyle name="Total 9 5 2 2 4" xfId="10861" xr:uid="{00000000-0005-0000-0000-000059800000}"/>
    <cellStyle name="Total 9 5 2 2 4 2" xfId="25693" xr:uid="{00000000-0005-0000-0000-00005A800000}"/>
    <cellStyle name="Total 9 5 2 3" xfId="5120" xr:uid="{00000000-0005-0000-0000-00005B800000}"/>
    <cellStyle name="Total 9 5 2 3 2" xfId="9159" xr:uid="{00000000-0005-0000-0000-00005C800000}"/>
    <cellStyle name="Total 9 5 2 3 2 2" xfId="18087" xr:uid="{00000000-0005-0000-0000-00005D800000}"/>
    <cellStyle name="Total 9 5 2 3 2 2 2" xfId="32919" xr:uid="{00000000-0005-0000-0000-00005E800000}"/>
    <cellStyle name="Total 9 5 2 3 2 3" xfId="19640" xr:uid="{00000000-0005-0000-0000-00005F800000}"/>
    <cellStyle name="Total 9 5 2 3 3" xfId="15440" xr:uid="{00000000-0005-0000-0000-000060800000}"/>
    <cellStyle name="Total 9 5 2 3 3 2" xfId="30272" xr:uid="{00000000-0005-0000-0000-000061800000}"/>
    <cellStyle name="Total 9 5 2 3 4" xfId="11686" xr:uid="{00000000-0005-0000-0000-000062800000}"/>
    <cellStyle name="Total 9 5 2 3 4 2" xfId="26518" xr:uid="{00000000-0005-0000-0000-000063800000}"/>
    <cellStyle name="Total 9 5 2 4" xfId="3110" xr:uid="{00000000-0005-0000-0000-000064800000}"/>
    <cellStyle name="Total 9 5 2 4 2" xfId="7180" xr:uid="{00000000-0005-0000-0000-000065800000}"/>
    <cellStyle name="Total 9 5 2 4 2 2" xfId="16977" xr:uid="{00000000-0005-0000-0000-000066800000}"/>
    <cellStyle name="Total 9 5 2 4 2 2 2" xfId="31809" xr:uid="{00000000-0005-0000-0000-000067800000}"/>
    <cellStyle name="Total 9 5 2 4 2 3" xfId="18934" xr:uid="{00000000-0005-0000-0000-000068800000}"/>
    <cellStyle name="Total 9 5 2 4 3" xfId="13448" xr:uid="{00000000-0005-0000-0000-000069800000}"/>
    <cellStyle name="Total 9 5 2 4 3 2" xfId="28280" xr:uid="{00000000-0005-0000-0000-00006A800000}"/>
    <cellStyle name="Total 9 5 2 4 4" xfId="10634" xr:uid="{00000000-0005-0000-0000-00006B800000}"/>
    <cellStyle name="Total 9 5 2 4 4 2" xfId="25466" xr:uid="{00000000-0005-0000-0000-00006C800000}"/>
    <cellStyle name="Total 9 5 2 5" xfId="6272" xr:uid="{00000000-0005-0000-0000-00006D800000}"/>
    <cellStyle name="Total 9 5 2 5 2" xfId="16457" xr:uid="{00000000-0005-0000-0000-00006E800000}"/>
    <cellStyle name="Total 9 5 2 5 2 2" xfId="31289" xr:uid="{00000000-0005-0000-0000-00006F800000}"/>
    <cellStyle name="Total 9 5 2 5 3" xfId="18575" xr:uid="{00000000-0005-0000-0000-000070800000}"/>
    <cellStyle name="Total 9 5 2 6" xfId="12527" xr:uid="{00000000-0005-0000-0000-000071800000}"/>
    <cellStyle name="Total 9 5 2 6 2" xfId="27359" xr:uid="{00000000-0005-0000-0000-000072800000}"/>
    <cellStyle name="Total 9 5 2 7" xfId="10109" xr:uid="{00000000-0005-0000-0000-000073800000}"/>
    <cellStyle name="Total 9 5 2 7 2" xfId="24941" xr:uid="{00000000-0005-0000-0000-000074800000}"/>
    <cellStyle name="Total 9 5 3" xfId="4103" xr:uid="{00000000-0005-0000-0000-000075800000}"/>
    <cellStyle name="Total 9 5 3 2" xfId="8149" xr:uid="{00000000-0005-0000-0000-000076800000}"/>
    <cellStyle name="Total 9 5 3 2 2" xfId="17520" xr:uid="{00000000-0005-0000-0000-000077800000}"/>
    <cellStyle name="Total 9 5 3 2 2 2" xfId="32352" xr:uid="{00000000-0005-0000-0000-000078800000}"/>
    <cellStyle name="Total 9 5 3 2 3" xfId="19267" xr:uid="{00000000-0005-0000-0000-000079800000}"/>
    <cellStyle name="Total 9 5 3 3" xfId="14435" xr:uid="{00000000-0005-0000-0000-00007A800000}"/>
    <cellStyle name="Total 9 5 3 3 2" xfId="29267" xr:uid="{00000000-0005-0000-0000-00007B800000}"/>
    <cellStyle name="Total 9 5 3 4" xfId="11137" xr:uid="{00000000-0005-0000-0000-00007C800000}"/>
    <cellStyle name="Total 9 5 3 4 2" xfId="25969" xr:uid="{00000000-0005-0000-0000-00007D800000}"/>
    <cellStyle name="Total 9 5 4" xfId="4700" xr:uid="{00000000-0005-0000-0000-00007E800000}"/>
    <cellStyle name="Total 9 5 4 2" xfId="8739" xr:uid="{00000000-0005-0000-0000-00007F800000}"/>
    <cellStyle name="Total 9 5 4 2 2" xfId="17847" xr:uid="{00000000-0005-0000-0000-000080800000}"/>
    <cellStyle name="Total 9 5 4 2 2 2" xfId="32679" xr:uid="{00000000-0005-0000-0000-000081800000}"/>
    <cellStyle name="Total 9 5 4 2 3" xfId="19480" xr:uid="{00000000-0005-0000-0000-000082800000}"/>
    <cellStyle name="Total 9 5 4 3" xfId="15025" xr:uid="{00000000-0005-0000-0000-000083800000}"/>
    <cellStyle name="Total 9 5 4 3 2" xfId="29857" xr:uid="{00000000-0005-0000-0000-000084800000}"/>
    <cellStyle name="Total 9 5 4 4" xfId="11451" xr:uid="{00000000-0005-0000-0000-000085800000}"/>
    <cellStyle name="Total 9 5 4 4 2" xfId="26283" xr:uid="{00000000-0005-0000-0000-000086800000}"/>
    <cellStyle name="Total 9 5 5" xfId="2690" xr:uid="{00000000-0005-0000-0000-000087800000}"/>
    <cellStyle name="Total 9 5 5 2" xfId="6786" xr:uid="{00000000-0005-0000-0000-000088800000}"/>
    <cellStyle name="Total 9 5 5 2 2" xfId="16742" xr:uid="{00000000-0005-0000-0000-000089800000}"/>
    <cellStyle name="Total 9 5 5 2 2 2" xfId="31574" xr:uid="{00000000-0005-0000-0000-00008A800000}"/>
    <cellStyle name="Total 9 5 5 2 3" xfId="18770" xr:uid="{00000000-0005-0000-0000-00008B800000}"/>
    <cellStyle name="Total 9 5 5 3" xfId="13028" xr:uid="{00000000-0005-0000-0000-00008C800000}"/>
    <cellStyle name="Total 9 5 5 3 2" xfId="27860" xr:uid="{00000000-0005-0000-0000-00008D800000}"/>
    <cellStyle name="Total 9 5 5 4" xfId="10394" xr:uid="{00000000-0005-0000-0000-00008E800000}"/>
    <cellStyle name="Total 9 5 5 4 2" xfId="25226" xr:uid="{00000000-0005-0000-0000-00008F800000}"/>
    <cellStyle name="Total 9 5 6" xfId="5802" xr:uid="{00000000-0005-0000-0000-000090800000}"/>
    <cellStyle name="Total 9 5 6 2" xfId="16036" xr:uid="{00000000-0005-0000-0000-000091800000}"/>
    <cellStyle name="Total 9 5 6 2 2" xfId="30868" xr:uid="{00000000-0005-0000-0000-000092800000}"/>
    <cellStyle name="Total 9 5 6 3" xfId="18411" xr:uid="{00000000-0005-0000-0000-000093800000}"/>
    <cellStyle name="Total 9 5 7" xfId="12056" xr:uid="{00000000-0005-0000-0000-000094800000}"/>
    <cellStyle name="Total 9 5 7 2" xfId="26888" xr:uid="{00000000-0005-0000-0000-000095800000}"/>
    <cellStyle name="Total 9 5 8" xfId="9716" xr:uid="{00000000-0005-0000-0000-000096800000}"/>
    <cellStyle name="Total 9 5 8 2" xfId="20016" xr:uid="{00000000-0005-0000-0000-000097800000}"/>
    <cellStyle name="Total 9 6" xfId="1806" xr:uid="{00000000-0005-0000-0000-000098800000}"/>
    <cellStyle name="Total 9 6 2" xfId="3759" xr:uid="{00000000-0005-0000-0000-000099800000}"/>
    <cellStyle name="Total 9 6 2 2" xfId="7815" xr:uid="{00000000-0005-0000-0000-00009A800000}"/>
    <cellStyle name="Total 9 6 2 2 2" xfId="17351" xr:uid="{00000000-0005-0000-0000-00009B800000}"/>
    <cellStyle name="Total 9 6 2 2 2 2" xfId="32183" xr:uid="{00000000-0005-0000-0000-00009C800000}"/>
    <cellStyle name="Total 9 6 2 2 3" xfId="19145" xr:uid="{00000000-0005-0000-0000-00009D800000}"/>
    <cellStyle name="Total 9 6 2 3" xfId="14094" xr:uid="{00000000-0005-0000-0000-00009E800000}"/>
    <cellStyle name="Total 9 6 2 3 2" xfId="28926" xr:uid="{00000000-0005-0000-0000-00009F800000}"/>
    <cellStyle name="Total 9 6 2 4" xfId="10967" xr:uid="{00000000-0005-0000-0000-0000A0800000}"/>
    <cellStyle name="Total 9 6 2 4 2" xfId="25799" xr:uid="{00000000-0005-0000-0000-0000A1800000}"/>
    <cellStyle name="Total 9 6 3" xfId="4784" xr:uid="{00000000-0005-0000-0000-0000A2800000}"/>
    <cellStyle name="Total 9 6 3 2" xfId="8823" xr:uid="{00000000-0005-0000-0000-0000A3800000}"/>
    <cellStyle name="Total 9 6 3 2 2" xfId="17895" xr:uid="{00000000-0005-0000-0000-0000A4800000}"/>
    <cellStyle name="Total 9 6 3 2 2 2" xfId="32727" xr:uid="{00000000-0005-0000-0000-0000A5800000}"/>
    <cellStyle name="Total 9 6 3 2 3" xfId="19512" xr:uid="{00000000-0005-0000-0000-0000A6800000}"/>
    <cellStyle name="Total 9 6 3 3" xfId="15108" xr:uid="{00000000-0005-0000-0000-0000A7800000}"/>
    <cellStyle name="Total 9 6 3 3 2" xfId="29940" xr:uid="{00000000-0005-0000-0000-0000A8800000}"/>
    <cellStyle name="Total 9 6 3 4" xfId="11498" xr:uid="{00000000-0005-0000-0000-0000A9800000}"/>
    <cellStyle name="Total 9 6 3 4 2" xfId="26330" xr:uid="{00000000-0005-0000-0000-0000AA800000}"/>
    <cellStyle name="Total 9 6 4" xfId="2774" xr:uid="{00000000-0005-0000-0000-0000AB800000}"/>
    <cellStyle name="Total 9 6 4 2" xfId="6865" xr:uid="{00000000-0005-0000-0000-0000AC800000}"/>
    <cellStyle name="Total 9 6 4 2 2" xfId="16789" xr:uid="{00000000-0005-0000-0000-0000AD800000}"/>
    <cellStyle name="Total 9 6 4 2 2 2" xfId="31621" xr:uid="{00000000-0005-0000-0000-0000AE800000}"/>
    <cellStyle name="Total 9 6 4 2 3" xfId="18803" xr:uid="{00000000-0005-0000-0000-0000AF800000}"/>
    <cellStyle name="Total 9 6 4 3" xfId="13112" xr:uid="{00000000-0005-0000-0000-0000B0800000}"/>
    <cellStyle name="Total 9 6 4 3 2" xfId="27944" xr:uid="{00000000-0005-0000-0000-0000B1800000}"/>
    <cellStyle name="Total 9 6 4 4" xfId="10442" xr:uid="{00000000-0005-0000-0000-0000B2800000}"/>
    <cellStyle name="Total 9 6 4 4 2" xfId="25274" xr:uid="{00000000-0005-0000-0000-0000B3800000}"/>
    <cellStyle name="Total 9 6 5" xfId="5938" xr:uid="{00000000-0005-0000-0000-0000B4800000}"/>
    <cellStyle name="Total 9 6 5 2" xfId="16130" xr:uid="{00000000-0005-0000-0000-0000B5800000}"/>
    <cellStyle name="Total 9 6 5 2 2" xfId="30962" xr:uid="{00000000-0005-0000-0000-0000B6800000}"/>
    <cellStyle name="Total 9 6 5 3" xfId="18445" xr:uid="{00000000-0005-0000-0000-0000B7800000}"/>
    <cellStyle name="Total 9 6 6" xfId="12200" xr:uid="{00000000-0005-0000-0000-0000B8800000}"/>
    <cellStyle name="Total 9 6 6 2" xfId="27032" xr:uid="{00000000-0005-0000-0000-0000B9800000}"/>
    <cellStyle name="Total 9 6 7" xfId="9796" xr:uid="{00000000-0005-0000-0000-0000BA800000}"/>
    <cellStyle name="Total 9 6 7 2" xfId="24753" xr:uid="{00000000-0005-0000-0000-0000BB800000}"/>
    <cellStyle name="Total 9 7" xfId="2160" xr:uid="{00000000-0005-0000-0000-0000BC800000}"/>
    <cellStyle name="Total 9 7 2" xfId="3959" xr:uid="{00000000-0005-0000-0000-0000BD800000}"/>
    <cellStyle name="Total 9 7 2 2" xfId="8009" xr:uid="{00000000-0005-0000-0000-0000BE800000}"/>
    <cellStyle name="Total 9 7 2 2 2" xfId="17450" xr:uid="{00000000-0005-0000-0000-0000BF800000}"/>
    <cellStyle name="Total 9 7 2 2 2 2" xfId="32282" xr:uid="{00000000-0005-0000-0000-0000C0800000}"/>
    <cellStyle name="Total 9 7 2 2 3" xfId="19216" xr:uid="{00000000-0005-0000-0000-0000C1800000}"/>
    <cellStyle name="Total 9 7 2 3" xfId="14292" xr:uid="{00000000-0005-0000-0000-0000C2800000}"/>
    <cellStyle name="Total 9 7 2 3 2" xfId="29124" xr:uid="{00000000-0005-0000-0000-0000C3800000}"/>
    <cellStyle name="Total 9 7 2 4" xfId="11065" xr:uid="{00000000-0005-0000-0000-0000C4800000}"/>
    <cellStyle name="Total 9 7 2 4 2" xfId="25897" xr:uid="{00000000-0005-0000-0000-0000C5800000}"/>
    <cellStyle name="Total 9 7 3" xfId="5128" xr:uid="{00000000-0005-0000-0000-0000C6800000}"/>
    <cellStyle name="Total 9 7 3 2" xfId="9167" xr:uid="{00000000-0005-0000-0000-0000C7800000}"/>
    <cellStyle name="Total 9 7 3 2 2" xfId="18090" xr:uid="{00000000-0005-0000-0000-0000C8800000}"/>
    <cellStyle name="Total 9 7 3 2 2 2" xfId="32922" xr:uid="{00000000-0005-0000-0000-0000C9800000}"/>
    <cellStyle name="Total 9 7 3 2 3" xfId="19641" xr:uid="{00000000-0005-0000-0000-0000CA800000}"/>
    <cellStyle name="Total 9 7 3 3" xfId="15446" xr:uid="{00000000-0005-0000-0000-0000CB800000}"/>
    <cellStyle name="Total 9 7 3 3 2" xfId="30278" xr:uid="{00000000-0005-0000-0000-0000CC800000}"/>
    <cellStyle name="Total 9 7 3 4" xfId="11687" xr:uid="{00000000-0005-0000-0000-0000CD800000}"/>
    <cellStyle name="Total 9 7 3 4 2" xfId="26519" xr:uid="{00000000-0005-0000-0000-0000CE800000}"/>
    <cellStyle name="Total 9 7 4" xfId="4158" xr:uid="{00000000-0005-0000-0000-0000CF800000}"/>
    <cellStyle name="Total 9 7 4 2" xfId="8199" xr:uid="{00000000-0005-0000-0000-0000D0800000}"/>
    <cellStyle name="Total 9 7 4 2 2" xfId="17546" xr:uid="{00000000-0005-0000-0000-0000D1800000}"/>
    <cellStyle name="Total 9 7 4 2 2 2" xfId="32378" xr:uid="{00000000-0005-0000-0000-0000D2800000}"/>
    <cellStyle name="Total 9 7 4 2 3" xfId="19284" xr:uid="{00000000-0005-0000-0000-0000D3800000}"/>
    <cellStyle name="Total 9 7 4 3" xfId="14490" xr:uid="{00000000-0005-0000-0000-0000D4800000}"/>
    <cellStyle name="Total 9 7 4 3 2" xfId="29322" xr:uid="{00000000-0005-0000-0000-0000D5800000}"/>
    <cellStyle name="Total 9 7 4 4" xfId="11166" xr:uid="{00000000-0005-0000-0000-0000D6800000}"/>
    <cellStyle name="Total 9 7 4 4 2" xfId="25998" xr:uid="{00000000-0005-0000-0000-0000D7800000}"/>
    <cellStyle name="Total 9 7 5" xfId="6274" xr:uid="{00000000-0005-0000-0000-0000D8800000}"/>
    <cellStyle name="Total 9 7 5 2" xfId="16458" xr:uid="{00000000-0005-0000-0000-0000D9800000}"/>
    <cellStyle name="Total 9 7 5 2 2" xfId="31290" xr:uid="{00000000-0005-0000-0000-0000DA800000}"/>
    <cellStyle name="Total 9 7 5 3" xfId="18577" xr:uid="{00000000-0005-0000-0000-0000DB800000}"/>
    <cellStyle name="Total 9 7 6" xfId="12528" xr:uid="{00000000-0005-0000-0000-0000DC800000}"/>
    <cellStyle name="Total 9 7 6 2" xfId="27360" xr:uid="{00000000-0005-0000-0000-0000DD800000}"/>
    <cellStyle name="Total 9 7 7" xfId="10110" xr:uid="{00000000-0005-0000-0000-0000DE800000}"/>
    <cellStyle name="Total 9 7 7 2" xfId="24942" xr:uid="{00000000-0005-0000-0000-0000DF800000}"/>
    <cellStyle name="Total 9 8" xfId="3620" xr:uid="{00000000-0005-0000-0000-0000E0800000}"/>
    <cellStyle name="Total 9 8 2" xfId="7680" xr:uid="{00000000-0005-0000-0000-0000E1800000}"/>
    <cellStyle name="Total 9 8 2 2" xfId="17283" xr:uid="{00000000-0005-0000-0000-0000E2800000}"/>
    <cellStyle name="Total 9 8 2 2 2" xfId="32115" xr:uid="{00000000-0005-0000-0000-0000E3800000}"/>
    <cellStyle name="Total 9 8 2 3" xfId="19101" xr:uid="{00000000-0005-0000-0000-0000E4800000}"/>
    <cellStyle name="Total 9 8 3" xfId="13955" xr:uid="{00000000-0005-0000-0000-0000E5800000}"/>
    <cellStyle name="Total 9 8 3 2" xfId="28787" xr:uid="{00000000-0005-0000-0000-0000E6800000}"/>
    <cellStyle name="Total 9 8 4" xfId="10900" xr:uid="{00000000-0005-0000-0000-0000E7800000}"/>
    <cellStyle name="Total 9 8 4 2" xfId="25732" xr:uid="{00000000-0005-0000-0000-0000E8800000}"/>
    <cellStyle name="Total 9 9" xfId="4282" xr:uid="{00000000-0005-0000-0000-0000E9800000}"/>
    <cellStyle name="Total 9 9 2" xfId="8321" xr:uid="{00000000-0005-0000-0000-0000EA800000}"/>
    <cellStyle name="Total 9 9 2 2" xfId="17604" xr:uid="{00000000-0005-0000-0000-0000EB800000}"/>
    <cellStyle name="Total 9 9 2 2 2" xfId="32436" xr:uid="{00000000-0005-0000-0000-0000EC800000}"/>
    <cellStyle name="Total 9 9 2 3" xfId="19320" xr:uid="{00000000-0005-0000-0000-0000ED800000}"/>
    <cellStyle name="Total 9 9 3" xfId="14614" xr:uid="{00000000-0005-0000-0000-0000EE800000}"/>
    <cellStyle name="Total 9 9 3 2" xfId="29446" xr:uid="{00000000-0005-0000-0000-0000EF800000}"/>
    <cellStyle name="Total 9 9 4" xfId="11221" xr:uid="{00000000-0005-0000-0000-0000F0800000}"/>
    <cellStyle name="Total 9 9 4 2" xfId="26053" xr:uid="{00000000-0005-0000-0000-0000F1800000}"/>
    <cellStyle name="Warning Text 2" xfId="1283" xr:uid="{00000000-0005-0000-0000-0000F2800000}"/>
    <cellStyle name="Warning Text 2 2" xfId="1284" xr:uid="{00000000-0005-0000-0000-0000F3800000}"/>
    <cellStyle name="Warning Text 2 3" xfId="1285" xr:uid="{00000000-0005-0000-0000-0000F4800000}"/>
    <cellStyle name="Warning Text 2 4" xfId="1286" xr:uid="{00000000-0005-0000-0000-0000F5800000}"/>
    <cellStyle name="Warning Text 2 5" xfId="1287" xr:uid="{00000000-0005-0000-0000-0000F6800000}"/>
    <cellStyle name="Warning Text 2 6" xfId="1288" xr:uid="{00000000-0005-0000-0000-0000F7800000}"/>
    <cellStyle name="Warning Text 2 7" xfId="1289" xr:uid="{00000000-0005-0000-0000-0000F8800000}"/>
    <cellStyle name="Warning Text 2 8" xfId="1290" xr:uid="{00000000-0005-0000-0000-0000F9800000}"/>
    <cellStyle name="Warning Text 3" xfId="1291" xr:uid="{00000000-0005-0000-0000-0000FA800000}"/>
    <cellStyle name="Warning Text 4" xfId="1292" xr:uid="{00000000-0005-0000-0000-0000FB800000}"/>
    <cellStyle name="Warning Text 5" xfId="1293" xr:uid="{00000000-0005-0000-0000-0000FC800000}"/>
    <cellStyle name="Warning Text 6" xfId="1294" xr:uid="{00000000-0005-0000-0000-0000FD800000}"/>
    <cellStyle name="Warning Text 7" xfId="1295" xr:uid="{00000000-0005-0000-0000-0000FE800000}"/>
    <cellStyle name="Warning Text 8" xfId="1296" xr:uid="{00000000-0005-0000-0000-0000FF800000}"/>
    <cellStyle name="Warning Text 9" xfId="1282" xr:uid="{00000000-0005-0000-0000-000000810000}"/>
  </cellStyles>
  <dxfs count="0"/>
  <tableStyles count="0" defaultTableStyle="TableStyleMedium2" defaultPivotStyle="PivotStyleLight16"/>
  <colors>
    <mruColors>
      <color rgb="FF3D6DC3"/>
      <color rgb="FF8A2680"/>
      <color rgb="FFCC99FF"/>
      <color rgb="FFBCDBAD"/>
      <color rgb="FFFF9999"/>
      <color rgb="FFFF9933"/>
      <color rgb="FF77BA4E"/>
      <color rgb="FF6AC2D4"/>
      <color rgb="FF67B73B"/>
      <color rgb="FF6DC1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sz="2000" b="1">
                <a:latin typeface="Times New Roman" panose="02020603050405020304" pitchFamily="18" charset="0"/>
                <a:cs typeface="Times New Roman" panose="02020603050405020304" pitchFamily="18" charset="0"/>
              </a:rPr>
              <a:t>Figure 1. Winter Wheat Net Returns: Gross Income minus Variable (Out-of-Pocket) Costs</a:t>
            </a:r>
            <a:r>
              <a:rPr lang="en-US" sz="2000" b="1" baseline="0">
                <a:latin typeface="Times New Roman" panose="02020603050405020304" pitchFamily="18" charset="0"/>
                <a:cs typeface="Times New Roman" panose="02020603050405020304" pitchFamily="18" charset="0"/>
              </a:rPr>
              <a:t>.</a:t>
            </a:r>
            <a:endParaRPr lang="en-US" sz="2000" b="1">
              <a:latin typeface="Times New Roman" panose="02020603050405020304" pitchFamily="18" charset="0"/>
              <a:cs typeface="Times New Roman" panose="02020603050405020304" pitchFamily="18" charset="0"/>
            </a:endParaRP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barChart>
        <c:barDir val="col"/>
        <c:grouping val="clustered"/>
        <c:varyColors val="0"/>
        <c:ser>
          <c:idx val="2"/>
          <c:order val="0"/>
          <c:tx>
            <c:strRef>
              <c:f>AnnualRotations!$C$10</c:f>
              <c:strCache>
                <c:ptCount val="1"/>
                <c:pt idx="0">
                  <c:v>2019</c:v>
                </c:pt>
              </c:strCache>
            </c:strRef>
          </c:tx>
          <c:spPr>
            <a:solidFill>
              <a:srgbClr val="C00000"/>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AnnualRotations!$D$7:$I$8</c:f>
              <c:multiLvlStrCache>
                <c:ptCount val="6"/>
                <c:lvl>
                  <c:pt idx="0">
                    <c:v>WW-SW-Chickpea</c:v>
                  </c:pt>
                  <c:pt idx="1">
                    <c:v>WW-SW-Winter pea</c:v>
                  </c:pt>
                  <c:pt idx="2">
                    <c:v>WW-Winter Forage crop-Chickpea</c:v>
                  </c:pt>
                  <c:pt idx="3">
                    <c:v>WW-SW-Fallow</c:v>
                  </c:pt>
                  <c:pt idx="4">
                    <c:v>WW-SW-Winter Pea</c:v>
                  </c:pt>
                  <c:pt idx="5">
                    <c:v>WW-SW-Spring Forage crop</c:v>
                  </c:pt>
                </c:lvl>
                <c:lvl>
                  <c:pt idx="0">
                    <c:v>GENESEE - Winter Wheat</c:v>
                  </c:pt>
                  <c:pt idx="3">
                    <c:v>St. JOHN - Winter Wheat</c:v>
                  </c:pt>
                </c:lvl>
              </c:multiLvlStrCache>
            </c:multiLvlStrRef>
          </c:cat>
          <c:val>
            <c:numRef>
              <c:f>AnnualRotations!$D$10:$I$10</c:f>
              <c:numCache>
                <c:formatCode>"$"#,##0</c:formatCode>
                <c:ptCount val="6"/>
                <c:pt idx="0">
                  <c:v>227.19025471778372</c:v>
                </c:pt>
                <c:pt idx="1">
                  <c:v>241.57191993612309</c:v>
                </c:pt>
                <c:pt idx="2">
                  <c:v>252.32730107610158</c:v>
                </c:pt>
                <c:pt idx="3">
                  <c:v>264.43764000756124</c:v>
                </c:pt>
                <c:pt idx="4">
                  <c:v>182.75631144628261</c:v>
                </c:pt>
                <c:pt idx="5">
                  <c:v>166.9733905555054</c:v>
                </c:pt>
              </c:numCache>
            </c:numRef>
          </c:val>
          <c:extLst>
            <c:ext xmlns:c16="http://schemas.microsoft.com/office/drawing/2014/chart" uri="{C3380CC4-5D6E-409C-BE32-E72D297353CC}">
              <c16:uniqueId val="{00000002-30B7-3F4C-B8D9-CF67A374EBD7}"/>
            </c:ext>
          </c:extLst>
        </c:ser>
        <c:ser>
          <c:idx val="3"/>
          <c:order val="1"/>
          <c:tx>
            <c:strRef>
              <c:f>AnnualRotations!$C$11</c:f>
              <c:strCache>
                <c:ptCount val="1"/>
                <c:pt idx="0">
                  <c:v>2020</c:v>
                </c:pt>
              </c:strCache>
            </c:strRef>
          </c:tx>
          <c:spPr>
            <a:solidFill>
              <a:schemeClr val="accent4"/>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AnnualRotations!$D$7:$I$8</c:f>
              <c:multiLvlStrCache>
                <c:ptCount val="6"/>
                <c:lvl>
                  <c:pt idx="0">
                    <c:v>WW-SW-Chickpea</c:v>
                  </c:pt>
                  <c:pt idx="1">
                    <c:v>WW-SW-Winter pea</c:v>
                  </c:pt>
                  <c:pt idx="2">
                    <c:v>WW-Winter Forage crop-Chickpea</c:v>
                  </c:pt>
                  <c:pt idx="3">
                    <c:v>WW-SW-Fallow</c:v>
                  </c:pt>
                  <c:pt idx="4">
                    <c:v>WW-SW-Winter Pea</c:v>
                  </c:pt>
                  <c:pt idx="5">
                    <c:v>WW-SW-Spring Forage crop</c:v>
                  </c:pt>
                </c:lvl>
                <c:lvl>
                  <c:pt idx="0">
                    <c:v>GENESEE - Winter Wheat</c:v>
                  </c:pt>
                  <c:pt idx="3">
                    <c:v>St. JOHN - Winter Wheat</c:v>
                  </c:pt>
                </c:lvl>
              </c:multiLvlStrCache>
            </c:multiLvlStrRef>
          </c:cat>
          <c:val>
            <c:numRef>
              <c:f>AnnualRotations!$D$11:$I$11</c:f>
              <c:numCache>
                <c:formatCode>"$"#,##0</c:formatCode>
                <c:ptCount val="6"/>
                <c:pt idx="0">
                  <c:v>382.50216344382591</c:v>
                </c:pt>
                <c:pt idx="1">
                  <c:v>380.37004696355035</c:v>
                </c:pt>
                <c:pt idx="2">
                  <c:v>362.31670282587788</c:v>
                </c:pt>
                <c:pt idx="3">
                  <c:v>321.03352271512546</c:v>
                </c:pt>
                <c:pt idx="4">
                  <c:v>289.88190910737853</c:v>
                </c:pt>
                <c:pt idx="5">
                  <c:v>305.71342211136272</c:v>
                </c:pt>
              </c:numCache>
            </c:numRef>
          </c:val>
          <c:extLst>
            <c:ext xmlns:c16="http://schemas.microsoft.com/office/drawing/2014/chart" uri="{C3380CC4-5D6E-409C-BE32-E72D297353CC}">
              <c16:uniqueId val="{00000005-30B7-3F4C-B8D9-CF67A374EBD7}"/>
            </c:ext>
          </c:extLst>
        </c:ser>
        <c:ser>
          <c:idx val="0"/>
          <c:order val="2"/>
          <c:tx>
            <c:strRef>
              <c:f>AnnualRotations!$C$12</c:f>
              <c:strCache>
                <c:ptCount val="1"/>
                <c:pt idx="0">
                  <c:v>Average</c:v>
                </c:pt>
              </c:strCache>
            </c:strRef>
          </c:tx>
          <c:spPr>
            <a:solidFill>
              <a:schemeClr val="accent1"/>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AnnualRotations!$D$7:$I$8</c:f>
              <c:multiLvlStrCache>
                <c:ptCount val="6"/>
                <c:lvl>
                  <c:pt idx="0">
                    <c:v>WW-SW-Chickpea</c:v>
                  </c:pt>
                  <c:pt idx="1">
                    <c:v>WW-SW-Winter pea</c:v>
                  </c:pt>
                  <c:pt idx="2">
                    <c:v>WW-Winter Forage crop-Chickpea</c:v>
                  </c:pt>
                  <c:pt idx="3">
                    <c:v>WW-SW-Fallow</c:v>
                  </c:pt>
                  <c:pt idx="4">
                    <c:v>WW-SW-Winter Pea</c:v>
                  </c:pt>
                  <c:pt idx="5">
                    <c:v>WW-SW-Spring Forage crop</c:v>
                  </c:pt>
                </c:lvl>
                <c:lvl>
                  <c:pt idx="0">
                    <c:v>GENESEE - Winter Wheat</c:v>
                  </c:pt>
                  <c:pt idx="3">
                    <c:v>St. JOHN - Winter Wheat</c:v>
                  </c:pt>
                </c:lvl>
              </c:multiLvlStrCache>
            </c:multiLvlStrRef>
          </c:cat>
          <c:val>
            <c:numRef>
              <c:f>AnnualRotations!$D$12:$I$12</c:f>
              <c:numCache>
                <c:formatCode>"$"#,##0</c:formatCode>
                <c:ptCount val="6"/>
                <c:pt idx="0">
                  <c:v>304.84620908080478</c:v>
                </c:pt>
                <c:pt idx="1">
                  <c:v>310.97098344983669</c:v>
                </c:pt>
                <c:pt idx="2">
                  <c:v>307.32200195098972</c:v>
                </c:pt>
                <c:pt idx="3">
                  <c:v>292.73558136134335</c:v>
                </c:pt>
                <c:pt idx="4">
                  <c:v>236.31911027683057</c:v>
                </c:pt>
                <c:pt idx="5">
                  <c:v>236.34340633343407</c:v>
                </c:pt>
              </c:numCache>
            </c:numRef>
          </c:val>
          <c:extLst>
            <c:ext xmlns:c16="http://schemas.microsoft.com/office/drawing/2014/chart" uri="{C3380CC4-5D6E-409C-BE32-E72D297353CC}">
              <c16:uniqueId val="{00000007-30B7-3F4C-B8D9-CF67A374EBD7}"/>
            </c:ext>
          </c:extLst>
        </c:ser>
        <c:ser>
          <c:idx val="4"/>
          <c:order val="3"/>
          <c:tx>
            <c:strRef>
              <c:f>AnnualRotations!$C$13</c:f>
              <c:strCache>
                <c:ptCount val="1"/>
                <c:pt idx="0">
                  <c:v>Accumulative</c:v>
                </c:pt>
              </c:strCache>
            </c:strRef>
          </c:tx>
          <c:spPr>
            <a:solidFill>
              <a:schemeClr val="tx1"/>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AnnualRotations!$D$7:$I$8</c:f>
              <c:multiLvlStrCache>
                <c:ptCount val="6"/>
                <c:lvl>
                  <c:pt idx="0">
                    <c:v>WW-SW-Chickpea</c:v>
                  </c:pt>
                  <c:pt idx="1">
                    <c:v>WW-SW-Winter pea</c:v>
                  </c:pt>
                  <c:pt idx="2">
                    <c:v>WW-Winter Forage crop-Chickpea</c:v>
                  </c:pt>
                  <c:pt idx="3">
                    <c:v>WW-SW-Fallow</c:v>
                  </c:pt>
                  <c:pt idx="4">
                    <c:v>WW-SW-Winter Pea</c:v>
                  </c:pt>
                  <c:pt idx="5">
                    <c:v>WW-SW-Spring Forage crop</c:v>
                  </c:pt>
                </c:lvl>
                <c:lvl>
                  <c:pt idx="0">
                    <c:v>GENESEE - Winter Wheat</c:v>
                  </c:pt>
                  <c:pt idx="3">
                    <c:v>St. JOHN - Winter Wheat</c:v>
                  </c:pt>
                </c:lvl>
              </c:multiLvlStrCache>
            </c:multiLvlStrRef>
          </c:cat>
          <c:val>
            <c:numRef>
              <c:f>AnnualRotations!$D$13:$I$13</c:f>
              <c:numCache>
                <c:formatCode>"$"#,##0</c:formatCode>
                <c:ptCount val="6"/>
                <c:pt idx="0">
                  <c:v>609.69241816160957</c:v>
                </c:pt>
                <c:pt idx="1">
                  <c:v>621.94196689967339</c:v>
                </c:pt>
                <c:pt idx="2">
                  <c:v>614.64400390197943</c:v>
                </c:pt>
                <c:pt idx="3">
                  <c:v>585.4711627226867</c:v>
                </c:pt>
                <c:pt idx="4">
                  <c:v>472.63822055366114</c:v>
                </c:pt>
                <c:pt idx="5">
                  <c:v>472.68681266686815</c:v>
                </c:pt>
              </c:numCache>
            </c:numRef>
          </c:val>
          <c:extLst>
            <c:ext xmlns:c16="http://schemas.microsoft.com/office/drawing/2014/chart" uri="{C3380CC4-5D6E-409C-BE32-E72D297353CC}">
              <c16:uniqueId val="{00000008-30B7-3F4C-B8D9-CF67A374EBD7}"/>
            </c:ext>
          </c:extLst>
        </c:ser>
        <c:dLbls>
          <c:showLegendKey val="0"/>
          <c:showVal val="0"/>
          <c:showCatName val="0"/>
          <c:showSerName val="0"/>
          <c:showPercent val="0"/>
          <c:showBubbleSize val="0"/>
        </c:dLbls>
        <c:gapWidth val="182"/>
        <c:axId val="1770928368"/>
        <c:axId val="1770840032"/>
      </c:barChart>
      <c:catAx>
        <c:axId val="1770928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770840032"/>
        <c:crosses val="autoZero"/>
        <c:auto val="1"/>
        <c:lblAlgn val="ctr"/>
        <c:lblOffset val="100"/>
        <c:noMultiLvlLbl val="0"/>
      </c:catAx>
      <c:valAx>
        <c:axId val="1770840032"/>
        <c:scaling>
          <c:orientation val="minMax"/>
        </c:scaling>
        <c:delete val="0"/>
        <c:axPos val="l"/>
        <c:majorGridlines>
          <c:spPr>
            <a:ln w="19050" cap="flat" cmpd="sng" algn="ctr">
              <a:solidFill>
                <a:schemeClr val="tx1"/>
              </a:solidFill>
              <a:round/>
            </a:ln>
            <a:effectLst/>
          </c:spPr>
        </c:majorGridlines>
        <c:numFmt formatCode="&quot;$&quot;#,##0" sourceLinked="1"/>
        <c:majorTickMark val="none"/>
        <c:minorTickMark val="none"/>
        <c:tickLblPos val="nextTo"/>
        <c:spPr>
          <a:noFill/>
          <a:ln>
            <a:solidFill>
              <a:srgbClr val="000000"/>
            </a:solidFill>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770928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sz="2000" b="1">
                <a:latin typeface="Times New Roman" panose="02020603050405020304" pitchFamily="18" charset="0"/>
                <a:cs typeface="Times New Roman" panose="02020603050405020304" pitchFamily="18" charset="0"/>
              </a:rPr>
              <a:t>Figure 2. Spring Wheat Net Returns: Gross Income minus Variable (Out-of-Pocket) Costs.</a:t>
            </a: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barChart>
        <c:barDir val="col"/>
        <c:grouping val="clustered"/>
        <c:varyColors val="0"/>
        <c:ser>
          <c:idx val="3"/>
          <c:order val="0"/>
          <c:tx>
            <c:strRef>
              <c:f>AnnualRotations!$C$10</c:f>
              <c:strCache>
                <c:ptCount val="1"/>
                <c:pt idx="0">
                  <c:v>2019</c:v>
                </c:pt>
              </c:strCache>
            </c:strRef>
          </c:tx>
          <c:spPr>
            <a:solidFill>
              <a:srgbClr val="C00000"/>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AnnualRotations!$J$7:$O$8</c:f>
              <c:multiLvlStrCache>
                <c:ptCount val="6"/>
                <c:lvl>
                  <c:pt idx="0">
                    <c:v>WW-SW-Chickpea</c:v>
                  </c:pt>
                  <c:pt idx="1">
                    <c:v>WW-SW-Winter pea</c:v>
                  </c:pt>
                  <c:pt idx="2">
                    <c:v>WW-Winter Forage crop-Chickpea</c:v>
                  </c:pt>
                  <c:pt idx="3">
                    <c:v>WW-SW-Fallow</c:v>
                  </c:pt>
                  <c:pt idx="4">
                    <c:v>WW-SW-Winter Pea</c:v>
                  </c:pt>
                  <c:pt idx="5">
                    <c:v>WW-SW-Spring Forage crop</c:v>
                  </c:pt>
                </c:lvl>
                <c:lvl>
                  <c:pt idx="0">
                    <c:v>GENESEE - Spring Wheat</c:v>
                  </c:pt>
                  <c:pt idx="3">
                    <c:v>St. JOHN - Spring Wheat</c:v>
                  </c:pt>
                </c:lvl>
              </c:multiLvlStrCache>
            </c:multiLvlStrRef>
          </c:cat>
          <c:val>
            <c:numRef>
              <c:f>AnnualRotations!$J$10:$O$10</c:f>
              <c:numCache>
                <c:formatCode>"$"#,##0</c:formatCode>
                <c:ptCount val="6"/>
                <c:pt idx="0">
                  <c:v>160.18693574733726</c:v>
                </c:pt>
                <c:pt idx="1">
                  <c:v>176.80836231151807</c:v>
                </c:pt>
                <c:pt idx="2">
                  <c:v>0</c:v>
                </c:pt>
                <c:pt idx="3">
                  <c:v>115.5088972672731</c:v>
                </c:pt>
                <c:pt idx="4">
                  <c:v>107.90619892263419</c:v>
                </c:pt>
                <c:pt idx="5">
                  <c:v>129.37712242377995</c:v>
                </c:pt>
              </c:numCache>
            </c:numRef>
          </c:val>
          <c:extLst>
            <c:ext xmlns:c16="http://schemas.microsoft.com/office/drawing/2014/chart" uri="{C3380CC4-5D6E-409C-BE32-E72D297353CC}">
              <c16:uniqueId val="{00000004-9E9E-6B4E-8ACB-ABD1990E2DB0}"/>
            </c:ext>
          </c:extLst>
        </c:ser>
        <c:ser>
          <c:idx val="0"/>
          <c:order val="1"/>
          <c:tx>
            <c:strRef>
              <c:f>AnnualRotations!$C$11</c:f>
              <c:strCache>
                <c:ptCount val="1"/>
                <c:pt idx="0">
                  <c:v>2020</c:v>
                </c:pt>
              </c:strCache>
            </c:strRef>
          </c:tx>
          <c:spPr>
            <a:solidFill>
              <a:schemeClr val="accent4"/>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AnnualRotations!$J$7:$O$8</c:f>
              <c:multiLvlStrCache>
                <c:ptCount val="6"/>
                <c:lvl>
                  <c:pt idx="0">
                    <c:v>WW-SW-Chickpea</c:v>
                  </c:pt>
                  <c:pt idx="1">
                    <c:v>WW-SW-Winter pea</c:v>
                  </c:pt>
                  <c:pt idx="2">
                    <c:v>WW-Winter Forage crop-Chickpea</c:v>
                  </c:pt>
                  <c:pt idx="3">
                    <c:v>WW-SW-Fallow</c:v>
                  </c:pt>
                  <c:pt idx="4">
                    <c:v>WW-SW-Winter Pea</c:v>
                  </c:pt>
                  <c:pt idx="5">
                    <c:v>WW-SW-Spring Forage crop</c:v>
                  </c:pt>
                </c:lvl>
                <c:lvl>
                  <c:pt idx="0">
                    <c:v>GENESEE - Spring Wheat</c:v>
                  </c:pt>
                  <c:pt idx="3">
                    <c:v>St. JOHN - Spring Wheat</c:v>
                  </c:pt>
                </c:lvl>
              </c:multiLvlStrCache>
            </c:multiLvlStrRef>
          </c:cat>
          <c:val>
            <c:numRef>
              <c:f>AnnualRotations!$J$11:$O$11</c:f>
              <c:numCache>
                <c:formatCode>"$"#,##0</c:formatCode>
                <c:ptCount val="6"/>
                <c:pt idx="0">
                  <c:v>250.15108256607169</c:v>
                </c:pt>
                <c:pt idx="1">
                  <c:v>237.72698073345947</c:v>
                </c:pt>
                <c:pt idx="2">
                  <c:v>0</c:v>
                </c:pt>
                <c:pt idx="3">
                  <c:v>108.47175349403832</c:v>
                </c:pt>
                <c:pt idx="4">
                  <c:v>97.858411071738928</c:v>
                </c:pt>
                <c:pt idx="5">
                  <c:v>104.81569088599112</c:v>
                </c:pt>
              </c:numCache>
            </c:numRef>
          </c:val>
          <c:extLst>
            <c:ext xmlns:c16="http://schemas.microsoft.com/office/drawing/2014/chart" uri="{C3380CC4-5D6E-409C-BE32-E72D297353CC}">
              <c16:uniqueId val="{00000005-9E9E-6B4E-8ACB-ABD1990E2DB0}"/>
            </c:ext>
          </c:extLst>
        </c:ser>
        <c:ser>
          <c:idx val="4"/>
          <c:order val="2"/>
          <c:tx>
            <c:strRef>
              <c:f>AnnualRotations!$C$12</c:f>
              <c:strCache>
                <c:ptCount val="1"/>
                <c:pt idx="0">
                  <c:v>Average</c:v>
                </c:pt>
              </c:strCache>
            </c:strRef>
          </c:tx>
          <c:spPr>
            <a:solidFill>
              <a:schemeClr val="accent1"/>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AnnualRotations!$J$7:$O$8</c:f>
              <c:multiLvlStrCache>
                <c:ptCount val="6"/>
                <c:lvl>
                  <c:pt idx="0">
                    <c:v>WW-SW-Chickpea</c:v>
                  </c:pt>
                  <c:pt idx="1">
                    <c:v>WW-SW-Winter pea</c:v>
                  </c:pt>
                  <c:pt idx="2">
                    <c:v>WW-Winter Forage crop-Chickpea</c:v>
                  </c:pt>
                  <c:pt idx="3">
                    <c:v>WW-SW-Fallow</c:v>
                  </c:pt>
                  <c:pt idx="4">
                    <c:v>WW-SW-Winter Pea</c:v>
                  </c:pt>
                  <c:pt idx="5">
                    <c:v>WW-SW-Spring Forage crop</c:v>
                  </c:pt>
                </c:lvl>
                <c:lvl>
                  <c:pt idx="0">
                    <c:v>GENESEE - Spring Wheat</c:v>
                  </c:pt>
                  <c:pt idx="3">
                    <c:v>St. JOHN - Spring Wheat</c:v>
                  </c:pt>
                </c:lvl>
              </c:multiLvlStrCache>
            </c:multiLvlStrRef>
          </c:cat>
          <c:val>
            <c:numRef>
              <c:f>AnnualRotations!$J$12:$O$12</c:f>
              <c:numCache>
                <c:formatCode>"$"#,##0</c:formatCode>
                <c:ptCount val="6"/>
                <c:pt idx="0">
                  <c:v>205.16900915670448</c:v>
                </c:pt>
                <c:pt idx="1">
                  <c:v>207.26767152248877</c:v>
                </c:pt>
                <c:pt idx="2">
                  <c:v>0</c:v>
                </c:pt>
                <c:pt idx="3">
                  <c:v>111.99032538065572</c:v>
                </c:pt>
                <c:pt idx="4">
                  <c:v>102.88230499718657</c:v>
                </c:pt>
                <c:pt idx="5">
                  <c:v>117.09640665488553</c:v>
                </c:pt>
              </c:numCache>
            </c:numRef>
          </c:val>
          <c:extLst>
            <c:ext xmlns:c16="http://schemas.microsoft.com/office/drawing/2014/chart" uri="{C3380CC4-5D6E-409C-BE32-E72D297353CC}">
              <c16:uniqueId val="{00000006-9E9E-6B4E-8ACB-ABD1990E2DB0}"/>
            </c:ext>
          </c:extLst>
        </c:ser>
        <c:ser>
          <c:idx val="1"/>
          <c:order val="3"/>
          <c:tx>
            <c:strRef>
              <c:f>AnnualRotations!$C$13</c:f>
              <c:strCache>
                <c:ptCount val="1"/>
                <c:pt idx="0">
                  <c:v>Accumulative</c:v>
                </c:pt>
              </c:strCache>
            </c:strRef>
          </c:tx>
          <c:spPr>
            <a:solidFill>
              <a:schemeClr val="tx1"/>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AnnualRotations!$J$7:$O$8</c:f>
              <c:multiLvlStrCache>
                <c:ptCount val="6"/>
                <c:lvl>
                  <c:pt idx="0">
                    <c:v>WW-SW-Chickpea</c:v>
                  </c:pt>
                  <c:pt idx="1">
                    <c:v>WW-SW-Winter pea</c:v>
                  </c:pt>
                  <c:pt idx="2">
                    <c:v>WW-Winter Forage crop-Chickpea</c:v>
                  </c:pt>
                  <c:pt idx="3">
                    <c:v>WW-SW-Fallow</c:v>
                  </c:pt>
                  <c:pt idx="4">
                    <c:v>WW-SW-Winter Pea</c:v>
                  </c:pt>
                  <c:pt idx="5">
                    <c:v>WW-SW-Spring Forage crop</c:v>
                  </c:pt>
                </c:lvl>
                <c:lvl>
                  <c:pt idx="0">
                    <c:v>GENESEE - Spring Wheat</c:v>
                  </c:pt>
                  <c:pt idx="3">
                    <c:v>St. JOHN - Spring Wheat</c:v>
                  </c:pt>
                </c:lvl>
              </c:multiLvlStrCache>
            </c:multiLvlStrRef>
          </c:cat>
          <c:val>
            <c:numRef>
              <c:f>AnnualRotations!$J$13:$O$13</c:f>
              <c:numCache>
                <c:formatCode>"$"#,##0</c:formatCode>
                <c:ptCount val="6"/>
                <c:pt idx="0">
                  <c:v>410.33801831340895</c:v>
                </c:pt>
                <c:pt idx="1">
                  <c:v>414.53534304497754</c:v>
                </c:pt>
                <c:pt idx="2">
                  <c:v>0</c:v>
                </c:pt>
                <c:pt idx="3">
                  <c:v>223.98065076131144</c:v>
                </c:pt>
                <c:pt idx="4">
                  <c:v>205.76460999437313</c:v>
                </c:pt>
                <c:pt idx="5">
                  <c:v>234.19281330977105</c:v>
                </c:pt>
              </c:numCache>
            </c:numRef>
          </c:val>
          <c:extLst>
            <c:ext xmlns:c16="http://schemas.microsoft.com/office/drawing/2014/chart" uri="{C3380CC4-5D6E-409C-BE32-E72D297353CC}">
              <c16:uniqueId val="{00000007-9E9E-6B4E-8ACB-ABD1990E2DB0}"/>
            </c:ext>
          </c:extLst>
        </c:ser>
        <c:dLbls>
          <c:showLegendKey val="0"/>
          <c:showVal val="0"/>
          <c:showCatName val="0"/>
          <c:showSerName val="0"/>
          <c:showPercent val="0"/>
          <c:showBubbleSize val="0"/>
        </c:dLbls>
        <c:gapWidth val="182"/>
        <c:axId val="1770928368"/>
        <c:axId val="1770840032"/>
      </c:barChart>
      <c:catAx>
        <c:axId val="1770928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770840032"/>
        <c:crosses val="autoZero"/>
        <c:auto val="1"/>
        <c:lblAlgn val="ctr"/>
        <c:lblOffset val="100"/>
        <c:noMultiLvlLbl val="0"/>
      </c:catAx>
      <c:valAx>
        <c:axId val="1770840032"/>
        <c:scaling>
          <c:orientation val="minMax"/>
          <c:max val="700"/>
        </c:scaling>
        <c:delete val="0"/>
        <c:axPos val="l"/>
        <c:majorGridlines>
          <c:spPr>
            <a:ln w="19050" cap="flat" cmpd="sng" algn="ctr">
              <a:solidFill>
                <a:schemeClr val="tx1"/>
              </a:solidFill>
              <a:round/>
            </a:ln>
            <a:effectLst/>
          </c:spPr>
        </c:majorGridlines>
        <c:numFmt formatCode="&quot;$&quot;#,##0" sourceLinked="1"/>
        <c:majorTickMark val="none"/>
        <c:minorTickMark val="none"/>
        <c:tickLblPos val="nextTo"/>
        <c:spPr>
          <a:noFill/>
          <a:ln>
            <a:solidFill>
              <a:srgbClr val="000000"/>
            </a:solidFill>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770928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1" i="0" u="none" strike="noStrike" kern="1200" baseline="0">
              <a:ln>
                <a:noFill/>
              </a:ln>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sz="2000" b="1">
                <a:latin typeface="Times New Roman" panose="02020603050405020304" pitchFamily="18" charset="0"/>
                <a:cs typeface="Times New Roman" panose="02020603050405020304" pitchFamily="18" charset="0"/>
              </a:rPr>
              <a:t>Figure 3.</a:t>
            </a:r>
            <a:r>
              <a:rPr lang="en-US" sz="2000" b="1" baseline="0">
                <a:latin typeface="Times New Roman" panose="02020603050405020304" pitchFamily="18" charset="0"/>
                <a:cs typeface="Times New Roman" panose="02020603050405020304" pitchFamily="18" charset="0"/>
              </a:rPr>
              <a:t> </a:t>
            </a:r>
            <a:r>
              <a:rPr lang="en-US" sz="2000" b="1">
                <a:latin typeface="Times New Roman" panose="02020603050405020304" pitchFamily="18" charset="0"/>
                <a:cs typeface="Times New Roman" panose="02020603050405020304" pitchFamily="18" charset="0"/>
              </a:rPr>
              <a:t>Winter</a:t>
            </a:r>
            <a:r>
              <a:rPr lang="en-US" sz="2000" b="1" baseline="0">
                <a:latin typeface="Times New Roman" panose="02020603050405020304" pitchFamily="18" charset="0"/>
                <a:cs typeface="Times New Roman" panose="02020603050405020304" pitchFamily="18" charset="0"/>
              </a:rPr>
              <a:t> Peas</a:t>
            </a:r>
            <a:r>
              <a:rPr lang="en-US" sz="2000" b="1">
                <a:latin typeface="Times New Roman" panose="02020603050405020304" pitchFamily="18" charset="0"/>
                <a:cs typeface="Times New Roman" panose="02020603050405020304" pitchFamily="18" charset="0"/>
              </a:rPr>
              <a:t> Net Returns: Gross Income minus Variable (Out-of-Pocket) Costs.</a:t>
            </a: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barChart>
        <c:barDir val="col"/>
        <c:grouping val="clustered"/>
        <c:varyColors val="0"/>
        <c:ser>
          <c:idx val="1"/>
          <c:order val="0"/>
          <c:tx>
            <c:strRef>
              <c:f>AnnualRotations!$C$10</c:f>
              <c:strCache>
                <c:ptCount val="1"/>
                <c:pt idx="0">
                  <c:v>2019</c:v>
                </c:pt>
              </c:strCache>
            </c:strRef>
          </c:tx>
          <c:spPr>
            <a:solidFill>
              <a:srgbClr val="C00000"/>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AnnualRotations!$P$7:$U$8</c:f>
              <c:multiLvlStrCache>
                <c:ptCount val="6"/>
                <c:lvl>
                  <c:pt idx="0">
                    <c:v>WW-SW-Chickpea</c:v>
                  </c:pt>
                  <c:pt idx="1">
                    <c:v>WW-SW-Winter pea</c:v>
                  </c:pt>
                  <c:pt idx="2">
                    <c:v>WW-Winter Forage crop-Chickpea</c:v>
                  </c:pt>
                  <c:pt idx="3">
                    <c:v>WW-SW-Fallow</c:v>
                  </c:pt>
                  <c:pt idx="4">
                    <c:v>WW-SW-Winter Pea</c:v>
                  </c:pt>
                  <c:pt idx="5">
                    <c:v>WW-SW-Spring Forage crop</c:v>
                  </c:pt>
                </c:lvl>
                <c:lvl>
                  <c:pt idx="0">
                    <c:v>GENESEE - Winter Peas</c:v>
                  </c:pt>
                  <c:pt idx="3">
                    <c:v>St. JOHN - Winter Peas</c:v>
                  </c:pt>
                </c:lvl>
              </c:multiLvlStrCache>
            </c:multiLvlStrRef>
          </c:cat>
          <c:val>
            <c:numRef>
              <c:f>AnnualRotations!$P$10:$U$10</c:f>
              <c:numCache>
                <c:formatCode>"$"#,##0</c:formatCode>
                <c:ptCount val="6"/>
                <c:pt idx="0">
                  <c:v>0</c:v>
                </c:pt>
                <c:pt idx="1">
                  <c:v>-49.102614300000013</c:v>
                </c:pt>
                <c:pt idx="2">
                  <c:v>0</c:v>
                </c:pt>
                <c:pt idx="3">
                  <c:v>0</c:v>
                </c:pt>
                <c:pt idx="4">
                  <c:v>-92.93666690000002</c:v>
                </c:pt>
                <c:pt idx="5">
                  <c:v>0</c:v>
                </c:pt>
              </c:numCache>
            </c:numRef>
          </c:val>
          <c:extLst>
            <c:ext xmlns:c16="http://schemas.microsoft.com/office/drawing/2014/chart" uri="{C3380CC4-5D6E-409C-BE32-E72D297353CC}">
              <c16:uniqueId val="{00000003-1745-874F-B6A2-26377453DF04}"/>
            </c:ext>
          </c:extLst>
        </c:ser>
        <c:ser>
          <c:idx val="2"/>
          <c:order val="1"/>
          <c:tx>
            <c:strRef>
              <c:f>AnnualRotations!$C$11</c:f>
              <c:strCache>
                <c:ptCount val="1"/>
                <c:pt idx="0">
                  <c:v>2020</c:v>
                </c:pt>
              </c:strCache>
            </c:strRef>
          </c:tx>
          <c:spPr>
            <a:solidFill>
              <a:schemeClr val="accent4"/>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AnnualRotations!$P$7:$U$8</c:f>
              <c:multiLvlStrCache>
                <c:ptCount val="6"/>
                <c:lvl>
                  <c:pt idx="0">
                    <c:v>WW-SW-Chickpea</c:v>
                  </c:pt>
                  <c:pt idx="1">
                    <c:v>WW-SW-Winter pea</c:v>
                  </c:pt>
                  <c:pt idx="2">
                    <c:v>WW-Winter Forage crop-Chickpea</c:v>
                  </c:pt>
                  <c:pt idx="3">
                    <c:v>WW-SW-Fallow</c:v>
                  </c:pt>
                  <c:pt idx="4">
                    <c:v>WW-SW-Winter Pea</c:v>
                  </c:pt>
                  <c:pt idx="5">
                    <c:v>WW-SW-Spring Forage crop</c:v>
                  </c:pt>
                </c:lvl>
                <c:lvl>
                  <c:pt idx="0">
                    <c:v>GENESEE - Winter Peas</c:v>
                  </c:pt>
                  <c:pt idx="3">
                    <c:v>St. JOHN - Winter Peas</c:v>
                  </c:pt>
                </c:lvl>
              </c:multiLvlStrCache>
            </c:multiLvlStrRef>
          </c:cat>
          <c:val>
            <c:numRef>
              <c:f>AnnualRotations!$P$11:$U$11</c:f>
              <c:numCache>
                <c:formatCode>"$"#,##0</c:formatCode>
                <c:ptCount val="6"/>
                <c:pt idx="0">
                  <c:v>0</c:v>
                </c:pt>
                <c:pt idx="1">
                  <c:v>126.15031260000001</c:v>
                </c:pt>
                <c:pt idx="2">
                  <c:v>0</c:v>
                </c:pt>
                <c:pt idx="3">
                  <c:v>0</c:v>
                </c:pt>
                <c:pt idx="4">
                  <c:v>9.7192605000000025</c:v>
                </c:pt>
                <c:pt idx="5">
                  <c:v>0</c:v>
                </c:pt>
              </c:numCache>
            </c:numRef>
          </c:val>
          <c:extLst>
            <c:ext xmlns:c16="http://schemas.microsoft.com/office/drawing/2014/chart" uri="{C3380CC4-5D6E-409C-BE32-E72D297353CC}">
              <c16:uniqueId val="{00000005-1745-874F-B6A2-26377453DF04}"/>
            </c:ext>
          </c:extLst>
        </c:ser>
        <c:ser>
          <c:idx val="0"/>
          <c:order val="2"/>
          <c:tx>
            <c:strRef>
              <c:f>AnnualRotations!$C$12</c:f>
              <c:strCache>
                <c:ptCount val="1"/>
                <c:pt idx="0">
                  <c:v>Average</c:v>
                </c:pt>
              </c:strCache>
            </c:strRef>
          </c:tx>
          <c:spPr>
            <a:solidFill>
              <a:schemeClr val="accent1"/>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AnnualRotations!$P$7:$U$8</c:f>
              <c:multiLvlStrCache>
                <c:ptCount val="6"/>
                <c:lvl>
                  <c:pt idx="0">
                    <c:v>WW-SW-Chickpea</c:v>
                  </c:pt>
                  <c:pt idx="1">
                    <c:v>WW-SW-Winter pea</c:v>
                  </c:pt>
                  <c:pt idx="2">
                    <c:v>WW-Winter Forage crop-Chickpea</c:v>
                  </c:pt>
                  <c:pt idx="3">
                    <c:v>WW-SW-Fallow</c:v>
                  </c:pt>
                  <c:pt idx="4">
                    <c:v>WW-SW-Winter Pea</c:v>
                  </c:pt>
                  <c:pt idx="5">
                    <c:v>WW-SW-Spring Forage crop</c:v>
                  </c:pt>
                </c:lvl>
                <c:lvl>
                  <c:pt idx="0">
                    <c:v>GENESEE - Winter Peas</c:v>
                  </c:pt>
                  <c:pt idx="3">
                    <c:v>St. JOHN - Winter Peas</c:v>
                  </c:pt>
                </c:lvl>
              </c:multiLvlStrCache>
            </c:multiLvlStrRef>
          </c:cat>
          <c:val>
            <c:numRef>
              <c:f>AnnualRotations!$P$12:$U$12</c:f>
              <c:numCache>
                <c:formatCode>"$"#,##0</c:formatCode>
                <c:ptCount val="6"/>
                <c:pt idx="0">
                  <c:v>0</c:v>
                </c:pt>
                <c:pt idx="1">
                  <c:v>38.523849149999997</c:v>
                </c:pt>
                <c:pt idx="2">
                  <c:v>0</c:v>
                </c:pt>
                <c:pt idx="3">
                  <c:v>0</c:v>
                </c:pt>
                <c:pt idx="4">
                  <c:v>-41.608703200000008</c:v>
                </c:pt>
                <c:pt idx="5">
                  <c:v>0</c:v>
                </c:pt>
              </c:numCache>
            </c:numRef>
          </c:val>
          <c:extLst>
            <c:ext xmlns:c16="http://schemas.microsoft.com/office/drawing/2014/chart" uri="{C3380CC4-5D6E-409C-BE32-E72D297353CC}">
              <c16:uniqueId val="{00000006-1745-874F-B6A2-26377453DF04}"/>
            </c:ext>
          </c:extLst>
        </c:ser>
        <c:ser>
          <c:idx val="3"/>
          <c:order val="3"/>
          <c:tx>
            <c:strRef>
              <c:f>AnnualRotations!$C$13</c:f>
              <c:strCache>
                <c:ptCount val="1"/>
                <c:pt idx="0">
                  <c:v>Accumulative</c:v>
                </c:pt>
              </c:strCache>
            </c:strRef>
          </c:tx>
          <c:spPr>
            <a:solidFill>
              <a:schemeClr val="tx1"/>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AnnualRotations!$P$7:$U$8</c:f>
              <c:multiLvlStrCache>
                <c:ptCount val="6"/>
                <c:lvl>
                  <c:pt idx="0">
                    <c:v>WW-SW-Chickpea</c:v>
                  </c:pt>
                  <c:pt idx="1">
                    <c:v>WW-SW-Winter pea</c:v>
                  </c:pt>
                  <c:pt idx="2">
                    <c:v>WW-Winter Forage crop-Chickpea</c:v>
                  </c:pt>
                  <c:pt idx="3">
                    <c:v>WW-SW-Fallow</c:v>
                  </c:pt>
                  <c:pt idx="4">
                    <c:v>WW-SW-Winter Pea</c:v>
                  </c:pt>
                  <c:pt idx="5">
                    <c:v>WW-SW-Spring Forage crop</c:v>
                  </c:pt>
                </c:lvl>
                <c:lvl>
                  <c:pt idx="0">
                    <c:v>GENESEE - Winter Peas</c:v>
                  </c:pt>
                  <c:pt idx="3">
                    <c:v>St. JOHN - Winter Peas</c:v>
                  </c:pt>
                </c:lvl>
              </c:multiLvlStrCache>
            </c:multiLvlStrRef>
          </c:cat>
          <c:val>
            <c:numRef>
              <c:f>AnnualRotations!$P$13:$U$13</c:f>
              <c:numCache>
                <c:formatCode>"$"#,##0</c:formatCode>
                <c:ptCount val="6"/>
                <c:pt idx="0">
                  <c:v>0</c:v>
                </c:pt>
                <c:pt idx="1">
                  <c:v>77.047698299999993</c:v>
                </c:pt>
                <c:pt idx="2">
                  <c:v>0</c:v>
                </c:pt>
                <c:pt idx="3">
                  <c:v>0</c:v>
                </c:pt>
                <c:pt idx="4">
                  <c:v>-83.217406400000016</c:v>
                </c:pt>
                <c:pt idx="5">
                  <c:v>0</c:v>
                </c:pt>
              </c:numCache>
            </c:numRef>
          </c:val>
          <c:extLst>
            <c:ext xmlns:c16="http://schemas.microsoft.com/office/drawing/2014/chart" uri="{C3380CC4-5D6E-409C-BE32-E72D297353CC}">
              <c16:uniqueId val="{00000007-1745-874F-B6A2-26377453DF04}"/>
            </c:ext>
          </c:extLst>
        </c:ser>
        <c:dLbls>
          <c:showLegendKey val="0"/>
          <c:showVal val="0"/>
          <c:showCatName val="0"/>
          <c:showSerName val="0"/>
          <c:showPercent val="0"/>
          <c:showBubbleSize val="0"/>
        </c:dLbls>
        <c:gapWidth val="182"/>
        <c:axId val="1770928368"/>
        <c:axId val="1770840032"/>
      </c:barChart>
      <c:catAx>
        <c:axId val="17709283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770840032"/>
        <c:crossesAt val="0"/>
        <c:auto val="1"/>
        <c:lblAlgn val="ctr"/>
        <c:lblOffset val="100"/>
        <c:noMultiLvlLbl val="0"/>
      </c:catAx>
      <c:valAx>
        <c:axId val="1770840032"/>
        <c:scaling>
          <c:orientation val="minMax"/>
          <c:max val="150"/>
        </c:scaling>
        <c:delete val="0"/>
        <c:axPos val="l"/>
        <c:majorGridlines>
          <c:spPr>
            <a:ln w="19050" cap="flat" cmpd="sng" algn="ctr">
              <a:solidFill>
                <a:schemeClr val="tx1"/>
              </a:solidFill>
              <a:round/>
            </a:ln>
            <a:effectLst/>
          </c:spPr>
        </c:majorGridlines>
        <c:numFmt formatCode="&quot;$&quot;#,##0" sourceLinked="1"/>
        <c:majorTickMark val="none"/>
        <c:minorTickMark val="none"/>
        <c:tickLblPos val="nextTo"/>
        <c:spPr>
          <a:noFill/>
          <a:ln>
            <a:solidFill>
              <a:srgbClr val="000000"/>
            </a:solidFill>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770928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1" i="0" u="none" strike="noStrike" kern="1200" baseline="0">
              <a:ln>
                <a:noFill/>
              </a:ln>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sz="2000" b="1">
                <a:latin typeface="Times New Roman" panose="02020603050405020304" pitchFamily="18" charset="0"/>
                <a:cs typeface="Times New Roman" panose="02020603050405020304" pitchFamily="18" charset="0"/>
              </a:rPr>
              <a:t>Figure 4. Chick</a:t>
            </a:r>
            <a:r>
              <a:rPr lang="en-US" sz="2000" b="1" baseline="0">
                <a:latin typeface="Times New Roman" panose="02020603050405020304" pitchFamily="18" charset="0"/>
                <a:cs typeface="Times New Roman" panose="02020603050405020304" pitchFamily="18" charset="0"/>
              </a:rPr>
              <a:t>peas</a:t>
            </a:r>
            <a:r>
              <a:rPr lang="en-US" sz="2000" b="1">
                <a:latin typeface="Times New Roman" panose="02020603050405020304" pitchFamily="18" charset="0"/>
                <a:cs typeface="Times New Roman" panose="02020603050405020304" pitchFamily="18" charset="0"/>
              </a:rPr>
              <a:t> Net Returns: Gross Income minus Variable (Out-of-Pocket) Costs</a:t>
            </a:r>
            <a:r>
              <a:rPr lang="en-US" sz="2000" b="1" i="0" u="none" strike="noStrike" baseline="0">
                <a:effectLst/>
              </a:rPr>
              <a:t>. </a:t>
            </a:r>
            <a:endParaRPr lang="en-US" sz="2000" b="1">
              <a:latin typeface="Times New Roman" panose="02020603050405020304" pitchFamily="18" charset="0"/>
              <a:cs typeface="Times New Roman" panose="02020603050405020304" pitchFamily="18" charset="0"/>
            </a:endParaRP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barChart>
        <c:barDir val="col"/>
        <c:grouping val="clustered"/>
        <c:varyColors val="0"/>
        <c:ser>
          <c:idx val="2"/>
          <c:order val="0"/>
          <c:tx>
            <c:strRef>
              <c:f>AnnualRotations!$C$10</c:f>
              <c:strCache>
                <c:ptCount val="1"/>
                <c:pt idx="0">
                  <c:v>2019</c:v>
                </c:pt>
              </c:strCache>
            </c:strRef>
          </c:tx>
          <c:spPr>
            <a:solidFill>
              <a:srgbClr val="C00000"/>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AnnualRotations!$V$7:$AA$8</c:f>
              <c:multiLvlStrCache>
                <c:ptCount val="6"/>
                <c:lvl>
                  <c:pt idx="0">
                    <c:v>WW-SW-Chickpea</c:v>
                  </c:pt>
                  <c:pt idx="1">
                    <c:v>WW-SW-Winter pea</c:v>
                  </c:pt>
                  <c:pt idx="2">
                    <c:v>WW-Winter Forage crop-Chickpea</c:v>
                  </c:pt>
                  <c:pt idx="3">
                    <c:v>WW-SW-Fallow</c:v>
                  </c:pt>
                  <c:pt idx="4">
                    <c:v>WW-SW-Winter Pea</c:v>
                  </c:pt>
                  <c:pt idx="5">
                    <c:v>WW-SW-Spring Forage crop</c:v>
                  </c:pt>
                </c:lvl>
                <c:lvl>
                  <c:pt idx="0">
                    <c:v>GENESEE - Chickpeas</c:v>
                  </c:pt>
                  <c:pt idx="3">
                    <c:v>St. JOHN - Chickpeas</c:v>
                  </c:pt>
                </c:lvl>
              </c:multiLvlStrCache>
            </c:multiLvlStrRef>
          </c:cat>
          <c:val>
            <c:numRef>
              <c:f>AnnualRotations!$V$10:$AA$10</c:f>
              <c:numCache>
                <c:formatCode>"$"#,##0</c:formatCode>
                <c:ptCount val="6"/>
                <c:pt idx="0">
                  <c:v>97.565366600000004</c:v>
                </c:pt>
                <c:pt idx="1">
                  <c:v>0</c:v>
                </c:pt>
                <c:pt idx="2">
                  <c:v>104.13151009999997</c:v>
                </c:pt>
                <c:pt idx="3">
                  <c:v>0</c:v>
                </c:pt>
                <c:pt idx="4">
                  <c:v>0</c:v>
                </c:pt>
                <c:pt idx="5">
                  <c:v>0</c:v>
                </c:pt>
              </c:numCache>
            </c:numRef>
          </c:val>
          <c:extLst>
            <c:ext xmlns:c16="http://schemas.microsoft.com/office/drawing/2014/chart" uri="{C3380CC4-5D6E-409C-BE32-E72D297353CC}">
              <c16:uniqueId val="{00000001-EE4A-BF44-A8DB-59F143F6BF80}"/>
            </c:ext>
          </c:extLst>
        </c:ser>
        <c:ser>
          <c:idx val="0"/>
          <c:order val="1"/>
          <c:tx>
            <c:strRef>
              <c:f>AnnualRotations!$C$11</c:f>
              <c:strCache>
                <c:ptCount val="1"/>
                <c:pt idx="0">
                  <c:v>2020</c:v>
                </c:pt>
              </c:strCache>
            </c:strRef>
          </c:tx>
          <c:spPr>
            <a:solidFill>
              <a:schemeClr val="accent4"/>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AnnualRotations!$V$7:$AA$8</c:f>
              <c:multiLvlStrCache>
                <c:ptCount val="6"/>
                <c:lvl>
                  <c:pt idx="0">
                    <c:v>WW-SW-Chickpea</c:v>
                  </c:pt>
                  <c:pt idx="1">
                    <c:v>WW-SW-Winter pea</c:v>
                  </c:pt>
                  <c:pt idx="2">
                    <c:v>WW-Winter Forage crop-Chickpea</c:v>
                  </c:pt>
                  <c:pt idx="3">
                    <c:v>WW-SW-Fallow</c:v>
                  </c:pt>
                  <c:pt idx="4">
                    <c:v>WW-SW-Winter Pea</c:v>
                  </c:pt>
                  <c:pt idx="5">
                    <c:v>WW-SW-Spring Forage crop</c:v>
                  </c:pt>
                </c:lvl>
                <c:lvl>
                  <c:pt idx="0">
                    <c:v>GENESEE - Chickpeas</c:v>
                  </c:pt>
                  <c:pt idx="3">
                    <c:v>St. JOHN - Chickpeas</c:v>
                  </c:pt>
                </c:lvl>
              </c:multiLvlStrCache>
            </c:multiLvlStrRef>
          </c:cat>
          <c:val>
            <c:numRef>
              <c:f>AnnualRotations!$V$11:$AA$11</c:f>
              <c:numCache>
                <c:formatCode>"$"#,##0</c:formatCode>
                <c:ptCount val="6"/>
                <c:pt idx="0">
                  <c:v>117.15156330000002</c:v>
                </c:pt>
                <c:pt idx="1">
                  <c:v>0</c:v>
                </c:pt>
                <c:pt idx="2">
                  <c:v>91.905575099999993</c:v>
                </c:pt>
                <c:pt idx="3">
                  <c:v>0</c:v>
                </c:pt>
                <c:pt idx="4">
                  <c:v>0</c:v>
                </c:pt>
                <c:pt idx="5">
                  <c:v>0</c:v>
                </c:pt>
              </c:numCache>
            </c:numRef>
          </c:val>
          <c:extLst>
            <c:ext xmlns:c16="http://schemas.microsoft.com/office/drawing/2014/chart" uri="{C3380CC4-5D6E-409C-BE32-E72D297353CC}">
              <c16:uniqueId val="{00000002-EE4A-BF44-A8DB-59F143F6BF80}"/>
            </c:ext>
          </c:extLst>
        </c:ser>
        <c:ser>
          <c:idx val="3"/>
          <c:order val="2"/>
          <c:tx>
            <c:strRef>
              <c:f>AnnualRotations!$C$12</c:f>
              <c:strCache>
                <c:ptCount val="1"/>
                <c:pt idx="0">
                  <c:v>Average</c:v>
                </c:pt>
              </c:strCache>
            </c:strRef>
          </c:tx>
          <c:spPr>
            <a:solidFill>
              <a:schemeClr val="accent1"/>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AnnualRotations!$V$7:$AA$8</c:f>
              <c:multiLvlStrCache>
                <c:ptCount val="6"/>
                <c:lvl>
                  <c:pt idx="0">
                    <c:v>WW-SW-Chickpea</c:v>
                  </c:pt>
                  <c:pt idx="1">
                    <c:v>WW-SW-Winter pea</c:v>
                  </c:pt>
                  <c:pt idx="2">
                    <c:v>WW-Winter Forage crop-Chickpea</c:v>
                  </c:pt>
                  <c:pt idx="3">
                    <c:v>WW-SW-Fallow</c:v>
                  </c:pt>
                  <c:pt idx="4">
                    <c:v>WW-SW-Winter Pea</c:v>
                  </c:pt>
                  <c:pt idx="5">
                    <c:v>WW-SW-Spring Forage crop</c:v>
                  </c:pt>
                </c:lvl>
                <c:lvl>
                  <c:pt idx="0">
                    <c:v>GENESEE - Chickpeas</c:v>
                  </c:pt>
                  <c:pt idx="3">
                    <c:v>St. JOHN - Chickpeas</c:v>
                  </c:pt>
                </c:lvl>
              </c:multiLvlStrCache>
            </c:multiLvlStrRef>
          </c:cat>
          <c:val>
            <c:numRef>
              <c:f>AnnualRotations!$V$12:$AA$12</c:f>
              <c:numCache>
                <c:formatCode>"$"#,##0</c:formatCode>
                <c:ptCount val="6"/>
                <c:pt idx="0">
                  <c:v>107.35846495000001</c:v>
                </c:pt>
                <c:pt idx="1">
                  <c:v>0</c:v>
                </c:pt>
                <c:pt idx="2">
                  <c:v>98.018542599999989</c:v>
                </c:pt>
                <c:pt idx="3">
                  <c:v>0</c:v>
                </c:pt>
                <c:pt idx="4">
                  <c:v>0</c:v>
                </c:pt>
                <c:pt idx="5">
                  <c:v>0</c:v>
                </c:pt>
              </c:numCache>
            </c:numRef>
          </c:val>
          <c:extLst>
            <c:ext xmlns:c16="http://schemas.microsoft.com/office/drawing/2014/chart" uri="{C3380CC4-5D6E-409C-BE32-E72D297353CC}">
              <c16:uniqueId val="{00000003-EE4A-BF44-A8DB-59F143F6BF80}"/>
            </c:ext>
          </c:extLst>
        </c:ser>
        <c:ser>
          <c:idx val="4"/>
          <c:order val="3"/>
          <c:tx>
            <c:strRef>
              <c:f>AnnualRotations!$C$13</c:f>
              <c:strCache>
                <c:ptCount val="1"/>
                <c:pt idx="0">
                  <c:v>Accumulative</c:v>
                </c:pt>
              </c:strCache>
            </c:strRef>
          </c:tx>
          <c:spPr>
            <a:solidFill>
              <a:schemeClr val="tx1"/>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AnnualRotations!$V$7:$AA$8</c:f>
              <c:multiLvlStrCache>
                <c:ptCount val="6"/>
                <c:lvl>
                  <c:pt idx="0">
                    <c:v>WW-SW-Chickpea</c:v>
                  </c:pt>
                  <c:pt idx="1">
                    <c:v>WW-SW-Winter pea</c:v>
                  </c:pt>
                  <c:pt idx="2">
                    <c:v>WW-Winter Forage crop-Chickpea</c:v>
                  </c:pt>
                  <c:pt idx="3">
                    <c:v>WW-SW-Fallow</c:v>
                  </c:pt>
                  <c:pt idx="4">
                    <c:v>WW-SW-Winter Pea</c:v>
                  </c:pt>
                  <c:pt idx="5">
                    <c:v>WW-SW-Spring Forage crop</c:v>
                  </c:pt>
                </c:lvl>
                <c:lvl>
                  <c:pt idx="0">
                    <c:v>GENESEE - Chickpeas</c:v>
                  </c:pt>
                  <c:pt idx="3">
                    <c:v>St. JOHN - Chickpeas</c:v>
                  </c:pt>
                </c:lvl>
              </c:multiLvlStrCache>
            </c:multiLvlStrRef>
          </c:cat>
          <c:val>
            <c:numRef>
              <c:f>AnnualRotations!$V$13:$AA$13</c:f>
              <c:numCache>
                <c:formatCode>"$"#,##0</c:formatCode>
                <c:ptCount val="6"/>
                <c:pt idx="0">
                  <c:v>214.71692990000003</c:v>
                </c:pt>
                <c:pt idx="1">
                  <c:v>0</c:v>
                </c:pt>
                <c:pt idx="2">
                  <c:v>196.03708519999998</c:v>
                </c:pt>
                <c:pt idx="3">
                  <c:v>0</c:v>
                </c:pt>
                <c:pt idx="4">
                  <c:v>0</c:v>
                </c:pt>
                <c:pt idx="5">
                  <c:v>0</c:v>
                </c:pt>
              </c:numCache>
            </c:numRef>
          </c:val>
          <c:extLst>
            <c:ext xmlns:c16="http://schemas.microsoft.com/office/drawing/2014/chart" uri="{C3380CC4-5D6E-409C-BE32-E72D297353CC}">
              <c16:uniqueId val="{00000005-EE4A-BF44-A8DB-59F143F6BF80}"/>
            </c:ext>
          </c:extLst>
        </c:ser>
        <c:dLbls>
          <c:showLegendKey val="0"/>
          <c:showVal val="0"/>
          <c:showCatName val="0"/>
          <c:showSerName val="0"/>
          <c:showPercent val="0"/>
          <c:showBubbleSize val="0"/>
        </c:dLbls>
        <c:gapWidth val="182"/>
        <c:axId val="1770928368"/>
        <c:axId val="1770840032"/>
      </c:barChart>
      <c:catAx>
        <c:axId val="1770928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770840032"/>
        <c:crosses val="autoZero"/>
        <c:auto val="1"/>
        <c:lblAlgn val="ctr"/>
        <c:lblOffset val="100"/>
        <c:noMultiLvlLbl val="0"/>
      </c:catAx>
      <c:valAx>
        <c:axId val="1770840032"/>
        <c:scaling>
          <c:orientation val="minMax"/>
          <c:max val="250"/>
        </c:scaling>
        <c:delete val="0"/>
        <c:axPos val="l"/>
        <c:majorGridlines>
          <c:spPr>
            <a:ln w="19050" cap="flat" cmpd="sng" algn="ctr">
              <a:solidFill>
                <a:schemeClr val="tx1"/>
              </a:solidFill>
              <a:round/>
            </a:ln>
            <a:effectLst/>
          </c:spPr>
        </c:majorGridlines>
        <c:numFmt formatCode="&quot;$&quot;#,##0" sourceLinked="1"/>
        <c:majorTickMark val="none"/>
        <c:minorTickMark val="none"/>
        <c:tickLblPos val="nextTo"/>
        <c:spPr>
          <a:noFill/>
          <a:ln>
            <a:solidFill>
              <a:srgbClr val="000000"/>
            </a:solidFill>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770928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1" i="0" u="none" strike="noStrike" kern="1200" baseline="0">
              <a:ln>
                <a:noFill/>
              </a:ln>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sz="2000" b="1">
                <a:latin typeface="Times New Roman" panose="02020603050405020304" pitchFamily="18" charset="0"/>
                <a:cs typeface="Times New Roman" panose="02020603050405020304" pitchFamily="18" charset="0"/>
              </a:rPr>
              <a:t>Figure 5. Economic</a:t>
            </a:r>
            <a:r>
              <a:rPr lang="en-US" sz="2000" b="1" baseline="0">
                <a:latin typeface="Times New Roman" panose="02020603050405020304" pitchFamily="18" charset="0"/>
                <a:cs typeface="Times New Roman" panose="02020603050405020304" pitchFamily="18" charset="0"/>
              </a:rPr>
              <a:t> Trade-off: Tons of Biomass Harvested and the Costs to 1) Establish Cover Crops, 2) use for </a:t>
            </a:r>
            <a:r>
              <a:rPr lang="en-US" sz="2000" b="1" i="0" u="none" strike="noStrike" baseline="0">
                <a:effectLst/>
              </a:rPr>
              <a:t>Livestock Grazing</a:t>
            </a:r>
            <a:r>
              <a:rPr lang="en-US" sz="2000" b="1" i="0" u="none" strike="noStrike" baseline="30000">
                <a:effectLst/>
              </a:rPr>
              <a:t>1</a:t>
            </a:r>
            <a:r>
              <a:rPr lang="en-US" sz="2000" b="1" i="0" u="none" strike="noStrike" baseline="0">
                <a:effectLst/>
              </a:rPr>
              <a:t>, </a:t>
            </a:r>
            <a:r>
              <a:rPr lang="en-US" sz="2000" b="1" baseline="0">
                <a:latin typeface="Times New Roman" panose="02020603050405020304" pitchFamily="18" charset="0"/>
                <a:cs typeface="Times New Roman" panose="02020603050405020304" pitchFamily="18" charset="0"/>
              </a:rPr>
              <a:t>or 3) Harvest for Feed or to be Sold</a:t>
            </a:r>
            <a:r>
              <a:rPr lang="en-US" sz="2000" b="1" baseline="30000">
                <a:latin typeface="Times New Roman" panose="02020603050405020304" pitchFamily="18" charset="0"/>
                <a:cs typeface="Times New Roman" panose="02020603050405020304" pitchFamily="18" charset="0"/>
              </a:rPr>
              <a:t>2</a:t>
            </a:r>
            <a:r>
              <a:rPr lang="en-US" sz="2000" b="1" baseline="0">
                <a:latin typeface="Times New Roman" panose="02020603050405020304" pitchFamily="18" charset="0"/>
                <a:cs typeface="Times New Roman" panose="02020603050405020304" pitchFamily="18" charset="0"/>
              </a:rPr>
              <a:t>, all on per acre basis</a:t>
            </a: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barChart>
        <c:barDir val="col"/>
        <c:grouping val="clustered"/>
        <c:varyColors val="0"/>
        <c:ser>
          <c:idx val="2"/>
          <c:order val="0"/>
          <c:tx>
            <c:strRef>
              <c:f>Graphs!$E$43</c:f>
              <c:strCache>
                <c:ptCount val="1"/>
                <c:pt idx="0">
                  <c:v>Tons of Biomass Harvested</c:v>
                </c:pt>
              </c:strCache>
            </c:strRef>
          </c:tx>
          <c:spPr>
            <a:solidFill>
              <a:schemeClr val="accent3"/>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Graphs!$F$42:$G$42</c:f>
              <c:strCache>
                <c:ptCount val="2"/>
                <c:pt idx="0">
                  <c:v>Genessee</c:v>
                </c:pt>
                <c:pt idx="1">
                  <c:v>St. John</c:v>
                </c:pt>
              </c:strCache>
            </c:strRef>
          </c:cat>
          <c:val>
            <c:numRef>
              <c:f>Graphs!$F$43:$G$43</c:f>
              <c:numCache>
                <c:formatCode>0.00</c:formatCode>
                <c:ptCount val="2"/>
                <c:pt idx="0">
                  <c:v>2.714013</c:v>
                </c:pt>
                <c:pt idx="1">
                  <c:v>2.2527560000000002</c:v>
                </c:pt>
              </c:numCache>
            </c:numRef>
          </c:val>
          <c:extLst>
            <c:ext xmlns:c16="http://schemas.microsoft.com/office/drawing/2014/chart" uri="{C3380CC4-5D6E-409C-BE32-E72D297353CC}">
              <c16:uniqueId val="{00000000-833D-E94F-BACF-B49DF2D8C623}"/>
            </c:ext>
          </c:extLst>
        </c:ser>
        <c:ser>
          <c:idx val="3"/>
          <c:order val="1"/>
          <c:tx>
            <c:strRef>
              <c:f>Graphs!$E$44</c:f>
              <c:strCache>
                <c:ptCount val="1"/>
                <c:pt idx="0">
                  <c:v>Establish Cover Crop</c:v>
                </c:pt>
              </c:strCache>
            </c:strRef>
          </c:tx>
          <c:spPr>
            <a:solidFill>
              <a:schemeClr val="accent4"/>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Graphs!$F$42:$G$42</c:f>
              <c:strCache>
                <c:ptCount val="2"/>
                <c:pt idx="0">
                  <c:v>Genessee</c:v>
                </c:pt>
                <c:pt idx="1">
                  <c:v>St. John</c:v>
                </c:pt>
              </c:strCache>
            </c:strRef>
          </c:cat>
          <c:val>
            <c:numRef>
              <c:f>Graphs!$F$44:$G$44</c:f>
              <c:numCache>
                <c:formatCode>"$"#,##0.00</c:formatCode>
                <c:ptCount val="2"/>
                <c:pt idx="0">
                  <c:v>75.319999999999993</c:v>
                </c:pt>
                <c:pt idx="1">
                  <c:v>105.54</c:v>
                </c:pt>
              </c:numCache>
            </c:numRef>
          </c:val>
          <c:extLst>
            <c:ext xmlns:c16="http://schemas.microsoft.com/office/drawing/2014/chart" uri="{C3380CC4-5D6E-409C-BE32-E72D297353CC}">
              <c16:uniqueId val="{00000001-833D-E94F-BACF-B49DF2D8C623}"/>
            </c:ext>
          </c:extLst>
        </c:ser>
        <c:ser>
          <c:idx val="0"/>
          <c:order val="2"/>
          <c:tx>
            <c:strRef>
              <c:f>Graphs!$E$45</c:f>
              <c:strCache>
                <c:ptCount val="1"/>
                <c:pt idx="0">
                  <c:v>Establish Fencing, etc. to Graze Livestock</c:v>
                </c:pt>
              </c:strCache>
            </c:strRef>
          </c:tx>
          <c:spPr>
            <a:solidFill>
              <a:schemeClr val="accent1"/>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Graphs!$F$42:$G$42</c:f>
              <c:strCache>
                <c:ptCount val="2"/>
                <c:pt idx="0">
                  <c:v>Genessee</c:v>
                </c:pt>
                <c:pt idx="1">
                  <c:v>St. John</c:v>
                </c:pt>
              </c:strCache>
            </c:strRef>
          </c:cat>
          <c:val>
            <c:numRef>
              <c:f>Graphs!$F$45:$G$45</c:f>
              <c:numCache>
                <c:formatCode>"$"#,##0.00</c:formatCode>
                <c:ptCount val="2"/>
                <c:pt idx="0">
                  <c:v>29.425138461538459</c:v>
                </c:pt>
                <c:pt idx="1">
                  <c:v>29.425138461538459</c:v>
                </c:pt>
              </c:numCache>
            </c:numRef>
          </c:val>
          <c:extLst>
            <c:ext xmlns:c16="http://schemas.microsoft.com/office/drawing/2014/chart" uri="{C3380CC4-5D6E-409C-BE32-E72D297353CC}">
              <c16:uniqueId val="{00000002-833D-E94F-BACF-B49DF2D8C623}"/>
            </c:ext>
          </c:extLst>
        </c:ser>
        <c:ser>
          <c:idx val="1"/>
          <c:order val="3"/>
          <c:tx>
            <c:strRef>
              <c:f>Graphs!$E$46</c:f>
              <c:strCache>
                <c:ptCount val="1"/>
                <c:pt idx="0">
                  <c:v>Mow/condition, rake, and bale into small bales</c:v>
                </c:pt>
              </c:strCache>
            </c:strRef>
          </c:tx>
          <c:spPr>
            <a:solidFill>
              <a:schemeClr val="accent2"/>
            </a:solidFill>
            <a:ln>
              <a:noFill/>
            </a:ln>
            <a:effec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Graphs!$F$42:$G$42</c:f>
              <c:strCache>
                <c:ptCount val="2"/>
                <c:pt idx="0">
                  <c:v>Genessee</c:v>
                </c:pt>
                <c:pt idx="1">
                  <c:v>St. John</c:v>
                </c:pt>
              </c:strCache>
            </c:strRef>
          </c:cat>
          <c:val>
            <c:numRef>
              <c:f>Graphs!$F$46:$G$46</c:f>
              <c:numCache>
                <c:formatCode>"$"#,##0.00</c:formatCode>
                <c:ptCount val="2"/>
                <c:pt idx="0">
                  <c:v>15.06</c:v>
                </c:pt>
                <c:pt idx="1">
                  <c:v>15.06</c:v>
                </c:pt>
              </c:numCache>
            </c:numRef>
          </c:val>
          <c:extLst>
            <c:ext xmlns:c16="http://schemas.microsoft.com/office/drawing/2014/chart" uri="{C3380CC4-5D6E-409C-BE32-E72D297353CC}">
              <c16:uniqueId val="{00000008-833D-E94F-BACF-B49DF2D8C623}"/>
            </c:ext>
          </c:extLst>
        </c:ser>
        <c:dLbls>
          <c:showLegendKey val="0"/>
          <c:showVal val="0"/>
          <c:showCatName val="0"/>
          <c:showSerName val="0"/>
          <c:showPercent val="0"/>
          <c:showBubbleSize val="0"/>
        </c:dLbls>
        <c:gapWidth val="182"/>
        <c:axId val="1770928368"/>
        <c:axId val="1770840032"/>
      </c:barChart>
      <c:catAx>
        <c:axId val="1770928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770840032"/>
        <c:crosses val="autoZero"/>
        <c:auto val="1"/>
        <c:lblAlgn val="ctr"/>
        <c:lblOffset val="100"/>
        <c:noMultiLvlLbl val="0"/>
      </c:catAx>
      <c:valAx>
        <c:axId val="1770840032"/>
        <c:scaling>
          <c:orientation val="minMax"/>
        </c:scaling>
        <c:delete val="0"/>
        <c:axPos val="l"/>
        <c:majorGridlines>
          <c:spPr>
            <a:ln w="19050" cap="flat" cmpd="sng" algn="ctr">
              <a:solidFill>
                <a:schemeClr val="tx1"/>
              </a:solidFill>
              <a:round/>
            </a:ln>
            <a:effectLst/>
          </c:spPr>
        </c:majorGridlines>
        <c:numFmt formatCode="0.00" sourceLinked="1"/>
        <c:majorTickMark val="none"/>
        <c:minorTickMark val="none"/>
        <c:tickLblPos val="nextTo"/>
        <c:spPr>
          <a:noFill/>
          <a:ln>
            <a:solidFill>
              <a:srgbClr val="000000"/>
            </a:solidFill>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770928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youtu.be/vw2WrPHL46g"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Qsa_k91Bv6Y"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hP5t5P4TD64" TargetMode="External"/></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3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3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Wdeuwhgyes" TargetMode="External"/></Relationships>
</file>

<file path=xl/drawings/_rels/drawing3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7aJ3-osRErg"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LR6rSjMcMMU"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GcbJNL1BWsU"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_K5M1clJz1M"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AnkiREGY6b4"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youtu.be/hh_KLAYVvNo" TargetMode="External"/></Relationships>
</file>

<file path=xl/drawings/drawing1.xml><?xml version="1.0" encoding="utf-8"?>
<xdr:wsDr xmlns:xdr="http://schemas.openxmlformats.org/drawingml/2006/spreadsheetDrawing" xmlns:a="http://schemas.openxmlformats.org/drawingml/2006/main">
  <xdr:twoCellAnchor editAs="oneCell">
    <xdr:from>
      <xdr:col>13</xdr:col>
      <xdr:colOff>272143</xdr:colOff>
      <xdr:row>1</xdr:row>
      <xdr:rowOff>85937</xdr:rowOff>
    </xdr:from>
    <xdr:to>
      <xdr:col>14</xdr:col>
      <xdr:colOff>382813</xdr:colOff>
      <xdr:row>3</xdr:row>
      <xdr:rowOff>58054</xdr:rowOff>
    </xdr:to>
    <xdr:pic>
      <xdr:nvPicPr>
        <xdr:cNvPr id="3" name="Picture 2">
          <a:hlinkClick xmlns:r="http://schemas.openxmlformats.org/officeDocument/2006/relationships" r:id="rId1"/>
          <a:extLst>
            <a:ext uri="{FF2B5EF4-FFF2-40B4-BE49-F238E27FC236}">
              <a16:creationId xmlns:a16="http://schemas.microsoft.com/office/drawing/2014/main" id="{E1AA62DF-1266-F585-08C3-5A2D6C39C1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23500" y="276437"/>
          <a:ext cx="936170" cy="353117"/>
        </a:xfrm>
        <a:prstGeom prst="rect">
          <a:avLst/>
        </a:prstGeom>
        <a:ln w="12700">
          <a:solidFill>
            <a:schemeClr val="tx1"/>
          </a:solidFill>
        </a:ln>
        <a:effectLst>
          <a:softEdge rad="0"/>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32</xdr:col>
      <xdr:colOff>285750</xdr:colOff>
      <xdr:row>1</xdr:row>
      <xdr:rowOff>158750</xdr:rowOff>
    </xdr:from>
    <xdr:to>
      <xdr:col>33</xdr:col>
      <xdr:colOff>570472</xdr:colOff>
      <xdr:row>3</xdr:row>
      <xdr:rowOff>89478</xdr:rowOff>
    </xdr:to>
    <xdr:pic>
      <xdr:nvPicPr>
        <xdr:cNvPr id="4" name="Picture 3">
          <a:hlinkClick xmlns:r="http://schemas.openxmlformats.org/officeDocument/2006/relationships" r:id="rId1"/>
          <a:extLst>
            <a:ext uri="{FF2B5EF4-FFF2-40B4-BE49-F238E27FC236}">
              <a16:creationId xmlns:a16="http://schemas.microsoft.com/office/drawing/2014/main" id="{827049D4-9E87-E543-B856-92A50892609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53500" y="412750"/>
          <a:ext cx="1163139" cy="438728"/>
        </a:xfrm>
        <a:prstGeom prst="rect">
          <a:avLst/>
        </a:prstGeom>
        <a:ln w="12700">
          <a:solidFill>
            <a:schemeClr val="tx1"/>
          </a:solidFill>
        </a:ln>
        <a:effectLst>
          <a:softEdge rad="0"/>
        </a:effec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5" name="Picture 4">
          <a:hlinkClick xmlns:r="http://schemas.openxmlformats.org/officeDocument/2006/relationships" r:id="rId1"/>
          <a:extLst>
            <a:ext uri="{FF2B5EF4-FFF2-40B4-BE49-F238E27FC236}">
              <a16:creationId xmlns:a16="http://schemas.microsoft.com/office/drawing/2014/main" id="{D52BD7F7-3DBF-F247-A504-80432227E90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63E959DE-DC80-5F40-907A-DCFA8CBDF51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32</xdr:col>
      <xdr:colOff>285750</xdr:colOff>
      <xdr:row>2</xdr:row>
      <xdr:rowOff>158750</xdr:rowOff>
    </xdr:from>
    <xdr:to>
      <xdr:col>33</xdr:col>
      <xdr:colOff>570472</xdr:colOff>
      <xdr:row>4</xdr:row>
      <xdr:rowOff>51378</xdr:rowOff>
    </xdr:to>
    <xdr:pic>
      <xdr:nvPicPr>
        <xdr:cNvPr id="2" name="Picture 1">
          <a:hlinkClick xmlns:r="http://schemas.openxmlformats.org/officeDocument/2006/relationships" r:id="rId1"/>
          <a:extLst>
            <a:ext uri="{FF2B5EF4-FFF2-40B4-BE49-F238E27FC236}">
              <a16:creationId xmlns:a16="http://schemas.microsoft.com/office/drawing/2014/main" id="{99B44EB0-19B2-854B-9FB8-4BBDDFEBE7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C1AF7941-F4F2-0944-9FBD-D0FF0D45001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DE1E28BB-CF71-5649-8A95-0FC0A541D39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17</xdr:col>
      <xdr:colOff>285750</xdr:colOff>
      <xdr:row>2</xdr:row>
      <xdr:rowOff>158750</xdr:rowOff>
    </xdr:from>
    <xdr:to>
      <xdr:col>18</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FC1E296A-2F07-CC4D-B0C5-5A454E764C7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59BEA69B-7E69-0244-B07B-B11045EF6C7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2235BFF6-7393-CB48-9FAE-3E56360CAC4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0FB4955E-8F50-1743-98D6-3D32E8C14B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219363</xdr:colOff>
      <xdr:row>1</xdr:row>
      <xdr:rowOff>69272</xdr:rowOff>
    </xdr:from>
    <xdr:to>
      <xdr:col>9</xdr:col>
      <xdr:colOff>551230</xdr:colOff>
      <xdr:row>2</xdr:row>
      <xdr:rowOff>254000</xdr:rowOff>
    </xdr:to>
    <xdr:pic>
      <xdr:nvPicPr>
        <xdr:cNvPr id="3" name="Picture 2">
          <a:hlinkClick xmlns:r="http://schemas.openxmlformats.org/officeDocument/2006/relationships" r:id="rId1"/>
          <a:extLst>
            <a:ext uri="{FF2B5EF4-FFF2-40B4-BE49-F238E27FC236}">
              <a16:creationId xmlns:a16="http://schemas.microsoft.com/office/drawing/2014/main" id="{8E863E7B-B90C-8540-BCA9-018CBAB6BD8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852727" y="323272"/>
          <a:ext cx="1163139" cy="438728"/>
        </a:xfrm>
        <a:prstGeom prst="rect">
          <a:avLst/>
        </a:prstGeom>
        <a:ln w="12700">
          <a:solidFill>
            <a:schemeClr val="tx1"/>
          </a:solidFill>
        </a:ln>
        <a:effectLst>
          <a:softEdge rad="0"/>
        </a:effec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31</xdr:col>
      <xdr:colOff>285750</xdr:colOff>
      <xdr:row>2</xdr:row>
      <xdr:rowOff>158750</xdr:rowOff>
    </xdr:from>
    <xdr:to>
      <xdr:col>32</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F3B9174E-D415-7D4D-A81E-698BF7265D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D222FE06-2A64-9741-AFE8-64AB96826D4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08B69805-ECFC-FC40-97A7-DFEAD607A7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7DD32C14-3024-304F-B847-2B4895EEF50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902DA834-05D1-D84F-9516-313DDEA2C9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30</xdr:col>
      <xdr:colOff>285750</xdr:colOff>
      <xdr:row>2</xdr:row>
      <xdr:rowOff>158750</xdr:rowOff>
    </xdr:from>
    <xdr:to>
      <xdr:col>31</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F92A2EF7-6AF2-9B45-B849-BD3F0F9028B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32</xdr:col>
      <xdr:colOff>285750</xdr:colOff>
      <xdr:row>2</xdr:row>
      <xdr:rowOff>158750</xdr:rowOff>
    </xdr:from>
    <xdr:to>
      <xdr:col>33</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4A8725C5-BDD5-C040-AB9F-8DE606008D2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AC9E1B6C-CC36-AA46-9963-7899896EAF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17</xdr:col>
      <xdr:colOff>285750</xdr:colOff>
      <xdr:row>2</xdr:row>
      <xdr:rowOff>158750</xdr:rowOff>
    </xdr:from>
    <xdr:to>
      <xdr:col>18</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E1D40851-B529-5140-AC6D-A86F4CDDB29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17</xdr:col>
      <xdr:colOff>285750</xdr:colOff>
      <xdr:row>2</xdr:row>
      <xdr:rowOff>158750</xdr:rowOff>
    </xdr:from>
    <xdr:to>
      <xdr:col>18</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D0AC4080-B671-0C48-8D96-BF767F9F225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286</xdr:col>
      <xdr:colOff>300180</xdr:colOff>
      <xdr:row>1</xdr:row>
      <xdr:rowOff>196269</xdr:rowOff>
    </xdr:from>
    <xdr:to>
      <xdr:col>287</xdr:col>
      <xdr:colOff>632046</xdr:colOff>
      <xdr:row>3</xdr:row>
      <xdr:rowOff>126997</xdr:rowOff>
    </xdr:to>
    <xdr:pic>
      <xdr:nvPicPr>
        <xdr:cNvPr id="3" name="Picture 2">
          <a:hlinkClick xmlns:r="http://schemas.openxmlformats.org/officeDocument/2006/relationships" r:id="rId1"/>
          <a:extLst>
            <a:ext uri="{FF2B5EF4-FFF2-40B4-BE49-F238E27FC236}">
              <a16:creationId xmlns:a16="http://schemas.microsoft.com/office/drawing/2014/main" id="{47DEC532-BEDC-D84F-B19D-A941453A786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587180" y="392542"/>
          <a:ext cx="1163139" cy="438728"/>
        </a:xfrm>
        <a:prstGeom prst="rect">
          <a:avLst/>
        </a:prstGeom>
        <a:ln w="12700">
          <a:solidFill>
            <a:schemeClr val="tx1"/>
          </a:solidFill>
        </a:ln>
        <a:effectLst>
          <a:softEdge rad="0"/>
        </a:effec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48628463-6CD8-DA44-B79D-D8BCB45AE5E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16</xdr:col>
      <xdr:colOff>285750</xdr:colOff>
      <xdr:row>2</xdr:row>
      <xdr:rowOff>158750</xdr:rowOff>
    </xdr:from>
    <xdr:to>
      <xdr:col>17</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A74D3422-CA7E-C943-94B3-56DEF504A64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34</xdr:col>
      <xdr:colOff>285750</xdr:colOff>
      <xdr:row>2</xdr:row>
      <xdr:rowOff>158750</xdr:rowOff>
    </xdr:from>
    <xdr:to>
      <xdr:col>35</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0A375C6A-6479-BA49-96FD-6068CC89CB4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34</xdr:col>
      <xdr:colOff>285750</xdr:colOff>
      <xdr:row>2</xdr:row>
      <xdr:rowOff>158750</xdr:rowOff>
    </xdr:from>
    <xdr:to>
      <xdr:col>35</xdr:col>
      <xdr:colOff>570472</xdr:colOff>
      <xdr:row>4</xdr:row>
      <xdr:rowOff>89478</xdr:rowOff>
    </xdr:to>
    <xdr:pic>
      <xdr:nvPicPr>
        <xdr:cNvPr id="2" name="Picture 1">
          <a:hlinkClick xmlns:r="http://schemas.openxmlformats.org/officeDocument/2006/relationships" r:id="rId1"/>
          <a:extLst>
            <a:ext uri="{FF2B5EF4-FFF2-40B4-BE49-F238E27FC236}">
              <a16:creationId xmlns:a16="http://schemas.microsoft.com/office/drawing/2014/main" id="{D9863BE8-6B76-2649-A2C1-A9037945C29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72550" y="412750"/>
          <a:ext cx="1161022" cy="438728"/>
        </a:xfrm>
        <a:prstGeom prst="rect">
          <a:avLst/>
        </a:prstGeom>
        <a:ln w="12700">
          <a:solidFill>
            <a:schemeClr val="tx1"/>
          </a:solidFill>
        </a:ln>
        <a:effectLst>
          <a:softEdge rad="0"/>
        </a:effec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1</xdr:col>
      <xdr:colOff>0</xdr:colOff>
      <xdr:row>1</xdr:row>
      <xdr:rowOff>0</xdr:rowOff>
    </xdr:from>
    <xdr:to>
      <xdr:col>17</xdr:col>
      <xdr:colOff>431800</xdr:colOff>
      <xdr:row>32</xdr:row>
      <xdr:rowOff>76200</xdr:rowOff>
    </xdr:to>
    <xdr:graphicFrame macro="">
      <xdr:nvGraphicFramePr>
        <xdr:cNvPr id="3" name="Chart 2">
          <a:extLst>
            <a:ext uri="{FF2B5EF4-FFF2-40B4-BE49-F238E27FC236}">
              <a16:creationId xmlns:a16="http://schemas.microsoft.com/office/drawing/2014/main" id="{A758EDD4-FF66-C640-B1C5-7A29CC02A3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0</xdr:colOff>
      <xdr:row>1</xdr:row>
      <xdr:rowOff>0</xdr:rowOff>
    </xdr:from>
    <xdr:to>
      <xdr:col>34</xdr:col>
      <xdr:colOff>431800</xdr:colOff>
      <xdr:row>32</xdr:row>
      <xdr:rowOff>76200</xdr:rowOff>
    </xdr:to>
    <xdr:graphicFrame macro="">
      <xdr:nvGraphicFramePr>
        <xdr:cNvPr id="4" name="Chart 3">
          <a:extLst>
            <a:ext uri="{FF2B5EF4-FFF2-40B4-BE49-F238E27FC236}">
              <a16:creationId xmlns:a16="http://schemas.microsoft.com/office/drawing/2014/main" id="{3627D2FC-87F5-B24B-80CC-C546C57ED8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101600</xdr:colOff>
      <xdr:row>23</xdr:row>
      <xdr:rowOff>127000</xdr:rowOff>
    </xdr:from>
    <xdr:to>
      <xdr:col>26</xdr:col>
      <xdr:colOff>190500</xdr:colOff>
      <xdr:row>25</xdr:row>
      <xdr:rowOff>114300</xdr:rowOff>
    </xdr:to>
    <xdr:sp macro="" textlink="">
      <xdr:nvSpPr>
        <xdr:cNvPr id="5" name="Rectangle 4">
          <a:extLst>
            <a:ext uri="{FF2B5EF4-FFF2-40B4-BE49-F238E27FC236}">
              <a16:creationId xmlns:a16="http://schemas.microsoft.com/office/drawing/2014/main" id="{F6D5134B-9A59-D74B-A86E-4355E17EEA44}"/>
            </a:ext>
          </a:extLst>
        </xdr:cNvPr>
        <xdr:cNvSpPr/>
      </xdr:nvSpPr>
      <xdr:spPr>
        <a:xfrm>
          <a:off x="19913600" y="4508500"/>
          <a:ext cx="17399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685800</xdr:colOff>
      <xdr:row>26</xdr:row>
      <xdr:rowOff>88900</xdr:rowOff>
    </xdr:from>
    <xdr:to>
      <xdr:col>26</xdr:col>
      <xdr:colOff>673100</xdr:colOff>
      <xdr:row>28</xdr:row>
      <xdr:rowOff>76200</xdr:rowOff>
    </xdr:to>
    <xdr:sp macro="" textlink="">
      <xdr:nvSpPr>
        <xdr:cNvPr id="6" name="Rectangle 5">
          <a:extLst>
            <a:ext uri="{FF2B5EF4-FFF2-40B4-BE49-F238E27FC236}">
              <a16:creationId xmlns:a16="http://schemas.microsoft.com/office/drawing/2014/main" id="{DDADA133-4C0E-444A-9394-FEDD542F7FAC}"/>
            </a:ext>
          </a:extLst>
        </xdr:cNvPr>
        <xdr:cNvSpPr/>
      </xdr:nvSpPr>
      <xdr:spPr>
        <a:xfrm>
          <a:off x="19672300" y="5041900"/>
          <a:ext cx="24638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0</xdr:colOff>
      <xdr:row>1</xdr:row>
      <xdr:rowOff>0</xdr:rowOff>
    </xdr:from>
    <xdr:to>
      <xdr:col>51</xdr:col>
      <xdr:colOff>431800</xdr:colOff>
      <xdr:row>32</xdr:row>
      <xdr:rowOff>76200</xdr:rowOff>
    </xdr:to>
    <xdr:graphicFrame macro="">
      <xdr:nvGraphicFramePr>
        <xdr:cNvPr id="7" name="Chart 6">
          <a:extLst>
            <a:ext uri="{FF2B5EF4-FFF2-40B4-BE49-F238E27FC236}">
              <a16:creationId xmlns:a16="http://schemas.microsoft.com/office/drawing/2014/main" id="{2481C705-1EC2-8444-ABFF-3780B75AD6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241300</xdr:colOff>
      <xdr:row>12</xdr:row>
      <xdr:rowOff>101600</xdr:rowOff>
    </xdr:from>
    <xdr:to>
      <xdr:col>38</xdr:col>
      <xdr:colOff>469900</xdr:colOff>
      <xdr:row>14</xdr:row>
      <xdr:rowOff>88900</xdr:rowOff>
    </xdr:to>
    <xdr:sp macro="" textlink="">
      <xdr:nvSpPr>
        <xdr:cNvPr id="8" name="Rectangle 7">
          <a:extLst>
            <a:ext uri="{FF2B5EF4-FFF2-40B4-BE49-F238E27FC236}">
              <a16:creationId xmlns:a16="http://schemas.microsoft.com/office/drawing/2014/main" id="{4F641945-074A-A64E-A19B-7BBD07628AC3}"/>
            </a:ext>
          </a:extLst>
        </xdr:cNvPr>
        <xdr:cNvSpPr/>
      </xdr:nvSpPr>
      <xdr:spPr>
        <a:xfrm>
          <a:off x="29959300" y="2387600"/>
          <a:ext cx="18796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41</xdr:col>
      <xdr:colOff>165100</xdr:colOff>
      <xdr:row>12</xdr:row>
      <xdr:rowOff>114300</xdr:rowOff>
    </xdr:from>
    <xdr:to>
      <xdr:col>43</xdr:col>
      <xdr:colOff>393700</xdr:colOff>
      <xdr:row>14</xdr:row>
      <xdr:rowOff>101600</xdr:rowOff>
    </xdr:to>
    <xdr:sp macro="" textlink="">
      <xdr:nvSpPr>
        <xdr:cNvPr id="9" name="Rectangle 8">
          <a:extLst>
            <a:ext uri="{FF2B5EF4-FFF2-40B4-BE49-F238E27FC236}">
              <a16:creationId xmlns:a16="http://schemas.microsoft.com/office/drawing/2014/main" id="{38F6EE11-104A-5D43-BBD3-AF89DF31370D}"/>
            </a:ext>
          </a:extLst>
        </xdr:cNvPr>
        <xdr:cNvSpPr/>
      </xdr:nvSpPr>
      <xdr:spPr>
        <a:xfrm>
          <a:off x="34010600" y="2400300"/>
          <a:ext cx="18796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43</xdr:col>
      <xdr:colOff>622300</xdr:colOff>
      <xdr:row>12</xdr:row>
      <xdr:rowOff>114300</xdr:rowOff>
    </xdr:from>
    <xdr:to>
      <xdr:col>46</xdr:col>
      <xdr:colOff>25400</xdr:colOff>
      <xdr:row>14</xdr:row>
      <xdr:rowOff>101600</xdr:rowOff>
    </xdr:to>
    <xdr:sp macro="" textlink="">
      <xdr:nvSpPr>
        <xdr:cNvPr id="10" name="Rectangle 9">
          <a:extLst>
            <a:ext uri="{FF2B5EF4-FFF2-40B4-BE49-F238E27FC236}">
              <a16:creationId xmlns:a16="http://schemas.microsoft.com/office/drawing/2014/main" id="{3E8893E2-7346-6149-8644-4A3F181D3EA2}"/>
            </a:ext>
          </a:extLst>
        </xdr:cNvPr>
        <xdr:cNvSpPr/>
      </xdr:nvSpPr>
      <xdr:spPr>
        <a:xfrm>
          <a:off x="36118800" y="2400300"/>
          <a:ext cx="18796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48</xdr:col>
      <xdr:colOff>711200</xdr:colOff>
      <xdr:row>12</xdr:row>
      <xdr:rowOff>88900</xdr:rowOff>
    </xdr:from>
    <xdr:to>
      <xdr:col>51</xdr:col>
      <xdr:colOff>114300</xdr:colOff>
      <xdr:row>14</xdr:row>
      <xdr:rowOff>76200</xdr:rowOff>
    </xdr:to>
    <xdr:sp macro="" textlink="">
      <xdr:nvSpPr>
        <xdr:cNvPr id="11" name="Rectangle 10">
          <a:extLst>
            <a:ext uri="{FF2B5EF4-FFF2-40B4-BE49-F238E27FC236}">
              <a16:creationId xmlns:a16="http://schemas.microsoft.com/office/drawing/2014/main" id="{22E5FA6E-2154-A542-8ED7-62C3396F8B9D}"/>
            </a:ext>
          </a:extLst>
        </xdr:cNvPr>
        <xdr:cNvSpPr/>
      </xdr:nvSpPr>
      <xdr:spPr>
        <a:xfrm>
          <a:off x="40335200" y="2374900"/>
          <a:ext cx="18796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48</xdr:col>
      <xdr:colOff>762000</xdr:colOff>
      <xdr:row>26</xdr:row>
      <xdr:rowOff>50799</xdr:rowOff>
    </xdr:from>
    <xdr:to>
      <xdr:col>51</xdr:col>
      <xdr:colOff>165100</xdr:colOff>
      <xdr:row>29</xdr:row>
      <xdr:rowOff>46858</xdr:rowOff>
    </xdr:to>
    <xdr:sp macro="" textlink="">
      <xdr:nvSpPr>
        <xdr:cNvPr id="12" name="Rectangle 11">
          <a:extLst>
            <a:ext uri="{FF2B5EF4-FFF2-40B4-BE49-F238E27FC236}">
              <a16:creationId xmlns:a16="http://schemas.microsoft.com/office/drawing/2014/main" id="{90324A55-710E-D24F-9164-0C4724C7AA4B}"/>
            </a:ext>
          </a:extLst>
        </xdr:cNvPr>
        <xdr:cNvSpPr/>
      </xdr:nvSpPr>
      <xdr:spPr>
        <a:xfrm>
          <a:off x="40386000" y="5003799"/>
          <a:ext cx="1879600" cy="56755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43</xdr:col>
      <xdr:colOff>596900</xdr:colOff>
      <xdr:row>26</xdr:row>
      <xdr:rowOff>63500</xdr:rowOff>
    </xdr:from>
    <xdr:to>
      <xdr:col>46</xdr:col>
      <xdr:colOff>0</xdr:colOff>
      <xdr:row>28</xdr:row>
      <xdr:rowOff>139700</xdr:rowOff>
    </xdr:to>
    <xdr:sp macro="" textlink="">
      <xdr:nvSpPr>
        <xdr:cNvPr id="13" name="Rectangle 12">
          <a:extLst>
            <a:ext uri="{FF2B5EF4-FFF2-40B4-BE49-F238E27FC236}">
              <a16:creationId xmlns:a16="http://schemas.microsoft.com/office/drawing/2014/main" id="{EB7C710B-8AC7-CF49-B675-916C7D6E58F3}"/>
            </a:ext>
          </a:extLst>
        </xdr:cNvPr>
        <xdr:cNvSpPr/>
      </xdr:nvSpPr>
      <xdr:spPr>
        <a:xfrm>
          <a:off x="36093400" y="5016500"/>
          <a:ext cx="1879600" cy="4572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88900</xdr:colOff>
      <xdr:row>26</xdr:row>
      <xdr:rowOff>50800</xdr:rowOff>
    </xdr:from>
    <xdr:to>
      <xdr:col>38</xdr:col>
      <xdr:colOff>317500</xdr:colOff>
      <xdr:row>28</xdr:row>
      <xdr:rowOff>127000</xdr:rowOff>
    </xdr:to>
    <xdr:sp macro="" textlink="">
      <xdr:nvSpPr>
        <xdr:cNvPr id="14" name="Rectangle 13">
          <a:extLst>
            <a:ext uri="{FF2B5EF4-FFF2-40B4-BE49-F238E27FC236}">
              <a16:creationId xmlns:a16="http://schemas.microsoft.com/office/drawing/2014/main" id="{659E12D2-A5C8-4C43-98A2-D11AD7ACBBE1}"/>
            </a:ext>
          </a:extLst>
        </xdr:cNvPr>
        <xdr:cNvSpPr/>
      </xdr:nvSpPr>
      <xdr:spPr>
        <a:xfrm>
          <a:off x="29806900" y="5003800"/>
          <a:ext cx="1879600" cy="4572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41</xdr:col>
      <xdr:colOff>50800</xdr:colOff>
      <xdr:row>26</xdr:row>
      <xdr:rowOff>63500</xdr:rowOff>
    </xdr:from>
    <xdr:to>
      <xdr:col>43</xdr:col>
      <xdr:colOff>482600</xdr:colOff>
      <xdr:row>28</xdr:row>
      <xdr:rowOff>139700</xdr:rowOff>
    </xdr:to>
    <xdr:sp macro="" textlink="">
      <xdr:nvSpPr>
        <xdr:cNvPr id="15" name="Rectangle 14">
          <a:extLst>
            <a:ext uri="{FF2B5EF4-FFF2-40B4-BE49-F238E27FC236}">
              <a16:creationId xmlns:a16="http://schemas.microsoft.com/office/drawing/2014/main" id="{F84D3D93-B05E-D944-B86B-0A31F1649838}"/>
            </a:ext>
          </a:extLst>
        </xdr:cNvPr>
        <xdr:cNvSpPr/>
      </xdr:nvSpPr>
      <xdr:spPr>
        <a:xfrm>
          <a:off x="33896300" y="5016500"/>
          <a:ext cx="2082800" cy="4572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52</xdr:col>
      <xdr:colOff>0</xdr:colOff>
      <xdr:row>1</xdr:row>
      <xdr:rowOff>0</xdr:rowOff>
    </xdr:from>
    <xdr:to>
      <xdr:col>68</xdr:col>
      <xdr:colOff>431800</xdr:colOff>
      <xdr:row>32</xdr:row>
      <xdr:rowOff>76200</xdr:rowOff>
    </xdr:to>
    <xdr:graphicFrame macro="">
      <xdr:nvGraphicFramePr>
        <xdr:cNvPr id="16" name="Chart 15">
          <a:extLst>
            <a:ext uri="{FF2B5EF4-FFF2-40B4-BE49-F238E27FC236}">
              <a16:creationId xmlns:a16="http://schemas.microsoft.com/office/drawing/2014/main" id="{9A79D692-D02A-7147-86CE-A528DD40D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55</xdr:col>
      <xdr:colOff>495300</xdr:colOff>
      <xdr:row>23</xdr:row>
      <xdr:rowOff>127000</xdr:rowOff>
    </xdr:from>
    <xdr:to>
      <xdr:col>57</xdr:col>
      <xdr:colOff>723900</xdr:colOff>
      <xdr:row>25</xdr:row>
      <xdr:rowOff>114300</xdr:rowOff>
    </xdr:to>
    <xdr:sp macro="" textlink="">
      <xdr:nvSpPr>
        <xdr:cNvPr id="17" name="Rectangle 16">
          <a:extLst>
            <a:ext uri="{FF2B5EF4-FFF2-40B4-BE49-F238E27FC236}">
              <a16:creationId xmlns:a16="http://schemas.microsoft.com/office/drawing/2014/main" id="{472B703A-EFAA-4F45-8846-5403CA2BD951}"/>
            </a:ext>
          </a:extLst>
        </xdr:cNvPr>
        <xdr:cNvSpPr/>
      </xdr:nvSpPr>
      <xdr:spPr>
        <a:xfrm>
          <a:off x="45897800" y="4508500"/>
          <a:ext cx="18796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63</xdr:col>
      <xdr:colOff>342900</xdr:colOff>
      <xdr:row>23</xdr:row>
      <xdr:rowOff>139700</xdr:rowOff>
    </xdr:from>
    <xdr:to>
      <xdr:col>65</xdr:col>
      <xdr:colOff>571500</xdr:colOff>
      <xdr:row>25</xdr:row>
      <xdr:rowOff>127000</xdr:rowOff>
    </xdr:to>
    <xdr:sp macro="" textlink="">
      <xdr:nvSpPr>
        <xdr:cNvPr id="18" name="Rectangle 17">
          <a:extLst>
            <a:ext uri="{FF2B5EF4-FFF2-40B4-BE49-F238E27FC236}">
              <a16:creationId xmlns:a16="http://schemas.microsoft.com/office/drawing/2014/main" id="{AC059834-1FEF-C24E-874F-53A0DA771682}"/>
            </a:ext>
          </a:extLst>
        </xdr:cNvPr>
        <xdr:cNvSpPr/>
      </xdr:nvSpPr>
      <xdr:spPr>
        <a:xfrm>
          <a:off x="52349400" y="4521200"/>
          <a:ext cx="18796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60</xdr:col>
      <xdr:colOff>393700</xdr:colOff>
      <xdr:row>23</xdr:row>
      <xdr:rowOff>152400</xdr:rowOff>
    </xdr:from>
    <xdr:to>
      <xdr:col>62</xdr:col>
      <xdr:colOff>622300</xdr:colOff>
      <xdr:row>25</xdr:row>
      <xdr:rowOff>139700</xdr:rowOff>
    </xdr:to>
    <xdr:sp macro="" textlink="">
      <xdr:nvSpPr>
        <xdr:cNvPr id="19" name="Rectangle 18">
          <a:extLst>
            <a:ext uri="{FF2B5EF4-FFF2-40B4-BE49-F238E27FC236}">
              <a16:creationId xmlns:a16="http://schemas.microsoft.com/office/drawing/2014/main" id="{08064CE3-891C-744D-9CB1-D6F968452488}"/>
            </a:ext>
          </a:extLst>
        </xdr:cNvPr>
        <xdr:cNvSpPr/>
      </xdr:nvSpPr>
      <xdr:spPr>
        <a:xfrm>
          <a:off x="49923700" y="4533900"/>
          <a:ext cx="18796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65</xdr:col>
      <xdr:colOff>482600</xdr:colOff>
      <xdr:row>23</xdr:row>
      <xdr:rowOff>127000</xdr:rowOff>
    </xdr:from>
    <xdr:to>
      <xdr:col>67</xdr:col>
      <xdr:colOff>711200</xdr:colOff>
      <xdr:row>25</xdr:row>
      <xdr:rowOff>114300</xdr:rowOff>
    </xdr:to>
    <xdr:sp macro="" textlink="">
      <xdr:nvSpPr>
        <xdr:cNvPr id="20" name="Rectangle 19">
          <a:extLst>
            <a:ext uri="{FF2B5EF4-FFF2-40B4-BE49-F238E27FC236}">
              <a16:creationId xmlns:a16="http://schemas.microsoft.com/office/drawing/2014/main" id="{E8DF5D4E-F216-9148-8BFC-34780CCC744F}"/>
            </a:ext>
          </a:extLst>
        </xdr:cNvPr>
        <xdr:cNvSpPr/>
      </xdr:nvSpPr>
      <xdr:spPr>
        <a:xfrm>
          <a:off x="54140100" y="4508500"/>
          <a:ext cx="18796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65</xdr:col>
      <xdr:colOff>584200</xdr:colOff>
      <xdr:row>26</xdr:row>
      <xdr:rowOff>63500</xdr:rowOff>
    </xdr:from>
    <xdr:to>
      <xdr:col>68</xdr:col>
      <xdr:colOff>228600</xdr:colOff>
      <xdr:row>28</xdr:row>
      <xdr:rowOff>139700</xdr:rowOff>
    </xdr:to>
    <xdr:sp macro="" textlink="">
      <xdr:nvSpPr>
        <xdr:cNvPr id="21" name="Rectangle 20">
          <a:extLst>
            <a:ext uri="{FF2B5EF4-FFF2-40B4-BE49-F238E27FC236}">
              <a16:creationId xmlns:a16="http://schemas.microsoft.com/office/drawing/2014/main" id="{44DC3385-039B-5B44-801E-C275DE0E6EDE}"/>
            </a:ext>
          </a:extLst>
        </xdr:cNvPr>
        <xdr:cNvSpPr/>
      </xdr:nvSpPr>
      <xdr:spPr>
        <a:xfrm>
          <a:off x="54241700" y="5016500"/>
          <a:ext cx="2120900" cy="4572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60</xdr:col>
      <xdr:colOff>419100</xdr:colOff>
      <xdr:row>26</xdr:row>
      <xdr:rowOff>76200</xdr:rowOff>
    </xdr:from>
    <xdr:to>
      <xdr:col>62</xdr:col>
      <xdr:colOff>647700</xdr:colOff>
      <xdr:row>28</xdr:row>
      <xdr:rowOff>63500</xdr:rowOff>
    </xdr:to>
    <xdr:sp macro="" textlink="">
      <xdr:nvSpPr>
        <xdr:cNvPr id="22" name="Rectangle 21">
          <a:extLst>
            <a:ext uri="{FF2B5EF4-FFF2-40B4-BE49-F238E27FC236}">
              <a16:creationId xmlns:a16="http://schemas.microsoft.com/office/drawing/2014/main" id="{EB555FEA-4074-0F45-A99C-68FACC369C01}"/>
            </a:ext>
          </a:extLst>
        </xdr:cNvPr>
        <xdr:cNvSpPr/>
      </xdr:nvSpPr>
      <xdr:spPr>
        <a:xfrm>
          <a:off x="49949100" y="5029200"/>
          <a:ext cx="18796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55</xdr:col>
      <xdr:colOff>190500</xdr:colOff>
      <xdr:row>26</xdr:row>
      <xdr:rowOff>25400</xdr:rowOff>
    </xdr:from>
    <xdr:to>
      <xdr:col>57</xdr:col>
      <xdr:colOff>635000</xdr:colOff>
      <xdr:row>28</xdr:row>
      <xdr:rowOff>12700</xdr:rowOff>
    </xdr:to>
    <xdr:sp macro="" textlink="">
      <xdr:nvSpPr>
        <xdr:cNvPr id="23" name="Rectangle 22">
          <a:extLst>
            <a:ext uri="{FF2B5EF4-FFF2-40B4-BE49-F238E27FC236}">
              <a16:creationId xmlns:a16="http://schemas.microsoft.com/office/drawing/2014/main" id="{50174B64-F454-764E-B8F4-A99A117CE74A}"/>
            </a:ext>
          </a:extLst>
        </xdr:cNvPr>
        <xdr:cNvSpPr/>
      </xdr:nvSpPr>
      <xdr:spPr>
        <a:xfrm>
          <a:off x="45593000" y="4978400"/>
          <a:ext cx="20955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63</xdr:col>
      <xdr:colOff>254000</xdr:colOff>
      <xdr:row>27</xdr:row>
      <xdr:rowOff>25400</xdr:rowOff>
    </xdr:from>
    <xdr:to>
      <xdr:col>65</xdr:col>
      <xdr:colOff>482600</xdr:colOff>
      <xdr:row>29</xdr:row>
      <xdr:rowOff>12700</xdr:rowOff>
    </xdr:to>
    <xdr:sp macro="" textlink="">
      <xdr:nvSpPr>
        <xdr:cNvPr id="24" name="Rectangle 23">
          <a:extLst>
            <a:ext uri="{FF2B5EF4-FFF2-40B4-BE49-F238E27FC236}">
              <a16:creationId xmlns:a16="http://schemas.microsoft.com/office/drawing/2014/main" id="{A4318D01-BBCD-BF46-B6D7-2482BEFF1456}"/>
            </a:ext>
          </a:extLst>
        </xdr:cNvPr>
        <xdr:cNvSpPr/>
      </xdr:nvSpPr>
      <xdr:spPr>
        <a:xfrm>
          <a:off x="52260500" y="5168900"/>
          <a:ext cx="18796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63</xdr:col>
      <xdr:colOff>241300</xdr:colOff>
      <xdr:row>26</xdr:row>
      <xdr:rowOff>38100</xdr:rowOff>
    </xdr:from>
    <xdr:to>
      <xdr:col>65</xdr:col>
      <xdr:colOff>469900</xdr:colOff>
      <xdr:row>28</xdr:row>
      <xdr:rowOff>25400</xdr:rowOff>
    </xdr:to>
    <xdr:sp macro="" textlink="">
      <xdr:nvSpPr>
        <xdr:cNvPr id="25" name="Rectangle 24">
          <a:extLst>
            <a:ext uri="{FF2B5EF4-FFF2-40B4-BE49-F238E27FC236}">
              <a16:creationId xmlns:a16="http://schemas.microsoft.com/office/drawing/2014/main" id="{8022AECB-2FE1-CC4A-8593-E8E17A335B33}"/>
            </a:ext>
          </a:extLst>
        </xdr:cNvPr>
        <xdr:cNvSpPr/>
      </xdr:nvSpPr>
      <xdr:spPr>
        <a:xfrm>
          <a:off x="52247800" y="4991100"/>
          <a:ext cx="18796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0</xdr:colOff>
      <xdr:row>41</xdr:row>
      <xdr:rowOff>0</xdr:rowOff>
    </xdr:from>
    <xdr:to>
      <xdr:col>25</xdr:col>
      <xdr:colOff>431800</xdr:colOff>
      <xdr:row>72</xdr:row>
      <xdr:rowOff>50800</xdr:rowOff>
    </xdr:to>
    <xdr:graphicFrame macro="">
      <xdr:nvGraphicFramePr>
        <xdr:cNvPr id="26" name="Chart 25">
          <a:extLst>
            <a:ext uri="{FF2B5EF4-FFF2-40B4-BE49-F238E27FC236}">
              <a16:creationId xmlns:a16="http://schemas.microsoft.com/office/drawing/2014/main" id="{85925E09-6F89-B74C-8955-43A5275313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63</xdr:col>
      <xdr:colOff>152400</xdr:colOff>
      <xdr:row>28</xdr:row>
      <xdr:rowOff>165100</xdr:rowOff>
    </xdr:from>
    <xdr:to>
      <xdr:col>65</xdr:col>
      <xdr:colOff>381000</xdr:colOff>
      <xdr:row>30</xdr:row>
      <xdr:rowOff>152400</xdr:rowOff>
    </xdr:to>
    <xdr:sp macro="" textlink="">
      <xdr:nvSpPr>
        <xdr:cNvPr id="27" name="Rectangle 26">
          <a:extLst>
            <a:ext uri="{FF2B5EF4-FFF2-40B4-BE49-F238E27FC236}">
              <a16:creationId xmlns:a16="http://schemas.microsoft.com/office/drawing/2014/main" id="{7F275A4B-27F6-2449-A6B0-C55DD63C4D62}"/>
            </a:ext>
          </a:extLst>
        </xdr:cNvPr>
        <xdr:cNvSpPr/>
      </xdr:nvSpPr>
      <xdr:spPr>
        <a:xfrm>
          <a:off x="52158900" y="5499100"/>
          <a:ext cx="1879600" cy="368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219364</xdr:colOff>
      <xdr:row>1</xdr:row>
      <xdr:rowOff>242454</xdr:rowOff>
    </xdr:from>
    <xdr:to>
      <xdr:col>11</xdr:col>
      <xdr:colOff>551231</xdr:colOff>
      <xdr:row>3</xdr:row>
      <xdr:rowOff>23091</xdr:rowOff>
    </xdr:to>
    <xdr:pic>
      <xdr:nvPicPr>
        <xdr:cNvPr id="5" name="Picture 4">
          <a:hlinkClick xmlns:r="http://schemas.openxmlformats.org/officeDocument/2006/relationships" r:id="rId1"/>
          <a:extLst>
            <a:ext uri="{FF2B5EF4-FFF2-40B4-BE49-F238E27FC236}">
              <a16:creationId xmlns:a16="http://schemas.microsoft.com/office/drawing/2014/main" id="{7417BD95-14F2-4640-A73E-C0CB9A31054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399819" y="438727"/>
          <a:ext cx="1163139" cy="438728"/>
        </a:xfrm>
        <a:prstGeom prst="rect">
          <a:avLst/>
        </a:prstGeom>
        <a:ln w="12700">
          <a:solidFill>
            <a:schemeClr val="tx1"/>
          </a:solidFill>
        </a:ln>
        <a:effectLst>
          <a:softEdge rad="0"/>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381000</xdr:colOff>
      <xdr:row>1</xdr:row>
      <xdr:rowOff>150091</xdr:rowOff>
    </xdr:from>
    <xdr:to>
      <xdr:col>7</xdr:col>
      <xdr:colOff>712866</xdr:colOff>
      <xdr:row>3</xdr:row>
      <xdr:rowOff>80819</xdr:rowOff>
    </xdr:to>
    <xdr:pic>
      <xdr:nvPicPr>
        <xdr:cNvPr id="6" name="Picture 5">
          <a:hlinkClick xmlns:r="http://schemas.openxmlformats.org/officeDocument/2006/relationships" r:id="rId1"/>
          <a:extLst>
            <a:ext uri="{FF2B5EF4-FFF2-40B4-BE49-F238E27FC236}">
              <a16:creationId xmlns:a16="http://schemas.microsoft.com/office/drawing/2014/main" id="{8DDAF95C-046D-7246-A2BF-51763AA2765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93909" y="346364"/>
          <a:ext cx="1163139" cy="438728"/>
        </a:xfrm>
        <a:prstGeom prst="rect">
          <a:avLst/>
        </a:prstGeom>
        <a:ln w="12700">
          <a:solidFill>
            <a:schemeClr val="tx1"/>
          </a:solidFill>
        </a:ln>
        <a:effectLst>
          <a:softEdge rad="0"/>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138545</xdr:colOff>
      <xdr:row>0</xdr:row>
      <xdr:rowOff>69273</xdr:rowOff>
    </xdr:from>
    <xdr:to>
      <xdr:col>4</xdr:col>
      <xdr:colOff>574320</xdr:colOff>
      <xdr:row>1</xdr:row>
      <xdr:rowOff>207819</xdr:rowOff>
    </xdr:to>
    <xdr:pic>
      <xdr:nvPicPr>
        <xdr:cNvPr id="3" name="Picture 2">
          <a:hlinkClick xmlns:r="http://schemas.openxmlformats.org/officeDocument/2006/relationships" r:id="rId1"/>
          <a:extLst>
            <a:ext uri="{FF2B5EF4-FFF2-40B4-BE49-F238E27FC236}">
              <a16:creationId xmlns:a16="http://schemas.microsoft.com/office/drawing/2014/main" id="{39EA8D12-B44F-AE44-A46A-96C974B22B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8454" y="69273"/>
          <a:ext cx="1163139" cy="438728"/>
        </a:xfrm>
        <a:prstGeom prst="rect">
          <a:avLst/>
        </a:prstGeom>
        <a:ln w="12700">
          <a:solidFill>
            <a:schemeClr val="tx1"/>
          </a:solidFill>
        </a:ln>
        <a:effectLst>
          <a:softEdge rad="0"/>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37</xdr:col>
      <xdr:colOff>300183</xdr:colOff>
      <xdr:row>2</xdr:row>
      <xdr:rowOff>138547</xdr:rowOff>
    </xdr:from>
    <xdr:to>
      <xdr:col>38</xdr:col>
      <xdr:colOff>585867</xdr:colOff>
      <xdr:row>4</xdr:row>
      <xdr:rowOff>46184</xdr:rowOff>
    </xdr:to>
    <xdr:pic>
      <xdr:nvPicPr>
        <xdr:cNvPr id="4" name="Picture 3">
          <a:hlinkClick xmlns:r="http://schemas.openxmlformats.org/officeDocument/2006/relationships" r:id="rId1"/>
          <a:extLst>
            <a:ext uri="{FF2B5EF4-FFF2-40B4-BE49-F238E27FC236}">
              <a16:creationId xmlns:a16="http://schemas.microsoft.com/office/drawing/2014/main" id="{DD2F63C5-3959-F14F-B9E5-93D8A92AAB9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675092" y="600365"/>
          <a:ext cx="1163139" cy="438728"/>
        </a:xfrm>
        <a:prstGeom prst="rect">
          <a:avLst/>
        </a:prstGeom>
        <a:ln w="12700">
          <a:solidFill>
            <a:schemeClr val="tx1"/>
          </a:solidFill>
        </a:ln>
        <a:effectLst>
          <a:softEdge rad="0"/>
        </a:effec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1027545</xdr:colOff>
      <xdr:row>2</xdr:row>
      <xdr:rowOff>57728</xdr:rowOff>
    </xdr:from>
    <xdr:to>
      <xdr:col>1</xdr:col>
      <xdr:colOff>2190684</xdr:colOff>
      <xdr:row>3</xdr:row>
      <xdr:rowOff>230910</xdr:rowOff>
    </xdr:to>
    <xdr:pic>
      <xdr:nvPicPr>
        <xdr:cNvPr id="3" name="Picture 2">
          <a:hlinkClick xmlns:r="http://schemas.openxmlformats.org/officeDocument/2006/relationships" r:id="rId1"/>
          <a:extLst>
            <a:ext uri="{FF2B5EF4-FFF2-40B4-BE49-F238E27FC236}">
              <a16:creationId xmlns:a16="http://schemas.microsoft.com/office/drawing/2014/main" id="{BD120C05-A51D-3743-842F-A4AA24AB6FE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54727" y="519546"/>
          <a:ext cx="1163139" cy="438728"/>
        </a:xfrm>
        <a:prstGeom prst="rect">
          <a:avLst/>
        </a:prstGeom>
        <a:ln w="12700">
          <a:solidFill>
            <a:schemeClr val="tx1"/>
          </a:solidFill>
        </a:ln>
        <a:effectLst>
          <a:softEdge rad="0"/>
        </a:effec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1731818</xdr:colOff>
      <xdr:row>2</xdr:row>
      <xdr:rowOff>69273</xdr:rowOff>
    </xdr:from>
    <xdr:to>
      <xdr:col>1</xdr:col>
      <xdr:colOff>2894957</xdr:colOff>
      <xdr:row>3</xdr:row>
      <xdr:rowOff>242455</xdr:rowOff>
    </xdr:to>
    <xdr:pic>
      <xdr:nvPicPr>
        <xdr:cNvPr id="3" name="Picture 2">
          <a:hlinkClick xmlns:r="http://schemas.openxmlformats.org/officeDocument/2006/relationships" r:id="rId1"/>
          <a:extLst>
            <a:ext uri="{FF2B5EF4-FFF2-40B4-BE49-F238E27FC236}">
              <a16:creationId xmlns:a16="http://schemas.microsoft.com/office/drawing/2014/main" id="{3E8F839C-A8CD-9748-859A-222FED514D6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20454" y="531091"/>
          <a:ext cx="1163139" cy="438728"/>
        </a:xfrm>
        <a:prstGeom prst="rect">
          <a:avLst/>
        </a:prstGeom>
        <a:ln w="12700">
          <a:solidFill>
            <a:schemeClr val="tx1"/>
          </a:solidFill>
        </a:ln>
        <a:effectLst>
          <a:softEdge rad="0"/>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larkseavert/Downloads/Integrated%20Guayule%20Model%20v2.1%205_23_19_EG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ed Inputs"/>
      <sheetName val="Conversions"/>
      <sheetName val="200 - Backup Calcs"/>
      <sheetName val="Properties"/>
      <sheetName val="Figures"/>
      <sheetName val="Data Repository"/>
      <sheetName val="Scenario Input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persons/person.xml><?xml version="1.0" encoding="utf-8"?>
<personList xmlns="http://schemas.microsoft.com/office/spreadsheetml/2018/threadedcomments" xmlns:x="http://schemas.openxmlformats.org/spreadsheetml/2006/main">
  <person displayName="Seavert, Clark F" id="{0EDEBF65-E47C-8745-BD87-C3A735306BE9}" userId="S::seavertc@oregonstate.edu::44f08563-f015-494e-aa6b-0f02867c10cb"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13" dT="2020-11-13T14:35:46.44" personId="{0EDEBF65-E47C-8745-BD87-C3A735306BE9}" id="{0714F691-805F-AB4B-B131-9D54BB46BEAD}">
    <text>Crop      lb./acre   price/lb
barley        20        0.15
oats           20        0.60
sunflower    1        0.95
peas          40      0.295
turnip      1.25        1.30</text>
  </threadedComment>
  <threadedComment ref="I14" dT="2020-11-13T14:38:33.02" personId="{0EDEBF65-E47C-8745-BD87-C3A735306BE9}" id="{75A1967C-0715-A542-A5BE-2386F60BD633}">
    <text>Crop      lb./acre   price/lb
oats           20        0.60
peas          40      0.295
crimson clover dixie
                    1        0.95
turnip      1.25        1.30
radish     1.25        1.20</text>
  </threadedComment>
</ThreadedComments>
</file>

<file path=xl/threadedComments/threadedComment2.xml><?xml version="1.0" encoding="utf-8"?>
<ThreadedComments xmlns="http://schemas.microsoft.com/office/spreadsheetml/2018/threadedcomments" xmlns:x="http://schemas.openxmlformats.org/spreadsheetml/2006/main">
  <threadedComment ref="Q7" dT="2021-07-24T19:22:40.36" personId="{0EDEBF65-E47C-8745-BD87-C3A735306BE9}" id="{667111DD-542D-AB4A-ADC2-19EB94459C0D}">
    <text>No reference to shredder in UI Budgets, hard coded 115 hours</text>
  </threadedComment>
  <threadedComment ref="Q8" dT="2021-07-24T19:23:34.75" personId="{0EDEBF65-E47C-8745-BD87-C3A735306BE9}" id="{C5CFBD13-DD76-C649-8584-CB7F7E364BE4}">
    <text>No reference to harrow in UI Budgets, hard coded 75 hours</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hyperlink" Target="https://www.uidaho.edu/cals/idaho-agbiz/crop-budgets"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943BE-FD09-424A-901E-1E4FE03AA5C2}">
  <sheetPr>
    <pageSetUpPr fitToPage="1"/>
  </sheetPr>
  <dimension ref="A1:U161"/>
  <sheetViews>
    <sheetView tabSelected="1" zoomScale="140" zoomScaleNormal="140" workbookViewId="0">
      <selection activeCell="B1" sqref="B1:M2"/>
    </sheetView>
  </sheetViews>
  <sheetFormatPr baseColWidth="10" defaultColWidth="10.83203125" defaultRowHeight="15"/>
  <cols>
    <col min="1" max="1" width="3.1640625" customWidth="1"/>
    <col min="11" max="11" width="9.1640625" customWidth="1"/>
    <col min="12" max="12" width="9.83203125" customWidth="1"/>
    <col min="13" max="13" width="10.83203125" customWidth="1"/>
    <col min="15" max="21" width="10.83203125" style="15"/>
  </cols>
  <sheetData>
    <row r="1" spans="1:21" ht="15" customHeight="1">
      <c r="A1" s="15"/>
      <c r="B1" s="675" t="s">
        <v>391</v>
      </c>
      <c r="C1" s="675"/>
      <c r="D1" s="675"/>
      <c r="E1" s="675"/>
      <c r="F1" s="675"/>
      <c r="G1" s="675"/>
      <c r="H1" s="675"/>
      <c r="I1" s="675"/>
      <c r="J1" s="675"/>
      <c r="K1" s="675"/>
      <c r="L1" s="675"/>
      <c r="M1" s="675"/>
      <c r="N1" s="15"/>
    </row>
    <row r="2" spans="1:21" s="1" customFormat="1" ht="15" customHeight="1">
      <c r="A2" s="15"/>
      <c r="B2" s="675"/>
      <c r="C2" s="675"/>
      <c r="D2" s="675"/>
      <c r="E2" s="675"/>
      <c r="F2" s="675"/>
      <c r="G2" s="675"/>
      <c r="H2" s="675"/>
      <c r="I2" s="675"/>
      <c r="J2" s="675"/>
      <c r="K2" s="675"/>
      <c r="L2" s="675"/>
      <c r="M2" s="675"/>
      <c r="N2" s="672"/>
      <c r="O2" s="672"/>
      <c r="P2" s="15"/>
      <c r="Q2" s="15"/>
      <c r="R2" s="15"/>
      <c r="S2" s="15"/>
      <c r="T2" s="15"/>
      <c r="U2" s="15"/>
    </row>
    <row r="3" spans="1:21" s="1" customFormat="1" ht="15" customHeight="1">
      <c r="A3" s="15"/>
      <c r="B3" s="437"/>
      <c r="C3" s="437"/>
      <c r="D3" s="437"/>
      <c r="E3" s="437"/>
      <c r="F3" s="437"/>
      <c r="G3" s="437"/>
      <c r="H3" s="437"/>
      <c r="I3" s="437"/>
      <c r="J3" s="437"/>
      <c r="K3" s="437"/>
      <c r="L3" s="672"/>
      <c r="M3" s="672"/>
      <c r="N3" s="672"/>
      <c r="O3" s="672"/>
      <c r="P3" s="15"/>
      <c r="Q3" s="15"/>
      <c r="R3" s="15"/>
      <c r="S3" s="15"/>
      <c r="T3" s="15"/>
      <c r="U3" s="15"/>
    </row>
    <row r="4" spans="1:21" ht="15" customHeight="1">
      <c r="A4" s="15"/>
      <c r="B4" s="677" t="s">
        <v>286</v>
      </c>
      <c r="C4" s="677"/>
      <c r="D4" s="677"/>
      <c r="E4" s="677"/>
      <c r="F4" s="677"/>
      <c r="G4" s="677"/>
      <c r="H4" s="677"/>
      <c r="I4" s="677"/>
      <c r="J4" s="677"/>
      <c r="K4" s="677"/>
      <c r="L4" s="677"/>
      <c r="M4" s="677"/>
      <c r="N4" s="672"/>
      <c r="O4" s="672"/>
    </row>
    <row r="5" spans="1:21" ht="15" customHeight="1">
      <c r="A5" s="15"/>
      <c r="B5" s="676" t="s">
        <v>287</v>
      </c>
      <c r="C5" s="676"/>
      <c r="D5" s="676"/>
      <c r="E5" s="676"/>
      <c r="F5" s="676"/>
      <c r="G5" s="676"/>
      <c r="H5" s="676"/>
      <c r="I5" s="676"/>
      <c r="J5" s="676"/>
      <c r="K5" s="676"/>
      <c r="L5" s="676"/>
      <c r="M5" s="676"/>
      <c r="N5" s="15"/>
    </row>
    <row r="6" spans="1:21" ht="15" customHeight="1">
      <c r="A6" s="15"/>
      <c r="B6" s="432"/>
      <c r="C6" s="433"/>
      <c r="D6" s="434"/>
      <c r="E6" s="434"/>
      <c r="F6" s="434"/>
      <c r="G6" s="434"/>
      <c r="H6" s="434"/>
      <c r="I6" s="434"/>
      <c r="J6" s="434"/>
      <c r="K6" s="434"/>
      <c r="L6" s="433"/>
      <c r="M6" s="433"/>
      <c r="N6" s="15"/>
    </row>
    <row r="7" spans="1:21" ht="15" customHeight="1">
      <c r="A7" s="15"/>
      <c r="B7" s="679" t="s">
        <v>372</v>
      </c>
      <c r="C7" s="679"/>
      <c r="D7" s="679"/>
      <c r="E7" s="679"/>
      <c r="F7" s="679"/>
      <c r="G7" s="679"/>
      <c r="H7" s="679"/>
      <c r="I7" s="679"/>
      <c r="J7" s="679"/>
      <c r="K7" s="679"/>
      <c r="L7" s="679"/>
      <c r="M7" s="679"/>
      <c r="N7" s="15"/>
    </row>
    <row r="8" spans="1:21" ht="15" customHeight="1">
      <c r="A8" s="15"/>
      <c r="B8" s="679"/>
      <c r="C8" s="679"/>
      <c r="D8" s="679"/>
      <c r="E8" s="679"/>
      <c r="F8" s="679"/>
      <c r="G8" s="679"/>
      <c r="H8" s="679"/>
      <c r="I8" s="679"/>
      <c r="J8" s="679"/>
      <c r="K8" s="679"/>
      <c r="L8" s="679"/>
      <c r="M8" s="679"/>
      <c r="N8" s="15"/>
    </row>
    <row r="9" spans="1:21" ht="15" customHeight="1">
      <c r="A9" s="15"/>
      <c r="B9" s="435"/>
      <c r="C9" s="435"/>
      <c r="D9" s="435"/>
      <c r="E9" s="435"/>
      <c r="F9" s="435"/>
      <c r="G9" s="435"/>
      <c r="H9" s="435"/>
      <c r="I9" s="435"/>
      <c r="J9" s="435"/>
      <c r="K9" s="435"/>
      <c r="L9" s="15"/>
      <c r="M9" s="15"/>
      <c r="N9" s="15"/>
    </row>
    <row r="10" spans="1:21" ht="15" customHeight="1">
      <c r="A10" s="15"/>
      <c r="B10" s="680" t="s">
        <v>386</v>
      </c>
      <c r="C10" s="680"/>
      <c r="D10" s="680"/>
      <c r="E10" s="680"/>
      <c r="F10" s="680"/>
      <c r="G10" s="680"/>
      <c r="H10" s="680"/>
      <c r="I10" s="680"/>
      <c r="J10" s="680"/>
      <c r="K10" s="680"/>
      <c r="L10" s="680"/>
      <c r="M10" s="680"/>
      <c r="N10" s="15"/>
    </row>
    <row r="11" spans="1:21" s="1" customFormat="1" ht="15" customHeight="1">
      <c r="A11" s="15"/>
      <c r="B11" s="680"/>
      <c r="C11" s="680"/>
      <c r="D11" s="680"/>
      <c r="E11" s="680"/>
      <c r="F11" s="680"/>
      <c r="G11" s="680"/>
      <c r="H11" s="680"/>
      <c r="I11" s="680"/>
      <c r="J11" s="680"/>
      <c r="K11" s="680"/>
      <c r="L11" s="680"/>
      <c r="M11" s="680"/>
      <c r="N11" s="15"/>
      <c r="O11" s="15"/>
      <c r="P11" s="15"/>
      <c r="Q11" s="15"/>
      <c r="R11" s="15"/>
      <c r="S11" s="15"/>
      <c r="T11" s="15"/>
      <c r="U11" s="15"/>
    </row>
    <row r="12" spans="1:21" ht="15" customHeight="1">
      <c r="A12" s="15"/>
      <c r="B12" s="680"/>
      <c r="C12" s="680"/>
      <c r="D12" s="680"/>
      <c r="E12" s="680"/>
      <c r="F12" s="680"/>
      <c r="G12" s="680"/>
      <c r="H12" s="680"/>
      <c r="I12" s="680"/>
      <c r="J12" s="680"/>
      <c r="K12" s="680"/>
      <c r="L12" s="680"/>
      <c r="M12" s="680"/>
      <c r="N12" s="15"/>
    </row>
    <row r="13" spans="1:21" ht="15" customHeight="1">
      <c r="A13" s="15"/>
      <c r="B13" s="680"/>
      <c r="C13" s="680"/>
      <c r="D13" s="680"/>
      <c r="E13" s="680"/>
      <c r="F13" s="680"/>
      <c r="G13" s="680"/>
      <c r="H13" s="680"/>
      <c r="I13" s="680"/>
      <c r="J13" s="680"/>
      <c r="K13" s="680"/>
      <c r="L13" s="680"/>
      <c r="M13" s="680"/>
      <c r="N13" s="15"/>
    </row>
    <row r="14" spans="1:21" ht="15" customHeight="1">
      <c r="A14" s="15"/>
      <c r="B14" s="680"/>
      <c r="C14" s="680"/>
      <c r="D14" s="680"/>
      <c r="E14" s="680"/>
      <c r="F14" s="680"/>
      <c r="G14" s="680"/>
      <c r="H14" s="680"/>
      <c r="I14" s="680"/>
      <c r="J14" s="680"/>
      <c r="K14" s="680"/>
      <c r="L14" s="680"/>
      <c r="M14" s="680"/>
      <c r="N14" s="15"/>
    </row>
    <row r="15" spans="1:21" ht="15" customHeight="1">
      <c r="A15" s="15"/>
      <c r="B15" s="438"/>
      <c r="C15" s="438"/>
      <c r="D15" s="438"/>
      <c r="E15" s="438"/>
      <c r="F15" s="438"/>
      <c r="G15" s="438"/>
      <c r="H15" s="438"/>
      <c r="I15" s="438"/>
      <c r="J15" s="438"/>
      <c r="K15" s="439"/>
      <c r="L15" s="439"/>
      <c r="M15" s="439"/>
      <c r="N15" s="15"/>
    </row>
    <row r="16" spans="1:21" ht="15" customHeight="1">
      <c r="A16" s="15"/>
      <c r="B16" s="680" t="s">
        <v>373</v>
      </c>
      <c r="C16" s="680"/>
      <c r="D16" s="680"/>
      <c r="E16" s="680"/>
      <c r="F16" s="680"/>
      <c r="G16" s="680"/>
      <c r="H16" s="680"/>
      <c r="I16" s="680"/>
      <c r="J16" s="680"/>
      <c r="K16" s="680"/>
      <c r="L16" s="680"/>
      <c r="M16" s="680"/>
      <c r="N16" s="15"/>
    </row>
    <row r="17" spans="1:21" ht="15" customHeight="1">
      <c r="A17" s="15"/>
      <c r="B17" s="680"/>
      <c r="C17" s="680"/>
      <c r="D17" s="680"/>
      <c r="E17" s="680"/>
      <c r="F17" s="680"/>
      <c r="G17" s="680"/>
      <c r="H17" s="680"/>
      <c r="I17" s="680"/>
      <c r="J17" s="680"/>
      <c r="K17" s="680"/>
      <c r="L17" s="680"/>
      <c r="M17" s="680"/>
      <c r="N17" s="15"/>
    </row>
    <row r="18" spans="1:21" ht="15" customHeight="1">
      <c r="A18" s="15"/>
      <c r="B18" s="680"/>
      <c r="C18" s="680"/>
      <c r="D18" s="680"/>
      <c r="E18" s="680"/>
      <c r="F18" s="680"/>
      <c r="G18" s="680"/>
      <c r="H18" s="680"/>
      <c r="I18" s="680"/>
      <c r="J18" s="680"/>
      <c r="K18" s="680"/>
      <c r="L18" s="680"/>
      <c r="M18" s="680"/>
      <c r="N18" s="15"/>
    </row>
    <row r="19" spans="1:21" ht="15" customHeight="1">
      <c r="A19" s="15"/>
      <c r="B19" s="680"/>
      <c r="C19" s="680"/>
      <c r="D19" s="680"/>
      <c r="E19" s="680"/>
      <c r="F19" s="680"/>
      <c r="G19" s="680"/>
      <c r="H19" s="680"/>
      <c r="I19" s="680"/>
      <c r="J19" s="680"/>
      <c r="K19" s="680"/>
      <c r="L19" s="680"/>
      <c r="M19" s="680"/>
      <c r="N19" s="15"/>
    </row>
    <row r="20" spans="1:21" ht="15" customHeight="1">
      <c r="A20" s="15"/>
      <c r="B20" s="680"/>
      <c r="C20" s="680"/>
      <c r="D20" s="680"/>
      <c r="E20" s="680"/>
      <c r="F20" s="680"/>
      <c r="G20" s="680"/>
      <c r="H20" s="680"/>
      <c r="I20" s="680"/>
      <c r="J20" s="680"/>
      <c r="K20" s="680"/>
      <c r="L20" s="680"/>
      <c r="M20" s="680"/>
      <c r="N20" s="15"/>
    </row>
    <row r="21" spans="1:21" ht="15" customHeight="1">
      <c r="A21" s="15"/>
      <c r="B21" s="15"/>
      <c r="C21" s="15"/>
      <c r="D21" s="15"/>
      <c r="E21" s="15"/>
      <c r="F21" s="15"/>
      <c r="G21" s="15"/>
      <c r="H21" s="15"/>
      <c r="I21" s="15"/>
      <c r="J21" s="15"/>
      <c r="K21" s="15"/>
      <c r="L21" s="15"/>
      <c r="M21" s="15"/>
      <c r="N21" s="15"/>
    </row>
    <row r="22" spans="1:21" ht="15" customHeight="1">
      <c r="A22" s="15"/>
      <c r="B22" s="678" t="s">
        <v>289</v>
      </c>
      <c r="C22" s="678"/>
      <c r="D22" s="678"/>
      <c r="E22" s="678"/>
      <c r="F22" s="678"/>
      <c r="G22" s="678"/>
      <c r="H22" s="678"/>
      <c r="I22" s="678"/>
      <c r="J22" s="678"/>
      <c r="K22" s="678"/>
      <c r="L22" s="678"/>
      <c r="M22" s="678"/>
      <c r="N22" s="15"/>
    </row>
    <row r="23" spans="1:21" ht="15" customHeight="1">
      <c r="A23" s="15"/>
      <c r="B23" s="678"/>
      <c r="C23" s="678"/>
      <c r="D23" s="678"/>
      <c r="E23" s="678"/>
      <c r="F23" s="678"/>
      <c r="G23" s="678"/>
      <c r="H23" s="678"/>
      <c r="I23" s="678"/>
      <c r="J23" s="678"/>
      <c r="K23" s="678"/>
      <c r="L23" s="678"/>
      <c r="M23" s="678"/>
      <c r="N23" s="15"/>
    </row>
    <row r="24" spans="1:21" s="1" customFormat="1" ht="15" customHeight="1">
      <c r="A24" s="15"/>
      <c r="B24" s="678"/>
      <c r="C24" s="678"/>
      <c r="D24" s="678"/>
      <c r="E24" s="678"/>
      <c r="F24" s="678"/>
      <c r="G24" s="678"/>
      <c r="H24" s="678"/>
      <c r="I24" s="678"/>
      <c r="J24" s="678"/>
      <c r="K24" s="678"/>
      <c r="L24" s="678"/>
      <c r="M24" s="678"/>
      <c r="N24" s="15"/>
      <c r="O24" s="15"/>
      <c r="P24" s="15"/>
      <c r="Q24" s="15"/>
      <c r="R24" s="15"/>
      <c r="S24" s="15"/>
      <c r="T24" s="15"/>
      <c r="U24" s="15"/>
    </row>
    <row r="25" spans="1:21" ht="15" customHeight="1">
      <c r="A25" s="15"/>
      <c r="B25" s="678"/>
      <c r="C25" s="678"/>
      <c r="D25" s="678"/>
      <c r="E25" s="678"/>
      <c r="F25" s="678"/>
      <c r="G25" s="678"/>
      <c r="H25" s="678"/>
      <c r="I25" s="678"/>
      <c r="J25" s="678"/>
      <c r="K25" s="678"/>
      <c r="L25" s="678"/>
      <c r="M25" s="678"/>
      <c r="N25" s="15"/>
    </row>
    <row r="26" spans="1:21" ht="15" customHeight="1">
      <c r="A26" s="15"/>
      <c r="B26" s="678"/>
      <c r="C26" s="678"/>
      <c r="D26" s="678"/>
      <c r="E26" s="678"/>
      <c r="F26" s="678"/>
      <c r="G26" s="678"/>
      <c r="H26" s="678"/>
      <c r="I26" s="678"/>
      <c r="J26" s="678"/>
      <c r="K26" s="678"/>
      <c r="L26" s="678"/>
      <c r="M26" s="678"/>
      <c r="N26" s="15"/>
    </row>
    <row r="27" spans="1:21" ht="15" customHeight="1">
      <c r="A27" s="15"/>
      <c r="B27" s="436"/>
      <c r="C27" s="436"/>
      <c r="D27" s="436"/>
      <c r="E27" s="436"/>
      <c r="F27" s="436"/>
      <c r="G27" s="436"/>
      <c r="H27" s="436"/>
      <c r="I27" s="436"/>
      <c r="J27" s="436"/>
      <c r="K27" s="436"/>
      <c r="L27" s="15"/>
      <c r="M27" s="15"/>
      <c r="N27" s="15"/>
    </row>
    <row r="28" spans="1:21" ht="15" customHeight="1">
      <c r="A28" s="15"/>
      <c r="B28" s="678" t="s">
        <v>288</v>
      </c>
      <c r="C28" s="678"/>
      <c r="D28" s="678"/>
      <c r="E28" s="678"/>
      <c r="F28" s="678"/>
      <c r="G28" s="678"/>
      <c r="H28" s="678"/>
      <c r="I28" s="678"/>
      <c r="J28" s="678"/>
      <c r="K28" s="678"/>
      <c r="L28" s="678"/>
      <c r="M28" s="678"/>
      <c r="N28" s="15"/>
    </row>
    <row r="29" spans="1:21" s="1" customFormat="1" ht="15" customHeight="1">
      <c r="A29" s="15"/>
      <c r="B29" s="678"/>
      <c r="C29" s="678"/>
      <c r="D29" s="678"/>
      <c r="E29" s="678"/>
      <c r="F29" s="678"/>
      <c r="G29" s="678"/>
      <c r="H29" s="678"/>
      <c r="I29" s="678"/>
      <c r="J29" s="678"/>
      <c r="K29" s="678"/>
      <c r="L29" s="678"/>
      <c r="M29" s="678"/>
      <c r="N29" s="15"/>
      <c r="O29" s="15"/>
      <c r="P29" s="15"/>
      <c r="Q29" s="15"/>
      <c r="R29" s="15"/>
      <c r="S29" s="15"/>
      <c r="T29" s="15"/>
      <c r="U29" s="15"/>
    </row>
    <row r="30" spans="1:21" ht="15" customHeight="1">
      <c r="A30" s="15"/>
      <c r="B30" s="678"/>
      <c r="C30" s="678"/>
      <c r="D30" s="678"/>
      <c r="E30" s="678"/>
      <c r="F30" s="678"/>
      <c r="G30" s="678"/>
      <c r="H30" s="678"/>
      <c r="I30" s="678"/>
      <c r="J30" s="678"/>
      <c r="K30" s="678"/>
      <c r="L30" s="678"/>
      <c r="M30" s="678"/>
      <c r="N30" s="15"/>
    </row>
    <row r="31" spans="1:21">
      <c r="A31" s="15"/>
      <c r="B31" s="15"/>
      <c r="C31" s="15"/>
      <c r="D31" s="15"/>
      <c r="E31" s="15"/>
      <c r="F31" s="15"/>
      <c r="G31" s="15"/>
      <c r="H31" s="15"/>
      <c r="I31" s="15"/>
      <c r="J31" s="15"/>
      <c r="K31" s="15"/>
      <c r="L31" s="15"/>
      <c r="M31" s="15"/>
      <c r="N31" s="15"/>
    </row>
    <row r="32" spans="1:21">
      <c r="A32" s="15"/>
      <c r="B32" s="15"/>
      <c r="C32" s="15"/>
      <c r="D32" s="15"/>
      <c r="E32" s="15"/>
      <c r="F32" s="15"/>
      <c r="G32" s="15"/>
      <c r="H32" s="15"/>
      <c r="I32" s="15"/>
      <c r="J32" s="15"/>
      <c r="K32" s="15"/>
      <c r="L32" s="15"/>
      <c r="M32" s="15"/>
      <c r="N32" s="15"/>
    </row>
    <row r="33" spans="1:14">
      <c r="A33" s="15"/>
      <c r="B33" s="15"/>
      <c r="C33" s="15"/>
      <c r="D33" s="15"/>
      <c r="E33" s="15"/>
      <c r="F33" s="15"/>
      <c r="G33" s="15"/>
      <c r="H33" s="15"/>
      <c r="I33" s="15"/>
      <c r="J33" s="15"/>
      <c r="K33" s="15"/>
      <c r="L33" s="15"/>
      <c r="M33" s="15"/>
      <c r="N33" s="15"/>
    </row>
    <row r="34" spans="1:14">
      <c r="A34" s="15"/>
      <c r="B34" s="15"/>
      <c r="C34" s="15"/>
      <c r="D34" s="15"/>
      <c r="E34" s="15"/>
      <c r="F34" s="15"/>
      <c r="G34" s="15"/>
      <c r="H34" s="15"/>
      <c r="I34" s="15"/>
      <c r="J34" s="15"/>
      <c r="K34" s="15"/>
      <c r="L34" s="15"/>
      <c r="M34" s="15"/>
      <c r="N34" s="15"/>
    </row>
    <row r="35" spans="1:14">
      <c r="A35" s="15"/>
      <c r="B35" s="15"/>
      <c r="C35" s="15"/>
      <c r="D35" s="15"/>
      <c r="E35" s="15"/>
      <c r="F35" s="15"/>
      <c r="G35" s="15"/>
      <c r="H35" s="15"/>
      <c r="I35" s="15"/>
      <c r="J35" s="15"/>
      <c r="K35" s="15"/>
      <c r="L35" s="15"/>
      <c r="M35" s="15"/>
      <c r="N35" s="15"/>
    </row>
    <row r="36" spans="1:14">
      <c r="A36" s="15"/>
      <c r="B36" s="15"/>
      <c r="C36" s="15"/>
      <c r="D36" s="15"/>
      <c r="E36" s="15"/>
      <c r="F36" s="15"/>
      <c r="G36" s="15"/>
      <c r="H36" s="15"/>
      <c r="I36" s="15"/>
      <c r="J36" s="15"/>
      <c r="K36" s="15"/>
      <c r="L36" s="15"/>
      <c r="M36" s="15"/>
      <c r="N36" s="15"/>
    </row>
    <row r="37" spans="1:14">
      <c r="A37" s="15"/>
      <c r="B37" s="15"/>
      <c r="C37" s="15"/>
      <c r="D37" s="15"/>
      <c r="E37" s="15"/>
      <c r="F37" s="15"/>
      <c r="G37" s="15"/>
      <c r="H37" s="15"/>
      <c r="I37" s="15"/>
      <c r="J37" s="15"/>
      <c r="K37" s="15"/>
      <c r="L37" s="15"/>
      <c r="M37" s="15"/>
      <c r="N37" s="15"/>
    </row>
    <row r="38" spans="1:14">
      <c r="A38" s="15"/>
      <c r="B38" s="15"/>
      <c r="C38" s="15"/>
      <c r="D38" s="15"/>
      <c r="E38" s="15"/>
      <c r="F38" s="15"/>
      <c r="G38" s="15"/>
      <c r="H38" s="15"/>
      <c r="I38" s="15"/>
      <c r="J38" s="15"/>
      <c r="K38" s="15"/>
      <c r="L38" s="15"/>
      <c r="M38" s="15"/>
      <c r="N38" s="15"/>
    </row>
    <row r="39" spans="1:14">
      <c r="A39" s="15"/>
      <c r="B39" s="15"/>
      <c r="C39" s="15"/>
      <c r="D39" s="15"/>
      <c r="E39" s="15"/>
      <c r="F39" s="15"/>
      <c r="G39" s="15"/>
      <c r="H39" s="15"/>
      <c r="I39" s="15"/>
      <c r="J39" s="15"/>
      <c r="K39" s="15"/>
      <c r="L39" s="15"/>
      <c r="M39" s="15"/>
      <c r="N39" s="15"/>
    </row>
    <row r="40" spans="1:14">
      <c r="A40" s="15"/>
      <c r="B40" s="15"/>
      <c r="C40" s="15"/>
      <c r="D40" s="15"/>
      <c r="E40" s="15"/>
      <c r="F40" s="15"/>
      <c r="G40" s="15"/>
      <c r="H40" s="15"/>
      <c r="I40" s="15"/>
      <c r="J40" s="15"/>
      <c r="K40" s="15"/>
      <c r="L40" s="15"/>
      <c r="M40" s="15"/>
      <c r="N40" s="15"/>
    </row>
    <row r="41" spans="1:14">
      <c r="A41" s="15"/>
      <c r="B41" s="15"/>
      <c r="C41" s="15"/>
      <c r="D41" s="15"/>
      <c r="E41" s="15"/>
      <c r="F41" s="15"/>
      <c r="G41" s="15"/>
      <c r="H41" s="15"/>
      <c r="I41" s="15"/>
      <c r="J41" s="15"/>
      <c r="K41" s="15"/>
      <c r="L41" s="15"/>
      <c r="M41" s="15"/>
      <c r="N41" s="15"/>
    </row>
    <row r="42" spans="1:14">
      <c r="A42" s="15"/>
      <c r="B42" s="15"/>
      <c r="C42" s="15"/>
      <c r="D42" s="15"/>
      <c r="E42" s="15"/>
      <c r="F42" s="15"/>
      <c r="G42" s="15"/>
      <c r="H42" s="15"/>
      <c r="I42" s="15"/>
      <c r="J42" s="15"/>
      <c r="K42" s="15"/>
      <c r="L42" s="15"/>
      <c r="M42" s="15"/>
      <c r="N42" s="15"/>
    </row>
    <row r="43" spans="1:14">
      <c r="A43" s="15"/>
      <c r="B43" s="15"/>
      <c r="C43" s="15"/>
      <c r="D43" s="15"/>
      <c r="E43" s="15"/>
      <c r="F43" s="15"/>
      <c r="G43" s="15"/>
      <c r="H43" s="15"/>
      <c r="I43" s="15"/>
      <c r="J43" s="15"/>
      <c r="K43" s="15"/>
      <c r="L43" s="15"/>
      <c r="M43" s="15"/>
      <c r="N43" s="15"/>
    </row>
    <row r="44" spans="1:14">
      <c r="A44" s="15"/>
      <c r="B44" s="15"/>
      <c r="C44" s="15"/>
      <c r="D44" s="15"/>
      <c r="E44" s="15"/>
      <c r="F44" s="15"/>
      <c r="G44" s="15"/>
      <c r="H44" s="15"/>
      <c r="I44" s="15"/>
      <c r="J44" s="15"/>
      <c r="K44" s="15"/>
      <c r="L44" s="15"/>
      <c r="M44" s="15"/>
      <c r="N44" s="15"/>
    </row>
    <row r="45" spans="1:14">
      <c r="A45" s="15"/>
      <c r="B45" s="15"/>
      <c r="C45" s="15"/>
      <c r="D45" s="15"/>
      <c r="E45" s="15"/>
      <c r="F45" s="15"/>
      <c r="G45" s="15"/>
      <c r="H45" s="15"/>
      <c r="I45" s="15"/>
      <c r="J45" s="15"/>
      <c r="K45" s="15"/>
      <c r="L45" s="15"/>
      <c r="M45" s="15"/>
      <c r="N45" s="15"/>
    </row>
    <row r="46" spans="1:14">
      <c r="A46" s="15"/>
      <c r="B46" s="15"/>
      <c r="C46" s="15"/>
      <c r="D46" s="15"/>
      <c r="E46" s="15"/>
      <c r="F46" s="15"/>
      <c r="G46" s="15"/>
      <c r="H46" s="15"/>
      <c r="I46" s="15"/>
      <c r="J46" s="15"/>
      <c r="K46" s="15"/>
      <c r="L46" s="15"/>
      <c r="M46" s="15"/>
      <c r="N46" s="15"/>
    </row>
    <row r="47" spans="1:14">
      <c r="A47" s="15"/>
      <c r="B47" s="15"/>
      <c r="C47" s="15"/>
      <c r="D47" s="15"/>
      <c r="E47" s="15"/>
      <c r="F47" s="15"/>
      <c r="G47" s="15"/>
      <c r="H47" s="15"/>
      <c r="I47" s="15"/>
      <c r="J47" s="15"/>
      <c r="K47" s="15"/>
      <c r="L47" s="15"/>
      <c r="M47" s="15"/>
      <c r="N47" s="15"/>
    </row>
    <row r="48" spans="1:14">
      <c r="A48" s="15"/>
      <c r="B48" s="15"/>
      <c r="C48" s="15"/>
      <c r="D48" s="15"/>
      <c r="E48" s="15"/>
      <c r="F48" s="15"/>
      <c r="G48" s="15"/>
      <c r="H48" s="15"/>
      <c r="I48" s="15"/>
      <c r="J48" s="15"/>
      <c r="K48" s="15"/>
      <c r="L48" s="15"/>
      <c r="M48" s="15"/>
      <c r="N48" s="15"/>
    </row>
    <row r="49" spans="1:14">
      <c r="A49" s="15"/>
      <c r="B49" s="15"/>
      <c r="C49" s="15"/>
      <c r="D49" s="15"/>
      <c r="E49" s="15"/>
      <c r="F49" s="15"/>
      <c r="G49" s="15"/>
      <c r="H49" s="15"/>
      <c r="I49" s="15"/>
      <c r="J49" s="15"/>
      <c r="K49" s="15"/>
      <c r="L49" s="15"/>
      <c r="M49" s="15"/>
      <c r="N49" s="15"/>
    </row>
    <row r="50" spans="1:14">
      <c r="A50" s="15"/>
      <c r="B50" s="15"/>
      <c r="C50" s="15"/>
      <c r="D50" s="15"/>
      <c r="E50" s="15"/>
      <c r="F50" s="15"/>
      <c r="G50" s="15"/>
      <c r="H50" s="15"/>
      <c r="I50" s="15"/>
      <c r="J50" s="15"/>
      <c r="K50" s="15"/>
      <c r="L50" s="15"/>
      <c r="M50" s="15"/>
      <c r="N50" s="15"/>
    </row>
    <row r="51" spans="1:14">
      <c r="A51" s="15"/>
      <c r="B51" s="15"/>
      <c r="C51" s="15"/>
      <c r="D51" s="15"/>
      <c r="E51" s="15"/>
      <c r="F51" s="15"/>
      <c r="G51" s="15"/>
      <c r="H51" s="15"/>
      <c r="I51" s="15"/>
      <c r="J51" s="15"/>
      <c r="K51" s="15"/>
      <c r="L51" s="15"/>
      <c r="M51" s="15"/>
      <c r="N51" s="15"/>
    </row>
    <row r="52" spans="1:14">
      <c r="A52" s="15"/>
      <c r="B52" s="15"/>
      <c r="C52" s="15"/>
      <c r="D52" s="15"/>
      <c r="E52" s="15"/>
      <c r="F52" s="15"/>
      <c r="G52" s="15"/>
      <c r="H52" s="15"/>
      <c r="I52" s="15"/>
      <c r="J52" s="15"/>
      <c r="K52" s="15"/>
      <c r="L52" s="15"/>
      <c r="M52" s="15"/>
      <c r="N52" s="15"/>
    </row>
    <row r="53" spans="1:14">
      <c r="A53" s="15"/>
      <c r="B53" s="15"/>
      <c r="C53" s="15"/>
      <c r="D53" s="15"/>
      <c r="E53" s="15"/>
      <c r="F53" s="15"/>
      <c r="G53" s="15"/>
      <c r="H53" s="15"/>
      <c r="I53" s="15"/>
      <c r="J53" s="15"/>
      <c r="K53" s="15"/>
      <c r="L53" s="15"/>
      <c r="M53" s="15"/>
      <c r="N53" s="15"/>
    </row>
    <row r="54" spans="1:14">
      <c r="A54" s="15"/>
      <c r="B54" s="15"/>
      <c r="C54" s="15"/>
      <c r="D54" s="15"/>
      <c r="E54" s="15"/>
      <c r="F54" s="15"/>
      <c r="G54" s="15"/>
      <c r="H54" s="15"/>
      <c r="I54" s="15"/>
      <c r="J54" s="15"/>
      <c r="K54" s="15"/>
      <c r="L54" s="15"/>
      <c r="M54" s="15"/>
      <c r="N54" s="15"/>
    </row>
    <row r="55" spans="1:14">
      <c r="A55" s="15"/>
      <c r="B55" s="15"/>
      <c r="C55" s="15"/>
      <c r="D55" s="15"/>
      <c r="E55" s="15"/>
      <c r="F55" s="15"/>
      <c r="G55" s="15"/>
      <c r="H55" s="15"/>
      <c r="I55" s="15"/>
      <c r="J55" s="15"/>
      <c r="K55" s="15"/>
      <c r="L55" s="15"/>
      <c r="M55" s="15"/>
      <c r="N55" s="15"/>
    </row>
    <row r="56" spans="1:14">
      <c r="A56" s="15"/>
      <c r="B56" s="15"/>
      <c r="C56" s="15"/>
      <c r="D56" s="15"/>
      <c r="E56" s="15"/>
      <c r="F56" s="15"/>
      <c r="G56" s="15"/>
      <c r="H56" s="15"/>
      <c r="I56" s="15"/>
      <c r="J56" s="15"/>
      <c r="K56" s="15"/>
      <c r="L56" s="15"/>
      <c r="M56" s="15"/>
      <c r="N56" s="15"/>
    </row>
    <row r="57" spans="1:14">
      <c r="A57" s="15"/>
      <c r="B57" s="15"/>
      <c r="C57" s="15"/>
      <c r="D57" s="15"/>
      <c r="E57" s="15"/>
      <c r="F57" s="15"/>
      <c r="G57" s="15"/>
      <c r="H57" s="15"/>
      <c r="I57" s="15"/>
      <c r="J57" s="15"/>
      <c r="K57" s="15"/>
      <c r="L57" s="15"/>
      <c r="M57" s="15"/>
      <c r="N57" s="15"/>
    </row>
    <row r="58" spans="1:14">
      <c r="A58" s="15"/>
      <c r="B58" s="15"/>
      <c r="C58" s="15"/>
      <c r="D58" s="15"/>
      <c r="E58" s="15"/>
      <c r="F58" s="15"/>
      <c r="G58" s="15"/>
      <c r="H58" s="15"/>
      <c r="I58" s="15"/>
      <c r="J58" s="15"/>
      <c r="K58" s="15"/>
      <c r="L58" s="15"/>
      <c r="M58" s="15"/>
      <c r="N58" s="15"/>
    </row>
    <row r="59" spans="1:14">
      <c r="A59" s="15"/>
      <c r="B59" s="15"/>
      <c r="C59" s="15"/>
      <c r="D59" s="15"/>
      <c r="E59" s="15"/>
      <c r="F59" s="15"/>
      <c r="G59" s="15"/>
      <c r="H59" s="15"/>
      <c r="I59" s="15"/>
      <c r="J59" s="15"/>
      <c r="K59" s="15"/>
      <c r="L59" s="15"/>
      <c r="M59" s="15"/>
      <c r="N59" s="15"/>
    </row>
    <row r="60" spans="1:14">
      <c r="A60" s="15"/>
      <c r="B60" s="15"/>
      <c r="C60" s="15"/>
      <c r="D60" s="15"/>
      <c r="E60" s="15"/>
      <c r="F60" s="15"/>
      <c r="G60" s="15"/>
      <c r="H60" s="15"/>
      <c r="I60" s="15"/>
      <c r="J60" s="15"/>
      <c r="K60" s="15"/>
      <c r="L60" s="15"/>
      <c r="M60" s="15"/>
      <c r="N60" s="15"/>
    </row>
    <row r="61" spans="1:14">
      <c r="A61" s="15"/>
      <c r="B61" s="15"/>
      <c r="C61" s="15"/>
      <c r="D61" s="15"/>
      <c r="E61" s="15"/>
      <c r="F61" s="15"/>
      <c r="G61" s="15"/>
      <c r="H61" s="15"/>
      <c r="I61" s="15"/>
      <c r="J61" s="15"/>
      <c r="K61" s="15"/>
      <c r="L61" s="15"/>
      <c r="M61" s="15"/>
      <c r="N61" s="15"/>
    </row>
    <row r="62" spans="1:14">
      <c r="A62" s="15"/>
      <c r="B62" s="15"/>
      <c r="C62" s="15"/>
      <c r="D62" s="15"/>
      <c r="E62" s="15"/>
      <c r="F62" s="15"/>
      <c r="G62" s="15"/>
      <c r="H62" s="15"/>
      <c r="I62" s="15"/>
      <c r="J62" s="15"/>
      <c r="K62" s="15"/>
      <c r="L62" s="15"/>
      <c r="M62" s="15"/>
      <c r="N62" s="15"/>
    </row>
    <row r="63" spans="1:14">
      <c r="A63" s="15"/>
      <c r="B63" s="15"/>
      <c r="C63" s="15"/>
      <c r="D63" s="15"/>
      <c r="E63" s="15"/>
      <c r="F63" s="15"/>
      <c r="G63" s="15"/>
      <c r="H63" s="15"/>
      <c r="I63" s="15"/>
      <c r="J63" s="15"/>
      <c r="K63" s="15"/>
      <c r="L63" s="15"/>
      <c r="M63" s="15"/>
      <c r="N63" s="15"/>
    </row>
    <row r="64" spans="1:14">
      <c r="A64" s="15"/>
      <c r="B64" s="15"/>
      <c r="C64" s="15"/>
      <c r="D64" s="15"/>
      <c r="E64" s="15"/>
      <c r="F64" s="15"/>
      <c r="G64" s="15"/>
      <c r="H64" s="15"/>
      <c r="I64" s="15"/>
      <c r="J64" s="15"/>
      <c r="K64" s="15"/>
      <c r="L64" s="15"/>
      <c r="M64" s="15"/>
      <c r="N64" s="15"/>
    </row>
    <row r="65" spans="1:14">
      <c r="A65" s="15"/>
      <c r="B65" s="15"/>
      <c r="C65" s="15"/>
      <c r="D65" s="15"/>
      <c r="E65" s="15"/>
      <c r="F65" s="15"/>
      <c r="G65" s="15"/>
      <c r="H65" s="15"/>
      <c r="I65" s="15"/>
      <c r="J65" s="15"/>
      <c r="K65" s="15"/>
      <c r="L65" s="15"/>
      <c r="M65" s="15"/>
      <c r="N65" s="15"/>
    </row>
    <row r="66" spans="1:14">
      <c r="A66" s="15"/>
      <c r="B66" s="15"/>
      <c r="C66" s="15"/>
      <c r="D66" s="15"/>
      <c r="E66" s="15"/>
      <c r="F66" s="15"/>
      <c r="G66" s="15"/>
      <c r="H66" s="15"/>
      <c r="I66" s="15"/>
      <c r="J66" s="15"/>
      <c r="K66" s="15"/>
      <c r="L66" s="15"/>
      <c r="M66" s="15"/>
      <c r="N66" s="15"/>
    </row>
    <row r="67" spans="1:14">
      <c r="A67" s="15"/>
      <c r="B67" s="15"/>
      <c r="C67" s="15"/>
      <c r="D67" s="15"/>
      <c r="E67" s="15"/>
      <c r="F67" s="15"/>
      <c r="G67" s="15"/>
      <c r="H67" s="15"/>
      <c r="I67" s="15"/>
      <c r="J67" s="15"/>
      <c r="K67" s="15"/>
      <c r="L67" s="15"/>
      <c r="M67" s="15"/>
      <c r="N67" s="15"/>
    </row>
    <row r="68" spans="1:14">
      <c r="A68" s="15"/>
      <c r="B68" s="15"/>
      <c r="C68" s="15"/>
      <c r="D68" s="15"/>
      <c r="E68" s="15"/>
      <c r="F68" s="15"/>
      <c r="G68" s="15"/>
      <c r="H68" s="15"/>
      <c r="I68" s="15"/>
      <c r="J68" s="15"/>
      <c r="K68" s="15"/>
      <c r="L68" s="15"/>
      <c r="M68" s="15"/>
      <c r="N68" s="15"/>
    </row>
    <row r="69" spans="1:14">
      <c r="A69" s="15"/>
      <c r="B69" s="15"/>
      <c r="C69" s="15"/>
      <c r="D69" s="15"/>
      <c r="E69" s="15"/>
      <c r="F69" s="15"/>
      <c r="G69" s="15"/>
      <c r="H69" s="15"/>
      <c r="I69" s="15"/>
      <c r="J69" s="15"/>
      <c r="K69" s="15"/>
      <c r="L69" s="15"/>
      <c r="M69" s="15"/>
      <c r="N69" s="15"/>
    </row>
    <row r="70" spans="1:14">
      <c r="A70" s="15"/>
      <c r="B70" s="15"/>
      <c r="C70" s="15"/>
      <c r="D70" s="15"/>
      <c r="E70" s="15"/>
      <c r="F70" s="15"/>
      <c r="G70" s="15"/>
      <c r="H70" s="15"/>
      <c r="I70" s="15"/>
      <c r="J70" s="15"/>
      <c r="K70" s="15"/>
      <c r="L70" s="15"/>
      <c r="M70" s="15"/>
      <c r="N70" s="15"/>
    </row>
    <row r="71" spans="1:14">
      <c r="A71" s="15"/>
      <c r="B71" s="15"/>
      <c r="C71" s="15"/>
      <c r="D71" s="15"/>
      <c r="E71" s="15"/>
      <c r="F71" s="15"/>
      <c r="G71" s="15"/>
      <c r="H71" s="15"/>
      <c r="I71" s="15"/>
      <c r="J71" s="15"/>
      <c r="K71" s="15"/>
      <c r="L71" s="15"/>
      <c r="M71" s="15"/>
      <c r="N71" s="15"/>
    </row>
    <row r="72" spans="1:14">
      <c r="A72" s="15"/>
      <c r="B72" s="15"/>
      <c r="C72" s="15"/>
      <c r="D72" s="15"/>
      <c r="E72" s="15"/>
      <c r="F72" s="15"/>
      <c r="G72" s="15"/>
      <c r="H72" s="15"/>
      <c r="I72" s="15"/>
      <c r="J72" s="15"/>
      <c r="K72" s="15"/>
      <c r="L72" s="15"/>
      <c r="M72" s="15"/>
      <c r="N72" s="15"/>
    </row>
    <row r="73" spans="1:14">
      <c r="A73" s="15"/>
      <c r="B73" s="15"/>
      <c r="C73" s="15"/>
      <c r="D73" s="15"/>
      <c r="E73" s="15"/>
      <c r="F73" s="15"/>
      <c r="G73" s="15"/>
      <c r="H73" s="15"/>
      <c r="I73" s="15"/>
      <c r="J73" s="15"/>
      <c r="K73" s="15"/>
      <c r="L73" s="15"/>
      <c r="M73" s="15"/>
      <c r="N73" s="15"/>
    </row>
    <row r="74" spans="1:14">
      <c r="A74" s="15"/>
      <c r="B74" s="15"/>
      <c r="C74" s="15"/>
      <c r="D74" s="15"/>
      <c r="E74" s="15"/>
      <c r="F74" s="15"/>
      <c r="G74" s="15"/>
      <c r="H74" s="15"/>
      <c r="I74" s="15"/>
      <c r="J74" s="15"/>
      <c r="K74" s="15"/>
      <c r="L74" s="15"/>
      <c r="M74" s="15"/>
      <c r="N74" s="15"/>
    </row>
    <row r="75" spans="1:14">
      <c r="A75" s="15"/>
      <c r="B75" s="15"/>
      <c r="C75" s="15"/>
      <c r="D75" s="15"/>
      <c r="E75" s="15"/>
      <c r="F75" s="15"/>
      <c r="G75" s="15"/>
      <c r="H75" s="15"/>
      <c r="I75" s="15"/>
      <c r="J75" s="15"/>
      <c r="K75" s="15"/>
      <c r="L75" s="15"/>
      <c r="M75" s="15"/>
      <c r="N75" s="15"/>
    </row>
    <row r="76" spans="1:14">
      <c r="A76" s="15"/>
      <c r="B76" s="15"/>
      <c r="C76" s="15"/>
      <c r="D76" s="15"/>
      <c r="E76" s="15"/>
      <c r="F76" s="15"/>
      <c r="G76" s="15"/>
      <c r="H76" s="15"/>
      <c r="I76" s="15"/>
      <c r="J76" s="15"/>
      <c r="K76" s="15"/>
      <c r="L76" s="15"/>
      <c r="M76" s="15"/>
      <c r="N76" s="15"/>
    </row>
    <row r="77" spans="1:14">
      <c r="A77" s="15"/>
      <c r="B77" s="15"/>
      <c r="C77" s="15"/>
      <c r="D77" s="15"/>
      <c r="E77" s="15"/>
      <c r="F77" s="15"/>
      <c r="G77" s="15"/>
      <c r="H77" s="15"/>
      <c r="I77" s="15"/>
      <c r="J77" s="15"/>
      <c r="K77" s="15"/>
      <c r="L77" s="15"/>
      <c r="M77" s="15"/>
      <c r="N77" s="15"/>
    </row>
    <row r="78" spans="1:14">
      <c r="A78" s="15"/>
      <c r="B78" s="15"/>
      <c r="C78" s="15"/>
      <c r="D78" s="15"/>
      <c r="E78" s="15"/>
      <c r="F78" s="15"/>
      <c r="G78" s="15"/>
      <c r="H78" s="15"/>
      <c r="I78" s="15"/>
      <c r="J78" s="15"/>
      <c r="K78" s="15"/>
      <c r="L78" s="15"/>
      <c r="M78" s="15"/>
      <c r="N78" s="15"/>
    </row>
    <row r="79" spans="1:14">
      <c r="A79" s="15"/>
      <c r="B79" s="15"/>
      <c r="C79" s="15"/>
      <c r="D79" s="15"/>
      <c r="E79" s="15"/>
      <c r="F79" s="15"/>
      <c r="G79" s="15"/>
      <c r="H79" s="15"/>
      <c r="I79" s="15"/>
      <c r="J79" s="15"/>
      <c r="K79" s="15"/>
      <c r="L79" s="15"/>
      <c r="M79" s="15"/>
      <c r="N79" s="15"/>
    </row>
    <row r="80" spans="1:14">
      <c r="A80" s="15"/>
      <c r="B80" s="15"/>
      <c r="C80" s="15"/>
      <c r="D80" s="15"/>
      <c r="E80" s="15"/>
      <c r="F80" s="15"/>
      <c r="G80" s="15"/>
      <c r="H80" s="15"/>
      <c r="I80" s="15"/>
      <c r="J80" s="15"/>
      <c r="K80" s="15"/>
      <c r="L80" s="15"/>
      <c r="M80" s="15"/>
      <c r="N80" s="15"/>
    </row>
    <row r="81" spans="1:14">
      <c r="A81" s="15"/>
      <c r="B81" s="15"/>
      <c r="C81" s="15"/>
      <c r="D81" s="15"/>
      <c r="E81" s="15"/>
      <c r="F81" s="15"/>
      <c r="G81" s="15"/>
      <c r="H81" s="15"/>
      <c r="I81" s="15"/>
      <c r="J81" s="15"/>
      <c r="K81" s="15"/>
      <c r="L81" s="15"/>
      <c r="M81" s="15"/>
      <c r="N81" s="15"/>
    </row>
    <row r="82" spans="1:14">
      <c r="A82" s="15"/>
      <c r="B82" s="15"/>
      <c r="C82" s="15"/>
      <c r="D82" s="15"/>
      <c r="E82" s="15"/>
      <c r="F82" s="15"/>
      <c r="G82" s="15"/>
      <c r="H82" s="15"/>
      <c r="I82" s="15"/>
      <c r="J82" s="15"/>
      <c r="K82" s="15"/>
      <c r="L82" s="15"/>
      <c r="M82" s="15"/>
      <c r="N82" s="15"/>
    </row>
    <row r="83" spans="1:14">
      <c r="A83" s="15"/>
      <c r="B83" s="15"/>
      <c r="C83" s="15"/>
      <c r="D83" s="15"/>
      <c r="E83" s="15"/>
      <c r="F83" s="15"/>
      <c r="G83" s="15"/>
      <c r="H83" s="15"/>
      <c r="I83" s="15"/>
      <c r="J83" s="15"/>
      <c r="K83" s="15"/>
      <c r="L83" s="15"/>
      <c r="M83" s="15"/>
      <c r="N83" s="15"/>
    </row>
    <row r="84" spans="1:14">
      <c r="A84" s="15"/>
      <c r="B84" s="15"/>
      <c r="C84" s="15"/>
      <c r="D84" s="15"/>
      <c r="E84" s="15"/>
      <c r="F84" s="15"/>
      <c r="G84" s="15"/>
      <c r="H84" s="15"/>
      <c r="I84" s="15"/>
      <c r="J84" s="15"/>
      <c r="K84" s="15"/>
      <c r="L84" s="15"/>
      <c r="M84" s="15"/>
      <c r="N84" s="15"/>
    </row>
    <row r="85" spans="1:14">
      <c r="A85" s="15"/>
      <c r="B85" s="15"/>
      <c r="C85" s="15"/>
      <c r="D85" s="15"/>
      <c r="E85" s="15"/>
      <c r="F85" s="15"/>
      <c r="G85" s="15"/>
      <c r="H85" s="15"/>
      <c r="I85" s="15"/>
      <c r="J85" s="15"/>
      <c r="K85" s="15"/>
      <c r="L85" s="15"/>
      <c r="M85" s="15"/>
      <c r="N85" s="15"/>
    </row>
    <row r="86" spans="1:14">
      <c r="A86" s="15"/>
      <c r="B86" s="15"/>
      <c r="C86" s="15"/>
      <c r="D86" s="15"/>
      <c r="E86" s="15"/>
      <c r="F86" s="15"/>
      <c r="G86" s="15"/>
      <c r="H86" s="15"/>
      <c r="I86" s="15"/>
      <c r="J86" s="15"/>
      <c r="K86" s="15"/>
      <c r="L86" s="15"/>
      <c r="M86" s="15"/>
      <c r="N86" s="15"/>
    </row>
    <row r="87" spans="1:14">
      <c r="A87" s="15"/>
      <c r="B87" s="15"/>
      <c r="C87" s="15"/>
      <c r="D87" s="15"/>
      <c r="E87" s="15"/>
      <c r="F87" s="15"/>
      <c r="G87" s="15"/>
      <c r="H87" s="15"/>
      <c r="I87" s="15"/>
      <c r="J87" s="15"/>
      <c r="K87" s="15"/>
      <c r="L87" s="15"/>
      <c r="M87" s="15"/>
      <c r="N87" s="15"/>
    </row>
    <row r="88" spans="1:14">
      <c r="A88" s="15"/>
      <c r="B88" s="15"/>
      <c r="C88" s="15"/>
      <c r="D88" s="15"/>
      <c r="E88" s="15"/>
      <c r="F88" s="15"/>
      <c r="G88" s="15"/>
      <c r="H88" s="15"/>
      <c r="I88" s="15"/>
      <c r="J88" s="15"/>
      <c r="K88" s="15"/>
      <c r="L88" s="15"/>
      <c r="M88" s="15"/>
      <c r="N88" s="15"/>
    </row>
    <row r="89" spans="1:14">
      <c r="A89" s="15"/>
      <c r="B89" s="15"/>
      <c r="C89" s="15"/>
      <c r="D89" s="15"/>
      <c r="E89" s="15"/>
      <c r="F89" s="15"/>
      <c r="G89" s="15"/>
      <c r="H89" s="15"/>
      <c r="I89" s="15"/>
      <c r="J89" s="15"/>
      <c r="K89" s="15"/>
      <c r="L89" s="15"/>
      <c r="M89" s="15"/>
      <c r="N89" s="15"/>
    </row>
    <row r="90" spans="1:14">
      <c r="A90" s="15"/>
      <c r="B90" s="15"/>
      <c r="C90" s="15"/>
      <c r="D90" s="15"/>
      <c r="E90" s="15"/>
      <c r="F90" s="15"/>
      <c r="G90" s="15"/>
      <c r="H90" s="15"/>
      <c r="I90" s="15"/>
      <c r="J90" s="15"/>
      <c r="K90" s="15"/>
      <c r="L90" s="15"/>
      <c r="M90" s="15"/>
      <c r="N90" s="15"/>
    </row>
    <row r="91" spans="1:14">
      <c r="A91" s="15"/>
      <c r="B91" s="15"/>
      <c r="C91" s="15"/>
      <c r="D91" s="15"/>
      <c r="E91" s="15"/>
      <c r="F91" s="15"/>
      <c r="G91" s="15"/>
      <c r="H91" s="15"/>
      <c r="I91" s="15"/>
      <c r="J91" s="15"/>
      <c r="K91" s="15"/>
      <c r="L91" s="15"/>
      <c r="M91" s="15"/>
      <c r="N91" s="15"/>
    </row>
    <row r="92" spans="1:14">
      <c r="A92" s="15"/>
      <c r="B92" s="15"/>
      <c r="C92" s="15"/>
      <c r="D92" s="15"/>
      <c r="E92" s="15"/>
      <c r="F92" s="15"/>
      <c r="G92" s="15"/>
      <c r="H92" s="15"/>
      <c r="I92" s="15"/>
      <c r="J92" s="15"/>
      <c r="K92" s="15"/>
      <c r="L92" s="15"/>
      <c r="M92" s="15"/>
      <c r="N92" s="15"/>
    </row>
    <row r="93" spans="1:14">
      <c r="A93" s="15"/>
      <c r="B93" s="15"/>
      <c r="C93" s="15"/>
      <c r="D93" s="15"/>
      <c r="E93" s="15"/>
      <c r="F93" s="15"/>
      <c r="G93" s="15"/>
      <c r="H93" s="15"/>
      <c r="I93" s="15"/>
      <c r="J93" s="15"/>
      <c r="K93" s="15"/>
      <c r="L93" s="15"/>
      <c r="M93" s="15"/>
      <c r="N93" s="15"/>
    </row>
    <row r="94" spans="1:14">
      <c r="A94" s="15"/>
      <c r="B94" s="15"/>
      <c r="C94" s="15"/>
      <c r="D94" s="15"/>
      <c r="E94" s="15"/>
      <c r="F94" s="15"/>
      <c r="G94" s="15"/>
      <c r="H94" s="15"/>
      <c r="I94" s="15"/>
      <c r="J94" s="15"/>
      <c r="K94" s="15"/>
      <c r="L94" s="15"/>
      <c r="M94" s="15"/>
      <c r="N94" s="15"/>
    </row>
    <row r="95" spans="1:14">
      <c r="A95" s="15"/>
      <c r="B95" s="15"/>
      <c r="C95" s="15"/>
      <c r="D95" s="15"/>
      <c r="E95" s="15"/>
      <c r="F95" s="15"/>
      <c r="G95" s="15"/>
      <c r="H95" s="15"/>
      <c r="I95" s="15"/>
      <c r="J95" s="15"/>
      <c r="K95" s="15"/>
      <c r="L95" s="15"/>
      <c r="M95" s="15"/>
      <c r="N95" s="15"/>
    </row>
    <row r="96" spans="1:14">
      <c r="A96" s="15"/>
      <c r="B96" s="15"/>
      <c r="C96" s="15"/>
      <c r="D96" s="15"/>
      <c r="E96" s="15"/>
      <c r="F96" s="15"/>
      <c r="G96" s="15"/>
      <c r="H96" s="15"/>
      <c r="I96" s="15"/>
      <c r="J96" s="15"/>
      <c r="K96" s="15"/>
      <c r="L96" s="15"/>
      <c r="M96" s="15"/>
      <c r="N96" s="15"/>
    </row>
    <row r="97" spans="1:14">
      <c r="A97" s="15"/>
      <c r="B97" s="15"/>
      <c r="C97" s="15"/>
      <c r="D97" s="15"/>
      <c r="E97" s="15"/>
      <c r="F97" s="15"/>
      <c r="G97" s="15"/>
      <c r="H97" s="15"/>
      <c r="I97" s="15"/>
      <c r="J97" s="15"/>
      <c r="K97" s="15"/>
      <c r="L97" s="15"/>
      <c r="M97" s="15"/>
      <c r="N97" s="15"/>
    </row>
    <row r="98" spans="1:14">
      <c r="A98" s="15"/>
      <c r="B98" s="15"/>
      <c r="C98" s="15"/>
      <c r="D98" s="15"/>
      <c r="E98" s="15"/>
      <c r="F98" s="15"/>
      <c r="G98" s="15"/>
      <c r="H98" s="15"/>
      <c r="I98" s="15"/>
      <c r="J98" s="15"/>
      <c r="K98" s="15"/>
      <c r="L98" s="15"/>
      <c r="M98" s="15"/>
      <c r="N98" s="15"/>
    </row>
    <row r="99" spans="1:14">
      <c r="A99" s="15"/>
      <c r="B99" s="15"/>
      <c r="C99" s="15"/>
      <c r="D99" s="15"/>
      <c r="E99" s="15"/>
      <c r="F99" s="15"/>
      <c r="G99" s="15"/>
      <c r="H99" s="15"/>
      <c r="I99" s="15"/>
      <c r="J99" s="15"/>
      <c r="K99" s="15"/>
      <c r="L99" s="15"/>
      <c r="M99" s="15"/>
      <c r="N99" s="15"/>
    </row>
    <row r="100" spans="1:14">
      <c r="A100" s="15"/>
      <c r="B100" s="15"/>
      <c r="C100" s="15"/>
      <c r="D100" s="15"/>
      <c r="E100" s="15"/>
      <c r="F100" s="15"/>
      <c r="G100" s="15"/>
      <c r="H100" s="15"/>
      <c r="I100" s="15"/>
      <c r="J100" s="15"/>
      <c r="K100" s="15"/>
      <c r="L100" s="15"/>
      <c r="M100" s="15"/>
      <c r="N100" s="15"/>
    </row>
    <row r="101" spans="1:14">
      <c r="A101" s="15"/>
      <c r="B101" s="15"/>
      <c r="C101" s="15"/>
      <c r="D101" s="15"/>
      <c r="E101" s="15"/>
      <c r="F101" s="15"/>
      <c r="G101" s="15"/>
      <c r="H101" s="15"/>
      <c r="I101" s="15"/>
      <c r="J101" s="15"/>
      <c r="K101" s="15"/>
      <c r="L101" s="15"/>
      <c r="M101" s="15"/>
      <c r="N101" s="15"/>
    </row>
    <row r="102" spans="1:14">
      <c r="A102" s="15"/>
      <c r="B102" s="15"/>
      <c r="C102" s="15"/>
      <c r="D102" s="15"/>
      <c r="E102" s="15"/>
      <c r="F102" s="15"/>
      <c r="G102" s="15"/>
      <c r="H102" s="15"/>
      <c r="I102" s="15"/>
      <c r="J102" s="15"/>
      <c r="K102" s="15"/>
      <c r="L102" s="15"/>
      <c r="M102" s="15"/>
      <c r="N102" s="15"/>
    </row>
    <row r="103" spans="1:14">
      <c r="A103" s="15"/>
      <c r="B103" s="15"/>
      <c r="C103" s="15"/>
      <c r="D103" s="15"/>
      <c r="E103" s="15"/>
      <c r="F103" s="15"/>
      <c r="G103" s="15"/>
      <c r="H103" s="15"/>
      <c r="I103" s="15"/>
      <c r="J103" s="15"/>
      <c r="K103" s="15"/>
      <c r="L103" s="15"/>
      <c r="M103" s="15"/>
      <c r="N103" s="15"/>
    </row>
    <row r="104" spans="1:14">
      <c r="A104" s="15"/>
      <c r="B104" s="15"/>
      <c r="C104" s="15"/>
      <c r="D104" s="15"/>
      <c r="E104" s="15"/>
      <c r="F104" s="15"/>
      <c r="G104" s="15"/>
      <c r="H104" s="15"/>
      <c r="I104" s="15"/>
      <c r="J104" s="15"/>
      <c r="K104" s="15"/>
      <c r="L104" s="15"/>
      <c r="M104" s="15"/>
      <c r="N104" s="15"/>
    </row>
    <row r="105" spans="1:14">
      <c r="A105" s="15"/>
      <c r="B105" s="15"/>
      <c r="C105" s="15"/>
      <c r="D105" s="15"/>
      <c r="E105" s="15"/>
      <c r="F105" s="15"/>
      <c r="G105" s="15"/>
      <c r="H105" s="15"/>
      <c r="I105" s="15"/>
      <c r="J105" s="15"/>
      <c r="K105" s="15"/>
      <c r="L105" s="15"/>
      <c r="M105" s="15"/>
      <c r="N105" s="15"/>
    </row>
    <row r="106" spans="1:14">
      <c r="A106" s="15"/>
      <c r="B106" s="15"/>
      <c r="C106" s="15"/>
      <c r="D106" s="15"/>
      <c r="E106" s="15"/>
      <c r="F106" s="15"/>
      <c r="G106" s="15"/>
      <c r="H106" s="15"/>
      <c r="I106" s="15"/>
      <c r="J106" s="15"/>
      <c r="K106" s="15"/>
      <c r="L106" s="15"/>
      <c r="M106" s="15"/>
      <c r="N106" s="15"/>
    </row>
    <row r="107" spans="1:14">
      <c r="A107" s="15"/>
      <c r="B107" s="15"/>
      <c r="C107" s="15"/>
      <c r="D107" s="15"/>
      <c r="E107" s="15"/>
      <c r="F107" s="15"/>
      <c r="G107" s="15"/>
      <c r="H107" s="15"/>
      <c r="I107" s="15"/>
      <c r="J107" s="15"/>
      <c r="K107" s="15"/>
      <c r="L107" s="15"/>
      <c r="M107" s="15"/>
      <c r="N107" s="15"/>
    </row>
    <row r="108" spans="1:14">
      <c r="A108" s="15"/>
      <c r="B108" s="15"/>
      <c r="C108" s="15"/>
      <c r="D108" s="15"/>
      <c r="E108" s="15"/>
      <c r="F108" s="15"/>
      <c r="G108" s="15"/>
      <c r="H108" s="15"/>
      <c r="I108" s="15"/>
      <c r="J108" s="15"/>
      <c r="K108" s="15"/>
      <c r="L108" s="15"/>
      <c r="M108" s="15"/>
      <c r="N108" s="15"/>
    </row>
    <row r="109" spans="1:14">
      <c r="A109" s="15"/>
      <c r="B109" s="15"/>
      <c r="C109" s="15"/>
      <c r="D109" s="15"/>
      <c r="E109" s="15"/>
      <c r="F109" s="15"/>
      <c r="G109" s="15"/>
      <c r="H109" s="15"/>
      <c r="I109" s="15"/>
      <c r="J109" s="15"/>
      <c r="K109" s="15"/>
      <c r="L109" s="15"/>
      <c r="M109" s="15"/>
      <c r="N109" s="15"/>
    </row>
    <row r="110" spans="1:14">
      <c r="A110" s="15"/>
      <c r="B110" s="15"/>
      <c r="C110" s="15"/>
      <c r="D110" s="15"/>
      <c r="E110" s="15"/>
      <c r="F110" s="15"/>
      <c r="G110" s="15"/>
      <c r="H110" s="15"/>
      <c r="I110" s="15"/>
      <c r="J110" s="15"/>
      <c r="K110" s="15"/>
      <c r="L110" s="15"/>
      <c r="M110" s="15"/>
      <c r="N110" s="15"/>
    </row>
    <row r="111" spans="1:14">
      <c r="A111" s="15"/>
      <c r="B111" s="15"/>
      <c r="C111" s="15"/>
      <c r="D111" s="15"/>
      <c r="E111" s="15"/>
      <c r="F111" s="15"/>
      <c r="G111" s="15"/>
      <c r="H111" s="15"/>
      <c r="I111" s="15"/>
      <c r="J111" s="15"/>
      <c r="K111" s="15"/>
      <c r="L111" s="15"/>
      <c r="M111" s="15"/>
      <c r="N111" s="15"/>
    </row>
    <row r="112" spans="1:14">
      <c r="A112" s="15"/>
      <c r="B112" s="15"/>
      <c r="C112" s="15"/>
      <c r="D112" s="15"/>
      <c r="E112" s="15"/>
      <c r="F112" s="15"/>
      <c r="G112" s="15"/>
      <c r="H112" s="15"/>
      <c r="I112" s="15"/>
      <c r="J112" s="15"/>
      <c r="K112" s="15"/>
      <c r="L112" s="15"/>
      <c r="M112" s="15"/>
      <c r="N112" s="15"/>
    </row>
    <row r="113" spans="1:14">
      <c r="A113" s="15"/>
      <c r="B113" s="15"/>
      <c r="C113" s="15"/>
      <c r="D113" s="15"/>
      <c r="E113" s="15"/>
      <c r="F113" s="15"/>
      <c r="G113" s="15"/>
      <c r="H113" s="15"/>
      <c r="I113" s="15"/>
      <c r="J113" s="15"/>
      <c r="K113" s="15"/>
      <c r="L113" s="15"/>
      <c r="M113" s="15"/>
      <c r="N113" s="15"/>
    </row>
    <row r="114" spans="1:14">
      <c r="A114" s="15"/>
      <c r="B114" s="15"/>
      <c r="C114" s="15"/>
      <c r="D114" s="15"/>
      <c r="E114" s="15"/>
      <c r="F114" s="15"/>
      <c r="G114" s="15"/>
      <c r="H114" s="15"/>
      <c r="I114" s="15"/>
      <c r="J114" s="15"/>
      <c r="K114" s="15"/>
      <c r="L114" s="15"/>
      <c r="M114" s="15"/>
      <c r="N114" s="15"/>
    </row>
    <row r="115" spans="1:14">
      <c r="A115" s="15"/>
      <c r="B115" s="15"/>
      <c r="C115" s="15"/>
      <c r="D115" s="15"/>
      <c r="E115" s="15"/>
      <c r="F115" s="15"/>
      <c r="G115" s="15"/>
      <c r="H115" s="15"/>
      <c r="I115" s="15"/>
      <c r="J115" s="15"/>
      <c r="K115" s="15"/>
      <c r="L115" s="15"/>
      <c r="M115" s="15"/>
      <c r="N115" s="15"/>
    </row>
    <row r="116" spans="1:14">
      <c r="A116" s="15"/>
      <c r="B116" s="15"/>
      <c r="C116" s="15"/>
      <c r="D116" s="15"/>
      <c r="E116" s="15"/>
      <c r="F116" s="15"/>
      <c r="G116" s="15"/>
      <c r="H116" s="15"/>
      <c r="I116" s="15"/>
      <c r="J116" s="15"/>
      <c r="K116" s="15"/>
      <c r="L116" s="15"/>
      <c r="M116" s="15"/>
      <c r="N116" s="15"/>
    </row>
    <row r="117" spans="1:14">
      <c r="A117" s="15"/>
      <c r="B117" s="15"/>
      <c r="C117" s="15"/>
      <c r="D117" s="15"/>
      <c r="E117" s="15"/>
      <c r="F117" s="15"/>
      <c r="G117" s="15"/>
      <c r="H117" s="15"/>
      <c r="I117" s="15"/>
      <c r="J117" s="15"/>
      <c r="K117" s="15"/>
      <c r="L117" s="15"/>
      <c r="M117" s="15"/>
      <c r="N117" s="15"/>
    </row>
    <row r="118" spans="1:14">
      <c r="A118" s="15"/>
      <c r="B118" s="15"/>
      <c r="C118" s="15"/>
      <c r="D118" s="15"/>
      <c r="E118" s="15"/>
      <c r="F118" s="15"/>
      <c r="G118" s="15"/>
      <c r="H118" s="15"/>
      <c r="I118" s="15"/>
      <c r="J118" s="15"/>
      <c r="K118" s="15"/>
      <c r="L118" s="15"/>
      <c r="M118" s="15"/>
      <c r="N118" s="15"/>
    </row>
    <row r="119" spans="1:14">
      <c r="A119" s="15"/>
      <c r="B119" s="15"/>
      <c r="C119" s="15"/>
      <c r="D119" s="15"/>
      <c r="E119" s="15"/>
      <c r="F119" s="15"/>
      <c r="G119" s="15"/>
      <c r="H119" s="15"/>
      <c r="I119" s="15"/>
      <c r="J119" s="15"/>
      <c r="K119" s="15"/>
      <c r="L119" s="15"/>
      <c r="M119" s="15"/>
      <c r="N119" s="15"/>
    </row>
    <row r="120" spans="1:14">
      <c r="A120" s="15"/>
      <c r="B120" s="15"/>
      <c r="C120" s="15"/>
      <c r="D120" s="15"/>
      <c r="E120" s="15"/>
      <c r="F120" s="15"/>
      <c r="G120" s="15"/>
      <c r="H120" s="15"/>
      <c r="I120" s="15"/>
      <c r="J120" s="15"/>
      <c r="K120" s="15"/>
      <c r="L120" s="15"/>
      <c r="M120" s="15"/>
      <c r="N120" s="15"/>
    </row>
    <row r="121" spans="1:14">
      <c r="A121" s="15"/>
      <c r="B121" s="15"/>
      <c r="C121" s="15"/>
      <c r="D121" s="15"/>
      <c r="E121" s="15"/>
      <c r="F121" s="15"/>
      <c r="G121" s="15"/>
      <c r="H121" s="15"/>
      <c r="I121" s="15"/>
      <c r="J121" s="15"/>
      <c r="K121" s="15"/>
      <c r="L121" s="15"/>
      <c r="M121" s="15"/>
      <c r="N121" s="15"/>
    </row>
    <row r="122" spans="1:14">
      <c r="A122" s="15"/>
      <c r="B122" s="15"/>
      <c r="C122" s="15"/>
      <c r="D122" s="15"/>
      <c r="E122" s="15"/>
      <c r="F122" s="15"/>
      <c r="G122" s="15"/>
      <c r="H122" s="15"/>
      <c r="I122" s="15"/>
      <c r="J122" s="15"/>
      <c r="K122" s="15"/>
      <c r="L122" s="15"/>
      <c r="M122" s="15"/>
      <c r="N122" s="15"/>
    </row>
    <row r="123" spans="1:14">
      <c r="A123" s="15"/>
      <c r="B123" s="15"/>
      <c r="C123" s="15"/>
      <c r="D123" s="15"/>
      <c r="E123" s="15"/>
      <c r="F123" s="15"/>
      <c r="G123" s="15"/>
      <c r="H123" s="15"/>
      <c r="I123" s="15"/>
      <c r="J123" s="15"/>
      <c r="K123" s="15"/>
      <c r="L123" s="15"/>
      <c r="M123" s="15"/>
      <c r="N123" s="15"/>
    </row>
    <row r="124" spans="1:14">
      <c r="A124" s="15"/>
      <c r="B124" s="15"/>
      <c r="C124" s="15"/>
      <c r="D124" s="15"/>
      <c r="E124" s="15"/>
      <c r="F124" s="15"/>
      <c r="G124" s="15"/>
      <c r="H124" s="15"/>
      <c r="I124" s="15"/>
      <c r="J124" s="15"/>
      <c r="K124" s="15"/>
      <c r="L124" s="15"/>
      <c r="M124" s="15"/>
      <c r="N124" s="15"/>
    </row>
    <row r="125" spans="1:14">
      <c r="A125" s="15"/>
      <c r="B125" s="15"/>
      <c r="C125" s="15"/>
      <c r="D125" s="15"/>
      <c r="E125" s="15"/>
      <c r="F125" s="15"/>
      <c r="G125" s="15"/>
      <c r="H125" s="15"/>
      <c r="I125" s="15"/>
      <c r="J125" s="15"/>
      <c r="K125" s="15"/>
      <c r="L125" s="15"/>
      <c r="M125" s="15"/>
      <c r="N125" s="15"/>
    </row>
    <row r="126" spans="1:14">
      <c r="A126" s="15"/>
      <c r="B126" s="15"/>
      <c r="C126" s="15"/>
      <c r="D126" s="15"/>
      <c r="E126" s="15"/>
      <c r="F126" s="15"/>
      <c r="G126" s="15"/>
      <c r="H126" s="15"/>
      <c r="I126" s="15"/>
      <c r="J126" s="15"/>
      <c r="K126" s="15"/>
      <c r="L126" s="15"/>
      <c r="M126" s="15"/>
      <c r="N126" s="15"/>
    </row>
    <row r="127" spans="1:14">
      <c r="A127" s="15"/>
      <c r="B127" s="15"/>
      <c r="C127" s="15"/>
      <c r="D127" s="15"/>
      <c r="E127" s="15"/>
      <c r="F127" s="15"/>
      <c r="G127" s="15"/>
      <c r="H127" s="15"/>
      <c r="I127" s="15"/>
      <c r="J127" s="15"/>
      <c r="K127" s="15"/>
      <c r="L127" s="15"/>
      <c r="M127" s="15"/>
      <c r="N127" s="15"/>
    </row>
    <row r="128" spans="1:14">
      <c r="A128" s="15"/>
      <c r="B128" s="15"/>
      <c r="C128" s="15"/>
      <c r="D128" s="15"/>
      <c r="E128" s="15"/>
      <c r="F128" s="15"/>
      <c r="G128" s="15"/>
      <c r="H128" s="15"/>
      <c r="I128" s="15"/>
      <c r="J128" s="15"/>
      <c r="K128" s="15"/>
      <c r="L128" s="15"/>
      <c r="M128" s="15"/>
      <c r="N128" s="15"/>
    </row>
    <row r="129" spans="1:14">
      <c r="A129" s="15"/>
      <c r="B129" s="15"/>
      <c r="C129" s="15"/>
      <c r="D129" s="15"/>
      <c r="E129" s="15"/>
      <c r="F129" s="15"/>
      <c r="G129" s="15"/>
      <c r="H129" s="15"/>
      <c r="I129" s="15"/>
      <c r="J129" s="15"/>
      <c r="K129" s="15"/>
      <c r="L129" s="15"/>
      <c r="M129" s="15"/>
      <c r="N129" s="15"/>
    </row>
    <row r="130" spans="1:14">
      <c r="A130" s="15"/>
      <c r="B130" s="15"/>
      <c r="C130" s="15"/>
      <c r="D130" s="15"/>
      <c r="E130" s="15"/>
      <c r="F130" s="15"/>
      <c r="G130" s="15"/>
      <c r="H130" s="15"/>
      <c r="I130" s="15"/>
      <c r="J130" s="15"/>
      <c r="K130" s="15"/>
      <c r="L130" s="15"/>
      <c r="M130" s="15"/>
      <c r="N130" s="15"/>
    </row>
    <row r="131" spans="1:14">
      <c r="A131" s="15"/>
      <c r="B131" s="15"/>
      <c r="C131" s="15"/>
      <c r="D131" s="15"/>
      <c r="E131" s="15"/>
      <c r="F131" s="15"/>
      <c r="G131" s="15"/>
      <c r="H131" s="15"/>
      <c r="I131" s="15"/>
      <c r="J131" s="15"/>
      <c r="K131" s="15"/>
      <c r="L131" s="15"/>
      <c r="M131" s="15"/>
      <c r="N131" s="15"/>
    </row>
    <row r="132" spans="1:14">
      <c r="A132" s="15"/>
      <c r="B132" s="15"/>
      <c r="C132" s="15"/>
      <c r="D132" s="15"/>
      <c r="E132" s="15"/>
      <c r="F132" s="15"/>
      <c r="G132" s="15"/>
      <c r="H132" s="15"/>
      <c r="I132" s="15"/>
      <c r="J132" s="15"/>
      <c r="K132" s="15"/>
      <c r="L132" s="15"/>
      <c r="M132" s="15"/>
      <c r="N132" s="15"/>
    </row>
    <row r="133" spans="1:14">
      <c r="A133" s="15"/>
      <c r="B133" s="15"/>
      <c r="C133" s="15"/>
      <c r="D133" s="15"/>
      <c r="E133" s="15"/>
      <c r="F133" s="15"/>
      <c r="G133" s="15"/>
      <c r="H133" s="15"/>
      <c r="I133" s="15"/>
      <c r="J133" s="15"/>
      <c r="K133" s="15"/>
      <c r="L133" s="15"/>
      <c r="M133" s="15"/>
      <c r="N133" s="15"/>
    </row>
    <row r="134" spans="1:14">
      <c r="A134" s="15"/>
      <c r="B134" s="15"/>
      <c r="C134" s="15"/>
      <c r="D134" s="15"/>
      <c r="E134" s="15"/>
      <c r="F134" s="15"/>
      <c r="G134" s="15"/>
      <c r="H134" s="15"/>
      <c r="I134" s="15"/>
      <c r="J134" s="15"/>
      <c r="K134" s="15"/>
      <c r="L134" s="15"/>
      <c r="M134" s="15"/>
      <c r="N134" s="15"/>
    </row>
    <row r="135" spans="1:14">
      <c r="A135" s="15"/>
      <c r="B135" s="15"/>
      <c r="C135" s="15"/>
      <c r="D135" s="15"/>
      <c r="E135" s="15"/>
      <c r="F135" s="15"/>
      <c r="G135" s="15"/>
      <c r="H135" s="15"/>
      <c r="I135" s="15"/>
      <c r="J135" s="15"/>
      <c r="K135" s="15"/>
      <c r="L135" s="15"/>
      <c r="M135" s="15"/>
      <c r="N135" s="15"/>
    </row>
    <row r="136" spans="1:14">
      <c r="A136" s="15"/>
      <c r="B136" s="15"/>
      <c r="C136" s="15"/>
      <c r="D136" s="15"/>
      <c r="E136" s="15"/>
      <c r="F136" s="15"/>
      <c r="G136" s="15"/>
      <c r="H136" s="15"/>
      <c r="I136" s="15"/>
      <c r="J136" s="15"/>
      <c r="K136" s="15"/>
      <c r="L136" s="15"/>
      <c r="M136" s="15"/>
      <c r="N136" s="15"/>
    </row>
    <row r="137" spans="1:14">
      <c r="A137" s="15"/>
      <c r="B137" s="15"/>
      <c r="C137" s="15"/>
      <c r="D137" s="15"/>
      <c r="E137" s="15"/>
      <c r="F137" s="15"/>
      <c r="G137" s="15"/>
      <c r="H137" s="15"/>
      <c r="I137" s="15"/>
      <c r="J137" s="15"/>
      <c r="K137" s="15"/>
      <c r="L137" s="15"/>
      <c r="M137" s="15"/>
      <c r="N137" s="15"/>
    </row>
    <row r="138" spans="1:14">
      <c r="A138" s="15"/>
      <c r="B138" s="15"/>
      <c r="C138" s="15"/>
      <c r="D138" s="15"/>
      <c r="E138" s="15"/>
      <c r="F138" s="15"/>
      <c r="G138" s="15"/>
      <c r="H138" s="15"/>
      <c r="I138" s="15"/>
      <c r="J138" s="15"/>
      <c r="K138" s="15"/>
      <c r="L138" s="15"/>
      <c r="M138" s="15"/>
      <c r="N138" s="15"/>
    </row>
    <row r="139" spans="1:14">
      <c r="A139" s="15"/>
      <c r="B139" s="15"/>
      <c r="C139" s="15"/>
      <c r="D139" s="15"/>
      <c r="E139" s="15"/>
      <c r="F139" s="15"/>
      <c r="G139" s="15"/>
      <c r="H139" s="15"/>
      <c r="I139" s="15"/>
      <c r="J139" s="15"/>
      <c r="K139" s="15"/>
      <c r="L139" s="15"/>
      <c r="M139" s="15"/>
      <c r="N139" s="15"/>
    </row>
    <row r="140" spans="1:14">
      <c r="A140" s="15"/>
      <c r="B140" s="15"/>
      <c r="C140" s="15"/>
      <c r="D140" s="15"/>
      <c r="E140" s="15"/>
      <c r="F140" s="15"/>
      <c r="G140" s="15"/>
      <c r="H140" s="15"/>
      <c r="I140" s="15"/>
      <c r="J140" s="15"/>
      <c r="K140" s="15"/>
      <c r="L140" s="15"/>
      <c r="M140" s="15"/>
      <c r="N140" s="15"/>
    </row>
    <row r="141" spans="1:14">
      <c r="A141" s="15"/>
      <c r="B141" s="15"/>
      <c r="C141" s="15"/>
      <c r="D141" s="15"/>
      <c r="E141" s="15"/>
      <c r="F141" s="15"/>
      <c r="G141" s="15"/>
      <c r="H141" s="15"/>
      <c r="I141" s="15"/>
      <c r="J141" s="15"/>
      <c r="K141" s="15"/>
      <c r="L141" s="15"/>
      <c r="M141" s="15"/>
      <c r="N141" s="15"/>
    </row>
    <row r="142" spans="1:14">
      <c r="A142" s="15"/>
      <c r="B142" s="15"/>
      <c r="C142" s="15"/>
      <c r="D142" s="15"/>
      <c r="E142" s="15"/>
      <c r="F142" s="15"/>
      <c r="G142" s="15"/>
      <c r="H142" s="15"/>
      <c r="I142" s="15"/>
      <c r="J142" s="15"/>
      <c r="K142" s="15"/>
      <c r="L142" s="15"/>
      <c r="M142" s="15"/>
      <c r="N142" s="15"/>
    </row>
    <row r="143" spans="1:14">
      <c r="A143" s="15"/>
      <c r="B143" s="15"/>
      <c r="C143" s="15"/>
      <c r="D143" s="15"/>
      <c r="E143" s="15"/>
      <c r="F143" s="15"/>
      <c r="G143" s="15"/>
      <c r="H143" s="15"/>
      <c r="I143" s="15"/>
      <c r="J143" s="15"/>
      <c r="K143" s="15"/>
      <c r="L143" s="15"/>
      <c r="M143" s="15"/>
      <c r="N143" s="15"/>
    </row>
    <row r="144" spans="1:14">
      <c r="A144" s="15"/>
      <c r="B144" s="15"/>
      <c r="C144" s="15"/>
      <c r="D144" s="15"/>
      <c r="E144" s="15"/>
      <c r="F144" s="15"/>
      <c r="G144" s="15"/>
      <c r="H144" s="15"/>
      <c r="I144" s="15"/>
      <c r="J144" s="15"/>
      <c r="K144" s="15"/>
      <c r="L144" s="15"/>
      <c r="M144" s="15"/>
      <c r="N144" s="15"/>
    </row>
    <row r="145" spans="1:14">
      <c r="A145" s="15"/>
      <c r="B145" s="15"/>
      <c r="C145" s="15"/>
      <c r="D145" s="15"/>
      <c r="E145" s="15"/>
      <c r="F145" s="15"/>
      <c r="G145" s="15"/>
      <c r="H145" s="15"/>
      <c r="I145" s="15"/>
      <c r="J145" s="15"/>
      <c r="K145" s="15"/>
      <c r="L145" s="15"/>
      <c r="M145" s="15"/>
      <c r="N145" s="15"/>
    </row>
    <row r="146" spans="1:14">
      <c r="A146" s="15"/>
      <c r="B146" s="15"/>
      <c r="C146" s="15"/>
      <c r="D146" s="15"/>
      <c r="E146" s="15"/>
      <c r="F146" s="15"/>
      <c r="G146" s="15"/>
      <c r="H146" s="15"/>
      <c r="I146" s="15"/>
      <c r="J146" s="15"/>
      <c r="K146" s="15"/>
      <c r="L146" s="15"/>
      <c r="M146" s="15"/>
      <c r="N146" s="15"/>
    </row>
    <row r="147" spans="1:14">
      <c r="A147" s="15"/>
      <c r="B147" s="15"/>
      <c r="C147" s="15"/>
      <c r="D147" s="15"/>
      <c r="E147" s="15"/>
      <c r="F147" s="15"/>
      <c r="G147" s="15"/>
      <c r="H147" s="15"/>
      <c r="I147" s="15"/>
      <c r="J147" s="15"/>
      <c r="K147" s="15"/>
      <c r="L147" s="15"/>
      <c r="M147" s="15"/>
      <c r="N147" s="15"/>
    </row>
    <row r="148" spans="1:14">
      <c r="A148" s="15"/>
      <c r="B148" s="15"/>
      <c r="C148" s="15"/>
      <c r="D148" s="15"/>
      <c r="E148" s="15"/>
      <c r="F148" s="15"/>
      <c r="G148" s="15"/>
      <c r="H148" s="15"/>
      <c r="I148" s="15"/>
      <c r="J148" s="15"/>
      <c r="K148" s="15"/>
      <c r="L148" s="15"/>
      <c r="M148" s="15"/>
      <c r="N148" s="15"/>
    </row>
    <row r="149" spans="1:14">
      <c r="A149" s="15"/>
      <c r="B149" s="15"/>
      <c r="C149" s="15"/>
      <c r="D149" s="15"/>
      <c r="E149" s="15"/>
      <c r="F149" s="15"/>
      <c r="G149" s="15"/>
      <c r="H149" s="15"/>
      <c r="I149" s="15"/>
      <c r="J149" s="15"/>
      <c r="K149" s="15"/>
      <c r="L149" s="15"/>
      <c r="M149" s="15"/>
      <c r="N149" s="15"/>
    </row>
    <row r="150" spans="1:14">
      <c r="A150" s="15"/>
      <c r="B150" s="15"/>
      <c r="C150" s="15"/>
      <c r="D150" s="15"/>
      <c r="E150" s="15"/>
      <c r="F150" s="15"/>
      <c r="G150" s="15"/>
      <c r="H150" s="15"/>
      <c r="I150" s="15"/>
      <c r="J150" s="15"/>
      <c r="K150" s="15"/>
      <c r="L150" s="15"/>
      <c r="M150" s="15"/>
      <c r="N150" s="15"/>
    </row>
    <row r="151" spans="1:14">
      <c r="A151" s="15"/>
      <c r="B151" s="15"/>
      <c r="C151" s="15"/>
      <c r="D151" s="15"/>
      <c r="E151" s="15"/>
      <c r="F151" s="15"/>
      <c r="G151" s="15"/>
      <c r="H151" s="15"/>
      <c r="I151" s="15"/>
      <c r="J151" s="15"/>
      <c r="K151" s="15"/>
      <c r="L151" s="15"/>
      <c r="M151" s="15"/>
      <c r="N151" s="15"/>
    </row>
    <row r="152" spans="1:14">
      <c r="A152" s="15"/>
      <c r="B152" s="15"/>
      <c r="C152" s="15"/>
      <c r="D152" s="15"/>
      <c r="E152" s="15"/>
      <c r="F152" s="15"/>
      <c r="G152" s="15"/>
      <c r="H152" s="15"/>
      <c r="I152" s="15"/>
      <c r="J152" s="15"/>
      <c r="K152" s="15"/>
      <c r="L152" s="15"/>
      <c r="M152" s="15"/>
      <c r="N152" s="15"/>
    </row>
    <row r="153" spans="1:14">
      <c r="A153" s="15"/>
      <c r="B153" s="15"/>
      <c r="C153" s="15"/>
      <c r="D153" s="15"/>
      <c r="E153" s="15"/>
      <c r="F153" s="15"/>
      <c r="G153" s="15"/>
      <c r="H153" s="15"/>
      <c r="I153" s="15"/>
      <c r="J153" s="15"/>
      <c r="K153" s="15"/>
      <c r="L153" s="15"/>
      <c r="M153" s="15"/>
      <c r="N153" s="15"/>
    </row>
    <row r="154" spans="1:14">
      <c r="A154" s="15"/>
      <c r="B154" s="15"/>
      <c r="C154" s="15"/>
      <c r="D154" s="15"/>
      <c r="E154" s="15"/>
      <c r="F154" s="15"/>
      <c r="G154" s="15"/>
      <c r="H154" s="15"/>
      <c r="I154" s="15"/>
      <c r="J154" s="15"/>
      <c r="K154" s="15"/>
      <c r="L154" s="15"/>
      <c r="M154" s="15"/>
      <c r="N154" s="15"/>
    </row>
    <row r="155" spans="1:14">
      <c r="A155" s="15"/>
      <c r="B155" s="15"/>
      <c r="C155" s="15"/>
      <c r="D155" s="15"/>
      <c r="E155" s="15"/>
      <c r="F155" s="15"/>
      <c r="G155" s="15"/>
      <c r="H155" s="15"/>
      <c r="I155" s="15"/>
      <c r="J155" s="15"/>
      <c r="K155" s="15"/>
      <c r="L155" s="15"/>
      <c r="M155" s="15"/>
      <c r="N155" s="15"/>
    </row>
    <row r="156" spans="1:14">
      <c r="A156" s="15"/>
      <c r="B156" s="15"/>
      <c r="C156" s="15"/>
      <c r="D156" s="15"/>
      <c r="E156" s="15"/>
      <c r="F156" s="15"/>
      <c r="G156" s="15"/>
      <c r="H156" s="15"/>
      <c r="I156" s="15"/>
      <c r="J156" s="15"/>
      <c r="K156" s="15"/>
      <c r="L156" s="15"/>
      <c r="M156" s="15"/>
      <c r="N156" s="15"/>
    </row>
    <row r="157" spans="1:14">
      <c r="A157" s="15"/>
      <c r="B157" s="15"/>
      <c r="C157" s="15"/>
      <c r="D157" s="15"/>
      <c r="E157" s="15"/>
      <c r="F157" s="15"/>
      <c r="G157" s="15"/>
      <c r="H157" s="15"/>
      <c r="I157" s="15"/>
      <c r="J157" s="15"/>
      <c r="K157" s="15"/>
      <c r="L157" s="15"/>
      <c r="M157" s="15"/>
      <c r="N157" s="15"/>
    </row>
    <row r="158" spans="1:14">
      <c r="A158" s="15"/>
      <c r="B158" s="15"/>
      <c r="C158" s="15"/>
      <c r="D158" s="15"/>
      <c r="E158" s="15"/>
      <c r="F158" s="15"/>
      <c r="G158" s="15"/>
      <c r="H158" s="15"/>
      <c r="I158" s="15"/>
      <c r="J158" s="15"/>
      <c r="K158" s="15"/>
      <c r="L158" s="15"/>
      <c r="M158" s="15"/>
      <c r="N158" s="15"/>
    </row>
    <row r="159" spans="1:14">
      <c r="A159" s="15"/>
      <c r="B159" s="15"/>
      <c r="C159" s="15"/>
      <c r="D159" s="15"/>
      <c r="E159" s="15"/>
      <c r="F159" s="15"/>
      <c r="G159" s="15"/>
      <c r="H159" s="15"/>
      <c r="I159" s="15"/>
      <c r="J159" s="15"/>
      <c r="K159" s="15"/>
      <c r="L159" s="15"/>
      <c r="M159" s="15"/>
      <c r="N159" s="15"/>
    </row>
    <row r="160" spans="1:14">
      <c r="A160" s="15"/>
      <c r="B160" s="15"/>
      <c r="C160" s="15"/>
      <c r="D160" s="15"/>
      <c r="E160" s="15"/>
      <c r="F160" s="15"/>
      <c r="G160" s="15"/>
      <c r="H160" s="15"/>
      <c r="I160" s="15"/>
      <c r="J160" s="15"/>
      <c r="K160" s="15"/>
      <c r="L160" s="15"/>
      <c r="M160" s="15"/>
      <c r="N160" s="15"/>
    </row>
    <row r="161" spans="1:14">
      <c r="A161" s="15"/>
      <c r="B161" s="15"/>
      <c r="C161" s="15"/>
      <c r="D161" s="15"/>
      <c r="E161" s="15"/>
      <c r="F161" s="15"/>
      <c r="G161" s="15"/>
      <c r="H161" s="15"/>
      <c r="I161" s="15"/>
      <c r="J161" s="15"/>
      <c r="K161" s="15"/>
      <c r="L161" s="15"/>
      <c r="M161" s="15"/>
      <c r="N161" s="15"/>
    </row>
  </sheetData>
  <sheetProtection algorithmName="SHA-512" hashValue="kbbDDjUApggEQsgP53+gtFfSSUXuJNo+QW4xCMhLP+qD5D9U5T1yz51eTRbK9pcBkN/gF7YTIQl8Ne7RorXB6A==" saltValue="VzR6V+GiGqxx7x8E3xaY+Q==" spinCount="100000" sheet="1" objects="1" scenarios="1"/>
  <mergeCells count="8">
    <mergeCell ref="B1:M2"/>
    <mergeCell ref="B5:M5"/>
    <mergeCell ref="B4:M4"/>
    <mergeCell ref="B22:M26"/>
    <mergeCell ref="B28:M30"/>
    <mergeCell ref="B7:M8"/>
    <mergeCell ref="B10:M14"/>
    <mergeCell ref="B16:M20"/>
  </mergeCells>
  <pageMargins left="0.7" right="0.7" top="0.75" bottom="0.75" header="0.3" footer="0.3"/>
  <pageSetup scale="77"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F66E5-29C9-1E4C-B747-7D5C5792FD2D}">
  <sheetPr codeName="Sheet40">
    <pageSetUpPr fitToPage="1"/>
  </sheetPr>
  <dimension ref="A1:AH141"/>
  <sheetViews>
    <sheetView zoomScale="120" zoomScaleNormal="120" workbookViewId="0">
      <selection activeCell="B2" sqref="B2:F2"/>
    </sheetView>
  </sheetViews>
  <sheetFormatPr baseColWidth="10" defaultColWidth="11.5" defaultRowHeight="15"/>
  <cols>
    <col min="1" max="1" width="4.83203125" style="1" customWidth="1"/>
    <col min="2" max="2" width="57.83203125" style="1" customWidth="1"/>
    <col min="3" max="6" width="12.83203125" style="1" customWidth="1"/>
    <col min="7" max="14" width="11.5" style="1" hidden="1" customWidth="1"/>
    <col min="15" max="32" width="0" style="1" hidden="1" customWidth="1"/>
    <col min="33" max="16384" width="11.5" style="1"/>
  </cols>
  <sheetData>
    <row r="1" spans="1:34" ht="20">
      <c r="A1" s="352" t="s">
        <v>8</v>
      </c>
      <c r="B1" s="27" t="s">
        <v>8</v>
      </c>
      <c r="C1" s="16"/>
      <c r="D1" s="17"/>
      <c r="E1" s="16"/>
      <c r="F1" s="16"/>
      <c r="AG1" s="674"/>
      <c r="AH1" s="674"/>
    </row>
    <row r="2" spans="1:34" ht="20">
      <c r="A2" s="15"/>
      <c r="B2" s="806" t="str">
        <f>'Prices_Yields&amp;SeedInputs'!B5&amp;", Cash Costs and Returns of Producing, $/acre."</f>
        <v>SW Winter Wheat after Spring Legume, Cash Costs and Returns of Producing, $/acre.</v>
      </c>
      <c r="C2" s="806"/>
      <c r="D2" s="806"/>
      <c r="E2" s="806"/>
      <c r="F2" s="806"/>
      <c r="AG2" s="674"/>
      <c r="AH2" s="674"/>
    </row>
    <row r="3" spans="1:34" ht="20.5" customHeight="1">
      <c r="A3" s="15"/>
      <c r="B3" s="131" t="s">
        <v>11</v>
      </c>
      <c r="C3" s="24" t="s">
        <v>2</v>
      </c>
      <c r="D3" s="25" t="s">
        <v>12</v>
      </c>
      <c r="E3" s="26" t="s">
        <v>13</v>
      </c>
      <c r="F3" s="26" t="s">
        <v>0</v>
      </c>
      <c r="H3" s="1" t="str">
        <f>'Prices_Yields&amp;SeedInputs'!F3</f>
        <v>Incremental Rotation</v>
      </c>
      <c r="I3" s="1" t="str">
        <f>'Prices_Yields&amp;SeedInputs'!G3</f>
        <v>Aspirational Rotation</v>
      </c>
      <c r="AG3" s="674"/>
      <c r="AH3" s="674"/>
    </row>
    <row r="4" spans="1:34" ht="20.5" customHeight="1">
      <c r="A4" s="15"/>
      <c r="B4" s="18" t="str">
        <f>'Prices_Yields&amp;SeedInputs'!B5</f>
        <v>SW Winter Wheat after Spring Legume</v>
      </c>
      <c r="C4" s="22" t="str">
        <f>'Prices_Yields&amp;SeedInputs'!C5</f>
        <v>bu</v>
      </c>
      <c r="D4" s="129">
        <f>'Prices_Yields&amp;SeedInputs'!D5</f>
        <v>12</v>
      </c>
      <c r="E4" s="90">
        <f>'Prices_Yields&amp;SeedInputs'!E5</f>
        <v>90</v>
      </c>
      <c r="F4" s="35">
        <f>D4*E4</f>
        <v>1080</v>
      </c>
      <c r="AG4" s="674"/>
      <c r="AH4" s="674"/>
    </row>
    <row r="5" spans="1:34" ht="20.5" customHeight="1">
      <c r="A5" s="15"/>
      <c r="B5" s="14" t="s">
        <v>14</v>
      </c>
      <c r="C5" s="29"/>
      <c r="D5" s="30"/>
      <c r="E5" s="29"/>
      <c r="F5" s="46">
        <f>SUM(F4:F4)</f>
        <v>1080</v>
      </c>
      <c r="H5" s="1">
        <f>D4*'Prices_Yields&amp;SeedInputs'!F5</f>
        <v>1104</v>
      </c>
      <c r="I5" s="1">
        <f>D4*'Prices_Yields&amp;SeedInputs'!G5</f>
        <v>1128</v>
      </c>
    </row>
    <row r="6" spans="1:34" ht="20.5" customHeight="1">
      <c r="A6" s="15"/>
      <c r="B6" s="16"/>
      <c r="C6" s="16"/>
      <c r="D6" s="17"/>
      <c r="E6" s="16"/>
      <c r="F6" s="44"/>
    </row>
    <row r="7" spans="1:34" ht="20">
      <c r="A7" s="15"/>
      <c r="B7" s="132" t="s">
        <v>37</v>
      </c>
      <c r="C7" s="19" t="s">
        <v>2</v>
      </c>
      <c r="D7" s="20" t="s">
        <v>12</v>
      </c>
      <c r="E7" s="21" t="s">
        <v>13</v>
      </c>
      <c r="F7" s="45" t="s">
        <v>0</v>
      </c>
    </row>
    <row r="8" spans="1:34" ht="20">
      <c r="A8" s="15"/>
      <c r="B8" s="85" t="s">
        <v>169</v>
      </c>
      <c r="C8" s="119" t="str">
        <f>'Prices_Yields&amp;SeedInputs'!H5</f>
        <v>pound</v>
      </c>
      <c r="D8" s="120">
        <f>'Prices_Yields&amp;SeedInputs'!I5</f>
        <v>0.25</v>
      </c>
      <c r="E8" s="133">
        <f>'Prices_Yields&amp;SeedInputs'!J5</f>
        <v>90</v>
      </c>
      <c r="F8" s="117">
        <f t="shared" ref="F8:F61" si="0">IF(D8*E8=0,"0",D8*E8)</f>
        <v>22.5</v>
      </c>
    </row>
    <row r="9" spans="1:34" ht="20">
      <c r="A9" s="15"/>
      <c r="B9" s="85" t="str">
        <f>'Chem&amp;FertInputs&amp;CInsurance'!B6</f>
        <v>Fertilizer - Nitrogen-</v>
      </c>
      <c r="C9" s="23" t="str">
        <f>'Chem&amp;FertInputs&amp;CInsurance'!D6</f>
        <v>pound</v>
      </c>
      <c r="D9" s="116">
        <f>'Chem&amp;FertInputs&amp;CInsurance'!E6</f>
        <v>0.48749999999999999</v>
      </c>
      <c r="E9" s="133">
        <f>'Chem&amp;FertInputs&amp;CInsurance'!F6</f>
        <v>93</v>
      </c>
      <c r="F9" s="117">
        <f t="shared" si="0"/>
        <v>45.337499999999999</v>
      </c>
      <c r="H9" s="1">
        <f>'Chem&amp;FertInputs&amp;CInsurance'!F7</f>
        <v>93</v>
      </c>
      <c r="I9" s="1">
        <f>'Chem&amp;FertInputs&amp;CInsurance'!F8</f>
        <v>93</v>
      </c>
    </row>
    <row r="10" spans="1:34" ht="20" hidden="1">
      <c r="A10" s="15"/>
      <c r="B10" s="85" t="str">
        <f>'Chem&amp;FertInputs&amp;CInsurance'!B9</f>
        <v>Fertilizer - Anhydrous Ammonia-</v>
      </c>
      <c r="C10" s="23" t="str">
        <f>'Chem&amp;FertInputs&amp;CInsurance'!D9</f>
        <v>pound</v>
      </c>
      <c r="D10" s="116">
        <f>'Chem&amp;FertInputs&amp;CInsurance'!E9</f>
        <v>0.75770000000000004</v>
      </c>
      <c r="E10" s="133">
        <f>'Chem&amp;FertInputs&amp;CInsurance'!F9</f>
        <v>0</v>
      </c>
      <c r="F10" s="117" t="str">
        <f t="shared" si="0"/>
        <v>0</v>
      </c>
      <c r="H10" s="1">
        <f>'Chem&amp;FertInputs&amp;CInsurance'!F10</f>
        <v>0</v>
      </c>
      <c r="I10" s="1">
        <f>'Chem&amp;FertInputs&amp;CInsurance'!F11</f>
        <v>0</v>
      </c>
    </row>
    <row r="11" spans="1:34" ht="20">
      <c r="A11" s="15"/>
      <c r="B11" s="85" t="str">
        <f>'Chem&amp;FertInputs&amp;CInsurance'!B12</f>
        <v xml:space="preserve">Fertilizer - Phosphorus- </v>
      </c>
      <c r="C11" s="23" t="str">
        <f>'Chem&amp;FertInputs&amp;CInsurance'!D12</f>
        <v>pound</v>
      </c>
      <c r="D11" s="116">
        <f>'Chem&amp;FertInputs&amp;CInsurance'!E12</f>
        <v>0.47499999999999998</v>
      </c>
      <c r="E11" s="133">
        <f>'Chem&amp;FertInputs&amp;CInsurance'!F12</f>
        <v>23</v>
      </c>
      <c r="F11" s="117">
        <f t="shared" si="0"/>
        <v>10.924999999999999</v>
      </c>
      <c r="H11" s="1">
        <f>'Chem&amp;FertInputs&amp;CInsurance'!F13</f>
        <v>23</v>
      </c>
      <c r="I11" s="1">
        <f>'Chem&amp;FertInputs&amp;CInsurance'!F14</f>
        <v>23</v>
      </c>
    </row>
    <row r="12" spans="1:34" ht="20">
      <c r="A12" s="15"/>
      <c r="B12" s="85" t="str">
        <f>'Chem&amp;FertInputs&amp;CInsurance'!B15</f>
        <v>Fertilizer - Potassium-</v>
      </c>
      <c r="C12" s="23" t="str">
        <f>'Chem&amp;FertInputs&amp;CInsurance'!D15</f>
        <v>pound</v>
      </c>
      <c r="D12" s="116">
        <f>'Chem&amp;FertInputs&amp;CInsurance'!E15</f>
        <v>0.441</v>
      </c>
      <c r="E12" s="133">
        <f>'Chem&amp;FertInputs&amp;CInsurance'!F15</f>
        <v>30</v>
      </c>
      <c r="F12" s="117">
        <f t="shared" si="0"/>
        <v>13.23</v>
      </c>
      <c r="H12" s="1">
        <f>'Chem&amp;FertInputs&amp;CInsurance'!F16</f>
        <v>30</v>
      </c>
      <c r="I12" s="1">
        <f>'Chem&amp;FertInputs&amp;CInsurance'!F17</f>
        <v>30</v>
      </c>
    </row>
    <row r="13" spans="1:34" ht="20">
      <c r="A13" s="15"/>
      <c r="B13" s="85" t="str">
        <f>'Chem&amp;FertInputs&amp;CInsurance'!B18</f>
        <v>Fertilizer - Sulfur-</v>
      </c>
      <c r="C13" s="23" t="str">
        <f>'Chem&amp;FertInputs&amp;CInsurance'!D18</f>
        <v>pound</v>
      </c>
      <c r="D13" s="116">
        <f>'Chem&amp;FertInputs&amp;CInsurance'!E18</f>
        <v>0.2555</v>
      </c>
      <c r="E13" s="133">
        <f>'Chem&amp;FertInputs&amp;CInsurance'!F18</f>
        <v>9</v>
      </c>
      <c r="F13" s="117">
        <f t="shared" si="0"/>
        <v>2.2995000000000001</v>
      </c>
      <c r="H13" s="1">
        <f>'Chem&amp;FertInputs&amp;CInsurance'!F19</f>
        <v>9</v>
      </c>
      <c r="I13" s="1">
        <f>'Chem&amp;FertInputs&amp;CInsurance'!F20</f>
        <v>9</v>
      </c>
    </row>
    <row r="14" spans="1:34" ht="20">
      <c r="A14" s="15"/>
      <c r="B14" s="85" t="str">
        <f>'Chem&amp;FertInputs&amp;CInsurance'!B21</f>
        <v>Adjuvant - Ammonium Sulfate liquid-</v>
      </c>
      <c r="C14" s="23" t="str">
        <f>'Chem&amp;FertInputs&amp;CInsurance'!D21</f>
        <v>oz</v>
      </c>
      <c r="D14" s="116">
        <f>'Chem&amp;FertInputs&amp;CInsurance'!E21</f>
        <v>0.48</v>
      </c>
      <c r="E14" s="133">
        <f>'Chem&amp;FertInputs&amp;CInsurance'!F21</f>
        <v>3.4</v>
      </c>
      <c r="F14" s="117">
        <f t="shared" ref="F14:F20" si="1">IF(D14*E14=0,"0",D14*E14)</f>
        <v>1.6319999999999999</v>
      </c>
      <c r="G14" s="165">
        <f>E14/128</f>
        <v>2.6562499999999999E-2</v>
      </c>
      <c r="H14" s="1">
        <f>'Chem&amp;FertInputs&amp;CInsurance'!F22</f>
        <v>3.4</v>
      </c>
      <c r="I14" s="1">
        <f>'Chem&amp;FertInputs&amp;CInsurance'!F23</f>
        <v>3.4</v>
      </c>
    </row>
    <row r="15" spans="1:34" ht="20">
      <c r="A15" s="15"/>
      <c r="B15" s="85" t="str">
        <f>'Chem&amp;FertInputs&amp;CInsurance'!B24</f>
        <v>Adjuvant - Ammonium Sulfate  (other)-</v>
      </c>
      <c r="C15" s="23" t="str">
        <f>'Chem&amp;FertInputs&amp;CInsurance'!D24</f>
        <v>pound</v>
      </c>
      <c r="D15" s="116">
        <f>'Chem&amp;FertInputs&amp;CInsurance'!E24</f>
        <v>0.71</v>
      </c>
      <c r="E15" s="133">
        <f>'Chem&amp;FertInputs&amp;CInsurance'!F24</f>
        <v>0</v>
      </c>
      <c r="F15" s="117" t="str">
        <f t="shared" si="1"/>
        <v>0</v>
      </c>
      <c r="G15" s="165">
        <f>E15/16</f>
        <v>0</v>
      </c>
      <c r="H15" s="1">
        <f>'Chem&amp;FertInputs&amp;CInsurance'!F25</f>
        <v>0</v>
      </c>
      <c r="I15" s="1">
        <f>'Chem&amp;FertInputs&amp;CInsurance'!F26</f>
        <v>0</v>
      </c>
    </row>
    <row r="16" spans="1:34" ht="20">
      <c r="A16" s="15"/>
      <c r="B16" s="85" t="str">
        <f>'Chem&amp;FertInputs&amp;CInsurance'!C27</f>
        <v xml:space="preserve">crop oil concentrate </v>
      </c>
      <c r="C16" s="23" t="str">
        <f>'Chem&amp;FertInputs&amp;CInsurance'!D27</f>
        <v>pint</v>
      </c>
      <c r="D16" s="116">
        <f>'Chem&amp;FertInputs&amp;CInsurance'!E27</f>
        <v>1.6559999999999999</v>
      </c>
      <c r="E16" s="133">
        <f>'Chem&amp;FertInputs&amp;CInsurance'!F27</f>
        <v>0</v>
      </c>
      <c r="F16" s="117" t="str">
        <f t="shared" si="1"/>
        <v>0</v>
      </c>
      <c r="G16" s="165">
        <f>E16/8</f>
        <v>0</v>
      </c>
    </row>
    <row r="17" spans="1:7" ht="20">
      <c r="A17" s="15"/>
      <c r="B17" s="85" t="str">
        <f>'Chem&amp;FertInputs&amp;CInsurance'!C28</f>
        <v>In-place</v>
      </c>
      <c r="C17" s="23" t="str">
        <f>'Chem&amp;FertInputs&amp;CInsurance'!D28</f>
        <v>oz</v>
      </c>
      <c r="D17" s="116">
        <f>'Chem&amp;FertInputs&amp;CInsurance'!E28</f>
        <v>0.35649999999999998</v>
      </c>
      <c r="E17" s="133">
        <f>'Chem&amp;FertInputs&amp;CInsurance'!F28</f>
        <v>0</v>
      </c>
      <c r="F17" s="117" t="str">
        <f t="shared" si="1"/>
        <v>0</v>
      </c>
      <c r="G17" s="165">
        <f>E17/128</f>
        <v>0</v>
      </c>
    </row>
    <row r="18" spans="1:7" ht="20">
      <c r="A18" s="15"/>
      <c r="B18" s="85" t="str">
        <f>'Chem&amp;FertInputs&amp;CInsurance'!C29</f>
        <v xml:space="preserve">M90 </v>
      </c>
      <c r="C18" s="23" t="str">
        <f>'Chem&amp;FertInputs&amp;CInsurance'!D29</f>
        <v>oz</v>
      </c>
      <c r="D18" s="116">
        <f>'Chem&amp;FertInputs&amp;CInsurance'!E29</f>
        <v>0.253</v>
      </c>
      <c r="E18" s="133">
        <f>'Chem&amp;FertInputs&amp;CInsurance'!F29</f>
        <v>3</v>
      </c>
      <c r="F18" s="117">
        <f t="shared" si="1"/>
        <v>0.75900000000000001</v>
      </c>
      <c r="G18" s="165">
        <f>E18/128</f>
        <v>2.34375E-2</v>
      </c>
    </row>
    <row r="19" spans="1:7" ht="20">
      <c r="A19" s="15"/>
      <c r="B19" s="85" t="str">
        <f>'Chem&amp;FertInputs&amp;CInsurance'!C30</f>
        <v>Surfactant</v>
      </c>
      <c r="C19" s="23" t="str">
        <f>'Chem&amp;FertInputs&amp;CInsurance'!D30</f>
        <v>oz</v>
      </c>
      <c r="D19" s="116">
        <f>'Chem&amp;FertInputs&amp;CInsurance'!E30</f>
        <v>0.26450000000000001</v>
      </c>
      <c r="E19" s="133">
        <f>'Chem&amp;FertInputs&amp;CInsurance'!F30</f>
        <v>0</v>
      </c>
      <c r="F19" s="117" t="str">
        <f t="shared" si="1"/>
        <v>0</v>
      </c>
      <c r="G19" s="165">
        <f>E19/128</f>
        <v>0</v>
      </c>
    </row>
    <row r="20" spans="1:7" ht="20">
      <c r="A20" s="15"/>
      <c r="B20" s="85" t="str">
        <f>'Chem&amp;FertInputs&amp;CInsurance'!C31</f>
        <v>Syltac sticker</v>
      </c>
      <c r="C20" s="23" t="str">
        <f>'Chem&amp;FertInputs&amp;CInsurance'!D31</f>
        <v>pint</v>
      </c>
      <c r="D20" s="116">
        <f>'Chem&amp;FertInputs&amp;CInsurance'!E31</f>
        <v>7.1874999999999991</v>
      </c>
      <c r="E20" s="133">
        <f>'Chem&amp;FertInputs&amp;CInsurance'!F31</f>
        <v>0</v>
      </c>
      <c r="F20" s="117" t="str">
        <f t="shared" si="1"/>
        <v>0</v>
      </c>
      <c r="G20" s="165">
        <f>E20/8</f>
        <v>0</v>
      </c>
    </row>
    <row r="21" spans="1:7" ht="20">
      <c r="A21" s="15"/>
      <c r="B21" s="85" t="str">
        <f>'Chem&amp;FertInputs&amp;CInsurance'!C33</f>
        <v>2,4 - D</v>
      </c>
      <c r="C21" s="23" t="str">
        <f>'Chem&amp;FertInputs&amp;CInsurance'!D33</f>
        <v>oz</v>
      </c>
      <c r="D21" s="116">
        <f>'Chem&amp;FertInputs&amp;CInsurance'!E33</f>
        <v>0.33349999999999996</v>
      </c>
      <c r="E21" s="133">
        <f>'Chem&amp;FertInputs&amp;CInsurance'!F33</f>
        <v>0</v>
      </c>
      <c r="F21" s="117" t="str">
        <f t="shared" si="0"/>
        <v>0</v>
      </c>
      <c r="G21" s="165">
        <f t="shared" ref="G21:G30" si="2">E21/128</f>
        <v>0</v>
      </c>
    </row>
    <row r="22" spans="1:7" ht="20">
      <c r="A22" s="15"/>
      <c r="B22" s="85" t="str">
        <f>'Chem&amp;FertInputs&amp;CInsurance'!C34</f>
        <v>Achieve SC</v>
      </c>
      <c r="C22" s="23" t="str">
        <f>'Chem&amp;FertInputs&amp;CInsurance'!D34</f>
        <v>oz</v>
      </c>
      <c r="D22" s="116">
        <f>'Chem&amp;FertInputs&amp;CInsurance'!E34</f>
        <v>1.3454999999999999</v>
      </c>
      <c r="E22" s="133">
        <f>'Chem&amp;FertInputs&amp;CInsurance'!F34</f>
        <v>0</v>
      </c>
      <c r="F22" s="117" t="str">
        <f t="shared" si="0"/>
        <v>0</v>
      </c>
      <c r="G22" s="165">
        <f t="shared" si="2"/>
        <v>0</v>
      </c>
    </row>
    <row r="23" spans="1:7" ht="20">
      <c r="A23" s="15"/>
      <c r="B23" s="85" t="str">
        <f>'Chem&amp;FertInputs&amp;CInsurance'!C35</f>
        <v>Affintity TankMix</v>
      </c>
      <c r="C23" s="23" t="str">
        <f>'Chem&amp;FertInputs&amp;CInsurance'!D35</f>
        <v>oz</v>
      </c>
      <c r="D23" s="116">
        <f>'Chem&amp;FertInputs&amp;CInsurance'!E35</f>
        <v>8.9699999999999989</v>
      </c>
      <c r="E23" s="133">
        <f>'Chem&amp;FertInputs&amp;CInsurance'!F35</f>
        <v>0.75</v>
      </c>
      <c r="F23" s="117">
        <f t="shared" si="0"/>
        <v>6.7274999999999991</v>
      </c>
      <c r="G23" s="165">
        <f t="shared" si="2"/>
        <v>5.859375E-3</v>
      </c>
    </row>
    <row r="24" spans="1:7" ht="20">
      <c r="A24" s="15"/>
      <c r="B24" s="85" t="str">
        <f>'Chem&amp;FertInputs&amp;CInsurance'!C36</f>
        <v xml:space="preserve">Ally </v>
      </c>
      <c r="C24" s="23" t="str">
        <f>'Chem&amp;FertInputs&amp;CInsurance'!D36</f>
        <v>oz</v>
      </c>
      <c r="D24" s="116">
        <f>'Chem&amp;FertInputs&amp;CInsurance'!E36</f>
        <v>1.7249999999999999</v>
      </c>
      <c r="E24" s="133">
        <f>'Chem&amp;FertInputs&amp;CInsurance'!F36</f>
        <v>0</v>
      </c>
      <c r="F24" s="117" t="str">
        <f t="shared" si="0"/>
        <v>0</v>
      </c>
      <c r="G24" s="165">
        <f t="shared" si="2"/>
        <v>0</v>
      </c>
    </row>
    <row r="25" spans="1:7" ht="20">
      <c r="A25" s="15"/>
      <c r="B25" s="85" t="str">
        <f>'Chem&amp;FertInputs&amp;CInsurance'!C37</f>
        <v>Assure</v>
      </c>
      <c r="C25" s="23" t="str">
        <f>'Chem&amp;FertInputs&amp;CInsurance'!D37</f>
        <v>oz</v>
      </c>
      <c r="D25" s="116">
        <f>'Chem&amp;FertInputs&amp;CInsurance'!E37</f>
        <v>0.98899999999999988</v>
      </c>
      <c r="E25" s="133">
        <f>'Chem&amp;FertInputs&amp;CInsurance'!F37</f>
        <v>0</v>
      </c>
      <c r="F25" s="117" t="str">
        <f t="shared" si="0"/>
        <v>0</v>
      </c>
      <c r="G25" s="165">
        <f t="shared" si="2"/>
        <v>0</v>
      </c>
    </row>
    <row r="26" spans="1:7" ht="20">
      <c r="A26" s="15"/>
      <c r="B26" s="85" t="str">
        <f>'Chem&amp;FertInputs&amp;CInsurance'!C38</f>
        <v>Axial Star</v>
      </c>
      <c r="C26" s="23" t="str">
        <f>'Chem&amp;FertInputs&amp;CInsurance'!D38</f>
        <v>oz</v>
      </c>
      <c r="D26" s="116">
        <f>'Chem&amp;FertInputs&amp;CInsurance'!E38</f>
        <v>1.3224999999999998</v>
      </c>
      <c r="E26" s="133">
        <f>'Chem&amp;FertInputs&amp;CInsurance'!F38</f>
        <v>0</v>
      </c>
      <c r="F26" s="117" t="str">
        <f t="shared" si="0"/>
        <v>0</v>
      </c>
      <c r="G26" s="165">
        <f t="shared" si="2"/>
        <v>0</v>
      </c>
    </row>
    <row r="27" spans="1:7" ht="20">
      <c r="A27" s="15"/>
      <c r="B27" s="85" t="str">
        <f>'Chem&amp;FertInputs&amp;CInsurance'!C39</f>
        <v>Axial Bold</v>
      </c>
      <c r="C27" s="23" t="str">
        <f>'Chem&amp;FertInputs&amp;CInsurance'!D39</f>
        <v>oz</v>
      </c>
      <c r="D27" s="116">
        <f>'Chem&amp;FertInputs&amp;CInsurance'!E39</f>
        <v>1.0924999999999998</v>
      </c>
      <c r="E27" s="133">
        <f>'Chem&amp;FertInputs&amp;CInsurance'!F39</f>
        <v>15</v>
      </c>
      <c r="F27" s="117">
        <f t="shared" si="0"/>
        <v>16.387499999999996</v>
      </c>
      <c r="G27" s="165">
        <f t="shared" si="2"/>
        <v>0.1171875</v>
      </c>
    </row>
    <row r="28" spans="1:7" ht="20">
      <c r="A28" s="15"/>
      <c r="B28" s="85" t="str">
        <f>'Chem&amp;FertInputs&amp;CInsurance'!C40</f>
        <v>Bronate</v>
      </c>
      <c r="C28" s="23" t="str">
        <f>'Chem&amp;FertInputs&amp;CInsurance'!D40</f>
        <v>oz</v>
      </c>
      <c r="D28" s="116">
        <f>'Chem&amp;FertInputs&amp;CInsurance'!E40</f>
        <v>7.911999999999999</v>
      </c>
      <c r="E28" s="133">
        <f>'Chem&amp;FertInputs&amp;CInsurance'!F40</f>
        <v>0</v>
      </c>
      <c r="F28" s="117" t="str">
        <f t="shared" si="0"/>
        <v>0</v>
      </c>
      <c r="G28" s="165">
        <f t="shared" si="2"/>
        <v>0</v>
      </c>
    </row>
    <row r="29" spans="1:7" ht="20">
      <c r="A29" s="15"/>
      <c r="B29" s="85" t="str">
        <f>'Chem&amp;FertInputs&amp;CInsurance'!C41</f>
        <v xml:space="preserve">Brox M </v>
      </c>
      <c r="C29" s="23" t="str">
        <f>'Chem&amp;FertInputs&amp;CInsurance'!D41</f>
        <v>oz</v>
      </c>
      <c r="D29" s="116">
        <f>'Chem&amp;FertInputs&amp;CInsurance'!E41</f>
        <v>0.42549999999999999</v>
      </c>
      <c r="E29" s="133">
        <f>'Chem&amp;FertInputs&amp;CInsurance'!F41</f>
        <v>0</v>
      </c>
      <c r="F29" s="117" t="str">
        <f t="shared" si="0"/>
        <v>0</v>
      </c>
      <c r="G29" s="165">
        <f t="shared" si="2"/>
        <v>0</v>
      </c>
    </row>
    <row r="30" spans="1:7" ht="20">
      <c r="A30" s="15"/>
      <c r="B30" s="85" t="str">
        <f>'Chem&amp;FertInputs&amp;CInsurance'!C42</f>
        <v>Capture</v>
      </c>
      <c r="C30" s="23" t="str">
        <f>'Chem&amp;FertInputs&amp;CInsurance'!D42</f>
        <v>oz</v>
      </c>
      <c r="D30" s="116">
        <f>'Chem&amp;FertInputs&amp;CInsurance'!E42</f>
        <v>2.7024999999999997</v>
      </c>
      <c r="E30" s="133">
        <f>'Chem&amp;FertInputs&amp;CInsurance'!F42</f>
        <v>0</v>
      </c>
      <c r="F30" s="117" t="str">
        <f t="shared" si="0"/>
        <v>0</v>
      </c>
      <c r="G30" s="165">
        <f t="shared" si="2"/>
        <v>0</v>
      </c>
    </row>
    <row r="31" spans="1:7" ht="20">
      <c r="A31" s="15"/>
      <c r="B31" s="85" t="str">
        <f>'Chem&amp;FertInputs&amp;CInsurance'!C43</f>
        <v xml:space="preserve">Dimethoate </v>
      </c>
      <c r="C31" s="23" t="str">
        <f>'Chem&amp;FertInputs&amp;CInsurance'!D43</f>
        <v>pint</v>
      </c>
      <c r="D31" s="116">
        <f>'Chem&amp;FertInputs&amp;CInsurance'!E43</f>
        <v>7.1874999999999991</v>
      </c>
      <c r="E31" s="133">
        <f>'Chem&amp;FertInputs&amp;CInsurance'!F43</f>
        <v>0</v>
      </c>
      <c r="F31" s="117" t="str">
        <f t="shared" si="0"/>
        <v>0</v>
      </c>
      <c r="G31" s="165">
        <f>E31/8</f>
        <v>0</v>
      </c>
    </row>
    <row r="32" spans="1:7" ht="20">
      <c r="A32" s="15"/>
      <c r="B32" s="85" t="str">
        <f>'Chem&amp;FertInputs&amp;CInsurance'!C44</f>
        <v>Clethodim</v>
      </c>
      <c r="C32" s="23" t="str">
        <f>'Chem&amp;FertInputs&amp;CInsurance'!D44</f>
        <v>oz</v>
      </c>
      <c r="D32" s="116">
        <f>'Chem&amp;FertInputs&amp;CInsurance'!E44</f>
        <v>0.75900000000000001</v>
      </c>
      <c r="E32" s="133">
        <f>'Chem&amp;FertInputs&amp;CInsurance'!F44</f>
        <v>0</v>
      </c>
      <c r="F32" s="117" t="str">
        <f t="shared" ref="F32" si="3">IF(D32*E32=0,"0",D32*E32)</f>
        <v>0</v>
      </c>
      <c r="G32" s="165">
        <f t="shared" ref="G32:G37" si="4">E32/128</f>
        <v>0</v>
      </c>
    </row>
    <row r="33" spans="1:7" ht="20">
      <c r="A33" s="15"/>
      <c r="B33" s="85" t="str">
        <f>'Chem&amp;FertInputs&amp;CInsurance'!C45</f>
        <v>Discover</v>
      </c>
      <c r="C33" s="23" t="str">
        <f>'Chem&amp;FertInputs&amp;CInsurance'!D45</f>
        <v>oz</v>
      </c>
      <c r="D33" s="116">
        <f>'Chem&amp;FertInputs&amp;CInsurance'!E45</f>
        <v>1.6904999999999999</v>
      </c>
      <c r="E33" s="133">
        <f>'Chem&amp;FertInputs&amp;CInsurance'!F45</f>
        <v>0</v>
      </c>
      <c r="F33" s="117" t="str">
        <f t="shared" si="0"/>
        <v>0</v>
      </c>
      <c r="G33" s="165">
        <f t="shared" si="4"/>
        <v>0</v>
      </c>
    </row>
    <row r="34" spans="1:7" ht="20">
      <c r="A34" s="15"/>
      <c r="B34" s="85" t="str">
        <f>'Chem&amp;FertInputs&amp;CInsurance'!C46</f>
        <v>FarGO</v>
      </c>
      <c r="C34" s="23" t="str">
        <f>'Chem&amp;FertInputs&amp;CInsurance'!D46</f>
        <v>oz</v>
      </c>
      <c r="D34" s="116">
        <f>'Chem&amp;FertInputs&amp;CInsurance'!E46</f>
        <v>19.158999999999999</v>
      </c>
      <c r="E34" s="133">
        <f>'Chem&amp;FertInputs&amp;CInsurance'!F46</f>
        <v>0</v>
      </c>
      <c r="F34" s="117" t="str">
        <f t="shared" si="0"/>
        <v>0</v>
      </c>
      <c r="G34" s="165">
        <f t="shared" si="4"/>
        <v>0</v>
      </c>
    </row>
    <row r="35" spans="1:7" ht="20">
      <c r="A35" s="15"/>
      <c r="B35" s="85" t="str">
        <f>'Chem&amp;FertInputs&amp;CInsurance'!C47</f>
        <v>Finesse</v>
      </c>
      <c r="C35" s="23" t="str">
        <f>'Chem&amp;FertInputs&amp;CInsurance'!D47</f>
        <v>oz</v>
      </c>
      <c r="D35" s="116">
        <f>'Chem&amp;FertInputs&amp;CInsurance'!E47</f>
        <v>19.940999999999999</v>
      </c>
      <c r="E35" s="133">
        <f>'Chem&amp;FertInputs&amp;CInsurance'!F47</f>
        <v>0</v>
      </c>
      <c r="F35" s="117" t="str">
        <f t="shared" si="0"/>
        <v>0</v>
      </c>
      <c r="G35" s="165">
        <f t="shared" si="4"/>
        <v>0</v>
      </c>
    </row>
    <row r="36" spans="1:7" ht="20">
      <c r="A36" s="15"/>
      <c r="B36" s="85" t="str">
        <f>'Chem&amp;FertInputs&amp;CInsurance'!C48</f>
        <v>Glyphosate</v>
      </c>
      <c r="C36" s="23" t="str">
        <f>'Chem&amp;FertInputs&amp;CInsurance'!D48</f>
        <v>oz</v>
      </c>
      <c r="D36" s="116">
        <f>'Chem&amp;FertInputs&amp;CInsurance'!E48</f>
        <v>0.14949999999999999</v>
      </c>
      <c r="E36" s="133">
        <f>'Chem&amp;FertInputs&amp;CInsurance'!F48</f>
        <v>0</v>
      </c>
      <c r="F36" s="117" t="str">
        <f t="shared" si="0"/>
        <v>0</v>
      </c>
      <c r="G36" s="165">
        <f t="shared" si="4"/>
        <v>0</v>
      </c>
    </row>
    <row r="37" spans="1:7" ht="20">
      <c r="A37" s="15"/>
      <c r="B37" s="85" t="str">
        <f>'Chem&amp;FertInputs&amp;CInsurance'!C49</f>
        <v>Huskie</v>
      </c>
      <c r="C37" s="23" t="str">
        <f>'Chem&amp;FertInputs&amp;CInsurance'!D49</f>
        <v>oz</v>
      </c>
      <c r="D37" s="116">
        <f>'Chem&amp;FertInputs&amp;CInsurance'!E49</f>
        <v>0.88549999999999995</v>
      </c>
      <c r="E37" s="133">
        <f>'Chem&amp;FertInputs&amp;CInsurance'!F49</f>
        <v>13.7</v>
      </c>
      <c r="F37" s="117">
        <f t="shared" si="0"/>
        <v>12.131349999999999</v>
      </c>
      <c r="G37" s="165">
        <f t="shared" si="4"/>
        <v>0.10703124999999999</v>
      </c>
    </row>
    <row r="38" spans="1:7" ht="20">
      <c r="A38" s="15"/>
      <c r="B38" s="85" t="str">
        <f>'Chem&amp;FertInputs&amp;CInsurance'!C50</f>
        <v>Imidan 70</v>
      </c>
      <c r="C38" s="23" t="str">
        <f>'Chem&amp;FertInputs&amp;CInsurance'!D50</f>
        <v>lb</v>
      </c>
      <c r="D38" s="116">
        <f>'Chem&amp;FertInputs&amp;CInsurance'!E50</f>
        <v>17.295999999999999</v>
      </c>
      <c r="E38" s="133">
        <f>'Chem&amp;FertInputs&amp;CInsurance'!F50</f>
        <v>0</v>
      </c>
      <c r="F38" s="117" t="str">
        <f t="shared" si="0"/>
        <v>0</v>
      </c>
      <c r="G38" s="165">
        <f>E38/16</f>
        <v>0</v>
      </c>
    </row>
    <row r="39" spans="1:7" ht="20">
      <c r="A39" s="15"/>
      <c r="B39" s="85" t="str">
        <f>'Chem&amp;FertInputs&amp;CInsurance'!C51</f>
        <v xml:space="preserve">Maverick </v>
      </c>
      <c r="C39" s="23" t="str">
        <f>'Chem&amp;FertInputs&amp;CInsurance'!D51</f>
        <v>oz</v>
      </c>
      <c r="D39" s="116">
        <f>'Chem&amp;FertInputs&amp;CInsurance'!E51</f>
        <v>23.885499999999997</v>
      </c>
      <c r="E39" s="133">
        <f>'Chem&amp;FertInputs&amp;CInsurance'!F51</f>
        <v>0</v>
      </c>
      <c r="F39" s="117" t="str">
        <f t="shared" si="0"/>
        <v>0</v>
      </c>
      <c r="G39" s="165">
        <f t="shared" ref="G39:G51" si="5">E39/128</f>
        <v>0</v>
      </c>
    </row>
    <row r="40" spans="1:7" ht="20">
      <c r="A40" s="15"/>
      <c r="B40" s="85" t="str">
        <f>'Chem&amp;FertInputs&amp;CInsurance'!C52</f>
        <v>Osprey</v>
      </c>
      <c r="C40" s="23" t="str">
        <f>'Chem&amp;FertInputs&amp;CInsurance'!D52</f>
        <v>oz</v>
      </c>
      <c r="D40" s="116">
        <f>'Chem&amp;FertInputs&amp;CInsurance'!E52</f>
        <v>5.0484999999999989</v>
      </c>
      <c r="E40" s="133">
        <f>'Chem&amp;FertInputs&amp;CInsurance'!F52</f>
        <v>0</v>
      </c>
      <c r="F40" s="117" t="str">
        <f t="shared" si="0"/>
        <v>0</v>
      </c>
      <c r="G40" s="165">
        <f t="shared" si="5"/>
        <v>0</v>
      </c>
    </row>
    <row r="41" spans="1:7" ht="20">
      <c r="A41" s="15"/>
      <c r="B41" s="85" t="str">
        <f>'Chem&amp;FertInputs&amp;CInsurance'!C53</f>
        <v>Poast</v>
      </c>
      <c r="C41" s="23" t="str">
        <f>'Chem&amp;FertInputs&amp;CInsurance'!D53</f>
        <v>oz</v>
      </c>
      <c r="D41" s="116">
        <f>'Chem&amp;FertInputs&amp;CInsurance'!E53</f>
        <v>19.285499999999999</v>
      </c>
      <c r="E41" s="133">
        <f>'Chem&amp;FertInputs&amp;CInsurance'!F53</f>
        <v>0</v>
      </c>
      <c r="F41" s="117" t="str">
        <f t="shared" ref="F41" si="6">IF(D41*E41=0,"0",D41*E41)</f>
        <v>0</v>
      </c>
      <c r="G41" s="165">
        <f t="shared" si="5"/>
        <v>0</v>
      </c>
    </row>
    <row r="42" spans="1:7" ht="20">
      <c r="A42" s="15"/>
      <c r="B42" s="85" t="str">
        <f>'Chem&amp;FertInputs&amp;CInsurance'!C54</f>
        <v>Power Flex</v>
      </c>
      <c r="C42" s="23" t="str">
        <f>'Chem&amp;FertInputs&amp;CInsurance'!D54</f>
        <v>oz</v>
      </c>
      <c r="D42" s="116">
        <f>'Chem&amp;FertInputs&amp;CInsurance'!E54</f>
        <v>8.9124999999999996</v>
      </c>
      <c r="E42" s="133">
        <f>'Chem&amp;FertInputs&amp;CInsurance'!F54</f>
        <v>0</v>
      </c>
      <c r="F42" s="117" t="str">
        <f t="shared" si="0"/>
        <v>0</v>
      </c>
      <c r="G42" s="165">
        <f t="shared" si="5"/>
        <v>0</v>
      </c>
    </row>
    <row r="43" spans="1:7" ht="20">
      <c r="A43" s="15"/>
      <c r="B43" s="85" t="str">
        <f>'Chem&amp;FertInputs&amp;CInsurance'!C55</f>
        <v>Priaxor</v>
      </c>
      <c r="C43" s="23" t="str">
        <f>'Chem&amp;FertInputs&amp;CInsurance'!D55</f>
        <v>oz</v>
      </c>
      <c r="D43" s="116">
        <f>'Chem&amp;FertInputs&amp;CInsurance'!E55</f>
        <v>3.4269999999999996</v>
      </c>
      <c r="E43" s="133">
        <f>'Chem&amp;FertInputs&amp;CInsurance'!F55</f>
        <v>0</v>
      </c>
      <c r="F43" s="117" t="str">
        <f t="shared" si="0"/>
        <v>0</v>
      </c>
      <c r="G43" s="165">
        <f t="shared" si="5"/>
        <v>0</v>
      </c>
    </row>
    <row r="44" spans="1:7" ht="20">
      <c r="A44" s="15"/>
      <c r="B44" s="85" t="str">
        <f>'Chem&amp;FertInputs&amp;CInsurance'!C56</f>
        <v>Prowl</v>
      </c>
      <c r="C44" s="23" t="str">
        <f>'Chem&amp;FertInputs&amp;CInsurance'!D56</f>
        <v>oz</v>
      </c>
      <c r="D44" s="116">
        <f>'Chem&amp;FertInputs&amp;CInsurance'!E56</f>
        <v>0.51749999999999996</v>
      </c>
      <c r="E44" s="133">
        <f>'Chem&amp;FertInputs&amp;CInsurance'!F56</f>
        <v>0</v>
      </c>
      <c r="F44" s="117" t="str">
        <f t="shared" si="0"/>
        <v>0</v>
      </c>
      <c r="G44" s="165">
        <f t="shared" si="5"/>
        <v>0</v>
      </c>
    </row>
    <row r="45" spans="1:7" ht="20">
      <c r="A45" s="15"/>
      <c r="B45" s="85" t="str">
        <f>'Chem&amp;FertInputs&amp;CInsurance'!C57</f>
        <v>Pursuit</v>
      </c>
      <c r="C45" s="23" t="str">
        <f>'Chem&amp;FertInputs&amp;CInsurance'!D57</f>
        <v>oz</v>
      </c>
      <c r="D45" s="116">
        <f>'Chem&amp;FertInputs&amp;CInsurance'!E57</f>
        <v>4.0594999999999999</v>
      </c>
      <c r="E45" s="133">
        <f>'Chem&amp;FertInputs&amp;CInsurance'!F57</f>
        <v>0</v>
      </c>
      <c r="F45" s="117" t="str">
        <f t="shared" si="0"/>
        <v>0</v>
      </c>
      <c r="G45" s="165">
        <f t="shared" si="5"/>
        <v>0</v>
      </c>
    </row>
    <row r="46" spans="1:7" ht="20">
      <c r="A46" s="15"/>
      <c r="B46" s="85" t="str">
        <f>'Chem&amp;FertInputs&amp;CInsurance'!C58</f>
        <v xml:space="preserve">Quadris </v>
      </c>
      <c r="C46" s="23" t="str">
        <f>'Chem&amp;FertInputs&amp;CInsurance'!D58</f>
        <v>oz</v>
      </c>
      <c r="D46" s="116">
        <f>'Chem&amp;FertInputs&amp;CInsurance'!E58</f>
        <v>1.127</v>
      </c>
      <c r="E46" s="133">
        <f>'Chem&amp;FertInputs&amp;CInsurance'!F58</f>
        <v>0</v>
      </c>
      <c r="F46" s="117" t="str">
        <f t="shared" si="0"/>
        <v>0</v>
      </c>
      <c r="G46" s="165">
        <f t="shared" si="5"/>
        <v>0</v>
      </c>
    </row>
    <row r="47" spans="1:7" ht="20">
      <c r="A47" s="15"/>
      <c r="B47" s="85" t="str">
        <f>'Chem&amp;FertInputs&amp;CInsurance'!C59</f>
        <v>Quilt</v>
      </c>
      <c r="C47" s="23" t="str">
        <f>'Chem&amp;FertInputs&amp;CInsurance'!D59</f>
        <v>oz</v>
      </c>
      <c r="D47" s="116">
        <f>'Chem&amp;FertInputs&amp;CInsurance'!E59</f>
        <v>1.4834999999999998</v>
      </c>
      <c r="E47" s="133">
        <f>'Chem&amp;FertInputs&amp;CInsurance'!F59</f>
        <v>0</v>
      </c>
      <c r="F47" s="117" t="str">
        <f t="shared" si="0"/>
        <v>0</v>
      </c>
      <c r="G47" s="165">
        <f t="shared" si="5"/>
        <v>0</v>
      </c>
    </row>
    <row r="48" spans="1:7" ht="20">
      <c r="A48" s="15"/>
      <c r="B48" s="85" t="str">
        <f>'Chem&amp;FertInputs&amp;CInsurance'!C60</f>
        <v>R11</v>
      </c>
      <c r="C48" s="23" t="str">
        <f>'Chem&amp;FertInputs&amp;CInsurance'!D60</f>
        <v>oz</v>
      </c>
      <c r="D48" s="116">
        <f>'Chem&amp;FertInputs&amp;CInsurance'!E60</f>
        <v>0.26450000000000001</v>
      </c>
      <c r="E48" s="133">
        <f>'Chem&amp;FertInputs&amp;CInsurance'!F60</f>
        <v>0</v>
      </c>
      <c r="F48" s="117" t="str">
        <f t="shared" si="0"/>
        <v>0</v>
      </c>
      <c r="G48" s="165">
        <f t="shared" si="5"/>
        <v>0</v>
      </c>
    </row>
    <row r="49" spans="1:11" ht="20">
      <c r="A49" s="15"/>
      <c r="B49" s="85" t="str">
        <f>'Chem&amp;FertInputs&amp;CInsurance'!C61</f>
        <v>Starane</v>
      </c>
      <c r="C49" s="23" t="str">
        <f>'Chem&amp;FertInputs&amp;CInsurance'!D61</f>
        <v>oz</v>
      </c>
      <c r="D49" s="116">
        <f>'Chem&amp;FertInputs&amp;CInsurance'!E61</f>
        <v>0.77049999999999996</v>
      </c>
      <c r="E49" s="133">
        <f>'Chem&amp;FertInputs&amp;CInsurance'!F61</f>
        <v>0</v>
      </c>
      <c r="F49" s="117" t="str">
        <f t="shared" si="0"/>
        <v>0</v>
      </c>
      <c r="G49" s="165">
        <f t="shared" si="5"/>
        <v>0</v>
      </c>
    </row>
    <row r="50" spans="1:11" ht="20">
      <c r="A50" s="15"/>
      <c r="B50" s="85" t="str">
        <f>'Chem&amp;FertInputs&amp;CInsurance'!C62</f>
        <v>Starane + Salvo</v>
      </c>
      <c r="C50" s="23" t="str">
        <f>'Chem&amp;FertInputs&amp;CInsurance'!D62</f>
        <v>oz</v>
      </c>
      <c r="D50" s="116">
        <f>'Chem&amp;FertInputs&amp;CInsurance'!E62</f>
        <v>0.77049999999999996</v>
      </c>
      <c r="E50" s="133">
        <f>'Chem&amp;FertInputs&amp;CInsurance'!F62</f>
        <v>0</v>
      </c>
      <c r="F50" s="117" t="str">
        <f t="shared" si="0"/>
        <v>0</v>
      </c>
      <c r="G50" s="165">
        <f t="shared" si="5"/>
        <v>0</v>
      </c>
    </row>
    <row r="51" spans="1:11" ht="20">
      <c r="A51" s="15"/>
      <c r="B51" s="85" t="str">
        <f>'Chem&amp;FertInputs&amp;CInsurance'!C63</f>
        <v xml:space="preserve">Starane + Sword </v>
      </c>
      <c r="C51" s="23" t="str">
        <f>'Chem&amp;FertInputs&amp;CInsurance'!D63</f>
        <v>oz</v>
      </c>
      <c r="D51" s="116">
        <f>'Chem&amp;FertInputs&amp;CInsurance'!E63</f>
        <v>0.77049999999999996</v>
      </c>
      <c r="E51" s="133">
        <f>'Chem&amp;FertInputs&amp;CInsurance'!F63</f>
        <v>0</v>
      </c>
      <c r="F51" s="117" t="str">
        <f t="shared" si="0"/>
        <v>0</v>
      </c>
      <c r="G51" s="165">
        <f t="shared" si="5"/>
        <v>0</v>
      </c>
    </row>
    <row r="52" spans="1:11" ht="20">
      <c r="A52" s="15"/>
      <c r="B52" s="85" t="str">
        <f>'Chem&amp;FertInputs&amp;CInsurance'!C64</f>
        <v xml:space="preserve"> Tilt</v>
      </c>
      <c r="C52" s="23" t="str">
        <f>'Chem&amp;FertInputs&amp;CInsurance'!D64</f>
        <v>oz</v>
      </c>
      <c r="D52" s="116">
        <f>'Chem&amp;FertInputs&amp;CInsurance'!E64</f>
        <v>0.88549999999999995</v>
      </c>
      <c r="E52" s="133">
        <f>'Chem&amp;FertInputs&amp;CInsurance'!F64</f>
        <v>4</v>
      </c>
      <c r="F52" s="117">
        <f t="shared" ref="F52:F53" si="7">IF(D52*E52=0,"0",D52*E52)</f>
        <v>3.5419999999999998</v>
      </c>
      <c r="G52" s="165">
        <f t="shared" ref="G52:G53" si="8">E52/128</f>
        <v>3.125E-2</v>
      </c>
    </row>
    <row r="53" spans="1:11" ht="20">
      <c r="A53" s="15"/>
      <c r="B53" s="85" t="str">
        <f>'Chem&amp;FertInputs&amp;CInsurance'!C65</f>
        <v xml:space="preserve">Wildcard </v>
      </c>
      <c r="C53" s="23" t="str">
        <f>'Chem&amp;FertInputs&amp;CInsurance'!D65</f>
        <v>oz</v>
      </c>
      <c r="D53" s="116">
        <f>'Chem&amp;FertInputs&amp;CInsurance'!E65</f>
        <v>0.35649999999999998</v>
      </c>
      <c r="E53" s="133">
        <f>'Chem&amp;FertInputs&amp;CInsurance'!F65</f>
        <v>0</v>
      </c>
      <c r="F53" s="117" t="str">
        <f t="shared" si="7"/>
        <v>0</v>
      </c>
      <c r="G53" s="165">
        <f t="shared" si="8"/>
        <v>0</v>
      </c>
    </row>
    <row r="54" spans="1:11" ht="20">
      <c r="A54" s="15"/>
      <c r="B54" s="85" t="str">
        <f>'Chem&amp;FertInputs&amp;CInsurance'!C66</f>
        <v>Sharpen</v>
      </c>
      <c r="C54" s="23" t="str">
        <f>'Chem&amp;FertInputs&amp;CInsurance'!D66</f>
        <v>oz</v>
      </c>
      <c r="D54" s="116">
        <f>'Chem&amp;FertInputs&amp;CInsurance'!E66</f>
        <v>6.3134999999999994</v>
      </c>
      <c r="E54" s="133">
        <f>'Chem&amp;FertInputs&amp;CInsurance'!F66</f>
        <v>0</v>
      </c>
      <c r="F54" s="117" t="str">
        <f t="shared" si="0"/>
        <v>0</v>
      </c>
      <c r="G54" s="165">
        <f>E54/128</f>
        <v>0</v>
      </c>
    </row>
    <row r="55" spans="1:11" ht="20">
      <c r="A55" s="15"/>
      <c r="B55" s="85" t="str">
        <f>'Chem&amp;FertInputs&amp;CInsurance'!C67</f>
        <v>Sencor</v>
      </c>
      <c r="C55" s="23" t="str">
        <f>'Chem&amp;FertInputs&amp;CInsurance'!D67</f>
        <v>oz</v>
      </c>
      <c r="D55" s="116">
        <f>'Chem&amp;FertInputs&amp;CInsurance'!E67</f>
        <v>0.45999999999999996</v>
      </c>
      <c r="E55" s="133">
        <f>'Chem&amp;FertInputs&amp;CInsurance'!F67</f>
        <v>0</v>
      </c>
      <c r="F55" s="117" t="str">
        <f t="shared" si="0"/>
        <v>0</v>
      </c>
      <c r="G55" s="165">
        <f>E55/128</f>
        <v>0</v>
      </c>
    </row>
    <row r="56" spans="1:11" ht="20">
      <c r="A56" s="15"/>
      <c r="B56" s="85" t="str">
        <f>'Chem&amp;FertInputs&amp;CInsurance'!C68</f>
        <v>Warrior</v>
      </c>
      <c r="C56" s="23" t="str">
        <f>'Chem&amp;FertInputs&amp;CInsurance'!D68</f>
        <v>acre</v>
      </c>
      <c r="D56" s="116">
        <f>'Chem&amp;FertInputs&amp;CInsurance'!E68</f>
        <v>3.4499999999999997</v>
      </c>
      <c r="E56" s="133">
        <f>'Chem&amp;FertInputs&amp;CInsurance'!F68</f>
        <v>0</v>
      </c>
      <c r="F56" s="117" t="str">
        <f t="shared" si="0"/>
        <v>0</v>
      </c>
      <c r="G56" s="165">
        <f>E56/128</f>
        <v>0</v>
      </c>
      <c r="J56" s="173" t="s">
        <v>8</v>
      </c>
    </row>
    <row r="57" spans="1:11" ht="20">
      <c r="A57" s="15"/>
      <c r="B57" s="85" t="str">
        <f>'Chem&amp;FertInputs&amp;CInsurance'!C69</f>
        <v xml:space="preserve"> Lorox</v>
      </c>
      <c r="C57" s="23" t="str">
        <f>'Chem&amp;FertInputs&amp;CInsurance'!D69</f>
        <v>lb</v>
      </c>
      <c r="D57" s="116">
        <f>'Chem&amp;FertInputs&amp;CInsurance'!E69</f>
        <v>26.565000000000001</v>
      </c>
      <c r="E57" s="133">
        <f>'Chem&amp;FertInputs&amp;CInsurance'!F69</f>
        <v>0</v>
      </c>
      <c r="F57" s="117" t="str">
        <f t="shared" si="0"/>
        <v>0</v>
      </c>
      <c r="G57" s="165">
        <f>E57/128</f>
        <v>0</v>
      </c>
      <c r="J57" s="173" t="s">
        <v>8</v>
      </c>
    </row>
    <row r="58" spans="1:11" ht="20">
      <c r="A58" s="15"/>
      <c r="B58" s="85" t="str">
        <f>'Chem&amp;FertInputs&amp;CInsurance'!C70</f>
        <v xml:space="preserve"> Valor</v>
      </c>
      <c r="C58" s="23" t="str">
        <f>'Chem&amp;FertInputs&amp;CInsurance'!D70</f>
        <v>oz</v>
      </c>
      <c r="D58" s="116">
        <f>'Chem&amp;FertInputs&amp;CInsurance'!E70</f>
        <v>6.6124999999999998</v>
      </c>
      <c r="E58" s="133">
        <f>'Chem&amp;FertInputs&amp;CInsurance'!F70</f>
        <v>0</v>
      </c>
      <c r="F58" s="117" t="str">
        <f t="shared" ref="F58:F59" si="9">IF(D58*E58=0,"0",D58*E58)</f>
        <v>0</v>
      </c>
      <c r="G58" s="165">
        <f t="shared" ref="G58:G59" si="10">E58/128</f>
        <v>0</v>
      </c>
      <c r="J58" s="173"/>
    </row>
    <row r="59" spans="1:11" ht="20">
      <c r="A59" s="15"/>
      <c r="B59" s="85" t="str">
        <f>'Chem&amp;FertInputs&amp;CInsurance'!C71</f>
        <v xml:space="preserve"> Diagon</v>
      </c>
      <c r="C59" s="23" t="str">
        <f>'Chem&amp;FertInputs&amp;CInsurance'!D71</f>
        <v>oz</v>
      </c>
      <c r="D59" s="116">
        <f>'Chem&amp;FertInputs&amp;CInsurance'!E71</f>
        <v>0.43699999999999994</v>
      </c>
      <c r="E59" s="133">
        <f>'Chem&amp;FertInputs&amp;CInsurance'!F71</f>
        <v>0</v>
      </c>
      <c r="F59" s="117" t="str">
        <f t="shared" si="9"/>
        <v>0</v>
      </c>
      <c r="G59" s="165">
        <f t="shared" si="10"/>
        <v>0</v>
      </c>
      <c r="J59" s="173"/>
    </row>
    <row r="60" spans="1:11" ht="20">
      <c r="A60" s="15"/>
      <c r="B60" s="85" t="str">
        <f>'Chem&amp;FertInputs&amp;CInsurance'!C72</f>
        <v xml:space="preserve">Spartan </v>
      </c>
      <c r="C60" s="23" t="str">
        <f>'Chem&amp;FertInputs&amp;CInsurance'!D72</f>
        <v>oz</v>
      </c>
      <c r="D60" s="116">
        <f>'Chem&amp;FertInputs&amp;CInsurance'!E72</f>
        <v>2.0469999999999997</v>
      </c>
      <c r="E60" s="133">
        <f>'Chem&amp;FertInputs&amp;CInsurance'!F72</f>
        <v>0</v>
      </c>
      <c r="F60" s="117" t="str">
        <f t="shared" si="0"/>
        <v>0</v>
      </c>
      <c r="G60" s="165">
        <f>E60/128</f>
        <v>0</v>
      </c>
      <c r="I60" s="224" t="s">
        <v>8</v>
      </c>
      <c r="K60" s="224"/>
    </row>
    <row r="61" spans="1:11" ht="23">
      <c r="A61" s="15"/>
      <c r="B61" s="85" t="str">
        <f>'Chem&amp;FertInputs&amp;CInsurance'!C32</f>
        <v xml:space="preserve">Round Up </v>
      </c>
      <c r="C61" s="23" t="str">
        <f>'Chem&amp;FertInputs&amp;CInsurance'!D32</f>
        <v>oz</v>
      </c>
      <c r="D61" s="116">
        <f>'Chem&amp;FertInputs&amp;CInsurance'!E32</f>
        <v>0.14949999999999999</v>
      </c>
      <c r="E61" s="133">
        <f>'Chem&amp;FertInputs&amp;CInsurance'!F32</f>
        <v>36</v>
      </c>
      <c r="F61" s="117">
        <f t="shared" si="0"/>
        <v>5.3819999999999997</v>
      </c>
      <c r="G61" s="225">
        <f>E61/128</f>
        <v>0.28125</v>
      </c>
      <c r="H61" s="224" t="s">
        <v>8</v>
      </c>
    </row>
    <row r="62" spans="1:11" ht="20">
      <c r="A62" s="15"/>
      <c r="B62" s="139" t="s">
        <v>86</v>
      </c>
      <c r="C62" s="23"/>
      <c r="D62" s="116"/>
      <c r="E62" s="133"/>
      <c r="F62" s="117"/>
      <c r="G62" s="165">
        <f>SUM(G14:G61)</f>
        <v>0.59257812499999996</v>
      </c>
    </row>
    <row r="63" spans="1:11" ht="20">
      <c r="A63" s="15"/>
      <c r="B63" s="125" t="str">
        <f>CustomRates!B5</f>
        <v>Aerial (Custom)</v>
      </c>
      <c r="C63" s="41" t="str">
        <f>CustomRates!C5</f>
        <v>acre</v>
      </c>
      <c r="D63" s="116">
        <f>CustomRates!D5</f>
        <v>8.9499999999999993</v>
      </c>
      <c r="E63" s="87">
        <f>CustomRates!D6</f>
        <v>0</v>
      </c>
      <c r="F63" s="117" t="str">
        <f t="shared" ref="F63:F70" si="11">IF(D63*E63=0,"0",D63*E63)</f>
        <v>0</v>
      </c>
      <c r="G63" s="224" t="s">
        <v>8</v>
      </c>
      <c r="H63" s="224" t="s">
        <v>8</v>
      </c>
    </row>
    <row r="64" spans="1:11" ht="20">
      <c r="A64" s="15"/>
      <c r="B64" s="125" t="str">
        <f>CustomRates!B7</f>
        <v>Sprayer (Rental 90')</v>
      </c>
      <c r="C64" s="41" t="str">
        <f>CustomRates!C7</f>
        <v>acre</v>
      </c>
      <c r="D64" s="116">
        <f>CustomRates!D7</f>
        <v>8</v>
      </c>
      <c r="E64" s="87">
        <f>CustomRates!D8</f>
        <v>1</v>
      </c>
      <c r="F64" s="117">
        <f t="shared" si="11"/>
        <v>8</v>
      </c>
    </row>
    <row r="65" spans="1:9" ht="20">
      <c r="A65" s="15"/>
      <c r="B65" s="125" t="str">
        <f>CustomRates!B9</f>
        <v>Fertilizer - Anhydrous Applicator (Rent)</v>
      </c>
      <c r="C65" s="41" t="str">
        <f>CustomRates!C9</f>
        <v>acre</v>
      </c>
      <c r="D65" s="116">
        <f>CustomRates!D9</f>
        <v>7</v>
      </c>
      <c r="E65" s="87">
        <f>CustomRates!D10</f>
        <v>0</v>
      </c>
      <c r="F65" s="117" t="str">
        <f t="shared" si="11"/>
        <v>0</v>
      </c>
    </row>
    <row r="66" spans="1:9" ht="20">
      <c r="A66" s="15"/>
      <c r="B66" s="125" t="str">
        <f>CustomRates!B11</f>
        <v>Fertilizer Applicator</v>
      </c>
      <c r="C66" s="41" t="str">
        <f>CustomRates!C11</f>
        <v>acre</v>
      </c>
      <c r="D66" s="116">
        <f>CustomRates!D11</f>
        <v>2</v>
      </c>
      <c r="E66" s="87">
        <f>CustomRates!D12</f>
        <v>0</v>
      </c>
      <c r="F66" s="117" t="str">
        <f t="shared" si="11"/>
        <v>0</v>
      </c>
    </row>
    <row r="67" spans="1:9" ht="20">
      <c r="A67" s="15"/>
      <c r="B67" s="125" t="str">
        <f>CustomRates!B13</f>
        <v>26' Rental Shredder</v>
      </c>
      <c r="C67" s="41" t="str">
        <f>CustomRates!C13</f>
        <v>acre</v>
      </c>
      <c r="D67" s="116">
        <f>CustomRates!D13</f>
        <v>10</v>
      </c>
      <c r="E67" s="87">
        <f>CustomRates!D14</f>
        <v>0</v>
      </c>
      <c r="F67" s="117" t="str">
        <f t="shared" si="11"/>
        <v>0</v>
      </c>
    </row>
    <row r="68" spans="1:9" ht="20">
      <c r="A68" s="15"/>
      <c r="B68" s="125" t="str">
        <f>CustomRates!B15</f>
        <v>36' Ripper Shooter</v>
      </c>
      <c r="C68" s="41" t="str">
        <f>CustomRates!C15</f>
        <v>acre</v>
      </c>
      <c r="D68" s="116">
        <f>CustomRates!D15</f>
        <v>2.5</v>
      </c>
      <c r="E68" s="87">
        <f>CustomRates!D16</f>
        <v>0</v>
      </c>
      <c r="F68" s="117" t="str">
        <f t="shared" si="11"/>
        <v>0</v>
      </c>
    </row>
    <row r="69" spans="1:9" ht="20">
      <c r="A69" s="15"/>
      <c r="B69" s="125" t="str">
        <f>CustomRates!B17</f>
        <v>Custom self-propelled sprayer</v>
      </c>
      <c r="C69" s="41" t="str">
        <f>CustomRates!C17</f>
        <v>acre</v>
      </c>
      <c r="D69" s="116">
        <f>CustomRates!D17</f>
        <v>8</v>
      </c>
      <c r="E69" s="87">
        <f>CustomRates!D18</f>
        <v>0</v>
      </c>
      <c r="F69" s="117" t="str">
        <f t="shared" si="11"/>
        <v>0</v>
      </c>
    </row>
    <row r="70" spans="1:9" ht="20">
      <c r="A70" s="15"/>
      <c r="B70" s="125" t="str">
        <f>CustomRates!B19</f>
        <v>Additional Operation #8 (Custom)</v>
      </c>
      <c r="C70" s="41" t="str">
        <f>CustomRates!C19</f>
        <v>acre</v>
      </c>
      <c r="D70" s="116">
        <f>CustomRates!D19</f>
        <v>0</v>
      </c>
      <c r="E70" s="87">
        <f>CustomRates!D20</f>
        <v>0</v>
      </c>
      <c r="F70" s="117" t="str">
        <f t="shared" si="11"/>
        <v>0</v>
      </c>
    </row>
    <row r="71" spans="1:9" ht="20">
      <c r="A71" s="15"/>
      <c r="B71" s="139" t="s">
        <v>87</v>
      </c>
      <c r="C71" s="41"/>
      <c r="D71" s="116"/>
      <c r="E71" s="87"/>
      <c r="F71" s="117"/>
      <c r="H71" s="1" t="s">
        <v>204</v>
      </c>
      <c r="I71" s="1" t="s">
        <v>135</v>
      </c>
    </row>
    <row r="72" spans="1:9" ht="20">
      <c r="A72" s="15"/>
      <c r="B72" s="85" t="str">
        <f>MachineAssumptions!B7&amp;" - Labor"</f>
        <v>Shredder - Labor</v>
      </c>
      <c r="C72" s="41" t="s">
        <v>246</v>
      </c>
      <c r="D72" s="116">
        <f>MachineAssumptions!$R$7</f>
        <v>1.4996591683708247</v>
      </c>
      <c r="E72" s="87">
        <f>FieldApplications!$C$6</f>
        <v>0</v>
      </c>
      <c r="F72" s="117" t="str">
        <f t="shared" ref="F72:F113" si="12">IF(D72*E72=0,"0",D72*E72)</f>
        <v>0</v>
      </c>
      <c r="G72" s="173" t="s">
        <v>8</v>
      </c>
      <c r="H72" s="246">
        <f>MachineAssumptions!$R$28*E72</f>
        <v>0</v>
      </c>
      <c r="I72" s="166">
        <f>MachineAssumptions!$R$48*E72</f>
        <v>0</v>
      </c>
    </row>
    <row r="73" spans="1:9" ht="20">
      <c r="A73" s="15"/>
      <c r="B73" s="85" t="str">
        <f>MachineAssumptions!B7&amp;" - Fuel, Lube"</f>
        <v>Shredder - Fuel, Lube</v>
      </c>
      <c r="C73" s="41" t="s">
        <v>246</v>
      </c>
      <c r="D73" s="116">
        <f>MachineAssumptions!$S$7</f>
        <v>5.7486934787548281</v>
      </c>
      <c r="E73" s="87">
        <f>FieldApplications!$C$6</f>
        <v>0</v>
      </c>
      <c r="F73" s="117" t="str">
        <f t="shared" si="12"/>
        <v>0</v>
      </c>
      <c r="H73" s="246">
        <f>MachineAssumptions!$S$28*E73</f>
        <v>0</v>
      </c>
      <c r="I73" s="166">
        <f>MachineAssumptions!$S$48*E73</f>
        <v>0</v>
      </c>
    </row>
    <row r="74" spans="1:9" ht="20">
      <c r="A74" s="15"/>
      <c r="B74" s="85" t="str">
        <f>MachineAssumptions!B7&amp;" - Repairs"</f>
        <v>Shredder - Repairs</v>
      </c>
      <c r="C74" s="41" t="s">
        <v>246</v>
      </c>
      <c r="D74" s="116">
        <f>MachineAssumptions!$T$7</f>
        <v>0.46726721181997538</v>
      </c>
      <c r="E74" s="87">
        <f>FieldApplications!$C$6</f>
        <v>0</v>
      </c>
      <c r="F74" s="117" t="str">
        <f t="shared" si="12"/>
        <v>0</v>
      </c>
      <c r="H74" s="246">
        <f>MachineAssumptions!$T$28*E74</f>
        <v>0</v>
      </c>
      <c r="I74" s="166">
        <f>MachineAssumptions!$T$48*E74</f>
        <v>0</v>
      </c>
    </row>
    <row r="75" spans="1:9" ht="20">
      <c r="A75" s="15"/>
      <c r="B75" s="85" t="str">
        <f>MachineAssumptions!B8&amp;" - Labor"</f>
        <v>Harrow - Labor</v>
      </c>
      <c r="C75" s="41" t="s">
        <v>246</v>
      </c>
      <c r="D75" s="116">
        <f>MachineAssumptions!$R$8</f>
        <v>0.59412746734753996</v>
      </c>
      <c r="E75" s="87">
        <f>FieldApplications!$C$7</f>
        <v>0</v>
      </c>
      <c r="F75" s="117" t="str">
        <f t="shared" si="12"/>
        <v>0</v>
      </c>
      <c r="H75" s="246">
        <f>MachineAssumptions!$R$29*E75</f>
        <v>0</v>
      </c>
      <c r="I75" s="166">
        <f>MachineAssumptions!$R$49*E75</f>
        <v>0</v>
      </c>
    </row>
    <row r="76" spans="1:9" ht="20">
      <c r="A76" s="15"/>
      <c r="B76" s="85" t="str">
        <f>MachineAssumptions!B8&amp;" - Fuel, Lube"</f>
        <v>Harrow - Fuel, Lube</v>
      </c>
      <c r="C76" s="41" t="s">
        <v>246</v>
      </c>
      <c r="D76" s="116">
        <f>MachineAssumptions!$S$8</f>
        <v>2.4845330452715308</v>
      </c>
      <c r="E76" s="87">
        <f>FieldApplications!$C$7</f>
        <v>0</v>
      </c>
      <c r="F76" s="117" t="str">
        <f t="shared" si="12"/>
        <v>0</v>
      </c>
      <c r="H76" s="246">
        <f>MachineAssumptions!$S$29*E76</f>
        <v>0</v>
      </c>
      <c r="I76" s="166">
        <f>MachineAssumptions!$S$49*E76</f>
        <v>0</v>
      </c>
    </row>
    <row r="77" spans="1:9" ht="20">
      <c r="A77" s="15"/>
      <c r="B77" s="85" t="str">
        <f>MachineAssumptions!B8&amp;" - Repairs"</f>
        <v>Harrow - Repairs</v>
      </c>
      <c r="C77" s="41" t="s">
        <v>246</v>
      </c>
      <c r="D77" s="116">
        <f>MachineAssumptions!$T$8</f>
        <v>0.14755184964846621</v>
      </c>
      <c r="E77" s="87">
        <f>FieldApplications!$C$7</f>
        <v>0</v>
      </c>
      <c r="F77" s="117" t="str">
        <f t="shared" si="12"/>
        <v>0</v>
      </c>
      <c r="H77" s="246">
        <f>MachineAssumptions!$T$29*E77</f>
        <v>0</v>
      </c>
      <c r="I77" s="166">
        <f>MachineAssumptions!$T$49*E77</f>
        <v>0</v>
      </c>
    </row>
    <row r="78" spans="1:9" ht="20">
      <c r="A78" s="15"/>
      <c r="B78" s="85" t="str">
        <f>MachineAssumptions!B9&amp;" - Labor"</f>
        <v>Chisel plow - Labor</v>
      </c>
      <c r="C78" s="41" t="s">
        <v>246</v>
      </c>
      <c r="D78" s="116">
        <f>MachineAssumptions!$R$9</f>
        <v>0</v>
      </c>
      <c r="E78" s="87">
        <f>FieldApplications!$C$8</f>
        <v>0</v>
      </c>
      <c r="F78" s="117" t="str">
        <f t="shared" si="12"/>
        <v>0</v>
      </c>
      <c r="H78" s="246">
        <f>MachineAssumptions!$R$30*E78</f>
        <v>0</v>
      </c>
      <c r="I78" s="166">
        <f>MachineAssumptions!$R$50*E78</f>
        <v>0</v>
      </c>
    </row>
    <row r="79" spans="1:9" ht="20">
      <c r="A79" s="15"/>
      <c r="B79" s="85" t="str">
        <f>MachineAssumptions!B9&amp;" - Fuel, Lube"</f>
        <v>Chisel plow - Fuel, Lube</v>
      </c>
      <c r="C79" s="41" t="s">
        <v>246</v>
      </c>
      <c r="D79" s="116">
        <f>MachineAssumptions!$S$9</f>
        <v>0</v>
      </c>
      <c r="E79" s="87">
        <f>FieldApplications!$C$8</f>
        <v>0</v>
      </c>
      <c r="F79" s="117" t="str">
        <f t="shared" si="12"/>
        <v>0</v>
      </c>
      <c r="H79" s="246">
        <f>MachineAssumptions!$R$30*E79</f>
        <v>0</v>
      </c>
      <c r="I79" s="166">
        <f>MachineAssumptions!$S$50*E79</f>
        <v>0</v>
      </c>
    </row>
    <row r="80" spans="1:9" ht="20">
      <c r="A80" s="15"/>
      <c r="B80" s="85" t="str">
        <f>MachineAssumptions!B9&amp;" - Repairs"</f>
        <v>Chisel plow - Repairs</v>
      </c>
      <c r="C80" s="41" t="s">
        <v>246</v>
      </c>
      <c r="D80" s="116">
        <f>MachineAssumptions!$T$9</f>
        <v>0</v>
      </c>
      <c r="E80" s="87">
        <f>FieldApplications!$C$8</f>
        <v>0</v>
      </c>
      <c r="F80" s="117" t="str">
        <f t="shared" si="12"/>
        <v>0</v>
      </c>
      <c r="H80" s="246">
        <f>MachineAssumptions!$T$30*E80</f>
        <v>0</v>
      </c>
      <c r="I80" s="166">
        <f>MachineAssumptions!$T$50*E80</f>
        <v>0</v>
      </c>
    </row>
    <row r="81" spans="1:9" ht="20">
      <c r="A81" s="15"/>
      <c r="B81" s="85" t="str">
        <f>MachineAssumptions!B10&amp;" - Labor"</f>
        <v>Moldboard plow - Labor</v>
      </c>
      <c r="C81" s="41" t="s">
        <v>246</v>
      </c>
      <c r="D81" s="116">
        <f>MachineAssumptions!$R$10</f>
        <v>0</v>
      </c>
      <c r="E81" s="87">
        <f>FieldApplications!$C$9</f>
        <v>0</v>
      </c>
      <c r="F81" s="117" t="str">
        <f t="shared" si="12"/>
        <v>0</v>
      </c>
      <c r="H81" s="246">
        <f>MachineAssumptions!$R$31*E81</f>
        <v>0</v>
      </c>
      <c r="I81" s="166">
        <f>MachineAssumptions!$R$51*E81</f>
        <v>0</v>
      </c>
    </row>
    <row r="82" spans="1:9" ht="20">
      <c r="A82" s="15"/>
      <c r="B82" s="85" t="str">
        <f>MachineAssumptions!B10&amp;" - Fuel, Lube"</f>
        <v>Moldboard plow - Fuel, Lube</v>
      </c>
      <c r="C82" s="41" t="s">
        <v>246</v>
      </c>
      <c r="D82" s="116">
        <f>MachineAssumptions!$S$10</f>
        <v>0</v>
      </c>
      <c r="E82" s="87">
        <f>FieldApplications!$C$9</f>
        <v>0</v>
      </c>
      <c r="F82" s="117" t="str">
        <f t="shared" si="12"/>
        <v>0</v>
      </c>
      <c r="H82" s="246">
        <f>MachineAssumptions!$S$31*E82</f>
        <v>0</v>
      </c>
      <c r="I82" s="166">
        <f>MachineAssumptions!$S$51*E82</f>
        <v>0</v>
      </c>
    </row>
    <row r="83" spans="1:9" ht="20">
      <c r="A83" s="15"/>
      <c r="B83" s="85" t="str">
        <f>MachineAssumptions!B10&amp;" - Repairs"</f>
        <v>Moldboard plow - Repairs</v>
      </c>
      <c r="C83" s="41" t="s">
        <v>246</v>
      </c>
      <c r="D83" s="116">
        <f>MachineAssumptions!$T$10</f>
        <v>0</v>
      </c>
      <c r="E83" s="87">
        <f>FieldApplications!$C$9</f>
        <v>0</v>
      </c>
      <c r="F83" s="117" t="str">
        <f t="shared" si="12"/>
        <v>0</v>
      </c>
      <c r="H83" s="246">
        <f>MachineAssumptions!$T$31*E83</f>
        <v>0</v>
      </c>
      <c r="I83" s="166">
        <f>MachineAssumptions!$T$51*E83</f>
        <v>0</v>
      </c>
    </row>
    <row r="84" spans="1:9" ht="20">
      <c r="A84" s="15"/>
      <c r="B84" s="85" t="str">
        <f>MachineAssumptions!B11&amp;" - Labor"</f>
        <v>Cultivator - Labor</v>
      </c>
      <c r="C84" s="41" t="s">
        <v>246</v>
      </c>
      <c r="D84" s="116">
        <f>MachineAssumptions!$R$11</f>
        <v>0</v>
      </c>
      <c r="E84" s="87">
        <f>FieldApplications!$C$10</f>
        <v>0</v>
      </c>
      <c r="F84" s="117" t="str">
        <f t="shared" si="12"/>
        <v>0</v>
      </c>
      <c r="H84" s="246">
        <f>MachineAssumptions!$R$32*E84</f>
        <v>0</v>
      </c>
      <c r="I84" s="166">
        <f>MachineAssumptions!$R$52*E84</f>
        <v>0</v>
      </c>
    </row>
    <row r="85" spans="1:9" ht="20">
      <c r="A85" s="15"/>
      <c r="B85" s="85" t="str">
        <f>MachineAssumptions!B11&amp;" - Fuel, Lube"</f>
        <v>Cultivator - Fuel, Lube</v>
      </c>
      <c r="C85" s="41" t="s">
        <v>246</v>
      </c>
      <c r="D85" s="116">
        <f>MachineAssumptions!$S$11</f>
        <v>0</v>
      </c>
      <c r="E85" s="87">
        <f>FieldApplications!$C$10</f>
        <v>0</v>
      </c>
      <c r="F85" s="117" t="str">
        <f t="shared" si="12"/>
        <v>0</v>
      </c>
      <c r="H85" s="246">
        <f>MachineAssumptions!$S$32*E85</f>
        <v>0</v>
      </c>
      <c r="I85" s="166">
        <f>MachineAssumptions!$S$52*E85</f>
        <v>0</v>
      </c>
    </row>
    <row r="86" spans="1:9" ht="20">
      <c r="A86" s="15"/>
      <c r="B86" s="85" t="str">
        <f>MachineAssumptions!B11&amp;" - Repairs"</f>
        <v>Cultivator - Repairs</v>
      </c>
      <c r="C86" s="41" t="s">
        <v>246</v>
      </c>
      <c r="D86" s="116">
        <f>MachineAssumptions!$T$11</f>
        <v>0</v>
      </c>
      <c r="E86" s="87">
        <f>FieldApplications!$C$10</f>
        <v>0</v>
      </c>
      <c r="F86" s="117" t="str">
        <f t="shared" si="12"/>
        <v>0</v>
      </c>
      <c r="H86" s="246">
        <f>MachineAssumptions!$T$32*E86</f>
        <v>0</v>
      </c>
      <c r="I86" s="166">
        <f>MachineAssumptions!$T$52*E86</f>
        <v>0</v>
      </c>
    </row>
    <row r="87" spans="1:9" ht="20">
      <c r="A87" s="15"/>
      <c r="B87" s="85" t="str">
        <f>MachineAssumptions!B12&amp;" - Labor"</f>
        <v>Cultiweeder - Labor</v>
      </c>
      <c r="C87" s="41" t="s">
        <v>246</v>
      </c>
      <c r="D87" s="116">
        <f>MachineAssumptions!$R$12</f>
        <v>0</v>
      </c>
      <c r="E87" s="87">
        <f>FieldApplications!$C$11</f>
        <v>0</v>
      </c>
      <c r="F87" s="117" t="str">
        <f t="shared" si="12"/>
        <v>0</v>
      </c>
      <c r="H87" s="246">
        <f>MachineAssumptions!$R$33*E87</f>
        <v>0</v>
      </c>
      <c r="I87" s="166">
        <f>MachineAssumptions!$R$53*E87</f>
        <v>0</v>
      </c>
    </row>
    <row r="88" spans="1:9" ht="20">
      <c r="A88" s="15"/>
      <c r="B88" s="85" t="str">
        <f>MachineAssumptions!B12&amp;" - Fuel, Lube"</f>
        <v>Cultiweeder - Fuel, Lube</v>
      </c>
      <c r="C88" s="41" t="s">
        <v>246</v>
      </c>
      <c r="D88" s="116">
        <f>MachineAssumptions!$S$12</f>
        <v>0</v>
      </c>
      <c r="E88" s="87">
        <f>FieldApplications!$C$11</f>
        <v>0</v>
      </c>
      <c r="F88" s="117" t="str">
        <f t="shared" si="12"/>
        <v>0</v>
      </c>
      <c r="H88" s="246">
        <f>MachineAssumptions!$S$33*E88</f>
        <v>0</v>
      </c>
      <c r="I88" s="166">
        <f>MachineAssumptions!$S$53*E88</f>
        <v>0</v>
      </c>
    </row>
    <row r="89" spans="1:9" ht="20">
      <c r="A89" s="15"/>
      <c r="B89" s="85" t="str">
        <f>MachineAssumptions!B12&amp;" - Repairs"</f>
        <v>Cultiweeder - Repairs</v>
      </c>
      <c r="C89" s="41" t="s">
        <v>246</v>
      </c>
      <c r="D89" s="116">
        <f>MachineAssumptions!$T$12</f>
        <v>0</v>
      </c>
      <c r="E89" s="87">
        <f>FieldApplications!$C$11</f>
        <v>0</v>
      </c>
      <c r="F89" s="117" t="str">
        <f t="shared" si="12"/>
        <v>0</v>
      </c>
      <c r="H89" s="246">
        <f>MachineAssumptions!$T$33*E89</f>
        <v>0</v>
      </c>
      <c r="I89" s="166">
        <f>MachineAssumptions!$T$53*E89</f>
        <v>0</v>
      </c>
    </row>
    <row r="90" spans="1:9" ht="20">
      <c r="A90" s="15"/>
      <c r="B90" s="85" t="str">
        <f>MachineAssumptions!B13&amp;" - Labor"</f>
        <v>Drill - Labor</v>
      </c>
      <c r="C90" s="41" t="s">
        <v>246</v>
      </c>
      <c r="D90" s="116">
        <f>MachineAssumptions!$R$13</f>
        <v>1.6703109815354713</v>
      </c>
      <c r="E90" s="87">
        <f>FieldApplications!$C$12</f>
        <v>1</v>
      </c>
      <c r="F90" s="117">
        <f t="shared" si="12"/>
        <v>1.6703109815354713</v>
      </c>
      <c r="H90" s="246">
        <f>MachineAssumptions!$R$34*E90</f>
        <v>1.6703109815354713</v>
      </c>
      <c r="I90" s="166">
        <f>MachineAssumptions!$R$54*E90</f>
        <v>1.6703109815354713</v>
      </c>
    </row>
    <row r="91" spans="1:9" ht="20">
      <c r="A91" s="15"/>
      <c r="B91" s="85" t="str">
        <f>MachineAssumptions!B13&amp;" - Fuel, Lube"</f>
        <v>Drill - Fuel, Lube</v>
      </c>
      <c r="C91" s="41" t="s">
        <v>246</v>
      </c>
      <c r="D91" s="116">
        <f>MachineAssumptions!$S$13</f>
        <v>6.146744412050535</v>
      </c>
      <c r="E91" s="87">
        <f>FieldApplications!$C$12</f>
        <v>1</v>
      </c>
      <c r="F91" s="117">
        <f t="shared" si="12"/>
        <v>6.146744412050535</v>
      </c>
      <c r="H91" s="246">
        <f>MachineAssumptions!$S$34*E91</f>
        <v>6.146744412050535</v>
      </c>
      <c r="I91" s="166">
        <f>MachineAssumptions!$S$54*E91</f>
        <v>6.146744412050535</v>
      </c>
    </row>
    <row r="92" spans="1:9" ht="20">
      <c r="A92" s="15"/>
      <c r="B92" s="85" t="str">
        <f>MachineAssumptions!B13&amp;" - Repairs"</f>
        <v>Drill - Repairs</v>
      </c>
      <c r="C92" s="41" t="s">
        <v>246</v>
      </c>
      <c r="D92" s="116">
        <f>MachineAssumptions!$T$13</f>
        <v>5.740409656342587</v>
      </c>
      <c r="E92" s="87">
        <f>FieldApplications!$C$12</f>
        <v>1</v>
      </c>
      <c r="F92" s="117">
        <f t="shared" si="12"/>
        <v>5.740409656342587</v>
      </c>
      <c r="H92" s="246">
        <f>MachineAssumptions!$T$34*E92</f>
        <v>5.740409656342587</v>
      </c>
      <c r="I92" s="166">
        <f>MachineAssumptions!$T$54*E92</f>
        <v>5.740409656342587</v>
      </c>
    </row>
    <row r="93" spans="1:9" ht="20">
      <c r="A93" s="15"/>
      <c r="B93" s="85" t="str">
        <f>MachineAssumptions!B14&amp;" - Labor"</f>
        <v>Combine w/ 36' header - Labor</v>
      </c>
      <c r="C93" s="41" t="s">
        <v>246</v>
      </c>
      <c r="D93" s="116">
        <f>MachineAssumptions!$R$14</f>
        <v>1.9161092530657748</v>
      </c>
      <c r="E93" s="87">
        <f>FieldApplications!$C$13</f>
        <v>1</v>
      </c>
      <c r="F93" s="117">
        <f t="shared" si="12"/>
        <v>1.9161092530657748</v>
      </c>
      <c r="H93" s="246">
        <f>MachineAssumptions!$R$35*E93</f>
        <v>1.9161092530657748</v>
      </c>
      <c r="I93" s="166">
        <f>MachineAssumptions!$R$55*E93</f>
        <v>1.9161092530657748</v>
      </c>
    </row>
    <row r="94" spans="1:9" ht="20">
      <c r="A94" s="15"/>
      <c r="B94" s="85" t="str">
        <f>MachineAssumptions!B14&amp;" - Fuel, Lube"</f>
        <v>Combine w/ 36' header - Fuel, Lube</v>
      </c>
      <c r="C94" s="41" t="s">
        <v>246</v>
      </c>
      <c r="D94" s="116">
        <f>MachineAssumptions!$S$14</f>
        <v>7.0512820512820511</v>
      </c>
      <c r="E94" s="87">
        <f>FieldApplications!$C$13</f>
        <v>1</v>
      </c>
      <c r="F94" s="117">
        <f t="shared" si="12"/>
        <v>7.0512820512820511</v>
      </c>
      <c r="H94" s="246">
        <f>MachineAssumptions!$S$35*E94</f>
        <v>7.0512820512820511</v>
      </c>
      <c r="I94" s="166">
        <f>MachineAssumptions!$S$55*E94</f>
        <v>7.0512820512820511</v>
      </c>
    </row>
    <row r="95" spans="1:9" ht="20">
      <c r="A95" s="15"/>
      <c r="B95" s="85" t="str">
        <f>MachineAssumptions!B14&amp;" - Repairs"</f>
        <v>Combine w/ 36' header - Repairs</v>
      </c>
      <c r="C95" s="41" t="s">
        <v>246</v>
      </c>
      <c r="D95" s="116">
        <f>MachineAssumptions!$T$14</f>
        <v>6.4258281801385913</v>
      </c>
      <c r="E95" s="87">
        <f>FieldApplications!$C$13</f>
        <v>1</v>
      </c>
      <c r="F95" s="117">
        <f t="shared" si="12"/>
        <v>6.4258281801385913</v>
      </c>
      <c r="H95" s="246">
        <f>MachineAssumptions!$T$35*E95</f>
        <v>6.4258281801385913</v>
      </c>
      <c r="I95" s="166">
        <f>MachineAssumptions!$T$55*E95</f>
        <v>4.0416300769413871</v>
      </c>
    </row>
    <row r="96" spans="1:9" ht="20">
      <c r="A96" s="15"/>
      <c r="B96" s="85" t="str">
        <f>MachineAssumptions!B16&amp;" - Labor"</f>
        <v>Fertilizer Spreader - Labor</v>
      </c>
      <c r="C96" s="41" t="s">
        <v>246</v>
      </c>
      <c r="D96" s="116">
        <f>MachineAssumptions!$R$16</f>
        <v>0</v>
      </c>
      <c r="E96" s="87">
        <f>FieldApplications!$C$14</f>
        <v>0</v>
      </c>
      <c r="F96" s="117" t="str">
        <f t="shared" si="12"/>
        <v>0</v>
      </c>
      <c r="H96" s="246">
        <f>MachineAssumptions!$R$36*E96</f>
        <v>0</v>
      </c>
      <c r="I96" s="166">
        <f>MachineAssumptions!$R$56*E96</f>
        <v>0</v>
      </c>
    </row>
    <row r="97" spans="1:9" ht="20">
      <c r="A97" s="15"/>
      <c r="B97" s="85" t="str">
        <f>MachineAssumptions!B16&amp;" - Fuel, Lube"</f>
        <v>Fertilizer Spreader - Fuel, Lube</v>
      </c>
      <c r="C97" s="41" t="s">
        <v>246</v>
      </c>
      <c r="D97" s="116">
        <f>MachineAssumptions!$S$16</f>
        <v>0</v>
      </c>
      <c r="E97" s="87">
        <f>FieldApplications!$C$14</f>
        <v>0</v>
      </c>
      <c r="F97" s="117" t="str">
        <f t="shared" si="12"/>
        <v>0</v>
      </c>
      <c r="H97" s="246">
        <f>MachineAssumptions!$S$36*E97</f>
        <v>0</v>
      </c>
      <c r="I97" s="166">
        <f>MachineAssumptions!$S$56*E97</f>
        <v>0</v>
      </c>
    </row>
    <row r="98" spans="1:9" ht="20">
      <c r="A98" s="15"/>
      <c r="B98" s="85" t="str">
        <f>MachineAssumptions!B16&amp;" - Repairs"</f>
        <v>Fertilizer Spreader - Repairs</v>
      </c>
      <c r="C98" s="41" t="s">
        <v>246</v>
      </c>
      <c r="D98" s="116">
        <f>MachineAssumptions!$T$16</f>
        <v>0</v>
      </c>
      <c r="E98" s="87">
        <f>FieldApplications!$C$14</f>
        <v>0</v>
      </c>
      <c r="F98" s="117" t="str">
        <f t="shared" si="12"/>
        <v>0</v>
      </c>
      <c r="H98" s="246">
        <f>MachineAssumptions!$T$36*E98</f>
        <v>0</v>
      </c>
      <c r="I98" s="166">
        <f>MachineAssumptions!$T$56*E98</f>
        <v>0</v>
      </c>
    </row>
    <row r="99" spans="1:9" ht="20">
      <c r="A99" s="15"/>
      <c r="B99" s="85" t="str">
        <f>MachineAssumptions!B17&amp;" - Labor"</f>
        <v>Fertilizer tanks and pump - Labor</v>
      </c>
      <c r="C99" s="41" t="s">
        <v>246</v>
      </c>
      <c r="D99" s="116">
        <f>MachineAssumptions!$R$17</f>
        <v>2.2448979591836737</v>
      </c>
      <c r="E99" s="87">
        <f>FieldApplications!$C$15</f>
        <v>1</v>
      </c>
      <c r="F99" s="117">
        <f t="shared" si="12"/>
        <v>2.2448979591836737</v>
      </c>
      <c r="H99" s="246">
        <f>MachineAssumptions!$R$37*E99</f>
        <v>2.2448979591836737</v>
      </c>
      <c r="I99" s="166">
        <f>MachineAssumptions!$R$57*E99</f>
        <v>2.2448979591836737</v>
      </c>
    </row>
    <row r="100" spans="1:9" ht="20">
      <c r="A100" s="15"/>
      <c r="B100" s="85" t="str">
        <f>MachineAssumptions!B17&amp;" - Fuel, Lube"</f>
        <v>Fertilizer tanks and pump - Fuel, Lube</v>
      </c>
      <c r="C100" s="41" t="s">
        <v>246</v>
      </c>
      <c r="D100" s="116">
        <f>MachineAssumptions!$S$17</f>
        <v>9.387755102040817</v>
      </c>
      <c r="E100" s="87">
        <f>FieldApplications!$C$15</f>
        <v>1</v>
      </c>
      <c r="F100" s="117">
        <f t="shared" si="12"/>
        <v>9.387755102040817</v>
      </c>
      <c r="H100" s="246">
        <f>MachineAssumptions!$S$37*E100</f>
        <v>9.387755102040817</v>
      </c>
      <c r="I100" s="166">
        <f>MachineAssumptions!$S$57*E100</f>
        <v>9.387755102040817</v>
      </c>
    </row>
    <row r="101" spans="1:9" ht="20">
      <c r="A101" s="15"/>
      <c r="B101" s="85" t="str">
        <f>MachineAssumptions!B17&amp;" - Repairs"</f>
        <v>Fertilizer tanks and pump - Repairs</v>
      </c>
      <c r="C101" s="41" t="s">
        <v>246</v>
      </c>
      <c r="D101" s="116">
        <f>MachineAssumptions!$T$17</f>
        <v>0</v>
      </c>
      <c r="E101" s="87">
        <f>FieldApplications!$C$15</f>
        <v>1</v>
      </c>
      <c r="F101" s="117" t="str">
        <f t="shared" si="12"/>
        <v>0</v>
      </c>
      <c r="H101" s="246">
        <f>MachineAssumptions!$T$37*E101</f>
        <v>0</v>
      </c>
      <c r="I101" s="166">
        <f>MachineAssumptions!$T$57*E101</f>
        <v>0</v>
      </c>
    </row>
    <row r="102" spans="1:9" ht="20">
      <c r="A102" s="15"/>
      <c r="B102" s="85" t="str">
        <f>MachineAssumptions!B18&amp;" - Labor"</f>
        <v>Boom sprayer - Labor</v>
      </c>
      <c r="C102" s="41" t="s">
        <v>246</v>
      </c>
      <c r="D102" s="116">
        <f>MachineAssumptions!$R$18</f>
        <v>0.4708120318630365</v>
      </c>
      <c r="E102" s="87">
        <f>FieldApplications!$C$16</f>
        <v>3</v>
      </c>
      <c r="F102" s="117">
        <f t="shared" si="12"/>
        <v>1.4124360955891095</v>
      </c>
      <c r="H102" s="246">
        <f>MachineAssumptions!$R$38*E102</f>
        <v>1.4124360955891095</v>
      </c>
      <c r="I102" s="166">
        <f>MachineAssumptions!$R$58*E102</f>
        <v>1.4124360955891095</v>
      </c>
    </row>
    <row r="103" spans="1:9" ht="20">
      <c r="A103" s="15"/>
      <c r="B103" s="85" t="str">
        <f>MachineAssumptions!B18&amp;" - Fuel, Lube"</f>
        <v>Boom sprayer - Fuel, Lube</v>
      </c>
      <c r="C103" s="41" t="s">
        <v>246</v>
      </c>
      <c r="D103" s="116">
        <f>MachineAssumptions!$S$18</f>
        <v>1.8047794554749732</v>
      </c>
      <c r="E103" s="87">
        <f>FieldApplications!$C$16</f>
        <v>3</v>
      </c>
      <c r="F103" s="117">
        <f t="shared" si="12"/>
        <v>5.4143383664249196</v>
      </c>
      <c r="H103" s="246">
        <f>MachineAssumptions!$S$38*E103</f>
        <v>5.4143383664249196</v>
      </c>
      <c r="I103" s="166">
        <f>MachineAssumptions!$S$58*E103</f>
        <v>5.4143383664249196</v>
      </c>
    </row>
    <row r="104" spans="1:9" ht="20">
      <c r="A104" s="15"/>
      <c r="B104" s="85" t="str">
        <f>MachineAssumptions!B18&amp;" - Repairs"</f>
        <v>Boom sprayer - Repairs</v>
      </c>
      <c r="C104" s="41" t="s">
        <v>246</v>
      </c>
      <c r="D104" s="116">
        <f>MachineAssumptions!$T$18</f>
        <v>0.49795949063219769</v>
      </c>
      <c r="E104" s="87">
        <f>FieldApplications!$C$16</f>
        <v>3</v>
      </c>
      <c r="F104" s="117">
        <f t="shared" si="12"/>
        <v>1.493878471896593</v>
      </c>
      <c r="H104" s="246">
        <f>MachineAssumptions!$T$38*E104</f>
        <v>1.5084005569154613</v>
      </c>
      <c r="I104" s="166">
        <f>MachineAssumptions!$T$58*E104</f>
        <v>1.3532484858048683</v>
      </c>
    </row>
    <row r="105" spans="1:9" ht="20">
      <c r="A105" s="15"/>
      <c r="B105" s="85" t="str">
        <f>MachineAssumptions!B15&amp;" - Labor"</f>
        <v>Bankout Wagon - Labor</v>
      </c>
      <c r="C105" s="41" t="s">
        <v>246</v>
      </c>
      <c r="D105" s="116">
        <f>MachineAssumptions!$R$15</f>
        <v>1.6861761426978819</v>
      </c>
      <c r="E105" s="87">
        <f t="shared" ref="E105:E113" si="13">IF($E$93&gt;0,1,0)</f>
        <v>1</v>
      </c>
      <c r="F105" s="117">
        <f t="shared" si="12"/>
        <v>1.6861761426978819</v>
      </c>
      <c r="H105" s="246">
        <f>MachineAssumptions!$R$39*E105</f>
        <v>1.6861761426978819</v>
      </c>
      <c r="I105" s="166">
        <f>MachineAssumptions!$R$59*E105</f>
        <v>1.6861761426978819</v>
      </c>
    </row>
    <row r="106" spans="1:9" ht="20">
      <c r="A106" s="15"/>
      <c r="B106" s="85" t="str">
        <f>MachineAssumptions!B15&amp;" - Fuel, Lube"</f>
        <v>Bankout Wagon - Fuel, Lube</v>
      </c>
      <c r="C106" s="41" t="s">
        <v>246</v>
      </c>
      <c r="D106" s="116">
        <f>MachineAssumptions!$S$15</f>
        <v>7.0512820512820511</v>
      </c>
      <c r="E106" s="87">
        <f t="shared" si="13"/>
        <v>1</v>
      </c>
      <c r="F106" s="117">
        <f t="shared" si="12"/>
        <v>7.0512820512820511</v>
      </c>
      <c r="H106" s="246">
        <f>MachineAssumptions!$S$39*E106</f>
        <v>7.0512820512820511</v>
      </c>
      <c r="I106" s="166">
        <f>MachineAssumptions!$S$59*E106</f>
        <v>7.0512820512820511</v>
      </c>
    </row>
    <row r="107" spans="1:9" ht="20">
      <c r="A107" s="15"/>
      <c r="B107" s="85" t="str">
        <f>MachineAssumptions!B15&amp;" - Repairs"</f>
        <v>Bankout Wagon - Repairs</v>
      </c>
      <c r="C107" s="41" t="s">
        <v>246</v>
      </c>
      <c r="D107" s="116">
        <f>MachineAssumptions!$T$15</f>
        <v>0.5058930256896228</v>
      </c>
      <c r="E107" s="87">
        <f t="shared" si="13"/>
        <v>1</v>
      </c>
      <c r="F107" s="117">
        <f t="shared" si="12"/>
        <v>0.5058930256896228</v>
      </c>
      <c r="H107" s="246">
        <f>MachineAssumptions!$T$39*E107</f>
        <v>0.5058930256896228</v>
      </c>
      <c r="I107" s="166">
        <f>MachineAssumptions!$T$59*E107</f>
        <v>0.43525361955195507</v>
      </c>
    </row>
    <row r="108" spans="1:9" ht="20">
      <c r="A108" s="15"/>
      <c r="B108" s="85" t="str">
        <f>MachineAssumptions!B19&amp;" - Labor"</f>
        <v>Tandem Axle Truck  - Labor</v>
      </c>
      <c r="C108" s="41" t="s">
        <v>246</v>
      </c>
      <c r="D108" s="116">
        <f>MachineAssumptions!$R$19</f>
        <v>3.6</v>
      </c>
      <c r="E108" s="87">
        <f t="shared" si="13"/>
        <v>1</v>
      </c>
      <c r="F108" s="117">
        <f t="shared" si="12"/>
        <v>3.6</v>
      </c>
      <c r="H108" s="246">
        <f>MachineAssumptions!$R$40*E108</f>
        <v>3.6</v>
      </c>
      <c r="I108" s="166">
        <f>MachineAssumptions!$R$60*E108</f>
        <v>3.6</v>
      </c>
    </row>
    <row r="109" spans="1:9" ht="20">
      <c r="A109" s="15"/>
      <c r="B109" s="85" t="str">
        <f>MachineAssumptions!B19&amp;" - Fuel, Lube"</f>
        <v>Tandem Axle Truck  - Fuel, Lube</v>
      </c>
      <c r="C109" s="41" t="s">
        <v>246</v>
      </c>
      <c r="D109" s="116">
        <f>MachineAssumptions!$S$19</f>
        <v>1.1499999999999999</v>
      </c>
      <c r="E109" s="87">
        <f t="shared" si="13"/>
        <v>1</v>
      </c>
      <c r="F109" s="117">
        <f t="shared" si="12"/>
        <v>1.1499999999999999</v>
      </c>
      <c r="H109" s="246">
        <f>MachineAssumptions!$S$40*E109</f>
        <v>1.1499999999999999</v>
      </c>
      <c r="I109" s="166">
        <f>MachineAssumptions!$S$60*E109</f>
        <v>1.1499999999999999</v>
      </c>
    </row>
    <row r="110" spans="1:9" ht="20">
      <c r="A110" s="15"/>
      <c r="B110" s="85" t="str">
        <f>MachineAssumptions!B19&amp;" - Repairs"</f>
        <v>Tandem Axle Truck  - Repairs</v>
      </c>
      <c r="C110" s="41" t="s">
        <v>246</v>
      </c>
      <c r="D110" s="116">
        <f>MachineAssumptions!$T$19</f>
        <v>0.8</v>
      </c>
      <c r="E110" s="87">
        <f t="shared" si="13"/>
        <v>1</v>
      </c>
      <c r="F110" s="117">
        <f t="shared" si="12"/>
        <v>0.8</v>
      </c>
      <c r="H110" s="246">
        <f>MachineAssumptions!$T$40*E110</f>
        <v>0.8</v>
      </c>
      <c r="I110" s="166">
        <f>MachineAssumptions!$T$60*E110</f>
        <v>0.8</v>
      </c>
    </row>
    <row r="111" spans="1:9" ht="20">
      <c r="A111" s="15"/>
      <c r="B111" s="85" t="str">
        <f>MachineAssumptions!B20&amp;" - Labor"</f>
        <v>Tandem Axle Truck  - Labor</v>
      </c>
      <c r="C111" s="41" t="s">
        <v>246</v>
      </c>
      <c r="D111" s="116">
        <f>MachineAssumptions!$R$20</f>
        <v>3.6</v>
      </c>
      <c r="E111" s="87">
        <f t="shared" si="13"/>
        <v>1</v>
      </c>
      <c r="F111" s="117">
        <f t="shared" si="12"/>
        <v>3.6</v>
      </c>
      <c r="G111" s="173" t="s">
        <v>8</v>
      </c>
      <c r="H111" s="416">
        <f>MachineAssumptions!$R$41*E111</f>
        <v>3.6</v>
      </c>
      <c r="I111" s="369">
        <f>MachineAssumptions!$R$61*E111</f>
        <v>3.6</v>
      </c>
    </row>
    <row r="112" spans="1:9" ht="20">
      <c r="A112" s="15"/>
      <c r="B112" s="85" t="str">
        <f>MachineAssumptions!B20&amp;" - Fuel, Lube"</f>
        <v>Tandem Axle Truck  - Fuel, Lube</v>
      </c>
      <c r="C112" s="41" t="s">
        <v>246</v>
      </c>
      <c r="D112" s="116">
        <f>MachineAssumptions!$S$20</f>
        <v>1.72</v>
      </c>
      <c r="E112" s="87">
        <f t="shared" si="13"/>
        <v>1</v>
      </c>
      <c r="F112" s="117">
        <f t="shared" si="12"/>
        <v>1.72</v>
      </c>
      <c r="H112" s="416">
        <f>MachineAssumptions!$S$41*E112</f>
        <v>1.72</v>
      </c>
      <c r="I112" s="369">
        <f>MachineAssumptions!$S$61*E112</f>
        <v>1.72</v>
      </c>
    </row>
    <row r="113" spans="1:13" ht="23">
      <c r="A113" s="15"/>
      <c r="B113" s="85" t="str">
        <f>MachineAssumptions!B20&amp;" - Repairs"</f>
        <v>Tandem Axle Truck  - Repairs</v>
      </c>
      <c r="C113" s="41" t="s">
        <v>246</v>
      </c>
      <c r="D113" s="116">
        <f>MachineAssumptions!$T$20</f>
        <v>0.8</v>
      </c>
      <c r="E113" s="87">
        <f t="shared" si="13"/>
        <v>1</v>
      </c>
      <c r="F113" s="117">
        <f t="shared" si="12"/>
        <v>0.8</v>
      </c>
      <c r="H113" s="248">
        <f>MachineAssumptions!$T$41*E113</f>
        <v>0.8</v>
      </c>
      <c r="I113" s="247">
        <f>MachineAssumptions!$T$61*E113</f>
        <v>0.8</v>
      </c>
    </row>
    <row r="114" spans="1:13" ht="21">
      <c r="A114" s="15"/>
      <c r="B114" s="139" t="s">
        <v>88</v>
      </c>
      <c r="C114" s="41"/>
      <c r="D114" s="116"/>
      <c r="E114" s="87"/>
      <c r="F114" s="117"/>
      <c r="H114" s="249">
        <f>SUM(H74:H113)</f>
        <v>69.831863834238547</v>
      </c>
      <c r="I114" s="249">
        <f>SUM(I74:I113)</f>
        <v>67.221874253793075</v>
      </c>
    </row>
    <row r="115" spans="1:13" ht="20">
      <c r="A115" s="15"/>
      <c r="B115" s="85" t="str">
        <f>'Chem&amp;FertInputs&amp;CInsurance'!B73</f>
        <v>Crop Insurance</v>
      </c>
      <c r="C115" s="23" t="str">
        <f>'Chem&amp;FertInputs&amp;CInsurance'!D73</f>
        <v>acre</v>
      </c>
      <c r="D115" s="116">
        <f>'Chem&amp;FertInputs&amp;CInsurance'!F73</f>
        <v>20</v>
      </c>
      <c r="E115" s="87">
        <v>1</v>
      </c>
      <c r="F115" s="117">
        <f>IF(D115*E115=0,"0",D115*E115)</f>
        <v>20</v>
      </c>
      <c r="H115" s="1" t="s">
        <v>181</v>
      </c>
      <c r="I115" s="1" t="s">
        <v>181</v>
      </c>
    </row>
    <row r="116" spans="1:13" ht="20">
      <c r="A116" s="15"/>
      <c r="B116" s="85" t="s">
        <v>29</v>
      </c>
      <c r="C116" s="41" t="s">
        <v>83</v>
      </c>
      <c r="D116" s="111">
        <f>MachineAssumptions!D25</f>
        <v>0.05</v>
      </c>
      <c r="E116" s="87"/>
      <c r="F116" s="117">
        <f>SUM(F8:F115)*D116</f>
        <v>11.933534587460983</v>
      </c>
      <c r="H116" s="49">
        <f>(SUM($F8:$F70)+$F115+SUM(H72:H113))*$D116</f>
        <v>11.934260691711927</v>
      </c>
      <c r="I116" s="49">
        <f>(SUM($F8:$F70)+$F115+SUM(I72:I113))*$D116</f>
        <v>11.803761212689654</v>
      </c>
      <c r="J116" s="49">
        <f>F72+F75+F78+F81+F84+F87+F90+F93+F96+F99+F102+F105+F108+F111</f>
        <v>16.129930432071912</v>
      </c>
      <c r="K116" s="1" t="s">
        <v>111</v>
      </c>
      <c r="L116" s="49">
        <f>J116+J117</f>
        <v>54.051332415152288</v>
      </c>
    </row>
    <row r="117" spans="1:13" ht="20">
      <c r="A117" s="15"/>
      <c r="B117" s="85" t="s">
        <v>84</v>
      </c>
      <c r="C117" s="41" t="s">
        <v>83</v>
      </c>
      <c r="D117" s="111">
        <f>MachineAssumptions!D26</f>
        <v>6.7500000000000004E-2</v>
      </c>
      <c r="E117" s="112"/>
      <c r="F117" s="118">
        <f>SUM(F8:F116)*(D117/12*MachineAssumptions!D27)</f>
        <v>12.686838958294459</v>
      </c>
      <c r="H117" s="49">
        <f>(SUM(F8:F70)+(F115+F116+H114))*((D117/12)*MachineAssumptions!D27)</f>
        <v>12.687574138848539</v>
      </c>
      <c r="I117" s="49">
        <f>(SUM(F8:F70)+(F115+F116+I114))*((D117/12)*MachineAssumptions!D27)</f>
        <v>12.555443416338488</v>
      </c>
      <c r="J117" s="49">
        <f>F73+F76+F79+F82+F85+F88+F91+F94+F97+F100+F103+F106+F109+F112</f>
        <v>37.921401983080372</v>
      </c>
      <c r="K117" s="1" t="s">
        <v>4</v>
      </c>
      <c r="L117" s="49">
        <f>F72+F73+F75+F76+F78+F79+F81+F82+F84+F85+F87+F88+F90+F91+F93+F94+F96+F97+F99+F100+F102+F103+F105+F106+F108+F109+F111+F112</f>
        <v>54.051332415152288</v>
      </c>
    </row>
    <row r="118" spans="1:13" ht="20">
      <c r="A118" s="15"/>
      <c r="B118" s="14" t="s">
        <v>85</v>
      </c>
      <c r="C118" s="29"/>
      <c r="D118" s="141"/>
      <c r="E118" s="142"/>
      <c r="F118" s="143">
        <f>SUM(F8:F117)</f>
        <v>263.29106529497511</v>
      </c>
      <c r="J118" s="49">
        <f>F74+F77+F80+F83+F86+F89+F92+F95+F98+F101+F104+F107+F110+F113</f>
        <v>15.766009334067396</v>
      </c>
      <c r="K118" s="1" t="s">
        <v>112</v>
      </c>
      <c r="L118" s="49">
        <f>H74+H77+H80+H83+H86+H89+H92+H95+H98+H101+H104+H107+H110+H113</f>
        <v>15.780531419086264</v>
      </c>
      <c r="M118" s="49">
        <f>I74+I77+I80+I83+I86+I89+I92+I95+I98+I101+I104+I107+I110+I113</f>
        <v>13.1705418386408</v>
      </c>
    </row>
    <row r="119" spans="1:13">
      <c r="A119" s="15"/>
      <c r="B119" s="113"/>
      <c r="C119" s="113"/>
      <c r="D119" s="113"/>
      <c r="E119" s="114"/>
      <c r="F119" s="115"/>
      <c r="G119" s="115"/>
      <c r="H119" s="115"/>
      <c r="J119" s="49">
        <f>SUM(J116:J118)</f>
        <v>69.817341749219679</v>
      </c>
      <c r="K119" s="115"/>
    </row>
    <row r="120" spans="1:13" ht="20">
      <c r="A120" s="15"/>
      <c r="B120" s="132" t="s">
        <v>89</v>
      </c>
      <c r="C120" s="19" t="s">
        <v>2</v>
      </c>
      <c r="D120" s="20" t="s">
        <v>12</v>
      </c>
      <c r="E120" s="21" t="s">
        <v>13</v>
      </c>
      <c r="F120" s="45" t="s">
        <v>0</v>
      </c>
      <c r="H120" s="1" t="s">
        <v>136</v>
      </c>
      <c r="I120" s="1" t="s">
        <v>139</v>
      </c>
    </row>
    <row r="121" spans="1:13" ht="20" hidden="1">
      <c r="A121" s="15"/>
      <c r="B121" s="18" t="str">
        <f>MachineAssumptions!B7&amp;" - Replacement Costs"</f>
        <v>Shredder - Replacement Costs</v>
      </c>
      <c r="C121" s="41" t="str">
        <f>C72</f>
        <v>acre</v>
      </c>
      <c r="D121" s="34">
        <f>MachineAssumptions!U7</f>
        <v>4.3329737628911431</v>
      </c>
      <c r="E121" s="145">
        <f>E72</f>
        <v>0</v>
      </c>
      <c r="F121" s="42" t="str">
        <f t="shared" ref="F121:F134" si="14">IF(D121*E121=0,"0",D121*E121)</f>
        <v>0</v>
      </c>
      <c r="H121" s="166">
        <f>MachineAssumptions!U28*E121</f>
        <v>0</v>
      </c>
      <c r="I121" s="166">
        <f>MachineAssumptions!U48*E121</f>
        <v>0</v>
      </c>
    </row>
    <row r="122" spans="1:13" ht="20" hidden="1">
      <c r="A122" s="15"/>
      <c r="B122" s="18" t="str">
        <f>MachineAssumptions!B8&amp;" - Replacement Costs"</f>
        <v>Harrow - Replacement Costs</v>
      </c>
      <c r="C122" s="41" t="str">
        <f>C75</f>
        <v>acre</v>
      </c>
      <c r="D122" s="34">
        <f>MachineAssumptions!U8</f>
        <v>1.1988479209967022</v>
      </c>
      <c r="E122" s="145">
        <f>E75</f>
        <v>0</v>
      </c>
      <c r="F122" s="42" t="str">
        <f t="shared" si="14"/>
        <v>0</v>
      </c>
      <c r="H122" s="166">
        <f>MachineAssumptions!U29*E122</f>
        <v>0</v>
      </c>
      <c r="I122" s="166">
        <f>MachineAssumptions!U49*E122</f>
        <v>0</v>
      </c>
    </row>
    <row r="123" spans="1:13" ht="20" hidden="1">
      <c r="A123" s="15"/>
      <c r="B123" s="18" t="str">
        <f>MachineAssumptions!B9&amp;" - Replacement Costs"</f>
        <v>Chisel plow - Replacement Costs</v>
      </c>
      <c r="C123" s="41" t="str">
        <f>C78</f>
        <v>acre</v>
      </c>
      <c r="D123" s="34">
        <f>MachineAssumptions!U9</f>
        <v>0</v>
      </c>
      <c r="E123" s="145">
        <f>E78</f>
        <v>0</v>
      </c>
      <c r="F123" s="42" t="str">
        <f t="shared" si="14"/>
        <v>0</v>
      </c>
      <c r="H123" s="166">
        <f>MachineAssumptions!U30*E123</f>
        <v>0</v>
      </c>
      <c r="I123" s="166">
        <f>MachineAssumptions!U50*E123</f>
        <v>0</v>
      </c>
    </row>
    <row r="124" spans="1:13" ht="20" hidden="1">
      <c r="A124" s="15"/>
      <c r="B124" s="18" t="str">
        <f>MachineAssumptions!B10&amp;" - Replacement Costs"</f>
        <v>Moldboard plow - Replacement Costs</v>
      </c>
      <c r="C124" s="41" t="str">
        <f>C81</f>
        <v>acre</v>
      </c>
      <c r="D124" s="34">
        <f>MachineAssumptions!U10</f>
        <v>0</v>
      </c>
      <c r="E124" s="145">
        <f>E81</f>
        <v>0</v>
      </c>
      <c r="F124" s="42" t="str">
        <f t="shared" si="14"/>
        <v>0</v>
      </c>
      <c r="H124" s="166">
        <f>MachineAssumptions!U31*E124</f>
        <v>0</v>
      </c>
      <c r="I124" s="166">
        <f>MachineAssumptions!U51*E124</f>
        <v>0</v>
      </c>
    </row>
    <row r="125" spans="1:13" ht="20" hidden="1">
      <c r="A125" s="15"/>
      <c r="B125" s="18" t="str">
        <f>MachineAssumptions!B11&amp;" - Replacement Costs"</f>
        <v>Cultivator - Replacement Costs</v>
      </c>
      <c r="C125" s="41" t="str">
        <f t="shared" ref="C125:C126" si="15">C82</f>
        <v>acre</v>
      </c>
      <c r="D125" s="34">
        <f>MachineAssumptions!U11</f>
        <v>0</v>
      </c>
      <c r="E125" s="145">
        <f>E84</f>
        <v>0</v>
      </c>
      <c r="F125" s="42" t="str">
        <f t="shared" si="14"/>
        <v>0</v>
      </c>
      <c r="H125" s="166">
        <f>MachineAssumptions!U32*E125</f>
        <v>0</v>
      </c>
      <c r="I125" s="166">
        <f>MachineAssumptions!U52*E125</f>
        <v>0</v>
      </c>
    </row>
    <row r="126" spans="1:13" ht="20" hidden="1">
      <c r="A126" s="15"/>
      <c r="B126" s="18" t="str">
        <f>MachineAssumptions!B12&amp;" - Replacement Costs"</f>
        <v>Cultiweeder - Replacement Costs</v>
      </c>
      <c r="C126" s="41" t="str">
        <f t="shared" si="15"/>
        <v>acre</v>
      </c>
      <c r="D126" s="34">
        <f>MachineAssumptions!U12</f>
        <v>0</v>
      </c>
      <c r="E126" s="145">
        <f>E87</f>
        <v>0</v>
      </c>
      <c r="F126" s="42" t="str">
        <f t="shared" si="14"/>
        <v>0</v>
      </c>
      <c r="H126" s="166">
        <f>MachineAssumptions!U33*E126</f>
        <v>0</v>
      </c>
      <c r="I126" s="166">
        <f>MachineAssumptions!U53*E126</f>
        <v>0</v>
      </c>
    </row>
    <row r="127" spans="1:13" ht="20">
      <c r="A127" s="15"/>
      <c r="B127" s="18" t="str">
        <f>MachineAssumptions!B13&amp;" - Replacement Costs"</f>
        <v>Drill - Replacement Costs</v>
      </c>
      <c r="C127" s="41" t="str">
        <f>C90</f>
        <v>acre</v>
      </c>
      <c r="D127" s="34">
        <f>MachineAssumptions!U13</f>
        <v>7.2419265221735989</v>
      </c>
      <c r="E127" s="145">
        <f>E90</f>
        <v>1</v>
      </c>
      <c r="F127" s="42">
        <f t="shared" si="14"/>
        <v>7.2419265221735989</v>
      </c>
      <c r="H127" s="166">
        <f>MachineAssumptions!U34*E127</f>
        <v>7.2419265221735989</v>
      </c>
      <c r="I127" s="166">
        <f>MachineAssumptions!U54*E127</f>
        <v>7.2419265221735989</v>
      </c>
    </row>
    <row r="128" spans="1:13" ht="20">
      <c r="A128" s="15"/>
      <c r="B128" s="18" t="str">
        <f>MachineAssumptions!B14&amp;" - Replacement Costs"</f>
        <v>Combine w/ 36' header - Replacement Costs</v>
      </c>
      <c r="C128" s="41" t="str">
        <f>C93</f>
        <v>acre</v>
      </c>
      <c r="D128" s="34">
        <f>MachineAssumptions!U14</f>
        <v>9.7031999999999989</v>
      </c>
      <c r="E128" s="145">
        <f>E93</f>
        <v>1</v>
      </c>
      <c r="F128" s="42">
        <f t="shared" si="14"/>
        <v>9.7031999999999989</v>
      </c>
      <c r="H128" s="166">
        <f>MachineAssumptions!U35*E128</f>
        <v>9.7031999999999989</v>
      </c>
      <c r="I128" s="166">
        <f>MachineAssumptions!U55*E128</f>
        <v>9.7032000000000007</v>
      </c>
    </row>
    <row r="129" spans="1:9" ht="20" hidden="1">
      <c r="A129" s="15"/>
      <c r="B129" s="18" t="str">
        <f>MachineAssumptions!B16&amp;" - Replacement Costs"</f>
        <v>Fertilizer Spreader - Replacement Costs</v>
      </c>
      <c r="C129" s="41" t="str">
        <f>C96</f>
        <v>acre</v>
      </c>
      <c r="D129" s="34">
        <f>MachineAssumptions!U16</f>
        <v>0</v>
      </c>
      <c r="E129" s="145">
        <f>E96</f>
        <v>0</v>
      </c>
      <c r="F129" s="42" t="str">
        <f t="shared" si="14"/>
        <v>0</v>
      </c>
      <c r="H129" s="166">
        <f>MachineAssumptions!U36*E129</f>
        <v>0</v>
      </c>
      <c r="I129" s="166">
        <f>MachineAssumptions!U56*E129</f>
        <v>0</v>
      </c>
    </row>
    <row r="130" spans="1:9" ht="20">
      <c r="A130" s="15"/>
      <c r="B130" s="18" t="str">
        <f>MachineAssumptions!B17&amp;" - Replacement Costs"</f>
        <v>Fertilizer tanks and pump - Replacement Costs</v>
      </c>
      <c r="C130" s="41" t="str">
        <f>C99</f>
        <v>acre</v>
      </c>
      <c r="D130" s="34">
        <f>MachineAssumptions!U17</f>
        <v>0.6</v>
      </c>
      <c r="E130" s="145">
        <f>E99</f>
        <v>1</v>
      </c>
      <c r="F130" s="42">
        <f t="shared" si="14"/>
        <v>0.6</v>
      </c>
      <c r="H130" s="166">
        <f>MachineAssumptions!U37*E130</f>
        <v>0.6</v>
      </c>
      <c r="I130" s="166">
        <f>MachineAssumptions!U57*E130</f>
        <v>0.6</v>
      </c>
    </row>
    <row r="131" spans="1:9" ht="20">
      <c r="A131" s="15"/>
      <c r="B131" s="18" t="str">
        <f>MachineAssumptions!B18&amp;" - Replacement Costs"</f>
        <v>Boom sprayer - Replacement Costs</v>
      </c>
      <c r="C131" s="41" t="str">
        <f>C102</f>
        <v>acre</v>
      </c>
      <c r="D131" s="34">
        <f>MachineAssumptions!U18</f>
        <v>0.80913316225248511</v>
      </c>
      <c r="E131" s="145">
        <f>E102</f>
        <v>3</v>
      </c>
      <c r="F131" s="42">
        <f t="shared" si="14"/>
        <v>2.4273994867574551</v>
      </c>
      <c r="H131" s="166">
        <f>MachineAssumptions!U38*E131</f>
        <v>2.4270356342009749</v>
      </c>
      <c r="I131" s="166">
        <f>MachineAssumptions!U58*E131</f>
        <v>2.4273994867574551</v>
      </c>
    </row>
    <row r="132" spans="1:9" ht="20">
      <c r="A132" s="15"/>
      <c r="B132" s="18" t="str">
        <f>MachineAssumptions!B15&amp;" - Replacement Costs"</f>
        <v>Bankout Wagon - Replacement Costs</v>
      </c>
      <c r="C132" s="41" t="str">
        <f>C105</f>
        <v>acre</v>
      </c>
      <c r="D132" s="34">
        <f>MachineAssumptions!U15</f>
        <v>2.9461434675395459</v>
      </c>
      <c r="E132" s="145">
        <f>E105</f>
        <v>1</v>
      </c>
      <c r="F132" s="42">
        <f t="shared" si="14"/>
        <v>2.9461434675395459</v>
      </c>
      <c r="H132" s="166">
        <f>MachineAssumptions!U39*E132</f>
        <v>2.9461434675395459</v>
      </c>
      <c r="I132" s="166">
        <f>MachineAssumptions!U59*E132</f>
        <v>2.9461434675395459</v>
      </c>
    </row>
    <row r="133" spans="1:9" ht="20">
      <c r="A133" s="15"/>
      <c r="B133" s="18" t="str">
        <f>MachineAssumptions!B19&amp;" - Replacement Costs"</f>
        <v>Tandem Axle Truck  - Replacement Costs</v>
      </c>
      <c r="C133" s="41" t="str">
        <f>C108</f>
        <v>acre</v>
      </c>
      <c r="D133" s="34">
        <f>MachineAssumptions!U19</f>
        <v>0.64</v>
      </c>
      <c r="E133" s="145">
        <f>E108</f>
        <v>1</v>
      </c>
      <c r="F133" s="42">
        <f t="shared" si="14"/>
        <v>0.64</v>
      </c>
      <c r="H133" s="166">
        <f>MachineAssumptions!U40*E133</f>
        <v>0.64</v>
      </c>
      <c r="I133" s="166">
        <f>MachineAssumptions!U60*E133</f>
        <v>0.64</v>
      </c>
    </row>
    <row r="134" spans="1:9" ht="23">
      <c r="A134" s="15"/>
      <c r="B134" s="18" t="str">
        <f>MachineAssumptions!B20&amp;" - Replacement Costs"</f>
        <v>Tandem Axle Truck  - Replacement Costs</v>
      </c>
      <c r="C134" s="41" t="str">
        <f t="shared" ref="C134" si="16">C111</f>
        <v>acre</v>
      </c>
      <c r="D134" s="34">
        <f>MachineAssumptions!U20</f>
        <v>0.64</v>
      </c>
      <c r="E134" s="145">
        <f t="shared" ref="E134" si="17">E111</f>
        <v>1</v>
      </c>
      <c r="F134" s="43">
        <f t="shared" si="14"/>
        <v>0.64</v>
      </c>
      <c r="H134" s="247">
        <f>MachineAssumptions!U41*E134</f>
        <v>0.64</v>
      </c>
      <c r="I134" s="247">
        <f>MachineAssumptions!U61*E134</f>
        <v>0.64</v>
      </c>
    </row>
    <row r="135" spans="1:9" ht="20">
      <c r="A135" s="15"/>
      <c r="B135" s="144" t="s">
        <v>38</v>
      </c>
      <c r="C135" s="29"/>
      <c r="D135" s="30"/>
      <c r="E135" s="29"/>
      <c r="F135" s="46">
        <f>SUM(F121:F134)</f>
        <v>24.198669476470602</v>
      </c>
      <c r="H135" s="46">
        <f t="shared" ref="H135:I135" si="18">SUM(H121:H134)</f>
        <v>24.198305623914123</v>
      </c>
      <c r="I135" s="46">
        <f t="shared" si="18"/>
        <v>24.198669476470602</v>
      </c>
    </row>
    <row r="136" spans="1:9" ht="20">
      <c r="A136" s="15"/>
      <c r="B136" s="16"/>
      <c r="C136" s="16"/>
      <c r="D136" s="17"/>
      <c r="E136" s="16"/>
      <c r="F136" s="113"/>
    </row>
    <row r="137" spans="1:9" ht="20">
      <c r="A137" s="15"/>
      <c r="B137" s="14" t="s">
        <v>31</v>
      </c>
      <c r="C137" s="29"/>
      <c r="D137" s="30"/>
      <c r="E137" s="29"/>
      <c r="F137" s="47">
        <f>F118+F135</f>
        <v>287.48973477144574</v>
      </c>
      <c r="H137" s="47">
        <f>SUM(F16:F70)+H114+F115+H116+H117+H135+F8+(H9*D9)+(H10*D10)+(H11*D11)+(H12*D12)+(H13*D13)+(H14*D14)+(H15*D15)</f>
        <v>287.50535428871314</v>
      </c>
      <c r="I137" s="47">
        <f>SUM(F16:F70)+I114+F115+I116+I117+I135+F8+(I9*D9)+(I10*D10)+(I11*D11)+(I12*D12)+(I13*D13)+(I14*D14)+(I15*D15)</f>
        <v>284.63309835929186</v>
      </c>
    </row>
    <row r="138" spans="1:9" ht="21">
      <c r="A138" s="15"/>
      <c r="B138" s="31" t="s">
        <v>32</v>
      </c>
      <c r="C138" s="32"/>
      <c r="D138" s="33"/>
      <c r="E138" s="32"/>
      <c r="F138" s="48">
        <f>F5-F137</f>
        <v>792.51026522855432</v>
      </c>
      <c r="H138" s="250">
        <f>H5-H137</f>
        <v>816.49464571128692</v>
      </c>
      <c r="I138" s="250">
        <f>I5-I137</f>
        <v>843.36690164070819</v>
      </c>
    </row>
    <row r="141" spans="1:9">
      <c r="F141" s="273" t="s">
        <v>8</v>
      </c>
      <c r="G141" s="174"/>
      <c r="H141" s="174">
        <v>39.068403307831957</v>
      </c>
      <c r="I141" s="174">
        <v>39.068403307831957</v>
      </c>
    </row>
  </sheetData>
  <mergeCells count="1">
    <mergeCell ref="B2:F2"/>
  </mergeCells>
  <pageMargins left="0.7" right="0.7" top="0.75" bottom="0.75" header="0.3" footer="0.3"/>
  <pageSetup scale="29" orientation="portrait" r:id="rId1"/>
  <ignoredErrors>
    <ignoredError sqref="B5:E7 F4:F5 C8:E8 B63:F70 B114:F114 B135:F135 B121:C134 E121:F134 F137 B2 B72:B113 D72:F113 C13:G13 B60:F61 C14:F14 B16:F20 B21:F31 B33:F40 B42:F51 B54:F57 B52:F53 B58:G59 B41:G41 B32:G32 C15:G15 B4:E4 B116:F120 B115:D115 E115:F115 C9:G9 C10:G10 C11:G11 C12:G12 B9:B15" unlockedFormula="1"/>
    <ignoredError sqref="D121:D134" formula="1" unlockedFormula="1"/>
    <ignoredError sqref="G20"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06A52-4DA6-B44A-9030-0C5AE1CBC640}">
  <sheetPr codeName="Sheet41">
    <pageSetUpPr fitToPage="1"/>
  </sheetPr>
  <dimension ref="A1:R141"/>
  <sheetViews>
    <sheetView zoomScale="120" zoomScaleNormal="120" workbookViewId="0">
      <selection activeCell="B2" sqref="B2:F2"/>
    </sheetView>
  </sheetViews>
  <sheetFormatPr baseColWidth="10" defaultColWidth="11.5" defaultRowHeight="15"/>
  <cols>
    <col min="1" max="1" width="4.83203125" style="1" customWidth="1"/>
    <col min="2" max="2" width="57.83203125" style="1" customWidth="1"/>
    <col min="3" max="6" width="12.83203125" style="1" customWidth="1"/>
    <col min="7" max="14" width="11.5" style="1" hidden="1" customWidth="1"/>
    <col min="15" max="16" width="0" style="1" hidden="1" customWidth="1"/>
    <col min="17" max="16384" width="11.5" style="1"/>
  </cols>
  <sheetData>
    <row r="1" spans="1:18" ht="20">
      <c r="A1" s="352" t="s">
        <v>8</v>
      </c>
      <c r="B1" s="27" t="s">
        <v>8</v>
      </c>
      <c r="C1" s="16"/>
      <c r="D1" s="17"/>
      <c r="E1" s="16"/>
      <c r="F1" s="16"/>
    </row>
    <row r="2" spans="1:18" ht="20">
      <c r="A2" s="15"/>
      <c r="B2" s="807" t="str">
        <f>'Prices_Yields&amp;SeedInputs'!B6&amp;", Cash Costs and Returns of Producing, $/acre."</f>
        <v>SW Winter Wheat after Forage Crop, Cash Costs and Returns of Producing, $/acre.</v>
      </c>
      <c r="C2" s="807"/>
      <c r="D2" s="807"/>
      <c r="E2" s="807"/>
      <c r="F2" s="807"/>
      <c r="Q2" s="674"/>
      <c r="R2" s="674"/>
    </row>
    <row r="3" spans="1:18" ht="20.5" customHeight="1">
      <c r="A3" s="15"/>
      <c r="B3" s="131" t="s">
        <v>11</v>
      </c>
      <c r="C3" s="24" t="s">
        <v>2</v>
      </c>
      <c r="D3" s="25" t="s">
        <v>12</v>
      </c>
      <c r="E3" s="26" t="s">
        <v>13</v>
      </c>
      <c r="F3" s="26" t="s">
        <v>0</v>
      </c>
      <c r="H3" s="1" t="str">
        <f>'Prices_Yields&amp;SeedInputs'!F3</f>
        <v>Incremental Rotation</v>
      </c>
      <c r="I3" s="1" t="str">
        <f>'Prices_Yields&amp;SeedInputs'!G3</f>
        <v>Aspirational Rotation</v>
      </c>
      <c r="Q3" s="674"/>
      <c r="R3" s="674"/>
    </row>
    <row r="4" spans="1:18" ht="20.5" customHeight="1">
      <c r="A4" s="15"/>
      <c r="B4" s="18" t="str">
        <f>'Prices_Yields&amp;SeedInputs'!B6</f>
        <v>SW Winter Wheat after Forage Crop</v>
      </c>
      <c r="C4" s="22" t="str">
        <f>'Prices_Yields&amp;SeedInputs'!C6</f>
        <v>bu</v>
      </c>
      <c r="D4" s="129">
        <f>'Prices_Yields&amp;SeedInputs'!D6</f>
        <v>12</v>
      </c>
      <c r="E4" s="90">
        <f>'Prices_Yields&amp;SeedInputs'!E6</f>
        <v>93</v>
      </c>
      <c r="F4" s="35">
        <f>D4*E4</f>
        <v>1116</v>
      </c>
      <c r="Q4" s="674"/>
      <c r="R4" s="674"/>
    </row>
    <row r="5" spans="1:18" ht="20.5" customHeight="1">
      <c r="A5" s="15"/>
      <c r="B5" s="14" t="s">
        <v>14</v>
      </c>
      <c r="C5" s="29"/>
      <c r="D5" s="30"/>
      <c r="E5" s="29"/>
      <c r="F5" s="46">
        <f>SUM(F4:F4)</f>
        <v>1116</v>
      </c>
      <c r="H5" s="1">
        <f>D4*'Prices_Yields&amp;SeedInputs'!F6</f>
        <v>1140</v>
      </c>
      <c r="I5" s="1">
        <f>D4*'Prices_Yields&amp;SeedInputs'!G6</f>
        <v>1152</v>
      </c>
      <c r="Q5" s="674"/>
      <c r="R5" s="674"/>
    </row>
    <row r="6" spans="1:18" ht="20.5" customHeight="1">
      <c r="A6" s="15"/>
      <c r="B6" s="16"/>
      <c r="C6" s="16"/>
      <c r="D6" s="17"/>
      <c r="E6" s="16"/>
      <c r="F6" s="44"/>
    </row>
    <row r="7" spans="1:18" ht="20">
      <c r="A7" s="15"/>
      <c r="B7" s="132" t="s">
        <v>37</v>
      </c>
      <c r="C7" s="19" t="s">
        <v>2</v>
      </c>
      <c r="D7" s="20" t="s">
        <v>12</v>
      </c>
      <c r="E7" s="21" t="s">
        <v>13</v>
      </c>
      <c r="F7" s="45" t="s">
        <v>0</v>
      </c>
    </row>
    <row r="8" spans="1:18" ht="20">
      <c r="A8" s="15"/>
      <c r="B8" s="85" t="s">
        <v>169</v>
      </c>
      <c r="C8" s="119" t="str">
        <f>'Prices_Yields&amp;SeedInputs'!H6</f>
        <v>pound</v>
      </c>
      <c r="D8" s="120">
        <f>'Prices_Yields&amp;SeedInputs'!I6</f>
        <v>0.25</v>
      </c>
      <c r="E8" s="133">
        <f>'Prices_Yields&amp;SeedInputs'!J6</f>
        <v>90</v>
      </c>
      <c r="F8" s="117">
        <f t="shared" ref="F8:F61" si="0">IF(D8*E8=0,"0",D8*E8)</f>
        <v>22.5</v>
      </c>
    </row>
    <row r="9" spans="1:18" ht="20">
      <c r="A9" s="15"/>
      <c r="B9" s="85" t="str">
        <f>'Chem&amp;FertInputs&amp;CInsurance'!B6</f>
        <v>Fertilizer - Nitrogen-</v>
      </c>
      <c r="C9" s="23" t="str">
        <f>'Chem&amp;FertInputs&amp;CInsurance'!D6</f>
        <v>pound</v>
      </c>
      <c r="D9" s="116">
        <f>'Chem&amp;FertInputs&amp;CInsurance'!E6</f>
        <v>0.48749999999999999</v>
      </c>
      <c r="E9" s="133">
        <f>'Chem&amp;FertInputs&amp;CInsurance'!G6</f>
        <v>93</v>
      </c>
      <c r="F9" s="117">
        <f t="shared" si="0"/>
        <v>45.337499999999999</v>
      </c>
      <c r="H9" s="1">
        <f>'Chem&amp;FertInputs&amp;CInsurance'!G7</f>
        <v>93</v>
      </c>
      <c r="I9" s="1">
        <f>'Chem&amp;FertInputs&amp;CInsurance'!G8</f>
        <v>93</v>
      </c>
    </row>
    <row r="10" spans="1:18" ht="20">
      <c r="A10" s="15"/>
      <c r="B10" s="85" t="str">
        <f>'Chem&amp;FertInputs&amp;CInsurance'!B9</f>
        <v>Fertilizer - Anhydrous Ammonia-</v>
      </c>
      <c r="C10" s="23" t="str">
        <f>'Chem&amp;FertInputs&amp;CInsurance'!D9</f>
        <v>pound</v>
      </c>
      <c r="D10" s="116">
        <f>'Chem&amp;FertInputs&amp;CInsurance'!E9</f>
        <v>0.75770000000000004</v>
      </c>
      <c r="E10" s="133">
        <f>'Chem&amp;FertInputs&amp;CInsurance'!G9</f>
        <v>0</v>
      </c>
      <c r="F10" s="117" t="str">
        <f t="shared" si="0"/>
        <v>0</v>
      </c>
      <c r="H10" s="1">
        <f>'Chem&amp;FertInputs&amp;CInsurance'!G10</f>
        <v>0</v>
      </c>
      <c r="I10" s="1">
        <f>'Chem&amp;FertInputs&amp;CInsurance'!G11</f>
        <v>0</v>
      </c>
    </row>
    <row r="11" spans="1:18" ht="20">
      <c r="A11" s="15"/>
      <c r="B11" s="85" t="str">
        <f>'Chem&amp;FertInputs&amp;CInsurance'!B12</f>
        <v xml:space="preserve">Fertilizer - Phosphorus- </v>
      </c>
      <c r="C11" s="23" t="str">
        <f>'Chem&amp;FertInputs&amp;CInsurance'!D12</f>
        <v>pound</v>
      </c>
      <c r="D11" s="116">
        <f>'Chem&amp;FertInputs&amp;CInsurance'!E12</f>
        <v>0.47499999999999998</v>
      </c>
      <c r="E11" s="133">
        <f>'Chem&amp;FertInputs&amp;CInsurance'!G12</f>
        <v>23</v>
      </c>
      <c r="F11" s="117">
        <f t="shared" si="0"/>
        <v>10.924999999999999</v>
      </c>
      <c r="H11" s="1">
        <f>'Chem&amp;FertInputs&amp;CInsurance'!G13</f>
        <v>23</v>
      </c>
      <c r="I11" s="1">
        <f>'Chem&amp;FertInputs&amp;CInsurance'!G14</f>
        <v>23</v>
      </c>
    </row>
    <row r="12" spans="1:18" ht="20">
      <c r="A12" s="15"/>
      <c r="B12" s="85" t="str">
        <f>'Chem&amp;FertInputs&amp;CInsurance'!B15</f>
        <v>Fertilizer - Potassium-</v>
      </c>
      <c r="C12" s="23" t="str">
        <f>'Chem&amp;FertInputs&amp;CInsurance'!D15</f>
        <v>pound</v>
      </c>
      <c r="D12" s="116">
        <f>'Chem&amp;FertInputs&amp;CInsurance'!E15</f>
        <v>0.441</v>
      </c>
      <c r="E12" s="133">
        <f>'Chem&amp;FertInputs&amp;CInsurance'!G15</f>
        <v>30</v>
      </c>
      <c r="F12" s="117">
        <f t="shared" si="0"/>
        <v>13.23</v>
      </c>
      <c r="H12" s="1">
        <f>'Chem&amp;FertInputs&amp;CInsurance'!G16</f>
        <v>30</v>
      </c>
      <c r="I12" s="1">
        <f>'Chem&amp;FertInputs&amp;CInsurance'!G17</f>
        <v>30</v>
      </c>
    </row>
    <row r="13" spans="1:18" ht="20">
      <c r="A13" s="15"/>
      <c r="B13" s="85" t="str">
        <f>'Chem&amp;FertInputs&amp;CInsurance'!B18</f>
        <v>Fertilizer - Sulfur-</v>
      </c>
      <c r="C13" s="23" t="str">
        <f>'Chem&amp;FertInputs&amp;CInsurance'!D18</f>
        <v>pound</v>
      </c>
      <c r="D13" s="116">
        <f>'Chem&amp;FertInputs&amp;CInsurance'!E18</f>
        <v>0.2555</v>
      </c>
      <c r="E13" s="133">
        <f>'Chem&amp;FertInputs&amp;CInsurance'!G18</f>
        <v>9</v>
      </c>
      <c r="F13" s="117">
        <f t="shared" si="0"/>
        <v>2.2995000000000001</v>
      </c>
      <c r="H13" s="1">
        <f>'Chem&amp;FertInputs&amp;CInsurance'!G19</f>
        <v>9</v>
      </c>
      <c r="I13" s="1">
        <f>'Chem&amp;FertInputs&amp;CInsurance'!G20</f>
        <v>9</v>
      </c>
    </row>
    <row r="14" spans="1:18" ht="20">
      <c r="A14" s="15"/>
      <c r="B14" s="85" t="str">
        <f>'Chem&amp;FertInputs&amp;CInsurance'!B21</f>
        <v>Adjuvant - Ammonium Sulfate liquid-</v>
      </c>
      <c r="C14" s="23" t="str">
        <f>'Chem&amp;FertInputs&amp;CInsurance'!D21</f>
        <v>oz</v>
      </c>
      <c r="D14" s="116">
        <f>'Chem&amp;FertInputs&amp;CInsurance'!E21</f>
        <v>0.48</v>
      </c>
      <c r="E14" s="133">
        <f>'Chem&amp;FertInputs&amp;CInsurance'!G21</f>
        <v>3.4</v>
      </c>
      <c r="F14" s="117">
        <f t="shared" ref="F14:F20" si="1">IF(D14*E14=0,"0",D14*E14)</f>
        <v>1.6319999999999999</v>
      </c>
      <c r="G14" s="165">
        <f>E14/128</f>
        <v>2.6562499999999999E-2</v>
      </c>
      <c r="H14" s="1">
        <f>'Chem&amp;FertInputs&amp;CInsurance'!G22</f>
        <v>3.4</v>
      </c>
      <c r="I14" s="1">
        <f>'Chem&amp;FertInputs&amp;CInsurance'!G23</f>
        <v>3.4</v>
      </c>
    </row>
    <row r="15" spans="1:18" ht="20">
      <c r="A15" s="15"/>
      <c r="B15" s="85" t="str">
        <f>'Chem&amp;FertInputs&amp;CInsurance'!B24</f>
        <v>Adjuvant - Ammonium Sulfate  (other)-</v>
      </c>
      <c r="C15" s="23" t="str">
        <f>'Chem&amp;FertInputs&amp;CInsurance'!D24</f>
        <v>pound</v>
      </c>
      <c r="D15" s="116">
        <f>'Chem&amp;FertInputs&amp;CInsurance'!E24</f>
        <v>0.71</v>
      </c>
      <c r="E15" s="133">
        <f>'Chem&amp;FertInputs&amp;CInsurance'!G24</f>
        <v>0</v>
      </c>
      <c r="F15" s="117" t="str">
        <f t="shared" si="1"/>
        <v>0</v>
      </c>
      <c r="G15" s="165">
        <f>E15/16</f>
        <v>0</v>
      </c>
      <c r="H15" s="1">
        <f>'Chem&amp;FertInputs&amp;CInsurance'!G25</f>
        <v>0</v>
      </c>
      <c r="I15" s="1">
        <f>'Chem&amp;FertInputs&amp;CInsurance'!G26</f>
        <v>0</v>
      </c>
    </row>
    <row r="16" spans="1:18" ht="20">
      <c r="A16" s="15"/>
      <c r="B16" s="85" t="str">
        <f>'Chem&amp;FertInputs&amp;CInsurance'!C27</f>
        <v xml:space="preserve">crop oil concentrate </v>
      </c>
      <c r="C16" s="23" t="str">
        <f>'Chem&amp;FertInputs&amp;CInsurance'!D27</f>
        <v>pint</v>
      </c>
      <c r="D16" s="116">
        <f>'Chem&amp;FertInputs&amp;CInsurance'!E27</f>
        <v>1.6559999999999999</v>
      </c>
      <c r="E16" s="133">
        <f>'Chem&amp;FertInputs&amp;CInsurance'!G27</f>
        <v>0</v>
      </c>
      <c r="F16" s="117" t="str">
        <f t="shared" si="1"/>
        <v>0</v>
      </c>
      <c r="G16" s="165">
        <f>E16/8</f>
        <v>0</v>
      </c>
    </row>
    <row r="17" spans="1:7" ht="20">
      <c r="A17" s="15"/>
      <c r="B17" s="85" t="str">
        <f>'Chem&amp;FertInputs&amp;CInsurance'!C28</f>
        <v>In-place</v>
      </c>
      <c r="C17" s="23" t="str">
        <f>'Chem&amp;FertInputs&amp;CInsurance'!D28</f>
        <v>oz</v>
      </c>
      <c r="D17" s="116">
        <f>'Chem&amp;FertInputs&amp;CInsurance'!E28</f>
        <v>0.35649999999999998</v>
      </c>
      <c r="E17" s="133">
        <f>'Chem&amp;FertInputs&amp;CInsurance'!G28</f>
        <v>0</v>
      </c>
      <c r="F17" s="117" t="str">
        <f t="shared" si="1"/>
        <v>0</v>
      </c>
      <c r="G17" s="165">
        <f>E17/128</f>
        <v>0</v>
      </c>
    </row>
    <row r="18" spans="1:7" ht="20">
      <c r="A18" s="15"/>
      <c r="B18" s="85" t="str">
        <f>'Chem&amp;FertInputs&amp;CInsurance'!C29</f>
        <v xml:space="preserve">M90 </v>
      </c>
      <c r="C18" s="23" t="str">
        <f>'Chem&amp;FertInputs&amp;CInsurance'!D29</f>
        <v>oz</v>
      </c>
      <c r="D18" s="116">
        <f>'Chem&amp;FertInputs&amp;CInsurance'!E29</f>
        <v>0.253</v>
      </c>
      <c r="E18" s="133">
        <f>'Chem&amp;FertInputs&amp;CInsurance'!G29</f>
        <v>3</v>
      </c>
      <c r="F18" s="117">
        <f t="shared" si="1"/>
        <v>0.75900000000000001</v>
      </c>
      <c r="G18" s="165">
        <f>E18/128</f>
        <v>2.34375E-2</v>
      </c>
    </row>
    <row r="19" spans="1:7" ht="20">
      <c r="A19" s="15"/>
      <c r="B19" s="85" t="str">
        <f>'Chem&amp;FertInputs&amp;CInsurance'!C30</f>
        <v>Surfactant</v>
      </c>
      <c r="C19" s="23" t="str">
        <f>'Chem&amp;FertInputs&amp;CInsurance'!D30</f>
        <v>oz</v>
      </c>
      <c r="D19" s="116">
        <f>'Chem&amp;FertInputs&amp;CInsurance'!E30</f>
        <v>0.26450000000000001</v>
      </c>
      <c r="E19" s="133">
        <f>'Chem&amp;FertInputs&amp;CInsurance'!G30</f>
        <v>0</v>
      </c>
      <c r="F19" s="117" t="str">
        <f t="shared" si="1"/>
        <v>0</v>
      </c>
      <c r="G19" s="165">
        <f>E19/128</f>
        <v>0</v>
      </c>
    </row>
    <row r="20" spans="1:7" ht="20">
      <c r="A20" s="15"/>
      <c r="B20" s="85" t="str">
        <f>'Chem&amp;FertInputs&amp;CInsurance'!C31</f>
        <v>Syltac sticker</v>
      </c>
      <c r="C20" s="23" t="str">
        <f>'Chem&amp;FertInputs&amp;CInsurance'!D31</f>
        <v>pint</v>
      </c>
      <c r="D20" s="116">
        <f>'Chem&amp;FertInputs&amp;CInsurance'!E31</f>
        <v>7.1874999999999991</v>
      </c>
      <c r="E20" s="133">
        <f>'Chem&amp;FertInputs&amp;CInsurance'!G31</f>
        <v>0</v>
      </c>
      <c r="F20" s="117" t="str">
        <f t="shared" si="1"/>
        <v>0</v>
      </c>
      <c r="G20" s="165">
        <f>E20/8</f>
        <v>0</v>
      </c>
    </row>
    <row r="21" spans="1:7" ht="20">
      <c r="A21" s="15"/>
      <c r="B21" s="85" t="str">
        <f>'Chem&amp;FertInputs&amp;CInsurance'!C33</f>
        <v>2,4 - D</v>
      </c>
      <c r="C21" s="23" t="str">
        <f>'Chem&amp;FertInputs&amp;CInsurance'!D33</f>
        <v>oz</v>
      </c>
      <c r="D21" s="116">
        <f>'Chem&amp;FertInputs&amp;CInsurance'!E33</f>
        <v>0.33349999999999996</v>
      </c>
      <c r="E21" s="133">
        <f>'Chem&amp;FertInputs&amp;CInsurance'!G33</f>
        <v>0</v>
      </c>
      <c r="F21" s="117" t="str">
        <f t="shared" si="0"/>
        <v>0</v>
      </c>
      <c r="G21" s="165">
        <f t="shared" ref="G21:G30" si="2">E21/128</f>
        <v>0</v>
      </c>
    </row>
    <row r="22" spans="1:7" ht="20">
      <c r="A22" s="15"/>
      <c r="B22" s="85" t="str">
        <f>'Chem&amp;FertInputs&amp;CInsurance'!C34</f>
        <v>Achieve SC</v>
      </c>
      <c r="C22" s="23" t="str">
        <f>'Chem&amp;FertInputs&amp;CInsurance'!D34</f>
        <v>oz</v>
      </c>
      <c r="D22" s="116">
        <f>'Chem&amp;FertInputs&amp;CInsurance'!E34</f>
        <v>1.3454999999999999</v>
      </c>
      <c r="E22" s="133">
        <f>'Chem&amp;FertInputs&amp;CInsurance'!G34</f>
        <v>0</v>
      </c>
      <c r="F22" s="117" t="str">
        <f t="shared" si="0"/>
        <v>0</v>
      </c>
      <c r="G22" s="165">
        <f t="shared" si="2"/>
        <v>0</v>
      </c>
    </row>
    <row r="23" spans="1:7" ht="20">
      <c r="A23" s="15"/>
      <c r="B23" s="85" t="str">
        <f>'Chem&amp;FertInputs&amp;CInsurance'!C35</f>
        <v>Affintity TankMix</v>
      </c>
      <c r="C23" s="23" t="str">
        <f>'Chem&amp;FertInputs&amp;CInsurance'!D35</f>
        <v>oz</v>
      </c>
      <c r="D23" s="116">
        <f>'Chem&amp;FertInputs&amp;CInsurance'!E35</f>
        <v>8.9699999999999989</v>
      </c>
      <c r="E23" s="133">
        <f>'Chem&amp;FertInputs&amp;CInsurance'!G35</f>
        <v>0.75</v>
      </c>
      <c r="F23" s="117">
        <f t="shared" si="0"/>
        <v>6.7274999999999991</v>
      </c>
      <c r="G23" s="165">
        <f t="shared" si="2"/>
        <v>5.859375E-3</v>
      </c>
    </row>
    <row r="24" spans="1:7" ht="20">
      <c r="A24" s="15"/>
      <c r="B24" s="85" t="str">
        <f>'Chem&amp;FertInputs&amp;CInsurance'!C36</f>
        <v xml:space="preserve">Ally </v>
      </c>
      <c r="C24" s="23" t="str">
        <f>'Chem&amp;FertInputs&amp;CInsurance'!D36</f>
        <v>oz</v>
      </c>
      <c r="D24" s="116">
        <f>'Chem&amp;FertInputs&amp;CInsurance'!E36</f>
        <v>1.7249999999999999</v>
      </c>
      <c r="E24" s="133">
        <f>'Chem&amp;FertInputs&amp;CInsurance'!G36</f>
        <v>0</v>
      </c>
      <c r="F24" s="117" t="str">
        <f t="shared" si="0"/>
        <v>0</v>
      </c>
      <c r="G24" s="165">
        <f t="shared" si="2"/>
        <v>0</v>
      </c>
    </row>
    <row r="25" spans="1:7" ht="20">
      <c r="A25" s="15"/>
      <c r="B25" s="85" t="str">
        <f>'Chem&amp;FertInputs&amp;CInsurance'!C37</f>
        <v>Assure</v>
      </c>
      <c r="C25" s="23" t="str">
        <f>'Chem&amp;FertInputs&amp;CInsurance'!D37</f>
        <v>oz</v>
      </c>
      <c r="D25" s="116">
        <f>'Chem&amp;FertInputs&amp;CInsurance'!E37</f>
        <v>0.98899999999999988</v>
      </c>
      <c r="E25" s="133">
        <f>'Chem&amp;FertInputs&amp;CInsurance'!G37</f>
        <v>0</v>
      </c>
      <c r="F25" s="117" t="str">
        <f t="shared" si="0"/>
        <v>0</v>
      </c>
      <c r="G25" s="165">
        <f t="shared" si="2"/>
        <v>0</v>
      </c>
    </row>
    <row r="26" spans="1:7" ht="20">
      <c r="A26" s="15"/>
      <c r="B26" s="85" t="str">
        <f>'Chem&amp;FertInputs&amp;CInsurance'!C38</f>
        <v>Axial Star</v>
      </c>
      <c r="C26" s="23" t="str">
        <f>'Chem&amp;FertInputs&amp;CInsurance'!D38</f>
        <v>oz</v>
      </c>
      <c r="D26" s="116">
        <f>'Chem&amp;FertInputs&amp;CInsurance'!E38</f>
        <v>1.3224999999999998</v>
      </c>
      <c r="E26" s="133">
        <f>'Chem&amp;FertInputs&amp;CInsurance'!G38</f>
        <v>0</v>
      </c>
      <c r="F26" s="117" t="str">
        <f t="shared" si="0"/>
        <v>0</v>
      </c>
      <c r="G26" s="165">
        <f t="shared" si="2"/>
        <v>0</v>
      </c>
    </row>
    <row r="27" spans="1:7" ht="20">
      <c r="A27" s="15"/>
      <c r="B27" s="85" t="str">
        <f>'Chem&amp;FertInputs&amp;CInsurance'!C39</f>
        <v>Axial Bold</v>
      </c>
      <c r="C27" s="23" t="str">
        <f>'Chem&amp;FertInputs&amp;CInsurance'!D39</f>
        <v>oz</v>
      </c>
      <c r="D27" s="116">
        <f>'Chem&amp;FertInputs&amp;CInsurance'!E39</f>
        <v>1.0924999999999998</v>
      </c>
      <c r="E27" s="133">
        <f>'Chem&amp;FertInputs&amp;CInsurance'!G39</f>
        <v>15</v>
      </c>
      <c r="F27" s="117">
        <f t="shared" si="0"/>
        <v>16.387499999999996</v>
      </c>
      <c r="G27" s="165">
        <f t="shared" si="2"/>
        <v>0.1171875</v>
      </c>
    </row>
    <row r="28" spans="1:7" ht="20">
      <c r="A28" s="15"/>
      <c r="B28" s="85" t="str">
        <f>'Chem&amp;FertInputs&amp;CInsurance'!C40</f>
        <v>Bronate</v>
      </c>
      <c r="C28" s="23" t="str">
        <f>'Chem&amp;FertInputs&amp;CInsurance'!D40</f>
        <v>oz</v>
      </c>
      <c r="D28" s="116">
        <f>'Chem&amp;FertInputs&amp;CInsurance'!E40</f>
        <v>7.911999999999999</v>
      </c>
      <c r="E28" s="133">
        <f>'Chem&amp;FertInputs&amp;CInsurance'!G40</f>
        <v>0</v>
      </c>
      <c r="F28" s="117" t="str">
        <f t="shared" si="0"/>
        <v>0</v>
      </c>
      <c r="G28" s="165">
        <f t="shared" si="2"/>
        <v>0</v>
      </c>
    </row>
    <row r="29" spans="1:7" ht="20">
      <c r="A29" s="15"/>
      <c r="B29" s="85" t="str">
        <f>'Chem&amp;FertInputs&amp;CInsurance'!C41</f>
        <v xml:space="preserve">Brox M </v>
      </c>
      <c r="C29" s="23" t="str">
        <f>'Chem&amp;FertInputs&amp;CInsurance'!D41</f>
        <v>oz</v>
      </c>
      <c r="D29" s="116">
        <f>'Chem&amp;FertInputs&amp;CInsurance'!E41</f>
        <v>0.42549999999999999</v>
      </c>
      <c r="E29" s="133">
        <f>'Chem&amp;FertInputs&amp;CInsurance'!G41</f>
        <v>0</v>
      </c>
      <c r="F29" s="117" t="str">
        <f t="shared" si="0"/>
        <v>0</v>
      </c>
      <c r="G29" s="165">
        <f t="shared" si="2"/>
        <v>0</v>
      </c>
    </row>
    <row r="30" spans="1:7" ht="20">
      <c r="A30" s="15"/>
      <c r="B30" s="85" t="str">
        <f>'Chem&amp;FertInputs&amp;CInsurance'!C42</f>
        <v>Capture</v>
      </c>
      <c r="C30" s="23" t="str">
        <f>'Chem&amp;FertInputs&amp;CInsurance'!D42</f>
        <v>oz</v>
      </c>
      <c r="D30" s="116">
        <f>'Chem&amp;FertInputs&amp;CInsurance'!E42</f>
        <v>2.7024999999999997</v>
      </c>
      <c r="E30" s="133">
        <f>'Chem&amp;FertInputs&amp;CInsurance'!G42</f>
        <v>0</v>
      </c>
      <c r="F30" s="117" t="str">
        <f t="shared" si="0"/>
        <v>0</v>
      </c>
      <c r="G30" s="165">
        <f t="shared" si="2"/>
        <v>0</v>
      </c>
    </row>
    <row r="31" spans="1:7" ht="20">
      <c r="A31" s="15"/>
      <c r="B31" s="85" t="str">
        <f>'Chem&amp;FertInputs&amp;CInsurance'!C43</f>
        <v xml:space="preserve">Dimethoate </v>
      </c>
      <c r="C31" s="23" t="str">
        <f>'Chem&amp;FertInputs&amp;CInsurance'!D43</f>
        <v>pint</v>
      </c>
      <c r="D31" s="116">
        <f>'Chem&amp;FertInputs&amp;CInsurance'!E43</f>
        <v>7.1874999999999991</v>
      </c>
      <c r="E31" s="133">
        <f>'Chem&amp;FertInputs&amp;CInsurance'!G43</f>
        <v>0</v>
      </c>
      <c r="F31" s="117" t="str">
        <f t="shared" si="0"/>
        <v>0</v>
      </c>
      <c r="G31" s="165">
        <f>E31/8</f>
        <v>0</v>
      </c>
    </row>
    <row r="32" spans="1:7" ht="20">
      <c r="A32" s="15"/>
      <c r="B32" s="85" t="str">
        <f>'Chem&amp;FertInputs&amp;CInsurance'!C44</f>
        <v>Clethodim</v>
      </c>
      <c r="C32" s="23" t="str">
        <f>'Chem&amp;FertInputs&amp;CInsurance'!D44</f>
        <v>oz</v>
      </c>
      <c r="D32" s="116">
        <f>'Chem&amp;FertInputs&amp;CInsurance'!E44</f>
        <v>0.75900000000000001</v>
      </c>
      <c r="E32" s="133">
        <f>'Chem&amp;FertInputs&amp;CInsurance'!G44</f>
        <v>0</v>
      </c>
      <c r="F32" s="117" t="str">
        <f t="shared" ref="F32" si="3">IF(D32*E32=0,"0",D32*E32)</f>
        <v>0</v>
      </c>
      <c r="G32" s="165">
        <f t="shared" ref="G32:G37" si="4">E32/128</f>
        <v>0</v>
      </c>
    </row>
    <row r="33" spans="1:7" ht="20">
      <c r="A33" s="15"/>
      <c r="B33" s="85" t="str">
        <f>'Chem&amp;FertInputs&amp;CInsurance'!C45</f>
        <v>Discover</v>
      </c>
      <c r="C33" s="23" t="str">
        <f>'Chem&amp;FertInputs&amp;CInsurance'!D45</f>
        <v>oz</v>
      </c>
      <c r="D33" s="116">
        <f>'Chem&amp;FertInputs&amp;CInsurance'!E45</f>
        <v>1.6904999999999999</v>
      </c>
      <c r="E33" s="133">
        <f>'Chem&amp;FertInputs&amp;CInsurance'!G45</f>
        <v>0</v>
      </c>
      <c r="F33" s="117" t="str">
        <f t="shared" si="0"/>
        <v>0</v>
      </c>
      <c r="G33" s="165">
        <f t="shared" si="4"/>
        <v>0</v>
      </c>
    </row>
    <row r="34" spans="1:7" ht="20">
      <c r="A34" s="15"/>
      <c r="B34" s="85" t="str">
        <f>'Chem&amp;FertInputs&amp;CInsurance'!C46</f>
        <v>FarGO</v>
      </c>
      <c r="C34" s="23" t="str">
        <f>'Chem&amp;FertInputs&amp;CInsurance'!D46</f>
        <v>oz</v>
      </c>
      <c r="D34" s="116">
        <f>'Chem&amp;FertInputs&amp;CInsurance'!E46</f>
        <v>19.158999999999999</v>
      </c>
      <c r="E34" s="133">
        <f>'Chem&amp;FertInputs&amp;CInsurance'!G46</f>
        <v>0</v>
      </c>
      <c r="F34" s="117" t="str">
        <f t="shared" si="0"/>
        <v>0</v>
      </c>
      <c r="G34" s="165">
        <f t="shared" si="4"/>
        <v>0</v>
      </c>
    </row>
    <row r="35" spans="1:7" ht="20">
      <c r="A35" s="15"/>
      <c r="B35" s="85" t="str">
        <f>'Chem&amp;FertInputs&amp;CInsurance'!C47</f>
        <v>Finesse</v>
      </c>
      <c r="C35" s="23" t="str">
        <f>'Chem&amp;FertInputs&amp;CInsurance'!D47</f>
        <v>oz</v>
      </c>
      <c r="D35" s="116">
        <f>'Chem&amp;FertInputs&amp;CInsurance'!E47</f>
        <v>19.940999999999999</v>
      </c>
      <c r="E35" s="133">
        <f>'Chem&amp;FertInputs&amp;CInsurance'!G47</f>
        <v>0</v>
      </c>
      <c r="F35" s="117" t="str">
        <f t="shared" si="0"/>
        <v>0</v>
      </c>
      <c r="G35" s="165">
        <f t="shared" si="4"/>
        <v>0</v>
      </c>
    </row>
    <row r="36" spans="1:7" ht="20">
      <c r="A36" s="15"/>
      <c r="B36" s="85" t="str">
        <f>'Chem&amp;FertInputs&amp;CInsurance'!C48</f>
        <v>Glyphosate</v>
      </c>
      <c r="C36" s="23" t="str">
        <f>'Chem&amp;FertInputs&amp;CInsurance'!D48</f>
        <v>oz</v>
      </c>
      <c r="D36" s="116">
        <f>'Chem&amp;FertInputs&amp;CInsurance'!E48</f>
        <v>0.14949999999999999</v>
      </c>
      <c r="E36" s="133">
        <f>'Chem&amp;FertInputs&amp;CInsurance'!G48</f>
        <v>0</v>
      </c>
      <c r="F36" s="117" t="str">
        <f t="shared" si="0"/>
        <v>0</v>
      </c>
      <c r="G36" s="165">
        <f t="shared" si="4"/>
        <v>0</v>
      </c>
    </row>
    <row r="37" spans="1:7" ht="20">
      <c r="A37" s="15"/>
      <c r="B37" s="85" t="str">
        <f>'Chem&amp;FertInputs&amp;CInsurance'!C49</f>
        <v>Huskie</v>
      </c>
      <c r="C37" s="23" t="str">
        <f>'Chem&amp;FertInputs&amp;CInsurance'!D49</f>
        <v>oz</v>
      </c>
      <c r="D37" s="116">
        <f>'Chem&amp;FertInputs&amp;CInsurance'!E49</f>
        <v>0.88549999999999995</v>
      </c>
      <c r="E37" s="133">
        <f>'Chem&amp;FertInputs&amp;CInsurance'!G49</f>
        <v>13.7</v>
      </c>
      <c r="F37" s="117">
        <f t="shared" si="0"/>
        <v>12.131349999999999</v>
      </c>
      <c r="G37" s="165">
        <f t="shared" si="4"/>
        <v>0.10703124999999999</v>
      </c>
    </row>
    <row r="38" spans="1:7" ht="20">
      <c r="A38" s="15"/>
      <c r="B38" s="85" t="str">
        <f>'Chem&amp;FertInputs&amp;CInsurance'!C50</f>
        <v>Imidan 70</v>
      </c>
      <c r="C38" s="23" t="str">
        <f>'Chem&amp;FertInputs&amp;CInsurance'!D50</f>
        <v>lb</v>
      </c>
      <c r="D38" s="116">
        <f>'Chem&amp;FertInputs&amp;CInsurance'!E50</f>
        <v>17.295999999999999</v>
      </c>
      <c r="E38" s="133">
        <f>'Chem&amp;FertInputs&amp;CInsurance'!G50</f>
        <v>0</v>
      </c>
      <c r="F38" s="117" t="str">
        <f t="shared" si="0"/>
        <v>0</v>
      </c>
      <c r="G38" s="165">
        <f>E38/16</f>
        <v>0</v>
      </c>
    </row>
    <row r="39" spans="1:7" ht="20">
      <c r="A39" s="15"/>
      <c r="B39" s="85" t="str">
        <f>'Chem&amp;FertInputs&amp;CInsurance'!C51</f>
        <v xml:space="preserve">Maverick </v>
      </c>
      <c r="C39" s="23" t="str">
        <f>'Chem&amp;FertInputs&amp;CInsurance'!D51</f>
        <v>oz</v>
      </c>
      <c r="D39" s="116">
        <f>'Chem&amp;FertInputs&amp;CInsurance'!E51</f>
        <v>23.885499999999997</v>
      </c>
      <c r="E39" s="133">
        <f>'Chem&amp;FertInputs&amp;CInsurance'!G51</f>
        <v>0</v>
      </c>
      <c r="F39" s="117" t="str">
        <f t="shared" si="0"/>
        <v>0</v>
      </c>
      <c r="G39" s="165">
        <f t="shared" ref="G39:G51" si="5">E39/128</f>
        <v>0</v>
      </c>
    </row>
    <row r="40" spans="1:7" ht="20">
      <c r="A40" s="15"/>
      <c r="B40" s="85" t="str">
        <f>'Chem&amp;FertInputs&amp;CInsurance'!C52</f>
        <v>Osprey</v>
      </c>
      <c r="C40" s="23" t="str">
        <f>'Chem&amp;FertInputs&amp;CInsurance'!D52</f>
        <v>oz</v>
      </c>
      <c r="D40" s="116">
        <f>'Chem&amp;FertInputs&amp;CInsurance'!E52</f>
        <v>5.0484999999999989</v>
      </c>
      <c r="E40" s="133">
        <f>'Chem&amp;FertInputs&amp;CInsurance'!G52</f>
        <v>0</v>
      </c>
      <c r="F40" s="117" t="str">
        <f t="shared" si="0"/>
        <v>0</v>
      </c>
      <c r="G40" s="165">
        <f t="shared" si="5"/>
        <v>0</v>
      </c>
    </row>
    <row r="41" spans="1:7" ht="20">
      <c r="A41" s="15"/>
      <c r="B41" s="85" t="str">
        <f>'Chem&amp;FertInputs&amp;CInsurance'!C53</f>
        <v>Poast</v>
      </c>
      <c r="C41" s="23" t="str">
        <f>'Chem&amp;FertInputs&amp;CInsurance'!D53</f>
        <v>oz</v>
      </c>
      <c r="D41" s="116">
        <f>'Chem&amp;FertInputs&amp;CInsurance'!E53</f>
        <v>19.285499999999999</v>
      </c>
      <c r="E41" s="133">
        <f>'Chem&amp;FertInputs&amp;CInsurance'!G53</f>
        <v>0</v>
      </c>
      <c r="F41" s="117" t="str">
        <f t="shared" ref="F41" si="6">IF(D41*E41=0,"0",D41*E41)</f>
        <v>0</v>
      </c>
      <c r="G41" s="165">
        <f t="shared" si="5"/>
        <v>0</v>
      </c>
    </row>
    <row r="42" spans="1:7" ht="20">
      <c r="A42" s="15"/>
      <c r="B42" s="85" t="str">
        <f>'Chem&amp;FertInputs&amp;CInsurance'!C54</f>
        <v>Power Flex</v>
      </c>
      <c r="C42" s="23" t="str">
        <f>'Chem&amp;FertInputs&amp;CInsurance'!D54</f>
        <v>oz</v>
      </c>
      <c r="D42" s="116">
        <f>'Chem&amp;FertInputs&amp;CInsurance'!E54</f>
        <v>8.9124999999999996</v>
      </c>
      <c r="E42" s="133">
        <f>'Chem&amp;FertInputs&amp;CInsurance'!G54</f>
        <v>0</v>
      </c>
      <c r="F42" s="117" t="str">
        <f t="shared" si="0"/>
        <v>0</v>
      </c>
      <c r="G42" s="165">
        <f t="shared" si="5"/>
        <v>0</v>
      </c>
    </row>
    <row r="43" spans="1:7" ht="20">
      <c r="A43" s="15"/>
      <c r="B43" s="85" t="str">
        <f>'Chem&amp;FertInputs&amp;CInsurance'!C55</f>
        <v>Priaxor</v>
      </c>
      <c r="C43" s="23" t="str">
        <f>'Chem&amp;FertInputs&amp;CInsurance'!D55</f>
        <v>oz</v>
      </c>
      <c r="D43" s="116">
        <f>'Chem&amp;FertInputs&amp;CInsurance'!E55</f>
        <v>3.4269999999999996</v>
      </c>
      <c r="E43" s="133">
        <f>'Chem&amp;FertInputs&amp;CInsurance'!G55</f>
        <v>0</v>
      </c>
      <c r="F43" s="117" t="str">
        <f t="shared" si="0"/>
        <v>0</v>
      </c>
      <c r="G43" s="165">
        <f t="shared" si="5"/>
        <v>0</v>
      </c>
    </row>
    <row r="44" spans="1:7" ht="20">
      <c r="A44" s="15"/>
      <c r="B44" s="85" t="str">
        <f>'Chem&amp;FertInputs&amp;CInsurance'!C56</f>
        <v>Prowl</v>
      </c>
      <c r="C44" s="23" t="str">
        <f>'Chem&amp;FertInputs&amp;CInsurance'!D56</f>
        <v>oz</v>
      </c>
      <c r="D44" s="116">
        <f>'Chem&amp;FertInputs&amp;CInsurance'!E56</f>
        <v>0.51749999999999996</v>
      </c>
      <c r="E44" s="133">
        <f>'Chem&amp;FertInputs&amp;CInsurance'!G56</f>
        <v>0</v>
      </c>
      <c r="F44" s="117" t="str">
        <f t="shared" si="0"/>
        <v>0</v>
      </c>
      <c r="G44" s="165">
        <f t="shared" si="5"/>
        <v>0</v>
      </c>
    </row>
    <row r="45" spans="1:7" ht="20">
      <c r="A45" s="15"/>
      <c r="B45" s="85" t="str">
        <f>'Chem&amp;FertInputs&amp;CInsurance'!C57</f>
        <v>Pursuit</v>
      </c>
      <c r="C45" s="23" t="str">
        <f>'Chem&amp;FertInputs&amp;CInsurance'!D57</f>
        <v>oz</v>
      </c>
      <c r="D45" s="116">
        <f>'Chem&amp;FertInputs&amp;CInsurance'!E57</f>
        <v>4.0594999999999999</v>
      </c>
      <c r="E45" s="133">
        <f>'Chem&amp;FertInputs&amp;CInsurance'!G57</f>
        <v>0</v>
      </c>
      <c r="F45" s="117" t="str">
        <f t="shared" si="0"/>
        <v>0</v>
      </c>
      <c r="G45" s="165">
        <f t="shared" si="5"/>
        <v>0</v>
      </c>
    </row>
    <row r="46" spans="1:7" ht="20">
      <c r="A46" s="15"/>
      <c r="B46" s="85" t="str">
        <f>'Chem&amp;FertInputs&amp;CInsurance'!C58</f>
        <v xml:space="preserve">Quadris </v>
      </c>
      <c r="C46" s="23" t="str">
        <f>'Chem&amp;FertInputs&amp;CInsurance'!D58</f>
        <v>oz</v>
      </c>
      <c r="D46" s="116">
        <f>'Chem&amp;FertInputs&amp;CInsurance'!E58</f>
        <v>1.127</v>
      </c>
      <c r="E46" s="133">
        <f>'Chem&amp;FertInputs&amp;CInsurance'!G58</f>
        <v>0</v>
      </c>
      <c r="F46" s="117" t="str">
        <f t="shared" si="0"/>
        <v>0</v>
      </c>
      <c r="G46" s="165">
        <f t="shared" si="5"/>
        <v>0</v>
      </c>
    </row>
    <row r="47" spans="1:7" ht="20">
      <c r="A47" s="15"/>
      <c r="B47" s="85" t="str">
        <f>'Chem&amp;FertInputs&amp;CInsurance'!C59</f>
        <v>Quilt</v>
      </c>
      <c r="C47" s="23" t="str">
        <f>'Chem&amp;FertInputs&amp;CInsurance'!D59</f>
        <v>oz</v>
      </c>
      <c r="D47" s="116">
        <f>'Chem&amp;FertInputs&amp;CInsurance'!E59</f>
        <v>1.4834999999999998</v>
      </c>
      <c r="E47" s="133">
        <f>'Chem&amp;FertInputs&amp;CInsurance'!G59</f>
        <v>0</v>
      </c>
      <c r="F47" s="117" t="str">
        <f t="shared" si="0"/>
        <v>0</v>
      </c>
      <c r="G47" s="165">
        <f t="shared" si="5"/>
        <v>0</v>
      </c>
    </row>
    <row r="48" spans="1:7" ht="20">
      <c r="A48" s="15"/>
      <c r="B48" s="85" t="str">
        <f>'Chem&amp;FertInputs&amp;CInsurance'!C60</f>
        <v>R11</v>
      </c>
      <c r="C48" s="23" t="str">
        <f>'Chem&amp;FertInputs&amp;CInsurance'!D60</f>
        <v>oz</v>
      </c>
      <c r="D48" s="116">
        <f>'Chem&amp;FertInputs&amp;CInsurance'!E60</f>
        <v>0.26450000000000001</v>
      </c>
      <c r="E48" s="133">
        <f>'Chem&amp;FertInputs&amp;CInsurance'!G60</f>
        <v>0</v>
      </c>
      <c r="F48" s="117" t="str">
        <f t="shared" si="0"/>
        <v>0</v>
      </c>
      <c r="G48" s="165">
        <f t="shared" si="5"/>
        <v>0</v>
      </c>
    </row>
    <row r="49" spans="1:11" ht="20">
      <c r="A49" s="15"/>
      <c r="B49" s="85" t="str">
        <f>'Chem&amp;FertInputs&amp;CInsurance'!C61</f>
        <v>Starane</v>
      </c>
      <c r="C49" s="23" t="str">
        <f>'Chem&amp;FertInputs&amp;CInsurance'!D61</f>
        <v>oz</v>
      </c>
      <c r="D49" s="116">
        <f>'Chem&amp;FertInputs&amp;CInsurance'!E61</f>
        <v>0.77049999999999996</v>
      </c>
      <c r="E49" s="133">
        <f>'Chem&amp;FertInputs&amp;CInsurance'!G61</f>
        <v>0</v>
      </c>
      <c r="F49" s="117" t="str">
        <f t="shared" si="0"/>
        <v>0</v>
      </c>
      <c r="G49" s="165">
        <f t="shared" si="5"/>
        <v>0</v>
      </c>
    </row>
    <row r="50" spans="1:11" ht="20">
      <c r="A50" s="15"/>
      <c r="B50" s="85" t="str">
        <f>'Chem&amp;FertInputs&amp;CInsurance'!C62</f>
        <v>Starane + Salvo</v>
      </c>
      <c r="C50" s="23" t="str">
        <f>'Chem&amp;FertInputs&amp;CInsurance'!D62</f>
        <v>oz</v>
      </c>
      <c r="D50" s="116">
        <f>'Chem&amp;FertInputs&amp;CInsurance'!E62</f>
        <v>0.77049999999999996</v>
      </c>
      <c r="E50" s="133">
        <f>'Chem&amp;FertInputs&amp;CInsurance'!G62</f>
        <v>0</v>
      </c>
      <c r="F50" s="117" t="str">
        <f t="shared" si="0"/>
        <v>0</v>
      </c>
      <c r="G50" s="165">
        <f t="shared" si="5"/>
        <v>0</v>
      </c>
    </row>
    <row r="51" spans="1:11" ht="20">
      <c r="A51" s="15"/>
      <c r="B51" s="85" t="str">
        <f>'Chem&amp;FertInputs&amp;CInsurance'!C63</f>
        <v xml:space="preserve">Starane + Sword </v>
      </c>
      <c r="C51" s="23" t="str">
        <f>'Chem&amp;FertInputs&amp;CInsurance'!D63</f>
        <v>oz</v>
      </c>
      <c r="D51" s="116">
        <f>'Chem&amp;FertInputs&amp;CInsurance'!E63</f>
        <v>0.77049999999999996</v>
      </c>
      <c r="E51" s="133">
        <f>'Chem&amp;FertInputs&amp;CInsurance'!G63</f>
        <v>0</v>
      </c>
      <c r="F51" s="117" t="str">
        <f t="shared" si="0"/>
        <v>0</v>
      </c>
      <c r="G51" s="165">
        <f t="shared" si="5"/>
        <v>0</v>
      </c>
    </row>
    <row r="52" spans="1:11" ht="20">
      <c r="A52" s="15"/>
      <c r="B52" s="85" t="str">
        <f>'Chem&amp;FertInputs&amp;CInsurance'!C64</f>
        <v xml:space="preserve"> Tilt</v>
      </c>
      <c r="C52" s="23" t="str">
        <f>'Chem&amp;FertInputs&amp;CInsurance'!D64</f>
        <v>oz</v>
      </c>
      <c r="D52" s="116">
        <f>'Chem&amp;FertInputs&amp;CInsurance'!E64</f>
        <v>0.88549999999999995</v>
      </c>
      <c r="E52" s="133">
        <f>'Chem&amp;FertInputs&amp;CInsurance'!G64</f>
        <v>4</v>
      </c>
      <c r="F52" s="117">
        <f t="shared" ref="F52:F53" si="7">IF(D52*E52=0,"0",D52*E52)</f>
        <v>3.5419999999999998</v>
      </c>
      <c r="G52" s="165">
        <f t="shared" ref="G52:G53" si="8">E52/128</f>
        <v>3.125E-2</v>
      </c>
    </row>
    <row r="53" spans="1:11" ht="20">
      <c r="A53" s="15"/>
      <c r="B53" s="85" t="str">
        <f>'Chem&amp;FertInputs&amp;CInsurance'!C65</f>
        <v xml:space="preserve">Wildcard </v>
      </c>
      <c r="C53" s="23" t="str">
        <f>'Chem&amp;FertInputs&amp;CInsurance'!D65</f>
        <v>oz</v>
      </c>
      <c r="D53" s="116">
        <f>'Chem&amp;FertInputs&amp;CInsurance'!E65</f>
        <v>0.35649999999999998</v>
      </c>
      <c r="E53" s="133">
        <f>'Chem&amp;FertInputs&amp;CInsurance'!G65</f>
        <v>0</v>
      </c>
      <c r="F53" s="117" t="str">
        <f t="shared" si="7"/>
        <v>0</v>
      </c>
      <c r="G53" s="165">
        <f t="shared" si="8"/>
        <v>0</v>
      </c>
    </row>
    <row r="54" spans="1:11" ht="20">
      <c r="A54" s="15"/>
      <c r="B54" s="85" t="str">
        <f>'Chem&amp;FertInputs&amp;CInsurance'!C66</f>
        <v>Sharpen</v>
      </c>
      <c r="C54" s="23" t="str">
        <f>'Chem&amp;FertInputs&amp;CInsurance'!D66</f>
        <v>oz</v>
      </c>
      <c r="D54" s="116">
        <f>'Chem&amp;FertInputs&amp;CInsurance'!E66</f>
        <v>6.3134999999999994</v>
      </c>
      <c r="E54" s="133">
        <f>'Chem&amp;FertInputs&amp;CInsurance'!G66</f>
        <v>0</v>
      </c>
      <c r="F54" s="117" t="str">
        <f t="shared" si="0"/>
        <v>0</v>
      </c>
      <c r="G54" s="165">
        <f>E54/128</f>
        <v>0</v>
      </c>
    </row>
    <row r="55" spans="1:11" ht="20">
      <c r="A55" s="15"/>
      <c r="B55" s="85" t="str">
        <f>'Chem&amp;FertInputs&amp;CInsurance'!C67</f>
        <v>Sencor</v>
      </c>
      <c r="C55" s="23" t="str">
        <f>'Chem&amp;FertInputs&amp;CInsurance'!D67</f>
        <v>oz</v>
      </c>
      <c r="D55" s="116">
        <f>'Chem&amp;FertInputs&amp;CInsurance'!E67</f>
        <v>0.45999999999999996</v>
      </c>
      <c r="E55" s="133">
        <f>'Chem&amp;FertInputs&amp;CInsurance'!G67</f>
        <v>0</v>
      </c>
      <c r="F55" s="117" t="str">
        <f t="shared" si="0"/>
        <v>0</v>
      </c>
      <c r="G55" s="165">
        <f>E55/128</f>
        <v>0</v>
      </c>
    </row>
    <row r="56" spans="1:11" ht="20">
      <c r="A56" s="15"/>
      <c r="B56" s="85" t="str">
        <f>'Chem&amp;FertInputs&amp;CInsurance'!C68</f>
        <v>Warrior</v>
      </c>
      <c r="C56" s="23" t="str">
        <f>'Chem&amp;FertInputs&amp;CInsurance'!D68</f>
        <v>acre</v>
      </c>
      <c r="D56" s="116">
        <f>'Chem&amp;FertInputs&amp;CInsurance'!E68</f>
        <v>3.4499999999999997</v>
      </c>
      <c r="E56" s="133">
        <f>'Chem&amp;FertInputs&amp;CInsurance'!G68</f>
        <v>0</v>
      </c>
      <c r="F56" s="117" t="str">
        <f t="shared" si="0"/>
        <v>0</v>
      </c>
      <c r="G56" s="165">
        <f>E56/128</f>
        <v>0</v>
      </c>
      <c r="J56" s="173" t="s">
        <v>8</v>
      </c>
    </row>
    <row r="57" spans="1:11" ht="20">
      <c r="A57" s="15"/>
      <c r="B57" s="85" t="str">
        <f>'Chem&amp;FertInputs&amp;CInsurance'!C69</f>
        <v xml:space="preserve"> Lorox</v>
      </c>
      <c r="C57" s="23" t="str">
        <f>'Chem&amp;FertInputs&amp;CInsurance'!D69</f>
        <v>lb</v>
      </c>
      <c r="D57" s="116">
        <f>'Chem&amp;FertInputs&amp;CInsurance'!E69</f>
        <v>26.565000000000001</v>
      </c>
      <c r="E57" s="133">
        <f>'Chem&amp;FertInputs&amp;CInsurance'!G69</f>
        <v>0</v>
      </c>
      <c r="F57" s="117" t="str">
        <f t="shared" ref="F57:F58" si="9">IF(D57*E57=0,"0",D57*E57)</f>
        <v>0</v>
      </c>
      <c r="G57" s="165">
        <f>E57/128</f>
        <v>0</v>
      </c>
      <c r="J57" s="173"/>
    </row>
    <row r="58" spans="1:11" ht="20">
      <c r="A58" s="15"/>
      <c r="B58" s="85" t="str">
        <f>'Chem&amp;FertInputs&amp;CInsurance'!C70</f>
        <v xml:space="preserve"> Valor</v>
      </c>
      <c r="C58" s="23" t="str">
        <f>'Chem&amp;FertInputs&amp;CInsurance'!D70</f>
        <v>oz</v>
      </c>
      <c r="D58" s="116">
        <f>'Chem&amp;FertInputs&amp;CInsurance'!E70</f>
        <v>6.6124999999999998</v>
      </c>
      <c r="E58" s="133">
        <f>'Chem&amp;FertInputs&amp;CInsurance'!G70</f>
        <v>0</v>
      </c>
      <c r="F58" s="117" t="str">
        <f t="shared" si="9"/>
        <v>0</v>
      </c>
      <c r="G58" s="165">
        <f t="shared" ref="G58:G59" si="10">E58/128</f>
        <v>0</v>
      </c>
      <c r="J58" s="173"/>
    </row>
    <row r="59" spans="1:11" ht="20">
      <c r="A59" s="15"/>
      <c r="B59" s="85" t="str">
        <f>'Chem&amp;FertInputs&amp;CInsurance'!C71</f>
        <v xml:space="preserve"> Diagon</v>
      </c>
      <c r="C59" s="23" t="str">
        <f>'Chem&amp;FertInputs&amp;CInsurance'!D71</f>
        <v>oz</v>
      </c>
      <c r="D59" s="116">
        <f>'Chem&amp;FertInputs&amp;CInsurance'!E71</f>
        <v>0.43699999999999994</v>
      </c>
      <c r="E59" s="133">
        <f>'Chem&amp;FertInputs&amp;CInsurance'!G71</f>
        <v>0</v>
      </c>
      <c r="F59" s="117" t="str">
        <f t="shared" ref="F59" si="11">IF(D59*E59=0,"0",D59*E59)</f>
        <v>0</v>
      </c>
      <c r="G59" s="165">
        <f t="shared" si="10"/>
        <v>0</v>
      </c>
      <c r="J59" s="173" t="s">
        <v>8</v>
      </c>
    </row>
    <row r="60" spans="1:11" ht="20">
      <c r="A60" s="15"/>
      <c r="B60" s="85" t="str">
        <f>'Chem&amp;FertInputs&amp;CInsurance'!C72</f>
        <v xml:space="preserve">Spartan </v>
      </c>
      <c r="C60" s="23" t="str">
        <f>'Chem&amp;FertInputs&amp;CInsurance'!D72</f>
        <v>oz</v>
      </c>
      <c r="D60" s="116">
        <f>'Chem&amp;FertInputs&amp;CInsurance'!E72</f>
        <v>2.0469999999999997</v>
      </c>
      <c r="E60" s="133">
        <f>'Chem&amp;FertInputs&amp;CInsurance'!G72</f>
        <v>0</v>
      </c>
      <c r="F60" s="117" t="str">
        <f t="shared" si="0"/>
        <v>0</v>
      </c>
      <c r="G60" s="165">
        <f>E60/128</f>
        <v>0</v>
      </c>
      <c r="I60" s="224" t="s">
        <v>8</v>
      </c>
      <c r="K60" s="224"/>
    </row>
    <row r="61" spans="1:11" ht="23">
      <c r="A61" s="15"/>
      <c r="B61" s="85" t="str">
        <f>'Chem&amp;FertInputs&amp;CInsurance'!C32</f>
        <v xml:space="preserve">Round Up </v>
      </c>
      <c r="C61" s="23" t="str">
        <f>'Chem&amp;FertInputs&amp;CInsurance'!D32</f>
        <v>oz</v>
      </c>
      <c r="D61" s="116">
        <f>'Chem&amp;FertInputs&amp;CInsurance'!E32</f>
        <v>0.14949999999999999</v>
      </c>
      <c r="E61" s="133">
        <f>'Chem&amp;FertInputs&amp;CInsurance'!G32</f>
        <v>36</v>
      </c>
      <c r="F61" s="117">
        <f t="shared" si="0"/>
        <v>5.3819999999999997</v>
      </c>
      <c r="G61" s="225">
        <f>E61/128</f>
        <v>0.28125</v>
      </c>
      <c r="H61" s="224" t="s">
        <v>8</v>
      </c>
    </row>
    <row r="62" spans="1:11" ht="20">
      <c r="A62" s="15"/>
      <c r="B62" s="139" t="s">
        <v>86</v>
      </c>
      <c r="C62" s="23"/>
      <c r="D62" s="116"/>
      <c r="E62" s="133"/>
      <c r="F62" s="117"/>
      <c r="G62" s="165">
        <f>SUM(G14:G61)</f>
        <v>0.59257812499999996</v>
      </c>
    </row>
    <row r="63" spans="1:11" ht="20">
      <c r="A63" s="15"/>
      <c r="B63" s="125" t="str">
        <f>CustomRates!B5</f>
        <v>Aerial (Custom)</v>
      </c>
      <c r="C63" s="41" t="str">
        <f>CustomRates!C5</f>
        <v>acre</v>
      </c>
      <c r="D63" s="116">
        <f>CustomRates!E5</f>
        <v>8.9499999999999993</v>
      </c>
      <c r="E63" s="87">
        <f>CustomRates!E6</f>
        <v>0</v>
      </c>
      <c r="F63" s="117" t="str">
        <f t="shared" ref="F63:F70" si="12">IF(D63*E63=0,"0",D63*E63)</f>
        <v>0</v>
      </c>
      <c r="G63" s="224" t="s">
        <v>8</v>
      </c>
      <c r="H63" s="224" t="s">
        <v>8</v>
      </c>
    </row>
    <row r="64" spans="1:11" ht="20">
      <c r="A64" s="15"/>
      <c r="B64" s="125" t="str">
        <f>CustomRates!B7</f>
        <v>Sprayer (Rental 90')</v>
      </c>
      <c r="C64" s="41" t="str">
        <f>CustomRates!C7</f>
        <v>acre</v>
      </c>
      <c r="D64" s="116">
        <f>CustomRates!E7</f>
        <v>8</v>
      </c>
      <c r="E64" s="87">
        <f>CustomRates!E8</f>
        <v>1</v>
      </c>
      <c r="F64" s="117">
        <f t="shared" si="12"/>
        <v>8</v>
      </c>
    </row>
    <row r="65" spans="1:9" ht="20">
      <c r="A65" s="15"/>
      <c r="B65" s="125" t="str">
        <f>CustomRates!B9</f>
        <v>Fertilizer - Anhydrous Applicator (Rent)</v>
      </c>
      <c r="C65" s="41" t="str">
        <f>CustomRates!C9</f>
        <v>acre</v>
      </c>
      <c r="D65" s="116">
        <f>CustomRates!E9</f>
        <v>7</v>
      </c>
      <c r="E65" s="87">
        <f>CustomRates!E10</f>
        <v>0</v>
      </c>
      <c r="F65" s="117" t="str">
        <f t="shared" si="12"/>
        <v>0</v>
      </c>
    </row>
    <row r="66" spans="1:9" ht="20">
      <c r="A66" s="15"/>
      <c r="B66" s="125" t="str">
        <f>CustomRates!B11</f>
        <v>Fertilizer Applicator</v>
      </c>
      <c r="C66" s="41" t="str">
        <f>CustomRates!C11</f>
        <v>acre</v>
      </c>
      <c r="D66" s="116">
        <f>CustomRates!E11</f>
        <v>2</v>
      </c>
      <c r="E66" s="87">
        <f>CustomRates!E12</f>
        <v>0</v>
      </c>
      <c r="F66" s="117" t="str">
        <f t="shared" si="12"/>
        <v>0</v>
      </c>
    </row>
    <row r="67" spans="1:9" ht="20">
      <c r="A67" s="15"/>
      <c r="B67" s="125" t="str">
        <f>CustomRates!B13</f>
        <v>26' Rental Shredder</v>
      </c>
      <c r="C67" s="41" t="str">
        <f>CustomRates!C13</f>
        <v>acre</v>
      </c>
      <c r="D67" s="116">
        <f>CustomRates!E13</f>
        <v>10</v>
      </c>
      <c r="E67" s="87">
        <f>CustomRates!E14</f>
        <v>0</v>
      </c>
      <c r="F67" s="117" t="str">
        <f t="shared" si="12"/>
        <v>0</v>
      </c>
    </row>
    <row r="68" spans="1:9" ht="20">
      <c r="A68" s="15"/>
      <c r="B68" s="125" t="str">
        <f>CustomRates!B15</f>
        <v>36' Ripper Shooter</v>
      </c>
      <c r="C68" s="41" t="str">
        <f>CustomRates!C15</f>
        <v>acre</v>
      </c>
      <c r="D68" s="116">
        <f>CustomRates!E15</f>
        <v>2.5</v>
      </c>
      <c r="E68" s="87">
        <f>CustomRates!E16</f>
        <v>0</v>
      </c>
      <c r="F68" s="117" t="str">
        <f t="shared" si="12"/>
        <v>0</v>
      </c>
    </row>
    <row r="69" spans="1:9" ht="20">
      <c r="A69" s="15"/>
      <c r="B69" s="125" t="str">
        <f>CustomRates!B17</f>
        <v>Custom self-propelled sprayer</v>
      </c>
      <c r="C69" s="41" t="str">
        <f>CustomRates!C17</f>
        <v>acre</v>
      </c>
      <c r="D69" s="116">
        <f>CustomRates!E17</f>
        <v>8</v>
      </c>
      <c r="E69" s="87">
        <f>CustomRates!E18</f>
        <v>0</v>
      </c>
      <c r="F69" s="117" t="str">
        <f t="shared" si="12"/>
        <v>0</v>
      </c>
    </row>
    <row r="70" spans="1:9" ht="20">
      <c r="A70" s="15"/>
      <c r="B70" s="125" t="str">
        <f>CustomRates!B19</f>
        <v>Additional Operation #8 (Custom)</v>
      </c>
      <c r="C70" s="41" t="str">
        <f>CustomRates!C19</f>
        <v>acre</v>
      </c>
      <c r="D70" s="116">
        <f>CustomRates!E19</f>
        <v>0</v>
      </c>
      <c r="E70" s="87">
        <f>CustomRates!E20</f>
        <v>0</v>
      </c>
      <c r="F70" s="117" t="str">
        <f t="shared" si="12"/>
        <v>0</v>
      </c>
    </row>
    <row r="71" spans="1:9" ht="20">
      <c r="A71" s="15"/>
      <c r="B71" s="139" t="s">
        <v>87</v>
      </c>
      <c r="C71" s="41"/>
      <c r="D71" s="116"/>
      <c r="E71" s="87"/>
      <c r="F71" s="117"/>
      <c r="H71" s="1" t="s">
        <v>204</v>
      </c>
      <c r="I71" s="1" t="s">
        <v>135</v>
      </c>
    </row>
    <row r="72" spans="1:9" ht="20">
      <c r="A72" s="15"/>
      <c r="B72" s="85" t="str">
        <f>MachineAssumptions!B7&amp;" - Labor"</f>
        <v>Shredder - Labor</v>
      </c>
      <c r="C72" s="41" t="s">
        <v>246</v>
      </c>
      <c r="D72" s="116">
        <f>MachineAssumptions!$R$7</f>
        <v>1.4996591683708247</v>
      </c>
      <c r="E72" s="87">
        <f>FieldApplications!$O$6</f>
        <v>0</v>
      </c>
      <c r="F72" s="117" t="str">
        <f t="shared" ref="F72:F113" si="13">IF(D72*E72=0,"0",D72*E72)</f>
        <v>0</v>
      </c>
      <c r="G72" s="173" t="s">
        <v>8</v>
      </c>
      <c r="H72" s="246">
        <f>MachineAssumptions!$R$28*E72</f>
        <v>0</v>
      </c>
      <c r="I72" s="166">
        <f>MachineAssumptions!$R$48*E72</f>
        <v>0</v>
      </c>
    </row>
    <row r="73" spans="1:9" ht="20">
      <c r="A73" s="15"/>
      <c r="B73" s="85" t="str">
        <f>MachineAssumptions!B7&amp;" - Fuel, Lube"</f>
        <v>Shredder - Fuel, Lube</v>
      </c>
      <c r="C73" s="41" t="s">
        <v>246</v>
      </c>
      <c r="D73" s="116">
        <f>MachineAssumptions!$S$7</f>
        <v>5.7486934787548281</v>
      </c>
      <c r="E73" s="87">
        <f>FieldApplications!$O$6</f>
        <v>0</v>
      </c>
      <c r="F73" s="117" t="str">
        <f t="shared" si="13"/>
        <v>0</v>
      </c>
      <c r="H73" s="246">
        <f>MachineAssumptions!$S$28*E73</f>
        <v>0</v>
      </c>
      <c r="I73" s="166">
        <f>MachineAssumptions!$S$48*E73</f>
        <v>0</v>
      </c>
    </row>
    <row r="74" spans="1:9" ht="20">
      <c r="A74" s="15"/>
      <c r="B74" s="85" t="str">
        <f>MachineAssumptions!B7&amp;" - Repairs"</f>
        <v>Shredder - Repairs</v>
      </c>
      <c r="C74" s="41" t="s">
        <v>246</v>
      </c>
      <c r="D74" s="116">
        <f>MachineAssumptions!$T$7</f>
        <v>0.46726721181997538</v>
      </c>
      <c r="E74" s="87">
        <f>FieldApplications!$O$6</f>
        <v>0</v>
      </c>
      <c r="F74" s="117" t="str">
        <f t="shared" si="13"/>
        <v>0</v>
      </c>
      <c r="H74" s="246">
        <f>MachineAssumptions!$T$28*E74</f>
        <v>0</v>
      </c>
      <c r="I74" s="166">
        <f>MachineAssumptions!$T$48*E74</f>
        <v>0</v>
      </c>
    </row>
    <row r="75" spans="1:9" ht="20">
      <c r="A75" s="15"/>
      <c r="B75" s="85" t="str">
        <f>MachineAssumptions!B8&amp;" - Labor"</f>
        <v>Harrow - Labor</v>
      </c>
      <c r="C75" s="41" t="s">
        <v>246</v>
      </c>
      <c r="D75" s="116">
        <f>MachineAssumptions!$R$8</f>
        <v>0.59412746734753996</v>
      </c>
      <c r="E75" s="87">
        <f>FieldApplications!$O$7</f>
        <v>0</v>
      </c>
      <c r="F75" s="117" t="str">
        <f t="shared" si="13"/>
        <v>0</v>
      </c>
      <c r="H75" s="246">
        <f>MachineAssumptions!$R$29*E75</f>
        <v>0</v>
      </c>
      <c r="I75" s="166">
        <f>MachineAssumptions!$R$49*E75</f>
        <v>0</v>
      </c>
    </row>
    <row r="76" spans="1:9" ht="20">
      <c r="A76" s="15"/>
      <c r="B76" s="85" t="str">
        <f>MachineAssumptions!B8&amp;" - Fuel, Lube"</f>
        <v>Harrow - Fuel, Lube</v>
      </c>
      <c r="C76" s="41" t="s">
        <v>246</v>
      </c>
      <c r="D76" s="116">
        <f>MachineAssumptions!$S$8</f>
        <v>2.4845330452715308</v>
      </c>
      <c r="E76" s="87">
        <f>FieldApplications!$O$7</f>
        <v>0</v>
      </c>
      <c r="F76" s="117" t="str">
        <f t="shared" si="13"/>
        <v>0</v>
      </c>
      <c r="H76" s="246">
        <f>MachineAssumptions!$S$29*E76</f>
        <v>0</v>
      </c>
      <c r="I76" s="166">
        <f>MachineAssumptions!$S$49*E76</f>
        <v>0</v>
      </c>
    </row>
    <row r="77" spans="1:9" ht="20">
      <c r="A77" s="15"/>
      <c r="B77" s="85" t="str">
        <f>MachineAssumptions!B8&amp;" - Repairs"</f>
        <v>Harrow - Repairs</v>
      </c>
      <c r="C77" s="41" t="s">
        <v>246</v>
      </c>
      <c r="D77" s="116">
        <f>MachineAssumptions!$T$8</f>
        <v>0.14755184964846621</v>
      </c>
      <c r="E77" s="87">
        <f>FieldApplications!$O$7</f>
        <v>0</v>
      </c>
      <c r="F77" s="117" t="str">
        <f t="shared" si="13"/>
        <v>0</v>
      </c>
      <c r="H77" s="246">
        <f>MachineAssumptions!$T$29*E77</f>
        <v>0</v>
      </c>
      <c r="I77" s="166">
        <f>MachineAssumptions!$T$49*E77</f>
        <v>0</v>
      </c>
    </row>
    <row r="78" spans="1:9" ht="20">
      <c r="A78" s="15"/>
      <c r="B78" s="85" t="str">
        <f>MachineAssumptions!B9&amp;" - Labor"</f>
        <v>Chisel plow - Labor</v>
      </c>
      <c r="C78" s="41" t="s">
        <v>246</v>
      </c>
      <c r="D78" s="116">
        <f>MachineAssumptions!$R$9</f>
        <v>0</v>
      </c>
      <c r="E78" s="87">
        <f>FieldApplications!$O$8</f>
        <v>0</v>
      </c>
      <c r="F78" s="117" t="str">
        <f t="shared" si="13"/>
        <v>0</v>
      </c>
      <c r="H78" s="246">
        <f>MachineAssumptions!$R$30*E78</f>
        <v>0</v>
      </c>
      <c r="I78" s="166">
        <f>MachineAssumptions!$R$50*E78</f>
        <v>0</v>
      </c>
    </row>
    <row r="79" spans="1:9" ht="20">
      <c r="A79" s="15"/>
      <c r="B79" s="85" t="str">
        <f>MachineAssumptions!B9&amp;" - Fuel, Lube"</f>
        <v>Chisel plow - Fuel, Lube</v>
      </c>
      <c r="C79" s="41" t="s">
        <v>246</v>
      </c>
      <c r="D79" s="116">
        <f>MachineAssumptions!$S$9</f>
        <v>0</v>
      </c>
      <c r="E79" s="87">
        <f>FieldApplications!$O$8</f>
        <v>0</v>
      </c>
      <c r="F79" s="117" t="str">
        <f t="shared" si="13"/>
        <v>0</v>
      </c>
      <c r="H79" s="246">
        <f>MachineAssumptions!$R$30*E79</f>
        <v>0</v>
      </c>
      <c r="I79" s="166">
        <f>MachineAssumptions!$S$50*E79</f>
        <v>0</v>
      </c>
    </row>
    <row r="80" spans="1:9" ht="20">
      <c r="A80" s="15"/>
      <c r="B80" s="85" t="str">
        <f>MachineAssumptions!B9&amp;" - Repairs"</f>
        <v>Chisel plow - Repairs</v>
      </c>
      <c r="C80" s="41" t="s">
        <v>246</v>
      </c>
      <c r="D80" s="116">
        <f>MachineAssumptions!$T$9</f>
        <v>0</v>
      </c>
      <c r="E80" s="87">
        <f>FieldApplications!$O$8</f>
        <v>0</v>
      </c>
      <c r="F80" s="117" t="str">
        <f t="shared" si="13"/>
        <v>0</v>
      </c>
      <c r="H80" s="246">
        <f>MachineAssumptions!$T$30*E80</f>
        <v>0</v>
      </c>
      <c r="I80" s="166">
        <f>MachineAssumptions!$T$50*E80</f>
        <v>0</v>
      </c>
    </row>
    <row r="81" spans="1:9" ht="20">
      <c r="A81" s="15"/>
      <c r="B81" s="85" t="str">
        <f>MachineAssumptions!B10&amp;" - Labor"</f>
        <v>Moldboard plow - Labor</v>
      </c>
      <c r="C81" s="41" t="s">
        <v>246</v>
      </c>
      <c r="D81" s="116">
        <f>MachineAssumptions!$R$10</f>
        <v>0</v>
      </c>
      <c r="E81" s="87">
        <f>FieldApplications!$O$9</f>
        <v>0</v>
      </c>
      <c r="F81" s="117" t="str">
        <f t="shared" si="13"/>
        <v>0</v>
      </c>
      <c r="H81" s="246">
        <f>MachineAssumptions!$R$31*E81</f>
        <v>0</v>
      </c>
      <c r="I81" s="166">
        <f>MachineAssumptions!$R$51*E81</f>
        <v>0</v>
      </c>
    </row>
    <row r="82" spans="1:9" ht="20">
      <c r="A82" s="15"/>
      <c r="B82" s="85" t="str">
        <f>MachineAssumptions!B10&amp;" - Fuel, Lube"</f>
        <v>Moldboard plow - Fuel, Lube</v>
      </c>
      <c r="C82" s="41" t="s">
        <v>246</v>
      </c>
      <c r="D82" s="116">
        <f>MachineAssumptions!$S$10</f>
        <v>0</v>
      </c>
      <c r="E82" s="87">
        <f>FieldApplications!$O$9</f>
        <v>0</v>
      </c>
      <c r="F82" s="117" t="str">
        <f t="shared" si="13"/>
        <v>0</v>
      </c>
      <c r="H82" s="246">
        <f>MachineAssumptions!$S$31*E82</f>
        <v>0</v>
      </c>
      <c r="I82" s="166">
        <f>MachineAssumptions!$S$51*E82</f>
        <v>0</v>
      </c>
    </row>
    <row r="83" spans="1:9" ht="20">
      <c r="A83" s="15"/>
      <c r="B83" s="85" t="str">
        <f>MachineAssumptions!B10&amp;" - Repairs"</f>
        <v>Moldboard plow - Repairs</v>
      </c>
      <c r="C83" s="41" t="s">
        <v>246</v>
      </c>
      <c r="D83" s="116">
        <f>MachineAssumptions!$T$10</f>
        <v>0</v>
      </c>
      <c r="E83" s="87">
        <f>FieldApplications!$O$9</f>
        <v>0</v>
      </c>
      <c r="F83" s="117" t="str">
        <f t="shared" si="13"/>
        <v>0</v>
      </c>
      <c r="H83" s="246">
        <f>MachineAssumptions!$T$31*E83</f>
        <v>0</v>
      </c>
      <c r="I83" s="166">
        <f>MachineAssumptions!$T$51*E83</f>
        <v>0</v>
      </c>
    </row>
    <row r="84" spans="1:9" ht="20">
      <c r="A84" s="15"/>
      <c r="B84" s="85" t="str">
        <f>MachineAssumptions!B11&amp;" - Labor"</f>
        <v>Cultivator - Labor</v>
      </c>
      <c r="C84" s="41" t="s">
        <v>246</v>
      </c>
      <c r="D84" s="116">
        <f>MachineAssumptions!$R$11</f>
        <v>0</v>
      </c>
      <c r="E84" s="87">
        <f>FieldApplications!$O$10</f>
        <v>0</v>
      </c>
      <c r="F84" s="117" t="str">
        <f t="shared" si="13"/>
        <v>0</v>
      </c>
      <c r="H84" s="246">
        <f>MachineAssumptions!$R$32*E84</f>
        <v>0</v>
      </c>
      <c r="I84" s="166">
        <f>MachineAssumptions!$R$52*E84</f>
        <v>0</v>
      </c>
    </row>
    <row r="85" spans="1:9" ht="20">
      <c r="A85" s="15"/>
      <c r="B85" s="85" t="str">
        <f>MachineAssumptions!B11&amp;" - Fuel, Lube"</f>
        <v>Cultivator - Fuel, Lube</v>
      </c>
      <c r="C85" s="41" t="s">
        <v>246</v>
      </c>
      <c r="D85" s="116">
        <f>MachineAssumptions!$S$11</f>
        <v>0</v>
      </c>
      <c r="E85" s="87">
        <f>FieldApplications!$O$10</f>
        <v>0</v>
      </c>
      <c r="F85" s="117" t="str">
        <f t="shared" si="13"/>
        <v>0</v>
      </c>
      <c r="H85" s="246">
        <f>MachineAssumptions!$S$32*E85</f>
        <v>0</v>
      </c>
      <c r="I85" s="166">
        <f>MachineAssumptions!$S$52*E85</f>
        <v>0</v>
      </c>
    </row>
    <row r="86" spans="1:9" ht="20">
      <c r="A86" s="15"/>
      <c r="B86" s="85" t="str">
        <f>MachineAssumptions!B11&amp;" - Repairs"</f>
        <v>Cultivator - Repairs</v>
      </c>
      <c r="C86" s="41" t="s">
        <v>246</v>
      </c>
      <c r="D86" s="116">
        <f>MachineAssumptions!$T$11</f>
        <v>0</v>
      </c>
      <c r="E86" s="87">
        <f>FieldApplications!$O$10</f>
        <v>0</v>
      </c>
      <c r="F86" s="117" t="str">
        <f t="shared" si="13"/>
        <v>0</v>
      </c>
      <c r="H86" s="246">
        <f>MachineAssumptions!$T$32*E86</f>
        <v>0</v>
      </c>
      <c r="I86" s="166">
        <f>MachineAssumptions!$T$52*E86</f>
        <v>0</v>
      </c>
    </row>
    <row r="87" spans="1:9" ht="20">
      <c r="A87" s="15"/>
      <c r="B87" s="85" t="str">
        <f>MachineAssumptions!B12&amp;" - Labor"</f>
        <v>Cultiweeder - Labor</v>
      </c>
      <c r="C87" s="41" t="s">
        <v>246</v>
      </c>
      <c r="D87" s="116">
        <f>MachineAssumptions!$R$12</f>
        <v>0</v>
      </c>
      <c r="E87" s="87">
        <f>FieldApplications!$O$11</f>
        <v>0</v>
      </c>
      <c r="F87" s="117" t="str">
        <f t="shared" si="13"/>
        <v>0</v>
      </c>
      <c r="H87" s="246">
        <f>MachineAssumptions!$R$33*E87</f>
        <v>0</v>
      </c>
      <c r="I87" s="166">
        <f>MachineAssumptions!$R$53*E87</f>
        <v>0</v>
      </c>
    </row>
    <row r="88" spans="1:9" ht="20">
      <c r="A88" s="15"/>
      <c r="B88" s="85" t="str">
        <f>MachineAssumptions!B12&amp;" - Fuel, Lube"</f>
        <v>Cultiweeder - Fuel, Lube</v>
      </c>
      <c r="C88" s="41" t="s">
        <v>246</v>
      </c>
      <c r="D88" s="116">
        <f>MachineAssumptions!$S$12</f>
        <v>0</v>
      </c>
      <c r="E88" s="87">
        <f>FieldApplications!$O$11</f>
        <v>0</v>
      </c>
      <c r="F88" s="117" t="str">
        <f t="shared" si="13"/>
        <v>0</v>
      </c>
      <c r="H88" s="246">
        <f>MachineAssumptions!$S$33*E88</f>
        <v>0</v>
      </c>
      <c r="I88" s="166">
        <f>MachineAssumptions!$S$53*E88</f>
        <v>0</v>
      </c>
    </row>
    <row r="89" spans="1:9" ht="20">
      <c r="A89" s="15"/>
      <c r="B89" s="85" t="str">
        <f>MachineAssumptions!B12&amp;" - Repairs"</f>
        <v>Cultiweeder - Repairs</v>
      </c>
      <c r="C89" s="41" t="s">
        <v>246</v>
      </c>
      <c r="D89" s="116">
        <f>MachineAssumptions!$T$12</f>
        <v>0</v>
      </c>
      <c r="E89" s="87">
        <f>FieldApplications!$O$11</f>
        <v>0</v>
      </c>
      <c r="F89" s="117" t="str">
        <f t="shared" si="13"/>
        <v>0</v>
      </c>
      <c r="H89" s="246">
        <f>MachineAssumptions!$T$33*E89</f>
        <v>0</v>
      </c>
      <c r="I89" s="166">
        <f>MachineAssumptions!$T$53*E89</f>
        <v>0</v>
      </c>
    </row>
    <row r="90" spans="1:9" ht="20">
      <c r="A90" s="15"/>
      <c r="B90" s="85" t="str">
        <f>MachineAssumptions!B13&amp;" - Labor"</f>
        <v>Drill - Labor</v>
      </c>
      <c r="C90" s="41" t="s">
        <v>246</v>
      </c>
      <c r="D90" s="116">
        <f>MachineAssumptions!$R$13</f>
        <v>1.6703109815354713</v>
      </c>
      <c r="E90" s="87">
        <f>FieldApplications!$O$12</f>
        <v>1</v>
      </c>
      <c r="F90" s="117">
        <f t="shared" si="13"/>
        <v>1.6703109815354713</v>
      </c>
      <c r="H90" s="246">
        <f>MachineAssumptions!$R$34*E90</f>
        <v>1.6703109815354713</v>
      </c>
      <c r="I90" s="166">
        <f>MachineAssumptions!$R$54*E90</f>
        <v>1.6703109815354713</v>
      </c>
    </row>
    <row r="91" spans="1:9" ht="20">
      <c r="A91" s="15"/>
      <c r="B91" s="85" t="str">
        <f>MachineAssumptions!B13&amp;" - Fuel, Lube"</f>
        <v>Drill - Fuel, Lube</v>
      </c>
      <c r="C91" s="41" t="s">
        <v>246</v>
      </c>
      <c r="D91" s="116">
        <f>MachineAssumptions!$S$13</f>
        <v>6.146744412050535</v>
      </c>
      <c r="E91" s="87">
        <f>FieldApplications!$O$12</f>
        <v>1</v>
      </c>
      <c r="F91" s="117">
        <f t="shared" si="13"/>
        <v>6.146744412050535</v>
      </c>
      <c r="H91" s="246">
        <f>MachineAssumptions!$S$34*E91</f>
        <v>6.146744412050535</v>
      </c>
      <c r="I91" s="166">
        <f>MachineAssumptions!$S$54*E91</f>
        <v>6.146744412050535</v>
      </c>
    </row>
    <row r="92" spans="1:9" ht="20">
      <c r="A92" s="15"/>
      <c r="B92" s="85" t="str">
        <f>MachineAssumptions!B13&amp;" - Repairs"</f>
        <v>Drill - Repairs</v>
      </c>
      <c r="C92" s="41" t="s">
        <v>246</v>
      </c>
      <c r="D92" s="116">
        <f>MachineAssumptions!$T$13</f>
        <v>5.740409656342587</v>
      </c>
      <c r="E92" s="87">
        <f>FieldApplications!$O$12</f>
        <v>1</v>
      </c>
      <c r="F92" s="117">
        <f t="shared" si="13"/>
        <v>5.740409656342587</v>
      </c>
      <c r="H92" s="246">
        <f>MachineAssumptions!$T$34*E92</f>
        <v>5.740409656342587</v>
      </c>
      <c r="I92" s="166">
        <f>MachineAssumptions!$T$54*E92</f>
        <v>5.740409656342587</v>
      </c>
    </row>
    <row r="93" spans="1:9" ht="20">
      <c r="A93" s="15"/>
      <c r="B93" s="85" t="str">
        <f>MachineAssumptions!B14&amp;" - Labor"</f>
        <v>Combine w/ 36' header - Labor</v>
      </c>
      <c r="C93" s="41" t="s">
        <v>246</v>
      </c>
      <c r="D93" s="116">
        <f>MachineAssumptions!$R$14</f>
        <v>1.9161092530657748</v>
      </c>
      <c r="E93" s="87">
        <f>FieldApplications!$O$13</f>
        <v>1</v>
      </c>
      <c r="F93" s="117">
        <f t="shared" si="13"/>
        <v>1.9161092530657748</v>
      </c>
      <c r="H93" s="246">
        <f>MachineAssumptions!$R$35*E93</f>
        <v>1.9161092530657748</v>
      </c>
      <c r="I93" s="166">
        <f>MachineAssumptions!$R$55*E93</f>
        <v>1.9161092530657748</v>
      </c>
    </row>
    <row r="94" spans="1:9" ht="20">
      <c r="A94" s="15"/>
      <c r="B94" s="85" t="str">
        <f>MachineAssumptions!B14&amp;" - Fuel, Lube"</f>
        <v>Combine w/ 36' header - Fuel, Lube</v>
      </c>
      <c r="C94" s="41" t="s">
        <v>246</v>
      </c>
      <c r="D94" s="116">
        <f>MachineAssumptions!$S$14</f>
        <v>7.0512820512820511</v>
      </c>
      <c r="E94" s="87">
        <f>FieldApplications!$O$13</f>
        <v>1</v>
      </c>
      <c r="F94" s="117">
        <f t="shared" si="13"/>
        <v>7.0512820512820511</v>
      </c>
      <c r="H94" s="246">
        <f>MachineAssumptions!$S$35*E94</f>
        <v>7.0512820512820511</v>
      </c>
      <c r="I94" s="166">
        <f>MachineAssumptions!$S$55*E94</f>
        <v>7.0512820512820511</v>
      </c>
    </row>
    <row r="95" spans="1:9" ht="20">
      <c r="A95" s="15"/>
      <c r="B95" s="85" t="str">
        <f>MachineAssumptions!B14&amp;" - Repairs"</f>
        <v>Combine w/ 36' header - Repairs</v>
      </c>
      <c r="C95" s="41" t="s">
        <v>246</v>
      </c>
      <c r="D95" s="116">
        <f>MachineAssumptions!$T$14</f>
        <v>6.4258281801385913</v>
      </c>
      <c r="E95" s="87">
        <f>FieldApplications!$O$13</f>
        <v>1</v>
      </c>
      <c r="F95" s="117">
        <f t="shared" si="13"/>
        <v>6.4258281801385913</v>
      </c>
      <c r="H95" s="246">
        <f>MachineAssumptions!$T$35*E95</f>
        <v>6.4258281801385913</v>
      </c>
      <c r="I95" s="166">
        <f>MachineAssumptions!$T$55*E95</f>
        <v>4.0416300769413871</v>
      </c>
    </row>
    <row r="96" spans="1:9" ht="20">
      <c r="A96" s="15"/>
      <c r="B96" s="85" t="str">
        <f>MachineAssumptions!B16&amp;" - Labor"</f>
        <v>Fertilizer Spreader - Labor</v>
      </c>
      <c r="C96" s="41" t="s">
        <v>246</v>
      </c>
      <c r="D96" s="116">
        <f>MachineAssumptions!$R$16</f>
        <v>0</v>
      </c>
      <c r="E96" s="87">
        <f>FieldApplications!$O$14</f>
        <v>0</v>
      </c>
      <c r="F96" s="117" t="str">
        <f t="shared" si="13"/>
        <v>0</v>
      </c>
      <c r="H96" s="246">
        <f>MachineAssumptions!$R$36*E96</f>
        <v>0</v>
      </c>
      <c r="I96" s="166">
        <f>MachineAssumptions!$R$56*E96</f>
        <v>0</v>
      </c>
    </row>
    <row r="97" spans="1:9" ht="20">
      <c r="A97" s="15"/>
      <c r="B97" s="85" t="str">
        <f>MachineAssumptions!B16&amp;" - Fuel, Lube"</f>
        <v>Fertilizer Spreader - Fuel, Lube</v>
      </c>
      <c r="C97" s="41" t="s">
        <v>246</v>
      </c>
      <c r="D97" s="116">
        <f>MachineAssumptions!$S$16</f>
        <v>0</v>
      </c>
      <c r="E97" s="87">
        <f>FieldApplications!$O$14</f>
        <v>0</v>
      </c>
      <c r="F97" s="117" t="str">
        <f t="shared" si="13"/>
        <v>0</v>
      </c>
      <c r="H97" s="246">
        <f>MachineAssumptions!$S$36*E97</f>
        <v>0</v>
      </c>
      <c r="I97" s="166">
        <f>MachineAssumptions!$S$56*E97</f>
        <v>0</v>
      </c>
    </row>
    <row r="98" spans="1:9" ht="20">
      <c r="A98" s="15"/>
      <c r="B98" s="85" t="str">
        <f>MachineAssumptions!B16&amp;" - Repairs"</f>
        <v>Fertilizer Spreader - Repairs</v>
      </c>
      <c r="C98" s="41" t="s">
        <v>246</v>
      </c>
      <c r="D98" s="116">
        <f>MachineAssumptions!$T$16</f>
        <v>0</v>
      </c>
      <c r="E98" s="87">
        <f>FieldApplications!$O$14</f>
        <v>0</v>
      </c>
      <c r="F98" s="117" t="str">
        <f t="shared" si="13"/>
        <v>0</v>
      </c>
      <c r="H98" s="246">
        <f>MachineAssumptions!$T$36*E98</f>
        <v>0</v>
      </c>
      <c r="I98" s="166">
        <f>MachineAssumptions!$T$56*E98</f>
        <v>0</v>
      </c>
    </row>
    <row r="99" spans="1:9" ht="20">
      <c r="A99" s="15"/>
      <c r="B99" s="85" t="str">
        <f>MachineAssumptions!B17&amp;" - Labor"</f>
        <v>Fertilizer tanks and pump - Labor</v>
      </c>
      <c r="C99" s="41" t="s">
        <v>246</v>
      </c>
      <c r="D99" s="116">
        <f>MachineAssumptions!$R$17</f>
        <v>2.2448979591836737</v>
      </c>
      <c r="E99" s="87">
        <f>FieldApplications!$O$15</f>
        <v>1</v>
      </c>
      <c r="F99" s="117">
        <f t="shared" si="13"/>
        <v>2.2448979591836737</v>
      </c>
      <c r="H99" s="246">
        <f>MachineAssumptions!$R$37*E99</f>
        <v>2.2448979591836737</v>
      </c>
      <c r="I99" s="166">
        <f>MachineAssumptions!$R$57*E99</f>
        <v>2.2448979591836737</v>
      </c>
    </row>
    <row r="100" spans="1:9" ht="20">
      <c r="A100" s="15"/>
      <c r="B100" s="85" t="str">
        <f>MachineAssumptions!B17&amp;" - Fuel, Lube"</f>
        <v>Fertilizer tanks and pump - Fuel, Lube</v>
      </c>
      <c r="C100" s="41" t="s">
        <v>246</v>
      </c>
      <c r="D100" s="116">
        <f>MachineAssumptions!$S$17</f>
        <v>9.387755102040817</v>
      </c>
      <c r="E100" s="87">
        <f>FieldApplications!$O$15</f>
        <v>1</v>
      </c>
      <c r="F100" s="117">
        <f t="shared" si="13"/>
        <v>9.387755102040817</v>
      </c>
      <c r="H100" s="246">
        <f>MachineAssumptions!$S$37*E100</f>
        <v>9.387755102040817</v>
      </c>
      <c r="I100" s="166">
        <f>MachineAssumptions!$S$57*E100</f>
        <v>9.387755102040817</v>
      </c>
    </row>
    <row r="101" spans="1:9" ht="20">
      <c r="A101" s="15"/>
      <c r="B101" s="85" t="str">
        <f>MachineAssumptions!B17&amp;" - Repairs"</f>
        <v>Fertilizer tanks and pump - Repairs</v>
      </c>
      <c r="C101" s="41" t="s">
        <v>246</v>
      </c>
      <c r="D101" s="116">
        <f>MachineAssumptions!$T$17</f>
        <v>0</v>
      </c>
      <c r="E101" s="87">
        <f>FieldApplications!$O$15</f>
        <v>1</v>
      </c>
      <c r="F101" s="117" t="str">
        <f t="shared" si="13"/>
        <v>0</v>
      </c>
      <c r="H101" s="246">
        <f>MachineAssumptions!$T$37*E101</f>
        <v>0</v>
      </c>
      <c r="I101" s="166">
        <f>MachineAssumptions!$T$57*E101</f>
        <v>0</v>
      </c>
    </row>
    <row r="102" spans="1:9" ht="20">
      <c r="A102" s="15"/>
      <c r="B102" s="85" t="str">
        <f>MachineAssumptions!B18&amp;" - Labor"</f>
        <v>Boom sprayer - Labor</v>
      </c>
      <c r="C102" s="41" t="s">
        <v>246</v>
      </c>
      <c r="D102" s="116">
        <f>MachineAssumptions!$R$18</f>
        <v>0.4708120318630365</v>
      </c>
      <c r="E102" s="87">
        <f>FieldApplications!$O$16</f>
        <v>3</v>
      </c>
      <c r="F102" s="117">
        <f t="shared" si="13"/>
        <v>1.4124360955891095</v>
      </c>
      <c r="H102" s="246">
        <f>MachineAssumptions!$R$38*E102</f>
        <v>1.4124360955891095</v>
      </c>
      <c r="I102" s="166">
        <f>MachineAssumptions!$R$58*E102</f>
        <v>1.4124360955891095</v>
      </c>
    </row>
    <row r="103" spans="1:9" ht="20">
      <c r="A103" s="15"/>
      <c r="B103" s="85" t="str">
        <f>MachineAssumptions!B18&amp;" - Fuel, Lube"</f>
        <v>Boom sprayer - Fuel, Lube</v>
      </c>
      <c r="C103" s="41" t="s">
        <v>246</v>
      </c>
      <c r="D103" s="116">
        <f>MachineAssumptions!$S$18</f>
        <v>1.8047794554749732</v>
      </c>
      <c r="E103" s="87">
        <f>FieldApplications!$O$16</f>
        <v>3</v>
      </c>
      <c r="F103" s="117">
        <f t="shared" si="13"/>
        <v>5.4143383664249196</v>
      </c>
      <c r="H103" s="246">
        <f>MachineAssumptions!$S$38*E103</f>
        <v>5.4143383664249196</v>
      </c>
      <c r="I103" s="166">
        <f>MachineAssumptions!$S$58*E103</f>
        <v>5.4143383664249196</v>
      </c>
    </row>
    <row r="104" spans="1:9" ht="20">
      <c r="A104" s="15"/>
      <c r="B104" s="85" t="str">
        <f>MachineAssumptions!B18&amp;" - Repairs"</f>
        <v>Boom sprayer - Repairs</v>
      </c>
      <c r="C104" s="41" t="s">
        <v>246</v>
      </c>
      <c r="D104" s="116">
        <f>MachineAssumptions!$T$18</f>
        <v>0.49795949063219769</v>
      </c>
      <c r="E104" s="87">
        <f>FieldApplications!$O$16</f>
        <v>3</v>
      </c>
      <c r="F104" s="117">
        <f t="shared" si="13"/>
        <v>1.493878471896593</v>
      </c>
      <c r="H104" s="246">
        <f>MachineAssumptions!$T$38*E104</f>
        <v>1.5084005569154613</v>
      </c>
      <c r="I104" s="166">
        <f>MachineAssumptions!$T$58*E104</f>
        <v>1.3532484858048683</v>
      </c>
    </row>
    <row r="105" spans="1:9" ht="20">
      <c r="A105" s="15"/>
      <c r="B105" s="85" t="str">
        <f>MachineAssumptions!B15&amp;" - Labor"</f>
        <v>Bankout Wagon - Labor</v>
      </c>
      <c r="C105" s="41" t="s">
        <v>246</v>
      </c>
      <c r="D105" s="116">
        <f>MachineAssumptions!$R$15</f>
        <v>1.6861761426978819</v>
      </c>
      <c r="E105" s="87">
        <f t="shared" ref="E105:E113" si="14">IF($E$93&gt;0,1,0)</f>
        <v>1</v>
      </c>
      <c r="F105" s="117">
        <f t="shared" si="13"/>
        <v>1.6861761426978819</v>
      </c>
      <c r="H105" s="246">
        <f>MachineAssumptions!$R$39*E105</f>
        <v>1.6861761426978819</v>
      </c>
      <c r="I105" s="166">
        <f>MachineAssumptions!$R$59*E105</f>
        <v>1.6861761426978819</v>
      </c>
    </row>
    <row r="106" spans="1:9" ht="20">
      <c r="A106" s="15"/>
      <c r="B106" s="85" t="str">
        <f>MachineAssumptions!B15&amp;" - Fuel, Lube"</f>
        <v>Bankout Wagon - Fuel, Lube</v>
      </c>
      <c r="C106" s="41" t="s">
        <v>246</v>
      </c>
      <c r="D106" s="116">
        <f>MachineAssumptions!$S$15</f>
        <v>7.0512820512820511</v>
      </c>
      <c r="E106" s="87">
        <f t="shared" si="14"/>
        <v>1</v>
      </c>
      <c r="F106" s="117">
        <f t="shared" si="13"/>
        <v>7.0512820512820511</v>
      </c>
      <c r="H106" s="246">
        <f>MachineAssumptions!$S$39*E106</f>
        <v>7.0512820512820511</v>
      </c>
      <c r="I106" s="166">
        <f>MachineAssumptions!$S$59*E106</f>
        <v>7.0512820512820511</v>
      </c>
    </row>
    <row r="107" spans="1:9" ht="20">
      <c r="A107" s="15"/>
      <c r="B107" s="85" t="str">
        <f>MachineAssumptions!B15&amp;" - Repairs"</f>
        <v>Bankout Wagon - Repairs</v>
      </c>
      <c r="C107" s="41" t="s">
        <v>246</v>
      </c>
      <c r="D107" s="116">
        <f>MachineAssumptions!$T$15</f>
        <v>0.5058930256896228</v>
      </c>
      <c r="E107" s="87">
        <f t="shared" si="14"/>
        <v>1</v>
      </c>
      <c r="F107" s="117">
        <f t="shared" si="13"/>
        <v>0.5058930256896228</v>
      </c>
      <c r="H107" s="246">
        <f>MachineAssumptions!$T$39*E107</f>
        <v>0.5058930256896228</v>
      </c>
      <c r="I107" s="166">
        <f>MachineAssumptions!$T$59*E107</f>
        <v>0.43525361955195507</v>
      </c>
    </row>
    <row r="108" spans="1:9" ht="20">
      <c r="A108" s="15"/>
      <c r="B108" s="85" t="str">
        <f>MachineAssumptions!B19&amp;" - Labor"</f>
        <v>Tandem Axle Truck  - Labor</v>
      </c>
      <c r="C108" s="41" t="s">
        <v>246</v>
      </c>
      <c r="D108" s="116">
        <f>MachineAssumptions!$R$19</f>
        <v>3.6</v>
      </c>
      <c r="E108" s="87">
        <f t="shared" si="14"/>
        <v>1</v>
      </c>
      <c r="F108" s="117">
        <f t="shared" si="13"/>
        <v>3.6</v>
      </c>
      <c r="H108" s="246">
        <f>MachineAssumptions!$R$40*E108</f>
        <v>3.6</v>
      </c>
      <c r="I108" s="166">
        <f>MachineAssumptions!$R$60*E108</f>
        <v>3.6</v>
      </c>
    </row>
    <row r="109" spans="1:9" ht="20">
      <c r="A109" s="15"/>
      <c r="B109" s="85" t="str">
        <f>MachineAssumptions!B19&amp;" - Fuel, Lube"</f>
        <v>Tandem Axle Truck  - Fuel, Lube</v>
      </c>
      <c r="C109" s="41" t="s">
        <v>246</v>
      </c>
      <c r="D109" s="116">
        <f>MachineAssumptions!$S$19</f>
        <v>1.1499999999999999</v>
      </c>
      <c r="E109" s="87">
        <f t="shared" si="14"/>
        <v>1</v>
      </c>
      <c r="F109" s="117">
        <f t="shared" si="13"/>
        <v>1.1499999999999999</v>
      </c>
      <c r="H109" s="246">
        <f>MachineAssumptions!$S$40*E109</f>
        <v>1.1499999999999999</v>
      </c>
      <c r="I109" s="166">
        <f>MachineAssumptions!$S$60*E109</f>
        <v>1.1499999999999999</v>
      </c>
    </row>
    <row r="110" spans="1:9" ht="20">
      <c r="A110" s="15"/>
      <c r="B110" s="85" t="str">
        <f>MachineAssumptions!B19&amp;" - Repairs"</f>
        <v>Tandem Axle Truck  - Repairs</v>
      </c>
      <c r="C110" s="41" t="s">
        <v>246</v>
      </c>
      <c r="D110" s="116">
        <f>MachineAssumptions!$T$19</f>
        <v>0.8</v>
      </c>
      <c r="E110" s="87">
        <f t="shared" si="14"/>
        <v>1</v>
      </c>
      <c r="F110" s="117">
        <f t="shared" si="13"/>
        <v>0.8</v>
      </c>
      <c r="H110" s="246">
        <f>MachineAssumptions!$T$40*E110</f>
        <v>0.8</v>
      </c>
      <c r="I110" s="166">
        <f>MachineAssumptions!$T$60*E110</f>
        <v>0.8</v>
      </c>
    </row>
    <row r="111" spans="1:9" ht="20">
      <c r="A111" s="15"/>
      <c r="B111" s="85" t="str">
        <f>MachineAssumptions!B20&amp;" - Labor"</f>
        <v>Tandem Axle Truck  - Labor</v>
      </c>
      <c r="C111" s="41" t="s">
        <v>246</v>
      </c>
      <c r="D111" s="116">
        <f>MachineAssumptions!$R$20</f>
        <v>3.6</v>
      </c>
      <c r="E111" s="87">
        <f t="shared" si="14"/>
        <v>1</v>
      </c>
      <c r="F111" s="117">
        <f t="shared" si="13"/>
        <v>3.6</v>
      </c>
      <c r="G111" s="173" t="s">
        <v>8</v>
      </c>
      <c r="H111" s="416">
        <f>MachineAssumptions!$R$41*E111</f>
        <v>3.6</v>
      </c>
      <c r="I111" s="369">
        <f>MachineAssumptions!$R$61*E111</f>
        <v>3.6</v>
      </c>
    </row>
    <row r="112" spans="1:9" ht="20">
      <c r="A112" s="15"/>
      <c r="B112" s="85" t="str">
        <f>MachineAssumptions!B20&amp;" - Fuel, Lube"</f>
        <v>Tandem Axle Truck  - Fuel, Lube</v>
      </c>
      <c r="C112" s="41" t="s">
        <v>246</v>
      </c>
      <c r="D112" s="116">
        <f>MachineAssumptions!$S$20</f>
        <v>1.72</v>
      </c>
      <c r="E112" s="87">
        <f t="shared" si="14"/>
        <v>1</v>
      </c>
      <c r="F112" s="117">
        <f t="shared" si="13"/>
        <v>1.72</v>
      </c>
      <c r="H112" s="416">
        <f>MachineAssumptions!$S$41*E112</f>
        <v>1.72</v>
      </c>
      <c r="I112" s="369">
        <f>MachineAssumptions!$S$61*E112</f>
        <v>1.72</v>
      </c>
    </row>
    <row r="113" spans="1:13" ht="23">
      <c r="A113" s="15"/>
      <c r="B113" s="85" t="str">
        <f>MachineAssumptions!B20&amp;" - Repairs"</f>
        <v>Tandem Axle Truck  - Repairs</v>
      </c>
      <c r="C113" s="41" t="s">
        <v>246</v>
      </c>
      <c r="D113" s="116">
        <f>MachineAssumptions!$T$20</f>
        <v>0.8</v>
      </c>
      <c r="E113" s="87">
        <f t="shared" si="14"/>
        <v>1</v>
      </c>
      <c r="F113" s="117">
        <f t="shared" si="13"/>
        <v>0.8</v>
      </c>
      <c r="H113" s="248">
        <f>MachineAssumptions!$T$41*E113</f>
        <v>0.8</v>
      </c>
      <c r="I113" s="247">
        <f>MachineAssumptions!$T$61*E113</f>
        <v>0.8</v>
      </c>
    </row>
    <row r="114" spans="1:13" ht="21">
      <c r="A114" s="15"/>
      <c r="B114" s="139" t="s">
        <v>88</v>
      </c>
      <c r="C114" s="41"/>
      <c r="D114" s="116"/>
      <c r="E114" s="87"/>
      <c r="F114" s="117"/>
      <c r="H114" s="249">
        <f>SUM(H74:H113)</f>
        <v>69.831863834238547</v>
      </c>
      <c r="I114" s="249">
        <f>SUM(I74:I113)</f>
        <v>67.221874253793075</v>
      </c>
    </row>
    <row r="115" spans="1:13" ht="20">
      <c r="A115" s="15"/>
      <c r="B115" s="85" t="str">
        <f>'Chem&amp;FertInputs&amp;CInsurance'!B73</f>
        <v>Crop Insurance</v>
      </c>
      <c r="C115" s="23" t="str">
        <f>'Chem&amp;FertInputs&amp;CInsurance'!D73</f>
        <v>acre</v>
      </c>
      <c r="D115" s="116">
        <f>'Chem&amp;FertInputs&amp;CInsurance'!G73</f>
        <v>20</v>
      </c>
      <c r="E115" s="87">
        <v>1</v>
      </c>
      <c r="F115" s="117">
        <f>IF(D115*E115=0,"0",D115*E115)</f>
        <v>20</v>
      </c>
      <c r="H115" s="1" t="s">
        <v>181</v>
      </c>
      <c r="I115" s="1" t="s">
        <v>181</v>
      </c>
    </row>
    <row r="116" spans="1:13" ht="20">
      <c r="A116" s="15"/>
      <c r="B116" s="85" t="s">
        <v>29</v>
      </c>
      <c r="C116" s="41" t="s">
        <v>83</v>
      </c>
      <c r="D116" s="111">
        <f>MachineAssumptions!D25</f>
        <v>0.05</v>
      </c>
      <c r="E116" s="87"/>
      <c r="F116" s="117">
        <f>SUM(F8:F115)*D116</f>
        <v>11.933534587460983</v>
      </c>
      <c r="H116" s="49">
        <f>(SUM($F8:$F70)+$F115+SUM(H72:H113))*$D116</f>
        <v>11.934260691711927</v>
      </c>
      <c r="I116" s="49">
        <f>(SUM($F8:$F70)+$F115+SUM(I72:I113))*$D116</f>
        <v>11.803761212689654</v>
      </c>
      <c r="J116" s="49">
        <f>F72+F75+F78+F81+F84+F87+F90+F93+F96+F99+F102+F105+F108+F111</f>
        <v>16.129930432071912</v>
      </c>
      <c r="K116" s="1" t="s">
        <v>111</v>
      </c>
      <c r="L116" s="49">
        <f>J116+J117</f>
        <v>54.051332415152288</v>
      </c>
    </row>
    <row r="117" spans="1:13" ht="20">
      <c r="A117" s="15"/>
      <c r="B117" s="85" t="s">
        <v>84</v>
      </c>
      <c r="C117" s="41" t="s">
        <v>83</v>
      </c>
      <c r="D117" s="111">
        <f>MachineAssumptions!D26</f>
        <v>6.7500000000000004E-2</v>
      </c>
      <c r="E117" s="112"/>
      <c r="F117" s="118">
        <f>SUM(F8:F116)*(D117/12*MachineAssumptions!D27)</f>
        <v>12.686838958294459</v>
      </c>
      <c r="H117" s="49">
        <f>(SUM(F8:F70)+(F115+F116+H114))*((D117/12)*MachineAssumptions!D27)</f>
        <v>12.687574138848539</v>
      </c>
      <c r="I117" s="49">
        <f>(SUM(F8:F70)+(F115+F116+I114))*((D117/12)*MachineAssumptions!D27)</f>
        <v>12.555443416338488</v>
      </c>
      <c r="J117" s="49">
        <f>F73+F76+F79+F82+F85+F88+F91+F94+F97+F100+F103+F106+F109+F112</f>
        <v>37.921401983080372</v>
      </c>
      <c r="K117" s="1" t="s">
        <v>4</v>
      </c>
      <c r="L117" s="49">
        <f>F72+F73+F75+F76+F78+F79+F81+F82+F84+F85+F87+F88+F90+F91+F93+F94+F96+F97+F99+F100+F102+F103+F105+F106+F108+F109+F111+F112</f>
        <v>54.051332415152288</v>
      </c>
    </row>
    <row r="118" spans="1:13" ht="20">
      <c r="A118" s="15"/>
      <c r="B118" s="14" t="s">
        <v>85</v>
      </c>
      <c r="C118" s="29"/>
      <c r="D118" s="141"/>
      <c r="E118" s="142"/>
      <c r="F118" s="143">
        <f>SUM(F8:F117)</f>
        <v>263.29106529497511</v>
      </c>
      <c r="J118" s="49">
        <f>F74+F77+F80+F83+F86+F89+F92+F95+F98+F101+F104+F107+F110+F113</f>
        <v>15.766009334067396</v>
      </c>
      <c r="K118" s="1" t="s">
        <v>112</v>
      </c>
      <c r="L118" s="49">
        <f>H74+H77+H80+H83+H86+H89+H92+H95+H98+H101+H104+H107+H110+H113</f>
        <v>15.780531419086264</v>
      </c>
      <c r="M118" s="49">
        <f>I74+I77+I80+I83+I86+I89+I92+I95+I98+I101+I104+I107+I110+I113</f>
        <v>13.1705418386408</v>
      </c>
    </row>
    <row r="119" spans="1:13">
      <c r="A119" s="15"/>
      <c r="B119" s="113"/>
      <c r="C119" s="113"/>
      <c r="D119" s="113"/>
      <c r="E119" s="114"/>
      <c r="F119" s="115"/>
      <c r="G119" s="115"/>
      <c r="H119" s="115"/>
      <c r="J119" s="49">
        <f>SUM(J116:J118)</f>
        <v>69.817341749219679</v>
      </c>
      <c r="K119" s="115"/>
    </row>
    <row r="120" spans="1:13" ht="20">
      <c r="A120" s="15"/>
      <c r="B120" s="132" t="s">
        <v>89</v>
      </c>
      <c r="C120" s="19" t="s">
        <v>2</v>
      </c>
      <c r="D120" s="20" t="s">
        <v>12</v>
      </c>
      <c r="E120" s="21" t="s">
        <v>13</v>
      </c>
      <c r="F120" s="45" t="s">
        <v>0</v>
      </c>
      <c r="H120" s="1" t="s">
        <v>136</v>
      </c>
      <c r="I120" s="1" t="s">
        <v>139</v>
      </c>
    </row>
    <row r="121" spans="1:13" ht="20">
      <c r="A121" s="15"/>
      <c r="B121" s="18" t="str">
        <f>MachineAssumptions!B7&amp;" - Replacement Costs"</f>
        <v>Shredder - Replacement Costs</v>
      </c>
      <c r="C121" s="41" t="str">
        <f>C72</f>
        <v>acre</v>
      </c>
      <c r="D121" s="34">
        <f>MachineAssumptions!U7</f>
        <v>4.3329737628911431</v>
      </c>
      <c r="E121" s="145">
        <f>E72</f>
        <v>0</v>
      </c>
      <c r="F121" s="42" t="str">
        <f t="shared" ref="F121:F134" si="15">IF(D121*E121=0,"0",D121*E121)</f>
        <v>0</v>
      </c>
      <c r="H121" s="166">
        <f>MachineAssumptions!U28*E121</f>
        <v>0</v>
      </c>
      <c r="I121" s="166">
        <f>MachineAssumptions!U48*E121</f>
        <v>0</v>
      </c>
    </row>
    <row r="122" spans="1:13" ht="20">
      <c r="A122" s="15"/>
      <c r="B122" s="18" t="str">
        <f>MachineAssumptions!B8&amp;" - Replacement Costs"</f>
        <v>Harrow - Replacement Costs</v>
      </c>
      <c r="C122" s="41" t="str">
        <f>C75</f>
        <v>acre</v>
      </c>
      <c r="D122" s="34">
        <f>MachineAssumptions!U8</f>
        <v>1.1988479209967022</v>
      </c>
      <c r="E122" s="145">
        <f>E75</f>
        <v>0</v>
      </c>
      <c r="F122" s="42" t="str">
        <f t="shared" si="15"/>
        <v>0</v>
      </c>
      <c r="H122" s="166">
        <f>MachineAssumptions!U29*E122</f>
        <v>0</v>
      </c>
      <c r="I122" s="166">
        <f>MachineAssumptions!U49*E122</f>
        <v>0</v>
      </c>
    </row>
    <row r="123" spans="1:13" ht="20">
      <c r="A123" s="15"/>
      <c r="B123" s="18" t="str">
        <f>MachineAssumptions!B9&amp;" - Replacement Costs"</f>
        <v>Chisel plow - Replacement Costs</v>
      </c>
      <c r="C123" s="41" t="str">
        <f>C78</f>
        <v>acre</v>
      </c>
      <c r="D123" s="34">
        <f>MachineAssumptions!U9</f>
        <v>0</v>
      </c>
      <c r="E123" s="145">
        <f>E78</f>
        <v>0</v>
      </c>
      <c r="F123" s="42" t="str">
        <f t="shared" si="15"/>
        <v>0</v>
      </c>
      <c r="H123" s="166">
        <f>MachineAssumptions!U30*E123</f>
        <v>0</v>
      </c>
      <c r="I123" s="166">
        <f>MachineAssumptions!U50*E123</f>
        <v>0</v>
      </c>
    </row>
    <row r="124" spans="1:13" ht="20">
      <c r="A124" s="15"/>
      <c r="B124" s="18" t="str">
        <f>MachineAssumptions!B10&amp;" - Replacement Costs"</f>
        <v>Moldboard plow - Replacement Costs</v>
      </c>
      <c r="C124" s="41" t="str">
        <f>C81</f>
        <v>acre</v>
      </c>
      <c r="D124" s="34">
        <f>MachineAssumptions!U10</f>
        <v>0</v>
      </c>
      <c r="E124" s="145">
        <f>E81</f>
        <v>0</v>
      </c>
      <c r="F124" s="42" t="str">
        <f t="shared" si="15"/>
        <v>0</v>
      </c>
      <c r="H124" s="166">
        <f>MachineAssumptions!U31*E124</f>
        <v>0</v>
      </c>
      <c r="I124" s="166">
        <f>MachineAssumptions!U51*E124</f>
        <v>0</v>
      </c>
    </row>
    <row r="125" spans="1:13" ht="20">
      <c r="A125" s="15"/>
      <c r="B125" s="18" t="str">
        <f>MachineAssumptions!B11&amp;" - Replacement Costs"</f>
        <v>Cultivator - Replacement Costs</v>
      </c>
      <c r="C125" s="41" t="str">
        <f t="shared" ref="C125:C126" si="16">C82</f>
        <v>acre</v>
      </c>
      <c r="D125" s="34">
        <f>MachineAssumptions!U11</f>
        <v>0</v>
      </c>
      <c r="E125" s="145">
        <f>E84</f>
        <v>0</v>
      </c>
      <c r="F125" s="42" t="str">
        <f t="shared" si="15"/>
        <v>0</v>
      </c>
      <c r="H125" s="166">
        <f>MachineAssumptions!U32*E125</f>
        <v>0</v>
      </c>
      <c r="I125" s="166">
        <f>MachineAssumptions!U52*E125</f>
        <v>0</v>
      </c>
    </row>
    <row r="126" spans="1:13" ht="20">
      <c r="A126" s="15"/>
      <c r="B126" s="18" t="str">
        <f>MachineAssumptions!B12&amp;" - Replacement Costs"</f>
        <v>Cultiweeder - Replacement Costs</v>
      </c>
      <c r="C126" s="41" t="str">
        <f t="shared" si="16"/>
        <v>acre</v>
      </c>
      <c r="D126" s="34">
        <f>MachineAssumptions!U12</f>
        <v>0</v>
      </c>
      <c r="E126" s="145">
        <f>E87</f>
        <v>0</v>
      </c>
      <c r="F126" s="42" t="str">
        <f t="shared" si="15"/>
        <v>0</v>
      </c>
      <c r="H126" s="166">
        <f>MachineAssumptions!U33*E126</f>
        <v>0</v>
      </c>
      <c r="I126" s="166">
        <f>MachineAssumptions!U53*E126</f>
        <v>0</v>
      </c>
    </row>
    <row r="127" spans="1:13" ht="20">
      <c r="A127" s="15"/>
      <c r="B127" s="18" t="str">
        <f>MachineAssumptions!B13&amp;" - Replacement Costs"</f>
        <v>Drill - Replacement Costs</v>
      </c>
      <c r="C127" s="41" t="str">
        <f>C90</f>
        <v>acre</v>
      </c>
      <c r="D127" s="34">
        <f>MachineAssumptions!U13</f>
        <v>7.2419265221735989</v>
      </c>
      <c r="E127" s="145">
        <f>E90</f>
        <v>1</v>
      </c>
      <c r="F127" s="42">
        <f t="shared" si="15"/>
        <v>7.2419265221735989</v>
      </c>
      <c r="H127" s="166">
        <f>MachineAssumptions!U34*E127</f>
        <v>7.2419265221735989</v>
      </c>
      <c r="I127" s="166">
        <f>MachineAssumptions!U54*E127</f>
        <v>7.2419265221735989</v>
      </c>
    </row>
    <row r="128" spans="1:13" ht="20">
      <c r="A128" s="15"/>
      <c r="B128" s="18" t="str">
        <f>MachineAssumptions!B14&amp;" - Replacement Costs"</f>
        <v>Combine w/ 36' header - Replacement Costs</v>
      </c>
      <c r="C128" s="41" t="str">
        <f>C93</f>
        <v>acre</v>
      </c>
      <c r="D128" s="34">
        <f>MachineAssumptions!U14</f>
        <v>9.7031999999999989</v>
      </c>
      <c r="E128" s="145">
        <f>E93</f>
        <v>1</v>
      </c>
      <c r="F128" s="42">
        <f t="shared" si="15"/>
        <v>9.7031999999999989</v>
      </c>
      <c r="H128" s="166">
        <f>MachineAssumptions!U35*E128</f>
        <v>9.7031999999999989</v>
      </c>
      <c r="I128" s="166">
        <f>MachineAssumptions!U55*E128</f>
        <v>9.7032000000000007</v>
      </c>
    </row>
    <row r="129" spans="1:9" ht="20">
      <c r="A129" s="15"/>
      <c r="B129" s="18" t="str">
        <f>MachineAssumptions!B16&amp;" - Replacement Costs"</f>
        <v>Fertilizer Spreader - Replacement Costs</v>
      </c>
      <c r="C129" s="41" t="str">
        <f>C96</f>
        <v>acre</v>
      </c>
      <c r="D129" s="34">
        <f>MachineAssumptions!U16</f>
        <v>0</v>
      </c>
      <c r="E129" s="145">
        <f>E96</f>
        <v>0</v>
      </c>
      <c r="F129" s="42" t="str">
        <f t="shared" si="15"/>
        <v>0</v>
      </c>
      <c r="H129" s="166">
        <f>MachineAssumptions!U36*E129</f>
        <v>0</v>
      </c>
      <c r="I129" s="166">
        <f>MachineAssumptions!U56*E129</f>
        <v>0</v>
      </c>
    </row>
    <row r="130" spans="1:9" ht="20">
      <c r="A130" s="15"/>
      <c r="B130" s="18" t="str">
        <f>MachineAssumptions!B17&amp;" - Replacement Costs"</f>
        <v>Fertilizer tanks and pump - Replacement Costs</v>
      </c>
      <c r="C130" s="41" t="str">
        <f>C99</f>
        <v>acre</v>
      </c>
      <c r="D130" s="34">
        <f>MachineAssumptions!U17</f>
        <v>0.6</v>
      </c>
      <c r="E130" s="145">
        <f>E99</f>
        <v>1</v>
      </c>
      <c r="F130" s="42">
        <f t="shared" si="15"/>
        <v>0.6</v>
      </c>
      <c r="H130" s="166">
        <f>MachineAssumptions!U37*E130</f>
        <v>0.6</v>
      </c>
      <c r="I130" s="166">
        <f>MachineAssumptions!U57*E130</f>
        <v>0.6</v>
      </c>
    </row>
    <row r="131" spans="1:9" ht="20">
      <c r="A131" s="15"/>
      <c r="B131" s="18" t="str">
        <f>MachineAssumptions!B18&amp;" - Replacement Costs"</f>
        <v>Boom sprayer - Replacement Costs</v>
      </c>
      <c r="C131" s="41" t="str">
        <f>C102</f>
        <v>acre</v>
      </c>
      <c r="D131" s="34">
        <f>MachineAssumptions!U18</f>
        <v>0.80913316225248511</v>
      </c>
      <c r="E131" s="145">
        <f>E102</f>
        <v>3</v>
      </c>
      <c r="F131" s="42">
        <f t="shared" si="15"/>
        <v>2.4273994867574551</v>
      </c>
      <c r="H131" s="166">
        <f>MachineAssumptions!U38*E131</f>
        <v>2.4270356342009749</v>
      </c>
      <c r="I131" s="166">
        <f>MachineAssumptions!U58*E131</f>
        <v>2.4273994867574551</v>
      </c>
    </row>
    <row r="132" spans="1:9" ht="20">
      <c r="A132" s="15"/>
      <c r="B132" s="18" t="str">
        <f>MachineAssumptions!B15&amp;" - Replacement Costs"</f>
        <v>Bankout Wagon - Replacement Costs</v>
      </c>
      <c r="C132" s="41" t="str">
        <f>C105</f>
        <v>acre</v>
      </c>
      <c r="D132" s="34">
        <f>MachineAssumptions!U15</f>
        <v>2.9461434675395459</v>
      </c>
      <c r="E132" s="145">
        <f>E105</f>
        <v>1</v>
      </c>
      <c r="F132" s="42">
        <f t="shared" si="15"/>
        <v>2.9461434675395459</v>
      </c>
      <c r="H132" s="166">
        <f>MachineAssumptions!U39*E132</f>
        <v>2.9461434675395459</v>
      </c>
      <c r="I132" s="166">
        <f>MachineAssumptions!U59*E132</f>
        <v>2.9461434675395459</v>
      </c>
    </row>
    <row r="133" spans="1:9" ht="20">
      <c r="A133" s="15"/>
      <c r="B133" s="18" t="str">
        <f>MachineAssumptions!B19&amp;" - Replacement Costs"</f>
        <v>Tandem Axle Truck  - Replacement Costs</v>
      </c>
      <c r="C133" s="41" t="str">
        <f>C108</f>
        <v>acre</v>
      </c>
      <c r="D133" s="34">
        <f>MachineAssumptions!U19</f>
        <v>0.64</v>
      </c>
      <c r="E133" s="145">
        <f>E108</f>
        <v>1</v>
      </c>
      <c r="F133" s="42">
        <f t="shared" si="15"/>
        <v>0.64</v>
      </c>
      <c r="H133" s="166">
        <f>MachineAssumptions!U40*E133</f>
        <v>0.64</v>
      </c>
      <c r="I133" s="166">
        <f>MachineAssumptions!U60*E133</f>
        <v>0.64</v>
      </c>
    </row>
    <row r="134" spans="1:9" ht="23">
      <c r="A134" s="15"/>
      <c r="B134" s="18" t="str">
        <f>MachineAssumptions!B20&amp;" - Replacement Costs"</f>
        <v>Tandem Axle Truck  - Replacement Costs</v>
      </c>
      <c r="C134" s="41" t="str">
        <f t="shared" ref="C134" si="17">C111</f>
        <v>acre</v>
      </c>
      <c r="D134" s="34">
        <f>MachineAssumptions!U20</f>
        <v>0.64</v>
      </c>
      <c r="E134" s="145">
        <f t="shared" ref="E134" si="18">E111</f>
        <v>1</v>
      </c>
      <c r="F134" s="43">
        <f t="shared" si="15"/>
        <v>0.64</v>
      </c>
      <c r="H134" s="247">
        <f>MachineAssumptions!U41*E134</f>
        <v>0.64</v>
      </c>
      <c r="I134" s="247">
        <f>MachineAssumptions!U61*E134</f>
        <v>0.64</v>
      </c>
    </row>
    <row r="135" spans="1:9" ht="20">
      <c r="A135" s="15"/>
      <c r="B135" s="144" t="s">
        <v>38</v>
      </c>
      <c r="C135" s="29"/>
      <c r="D135" s="30"/>
      <c r="E135" s="29"/>
      <c r="F135" s="46">
        <f>SUM(F121:F134)</f>
        <v>24.198669476470602</v>
      </c>
      <c r="H135" s="46">
        <f t="shared" ref="H135:I135" si="19">SUM(H121:H134)</f>
        <v>24.198305623914123</v>
      </c>
      <c r="I135" s="46">
        <f t="shared" si="19"/>
        <v>24.198669476470602</v>
      </c>
    </row>
    <row r="136" spans="1:9" ht="20">
      <c r="A136" s="15"/>
      <c r="B136" s="16"/>
      <c r="C136" s="16"/>
      <c r="D136" s="17"/>
      <c r="E136" s="16"/>
      <c r="F136" s="113"/>
    </row>
    <row r="137" spans="1:9" ht="20">
      <c r="A137" s="15"/>
      <c r="B137" s="14" t="s">
        <v>31</v>
      </c>
      <c r="C137" s="29"/>
      <c r="D137" s="30"/>
      <c r="E137" s="29"/>
      <c r="F137" s="47">
        <f>F118+F135</f>
        <v>287.48973477144574</v>
      </c>
      <c r="H137" s="47">
        <f>SUM(F16:F70)+H114+F115+H116+H117+H135+F8+(H9*D9)+(H10*D10)+(H11*D11)+(H12*D12)+(H13*D13)+(H14*D14)+(H15*D15)</f>
        <v>287.50535428871314</v>
      </c>
      <c r="I137" s="47">
        <f>SUM(F16:F70)+I114+F115+I116+I117+I135+F8+(I9*D9)+(I10*D10)+(I11*D11)+(I12*D12)+(I13*D13)+(I14*D14)+(I15*D15)</f>
        <v>284.63309835929186</v>
      </c>
    </row>
    <row r="138" spans="1:9" ht="21">
      <c r="A138" s="15"/>
      <c r="B138" s="31" t="s">
        <v>32</v>
      </c>
      <c r="C138" s="32"/>
      <c r="D138" s="33"/>
      <c r="E138" s="32"/>
      <c r="F138" s="48">
        <f>F5-F137</f>
        <v>828.51026522855432</v>
      </c>
      <c r="H138" s="250">
        <f>H5-H137</f>
        <v>852.49464571128692</v>
      </c>
      <c r="I138" s="250">
        <f>I5-I137</f>
        <v>867.36690164070819</v>
      </c>
    </row>
    <row r="141" spans="1:9">
      <c r="F141" s="273" t="s">
        <v>8</v>
      </c>
      <c r="G141" s="174"/>
      <c r="H141" s="174">
        <v>39.068403307831957</v>
      </c>
      <c r="I141" s="174">
        <v>39.068403307831957</v>
      </c>
    </row>
  </sheetData>
  <mergeCells count="1">
    <mergeCell ref="B2:F2"/>
  </mergeCells>
  <pageMargins left="0.7" right="0.7" top="0.75" bottom="0.75" header="0.3" footer="0.3"/>
  <pageSetup scale="61" orientation="portrait" r:id="rId1"/>
  <ignoredErrors>
    <ignoredError sqref="B5:E7 F4:F5 C8:E8 B63:F70 B114:F114 B135:F138 B121:C134 E121:F134 B2 D72:E91 B72:B113 D92:F113 B60:F61 G9:G13 C13:F13 B54:F56 B42:F51 B33:F40 B21:F31 B16:F16 C15:G15 B17:G20 G16 B32:G32 G21:G31 B41:G41 G33:G40 B52:G53 G42:G51 B57:G59 G54:G56 B4:E4 B116:F120 B115:D115 E115:F115 C9:F9 C10:F10 C11:F11 C12:F12 C14:G14 B9:B15" unlockedFormula="1"/>
    <ignoredError sqref="D121:D134" formula="1" unlocked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106BA-B56A-7B45-A6B1-0371BEF28BA8}">
  <sheetPr codeName="Sheet42">
    <pageSetUpPr fitToPage="1"/>
  </sheetPr>
  <dimension ref="A1:R141"/>
  <sheetViews>
    <sheetView zoomScale="120" zoomScaleNormal="120" workbookViewId="0">
      <selection activeCell="B2" sqref="B2:F2"/>
    </sheetView>
  </sheetViews>
  <sheetFormatPr baseColWidth="10" defaultColWidth="11.5" defaultRowHeight="15"/>
  <cols>
    <col min="1" max="1" width="4.83203125" style="1" customWidth="1"/>
    <col min="2" max="2" width="57.83203125" style="1" customWidth="1"/>
    <col min="3" max="5" width="12.83203125" style="1" customWidth="1"/>
    <col min="6" max="6" width="13.33203125" style="1" customWidth="1"/>
    <col min="7" max="16" width="11.5" style="1" hidden="1" customWidth="1"/>
    <col min="17" max="16384" width="11.5" style="1"/>
  </cols>
  <sheetData>
    <row r="1" spans="1:18" ht="20">
      <c r="A1" s="352" t="s">
        <v>8</v>
      </c>
      <c r="B1" s="27"/>
      <c r="C1" s="16"/>
      <c r="D1" s="17"/>
      <c r="E1" s="16"/>
      <c r="F1" s="16"/>
    </row>
    <row r="2" spans="1:18" ht="20">
      <c r="A2" s="15"/>
      <c r="B2" s="807" t="str">
        <f>'Prices_Yields&amp;SeedInputs'!B7&amp;", Cash Costs and Returns of Producing, $/acre."</f>
        <v>DN Spring Wheat after Spring Legume, Cash Costs and Returns of Producing, $/acre.</v>
      </c>
      <c r="C2" s="807"/>
      <c r="D2" s="807"/>
      <c r="E2" s="807"/>
      <c r="F2" s="807"/>
    </row>
    <row r="3" spans="1:18" ht="20.5" customHeight="1">
      <c r="A3" s="15"/>
      <c r="B3" s="131" t="s">
        <v>11</v>
      </c>
      <c r="C3" s="24" t="s">
        <v>2</v>
      </c>
      <c r="D3" s="25" t="s">
        <v>12</v>
      </c>
      <c r="E3" s="26" t="s">
        <v>13</v>
      </c>
      <c r="F3" s="26" t="s">
        <v>0</v>
      </c>
      <c r="H3" s="1" t="str">
        <f>'Prices_Yields&amp;SeedInputs'!F3</f>
        <v>Incremental Rotation</v>
      </c>
      <c r="I3" s="1" t="str">
        <f>'Prices_Yields&amp;SeedInputs'!G3</f>
        <v>Aspirational Rotation</v>
      </c>
      <c r="Q3" s="674"/>
      <c r="R3" s="674"/>
    </row>
    <row r="4" spans="1:18" ht="20.5" customHeight="1">
      <c r="A4" s="15"/>
      <c r="B4" s="127" t="str">
        <f>'Prices_Yields&amp;SeedInputs'!B7</f>
        <v>DN Spring Wheat after Spring Legume</v>
      </c>
      <c r="C4" s="22" t="str">
        <f>'Prices_Yields&amp;SeedInputs'!C7</f>
        <v>bu</v>
      </c>
      <c r="D4" s="88">
        <f>'Prices_Yields&amp;SeedInputs'!D7</f>
        <v>14</v>
      </c>
      <c r="E4" s="128">
        <f>'Prices_Yields&amp;SeedInputs'!E7</f>
        <v>62</v>
      </c>
      <c r="F4" s="35">
        <f>D4*E4</f>
        <v>868</v>
      </c>
      <c r="Q4" s="674"/>
      <c r="R4" s="674"/>
    </row>
    <row r="5" spans="1:18" ht="20.5" customHeight="1">
      <c r="A5" s="15"/>
      <c r="B5" s="14" t="s">
        <v>14</v>
      </c>
      <c r="C5" s="29"/>
      <c r="D5" s="30"/>
      <c r="E5" s="29"/>
      <c r="F5" s="46">
        <f>SUM(F4:F4)</f>
        <v>868</v>
      </c>
      <c r="H5" s="1">
        <f>D4*'Prices_Yields&amp;SeedInputs'!F7</f>
        <v>896</v>
      </c>
      <c r="I5" s="1">
        <f>D4*'Prices_Yields&amp;SeedInputs'!G7</f>
        <v>924</v>
      </c>
      <c r="Q5" s="674"/>
      <c r="R5" s="674"/>
    </row>
    <row r="6" spans="1:18" ht="20.5" customHeight="1">
      <c r="A6" s="15"/>
      <c r="B6" s="16"/>
      <c r="C6" s="16"/>
      <c r="D6" s="17"/>
      <c r="E6" s="16"/>
      <c r="F6" s="44"/>
    </row>
    <row r="7" spans="1:18" ht="20">
      <c r="A7" s="15"/>
      <c r="B7" s="132" t="s">
        <v>37</v>
      </c>
      <c r="C7" s="19" t="s">
        <v>2</v>
      </c>
      <c r="D7" s="20" t="s">
        <v>12</v>
      </c>
      <c r="E7" s="21" t="s">
        <v>13</v>
      </c>
      <c r="F7" s="45" t="s">
        <v>0</v>
      </c>
    </row>
    <row r="8" spans="1:18" ht="20">
      <c r="A8" s="15"/>
      <c r="B8" s="272" t="s">
        <v>169</v>
      </c>
      <c r="C8" s="119" t="str">
        <f>'Prices_Yields&amp;SeedInputs'!H7</f>
        <v>pound</v>
      </c>
      <c r="D8" s="120">
        <f>'Prices_Yields&amp;SeedInputs'!I7</f>
        <v>0.3</v>
      </c>
      <c r="E8" s="133">
        <f>'Prices_Yields&amp;SeedInputs'!J7</f>
        <v>100</v>
      </c>
      <c r="F8" s="117">
        <f t="shared" ref="F8:F61" si="0">IF(D8*E8=0,"0",D8*E8)</f>
        <v>30</v>
      </c>
    </row>
    <row r="9" spans="1:18" ht="20">
      <c r="A9" s="15"/>
      <c r="B9" s="85" t="str">
        <f>'Chem&amp;FertInputs&amp;CInsurance'!B6</f>
        <v>Fertilizer - Nitrogen-</v>
      </c>
      <c r="C9" s="23" t="str">
        <f>'Chem&amp;FertInputs&amp;CInsurance'!D6</f>
        <v>pound</v>
      </c>
      <c r="D9" s="116">
        <f>'Chem&amp;FertInputs&amp;CInsurance'!E6</f>
        <v>0.48749999999999999</v>
      </c>
      <c r="E9" s="133">
        <f>'Chem&amp;FertInputs&amp;CInsurance'!H6</f>
        <v>100</v>
      </c>
      <c r="F9" s="117">
        <f t="shared" si="0"/>
        <v>48.75</v>
      </c>
      <c r="H9" s="1">
        <f>'Chem&amp;FertInputs&amp;CInsurance'!H7</f>
        <v>100</v>
      </c>
      <c r="I9" s="1">
        <f>'Chem&amp;FertInputs&amp;CInsurance'!H8</f>
        <v>100</v>
      </c>
    </row>
    <row r="10" spans="1:18" ht="20">
      <c r="A10" s="15"/>
      <c r="B10" s="85" t="str">
        <f>'Chem&amp;FertInputs&amp;CInsurance'!B9</f>
        <v>Fertilizer - Anhydrous Ammonia-</v>
      </c>
      <c r="C10" s="23" t="str">
        <f>'Chem&amp;FertInputs&amp;CInsurance'!D9</f>
        <v>pound</v>
      </c>
      <c r="D10" s="116">
        <f>'Chem&amp;FertInputs&amp;CInsurance'!E9</f>
        <v>0.75770000000000004</v>
      </c>
      <c r="E10" s="133">
        <f>'Chem&amp;FertInputs&amp;CInsurance'!H9</f>
        <v>0</v>
      </c>
      <c r="F10" s="117" t="str">
        <f t="shared" si="0"/>
        <v>0</v>
      </c>
      <c r="H10" s="1">
        <f>'Chem&amp;FertInputs&amp;CInsurance'!H10</f>
        <v>0</v>
      </c>
      <c r="I10" s="1">
        <f>'Chem&amp;FertInputs&amp;CInsurance'!H11</f>
        <v>0</v>
      </c>
    </row>
    <row r="11" spans="1:18" ht="20">
      <c r="A11" s="15"/>
      <c r="B11" s="85" t="str">
        <f>'Chem&amp;FertInputs&amp;CInsurance'!B12</f>
        <v xml:space="preserve">Fertilizer - Phosphorus- </v>
      </c>
      <c r="C11" s="23" t="str">
        <f>'Chem&amp;FertInputs&amp;CInsurance'!D12</f>
        <v>pound</v>
      </c>
      <c r="D11" s="116">
        <f>'Chem&amp;FertInputs&amp;CInsurance'!E12</f>
        <v>0.47499999999999998</v>
      </c>
      <c r="E11" s="133">
        <f>'Chem&amp;FertInputs&amp;CInsurance'!H12</f>
        <v>5</v>
      </c>
      <c r="F11" s="117">
        <f t="shared" si="0"/>
        <v>2.375</v>
      </c>
      <c r="H11" s="1">
        <f>'Chem&amp;FertInputs&amp;CInsurance'!H13</f>
        <v>5</v>
      </c>
      <c r="I11" s="1">
        <f>'Chem&amp;FertInputs&amp;CInsurance'!H14</f>
        <v>5</v>
      </c>
    </row>
    <row r="12" spans="1:18" ht="20">
      <c r="A12" s="15"/>
      <c r="B12" s="85" t="str">
        <f>'Chem&amp;FertInputs&amp;CInsurance'!B15</f>
        <v>Fertilizer - Potassium-</v>
      </c>
      <c r="C12" s="23" t="str">
        <f>'Chem&amp;FertInputs&amp;CInsurance'!D15</f>
        <v>pound</v>
      </c>
      <c r="D12" s="116">
        <f>'Chem&amp;FertInputs&amp;CInsurance'!E15</f>
        <v>0.441</v>
      </c>
      <c r="E12" s="133">
        <f>'Chem&amp;FertInputs&amp;CInsurance'!H15</f>
        <v>0</v>
      </c>
      <c r="F12" s="117" t="str">
        <f t="shared" si="0"/>
        <v>0</v>
      </c>
      <c r="H12" s="1">
        <f>'Chem&amp;FertInputs&amp;CInsurance'!H16</f>
        <v>0</v>
      </c>
      <c r="I12" s="1">
        <f>'Chem&amp;FertInputs&amp;CInsurance'!H17</f>
        <v>0</v>
      </c>
    </row>
    <row r="13" spans="1:18" ht="20">
      <c r="A13" s="15"/>
      <c r="B13" s="85" t="str">
        <f>'Chem&amp;FertInputs&amp;CInsurance'!B18</f>
        <v>Fertilizer - Sulfur-</v>
      </c>
      <c r="C13" s="23" t="str">
        <f>'Chem&amp;FertInputs&amp;CInsurance'!D18</f>
        <v>pound</v>
      </c>
      <c r="D13" s="116">
        <f>'Chem&amp;FertInputs&amp;CInsurance'!E18</f>
        <v>0.2555</v>
      </c>
      <c r="E13" s="133">
        <f>'Chem&amp;FertInputs&amp;CInsurance'!H18</f>
        <v>20</v>
      </c>
      <c r="F13" s="117">
        <f t="shared" si="0"/>
        <v>5.1100000000000003</v>
      </c>
      <c r="H13" s="1">
        <f>'Chem&amp;FertInputs&amp;CInsurance'!H19</f>
        <v>20</v>
      </c>
      <c r="I13" s="1">
        <f>'Chem&amp;FertInputs&amp;CInsurance'!H20</f>
        <v>20</v>
      </c>
    </row>
    <row r="14" spans="1:18" ht="20">
      <c r="A14" s="15"/>
      <c r="B14" s="85" t="str">
        <f>'Chem&amp;FertInputs&amp;CInsurance'!B21</f>
        <v>Adjuvant - Ammonium Sulfate liquid-</v>
      </c>
      <c r="C14" s="23" t="str">
        <f>'Chem&amp;FertInputs&amp;CInsurance'!D21</f>
        <v>oz</v>
      </c>
      <c r="D14" s="116">
        <f>'Chem&amp;FertInputs&amp;CInsurance'!E21</f>
        <v>0.48</v>
      </c>
      <c r="E14" s="133">
        <f>'Chem&amp;FertInputs&amp;CInsurance'!H21</f>
        <v>3.4</v>
      </c>
      <c r="F14" s="117">
        <f t="shared" ref="F14:F20" si="1">IF(D14*E14=0,"0",D14*E14)</f>
        <v>1.6319999999999999</v>
      </c>
      <c r="G14" s="165">
        <f>E14/128</f>
        <v>2.6562499999999999E-2</v>
      </c>
      <c r="H14" s="1">
        <f>'Chem&amp;FertInputs&amp;CInsurance'!H22</f>
        <v>3.4</v>
      </c>
      <c r="I14" s="1">
        <f>'Chem&amp;FertInputs&amp;CInsurance'!H23</f>
        <v>3.4</v>
      </c>
    </row>
    <row r="15" spans="1:18" ht="20">
      <c r="A15" s="15"/>
      <c r="B15" s="85" t="str">
        <f>'Chem&amp;FertInputs&amp;CInsurance'!B24</f>
        <v>Adjuvant - Ammonium Sulfate  (other)-</v>
      </c>
      <c r="C15" s="23" t="str">
        <f>'Chem&amp;FertInputs&amp;CInsurance'!D24</f>
        <v>pound</v>
      </c>
      <c r="D15" s="116">
        <f>'Chem&amp;FertInputs&amp;CInsurance'!E24</f>
        <v>0.71</v>
      </c>
      <c r="E15" s="133">
        <f>'Chem&amp;FertInputs&amp;CInsurance'!H24</f>
        <v>0</v>
      </c>
      <c r="F15" s="117" t="str">
        <f t="shared" si="1"/>
        <v>0</v>
      </c>
      <c r="G15" s="165">
        <f>E15/16</f>
        <v>0</v>
      </c>
      <c r="H15" s="1">
        <f>'Chem&amp;FertInputs&amp;CInsurance'!H25</f>
        <v>0</v>
      </c>
      <c r="I15" s="1">
        <f>'Chem&amp;FertInputs&amp;CInsurance'!H26</f>
        <v>0</v>
      </c>
    </row>
    <row r="16" spans="1:18" ht="20">
      <c r="A16" s="15"/>
      <c r="B16" s="85" t="str">
        <f>'Chem&amp;FertInputs&amp;CInsurance'!C27</f>
        <v xml:space="preserve">crop oil concentrate </v>
      </c>
      <c r="C16" s="23" t="str">
        <f>'Chem&amp;FertInputs&amp;CInsurance'!D27</f>
        <v>pint</v>
      </c>
      <c r="D16" s="116">
        <f>'Chem&amp;FertInputs&amp;CInsurance'!E27</f>
        <v>1.6559999999999999</v>
      </c>
      <c r="E16" s="133">
        <f>'Chem&amp;FertInputs&amp;CInsurance'!H27</f>
        <v>0</v>
      </c>
      <c r="F16" s="117" t="str">
        <f t="shared" si="1"/>
        <v>0</v>
      </c>
      <c r="G16" s="165">
        <f>E16/8</f>
        <v>0</v>
      </c>
    </row>
    <row r="17" spans="1:7" ht="20">
      <c r="A17" s="15"/>
      <c r="B17" s="85" t="str">
        <f>'Chem&amp;FertInputs&amp;CInsurance'!C28</f>
        <v>In-place</v>
      </c>
      <c r="C17" s="23" t="str">
        <f>'Chem&amp;FertInputs&amp;CInsurance'!D28</f>
        <v>oz</v>
      </c>
      <c r="D17" s="116">
        <f>'Chem&amp;FertInputs&amp;CInsurance'!E28</f>
        <v>0.35649999999999998</v>
      </c>
      <c r="E17" s="133">
        <f>'Chem&amp;FertInputs&amp;CInsurance'!H28</f>
        <v>0</v>
      </c>
      <c r="F17" s="117" t="str">
        <f t="shared" si="1"/>
        <v>0</v>
      </c>
      <c r="G17" s="165">
        <f>E17/128</f>
        <v>0</v>
      </c>
    </row>
    <row r="18" spans="1:7" ht="20">
      <c r="A18" s="15"/>
      <c r="B18" s="85" t="str">
        <f>'Chem&amp;FertInputs&amp;CInsurance'!C29</f>
        <v xml:space="preserve">M90 </v>
      </c>
      <c r="C18" s="23" t="str">
        <f>'Chem&amp;FertInputs&amp;CInsurance'!D29</f>
        <v>oz</v>
      </c>
      <c r="D18" s="116">
        <f>'Chem&amp;FertInputs&amp;CInsurance'!E29</f>
        <v>0.253</v>
      </c>
      <c r="E18" s="133">
        <f>'Chem&amp;FertInputs&amp;CInsurance'!H29</f>
        <v>3</v>
      </c>
      <c r="F18" s="117">
        <f t="shared" si="1"/>
        <v>0.75900000000000001</v>
      </c>
      <c r="G18" s="165">
        <f>E18/128</f>
        <v>2.34375E-2</v>
      </c>
    </row>
    <row r="19" spans="1:7" ht="20">
      <c r="A19" s="15"/>
      <c r="B19" s="85" t="str">
        <f>'Chem&amp;FertInputs&amp;CInsurance'!C30</f>
        <v>Surfactant</v>
      </c>
      <c r="C19" s="23" t="str">
        <f>'Chem&amp;FertInputs&amp;CInsurance'!D30</f>
        <v>oz</v>
      </c>
      <c r="D19" s="116">
        <f>'Chem&amp;FertInputs&amp;CInsurance'!E30</f>
        <v>0.26450000000000001</v>
      </c>
      <c r="E19" s="133">
        <f>'Chem&amp;FertInputs&amp;CInsurance'!H30</f>
        <v>0</v>
      </c>
      <c r="F19" s="117" t="str">
        <f t="shared" si="1"/>
        <v>0</v>
      </c>
      <c r="G19" s="165">
        <f>E19/128</f>
        <v>0</v>
      </c>
    </row>
    <row r="20" spans="1:7" ht="20">
      <c r="A20" s="15"/>
      <c r="B20" s="85" t="str">
        <f>'Chem&amp;FertInputs&amp;CInsurance'!C31</f>
        <v>Syltac sticker</v>
      </c>
      <c r="C20" s="23" t="str">
        <f>'Chem&amp;FertInputs&amp;CInsurance'!D31</f>
        <v>pint</v>
      </c>
      <c r="D20" s="116">
        <f>'Chem&amp;FertInputs&amp;CInsurance'!E31</f>
        <v>7.1874999999999991</v>
      </c>
      <c r="E20" s="133">
        <f>'Chem&amp;FertInputs&amp;CInsurance'!H31</f>
        <v>0</v>
      </c>
      <c r="F20" s="117" t="str">
        <f t="shared" si="1"/>
        <v>0</v>
      </c>
      <c r="G20" s="165">
        <f>E20/8</f>
        <v>0</v>
      </c>
    </row>
    <row r="21" spans="1:7" ht="20">
      <c r="A21" s="15"/>
      <c r="B21" s="85" t="str">
        <f>'Chem&amp;FertInputs&amp;CInsurance'!C33</f>
        <v>2,4 - D</v>
      </c>
      <c r="C21" s="23" t="str">
        <f>'Chem&amp;FertInputs&amp;CInsurance'!D33</f>
        <v>oz</v>
      </c>
      <c r="D21" s="116">
        <f>'Chem&amp;FertInputs&amp;CInsurance'!E33</f>
        <v>0.33349999999999996</v>
      </c>
      <c r="E21" s="133">
        <f>'Chem&amp;FertInputs&amp;CInsurance'!H33</f>
        <v>0</v>
      </c>
      <c r="F21" s="117" t="str">
        <f t="shared" si="0"/>
        <v>0</v>
      </c>
      <c r="G21" s="165">
        <f t="shared" ref="G21:G30" si="2">E21/128</f>
        <v>0</v>
      </c>
    </row>
    <row r="22" spans="1:7" ht="20">
      <c r="A22" s="15"/>
      <c r="B22" s="85" t="str">
        <f>'Chem&amp;FertInputs&amp;CInsurance'!C34</f>
        <v>Achieve SC</v>
      </c>
      <c r="C22" s="23" t="str">
        <f>'Chem&amp;FertInputs&amp;CInsurance'!D34</f>
        <v>oz</v>
      </c>
      <c r="D22" s="116">
        <f>'Chem&amp;FertInputs&amp;CInsurance'!E34</f>
        <v>1.3454999999999999</v>
      </c>
      <c r="E22" s="133">
        <f>'Chem&amp;FertInputs&amp;CInsurance'!H34</f>
        <v>0</v>
      </c>
      <c r="F22" s="117" t="str">
        <f t="shared" si="0"/>
        <v>0</v>
      </c>
      <c r="G22" s="165">
        <f t="shared" si="2"/>
        <v>0</v>
      </c>
    </row>
    <row r="23" spans="1:7" ht="20">
      <c r="A23" s="15"/>
      <c r="B23" s="85" t="str">
        <f>'Chem&amp;FertInputs&amp;CInsurance'!C35</f>
        <v>Affintity TankMix</v>
      </c>
      <c r="C23" s="23" t="str">
        <f>'Chem&amp;FertInputs&amp;CInsurance'!D35</f>
        <v>oz</v>
      </c>
      <c r="D23" s="116">
        <f>'Chem&amp;FertInputs&amp;CInsurance'!E35</f>
        <v>8.9699999999999989</v>
      </c>
      <c r="E23" s="133">
        <f>'Chem&amp;FertInputs&amp;CInsurance'!H35</f>
        <v>0.75</v>
      </c>
      <c r="F23" s="117">
        <f t="shared" si="0"/>
        <v>6.7274999999999991</v>
      </c>
      <c r="G23" s="165">
        <f t="shared" si="2"/>
        <v>5.859375E-3</v>
      </c>
    </row>
    <row r="24" spans="1:7" ht="20">
      <c r="A24" s="15"/>
      <c r="B24" s="85" t="str">
        <f>'Chem&amp;FertInputs&amp;CInsurance'!C36</f>
        <v xml:space="preserve">Ally </v>
      </c>
      <c r="C24" s="23" t="str">
        <f>'Chem&amp;FertInputs&amp;CInsurance'!D36</f>
        <v>oz</v>
      </c>
      <c r="D24" s="116">
        <f>'Chem&amp;FertInputs&amp;CInsurance'!E36</f>
        <v>1.7249999999999999</v>
      </c>
      <c r="E24" s="133">
        <f>'Chem&amp;FertInputs&amp;CInsurance'!H36</f>
        <v>0</v>
      </c>
      <c r="F24" s="117" t="str">
        <f t="shared" si="0"/>
        <v>0</v>
      </c>
      <c r="G24" s="165">
        <f t="shared" si="2"/>
        <v>0</v>
      </c>
    </row>
    <row r="25" spans="1:7" ht="20">
      <c r="A25" s="15"/>
      <c r="B25" s="85" t="str">
        <f>'Chem&amp;FertInputs&amp;CInsurance'!C37</f>
        <v>Assure</v>
      </c>
      <c r="C25" s="23" t="str">
        <f>'Chem&amp;FertInputs&amp;CInsurance'!D37</f>
        <v>oz</v>
      </c>
      <c r="D25" s="116">
        <f>'Chem&amp;FertInputs&amp;CInsurance'!E37</f>
        <v>0.98899999999999988</v>
      </c>
      <c r="E25" s="133">
        <f>'Chem&amp;FertInputs&amp;CInsurance'!H37</f>
        <v>0</v>
      </c>
      <c r="F25" s="117" t="str">
        <f t="shared" si="0"/>
        <v>0</v>
      </c>
      <c r="G25" s="165">
        <f t="shared" si="2"/>
        <v>0</v>
      </c>
    </row>
    <row r="26" spans="1:7" ht="20">
      <c r="A26" s="15"/>
      <c r="B26" s="85" t="str">
        <f>'Chem&amp;FertInputs&amp;CInsurance'!C38</f>
        <v>Axial Star</v>
      </c>
      <c r="C26" s="23" t="str">
        <f>'Chem&amp;FertInputs&amp;CInsurance'!D38</f>
        <v>oz</v>
      </c>
      <c r="D26" s="116">
        <f>'Chem&amp;FertInputs&amp;CInsurance'!E38</f>
        <v>1.3224999999999998</v>
      </c>
      <c r="E26" s="133">
        <f>'Chem&amp;FertInputs&amp;CInsurance'!H38</f>
        <v>0</v>
      </c>
      <c r="F26" s="117" t="str">
        <f t="shared" si="0"/>
        <v>0</v>
      </c>
      <c r="G26" s="165">
        <f t="shared" si="2"/>
        <v>0</v>
      </c>
    </row>
    <row r="27" spans="1:7" ht="20">
      <c r="A27" s="15"/>
      <c r="B27" s="85" t="str">
        <f>'Chem&amp;FertInputs&amp;CInsurance'!C39</f>
        <v>Axial Bold</v>
      </c>
      <c r="C27" s="23" t="str">
        <f>'Chem&amp;FertInputs&amp;CInsurance'!D39</f>
        <v>oz</v>
      </c>
      <c r="D27" s="116">
        <f>'Chem&amp;FertInputs&amp;CInsurance'!E39</f>
        <v>1.0924999999999998</v>
      </c>
      <c r="E27" s="133">
        <f>'Chem&amp;FertInputs&amp;CInsurance'!H39</f>
        <v>15</v>
      </c>
      <c r="F27" s="117">
        <f t="shared" si="0"/>
        <v>16.387499999999996</v>
      </c>
      <c r="G27" s="165">
        <f t="shared" si="2"/>
        <v>0.1171875</v>
      </c>
    </row>
    <row r="28" spans="1:7" ht="20">
      <c r="A28" s="15"/>
      <c r="B28" s="85" t="str">
        <f>'Chem&amp;FertInputs&amp;CInsurance'!C40</f>
        <v>Bronate</v>
      </c>
      <c r="C28" s="23" t="str">
        <f>'Chem&amp;FertInputs&amp;CInsurance'!D40</f>
        <v>oz</v>
      </c>
      <c r="D28" s="116">
        <f>'Chem&amp;FertInputs&amp;CInsurance'!E40</f>
        <v>7.911999999999999</v>
      </c>
      <c r="E28" s="133">
        <f>'Chem&amp;FertInputs&amp;CInsurance'!H40</f>
        <v>0</v>
      </c>
      <c r="F28" s="117" t="str">
        <f t="shared" si="0"/>
        <v>0</v>
      </c>
      <c r="G28" s="165">
        <f t="shared" si="2"/>
        <v>0</v>
      </c>
    </row>
    <row r="29" spans="1:7" ht="20">
      <c r="A29" s="15"/>
      <c r="B29" s="85" t="str">
        <f>'Chem&amp;FertInputs&amp;CInsurance'!C41</f>
        <v xml:space="preserve">Brox M </v>
      </c>
      <c r="C29" s="23" t="str">
        <f>'Chem&amp;FertInputs&amp;CInsurance'!D41</f>
        <v>oz</v>
      </c>
      <c r="D29" s="116">
        <f>'Chem&amp;FertInputs&amp;CInsurance'!E41</f>
        <v>0.42549999999999999</v>
      </c>
      <c r="E29" s="133">
        <f>'Chem&amp;FertInputs&amp;CInsurance'!H41</f>
        <v>0</v>
      </c>
      <c r="F29" s="117" t="str">
        <f t="shared" si="0"/>
        <v>0</v>
      </c>
      <c r="G29" s="165">
        <f t="shared" si="2"/>
        <v>0</v>
      </c>
    </row>
    <row r="30" spans="1:7" ht="20">
      <c r="A30" s="15"/>
      <c r="B30" s="85" t="str">
        <f>'Chem&amp;FertInputs&amp;CInsurance'!C42</f>
        <v>Capture</v>
      </c>
      <c r="C30" s="23" t="str">
        <f>'Chem&amp;FertInputs&amp;CInsurance'!D42</f>
        <v>oz</v>
      </c>
      <c r="D30" s="116">
        <f>'Chem&amp;FertInputs&amp;CInsurance'!E42</f>
        <v>2.7024999999999997</v>
      </c>
      <c r="E30" s="133">
        <f>'Chem&amp;FertInputs&amp;CInsurance'!H42</f>
        <v>0</v>
      </c>
      <c r="F30" s="117" t="str">
        <f t="shared" si="0"/>
        <v>0</v>
      </c>
      <c r="G30" s="165">
        <f t="shared" si="2"/>
        <v>0</v>
      </c>
    </row>
    <row r="31" spans="1:7" ht="20">
      <c r="A31" s="15"/>
      <c r="B31" s="85" t="str">
        <f>'Chem&amp;FertInputs&amp;CInsurance'!C43</f>
        <v xml:space="preserve">Dimethoate </v>
      </c>
      <c r="C31" s="23" t="str">
        <f>'Chem&amp;FertInputs&amp;CInsurance'!D43</f>
        <v>pint</v>
      </c>
      <c r="D31" s="116">
        <f>'Chem&amp;FertInputs&amp;CInsurance'!E43</f>
        <v>7.1874999999999991</v>
      </c>
      <c r="E31" s="133">
        <f>'Chem&amp;FertInputs&amp;CInsurance'!H43</f>
        <v>0</v>
      </c>
      <c r="F31" s="117" t="str">
        <f t="shared" si="0"/>
        <v>0</v>
      </c>
      <c r="G31" s="165">
        <f>E31/8</f>
        <v>0</v>
      </c>
    </row>
    <row r="32" spans="1:7" ht="20">
      <c r="A32" s="15"/>
      <c r="B32" s="85" t="str">
        <f>'Chem&amp;FertInputs&amp;CInsurance'!C44</f>
        <v>Clethodim</v>
      </c>
      <c r="C32" s="23" t="str">
        <f>'Chem&amp;FertInputs&amp;CInsurance'!D44</f>
        <v>oz</v>
      </c>
      <c r="D32" s="116">
        <f>'Chem&amp;FertInputs&amp;CInsurance'!E44</f>
        <v>0.75900000000000001</v>
      </c>
      <c r="E32" s="133">
        <f>'Chem&amp;FertInputs&amp;CInsurance'!H44</f>
        <v>0</v>
      </c>
      <c r="F32" s="117" t="str">
        <f t="shared" ref="F32" si="3">IF(D32*E32=0,"0",D32*E32)</f>
        <v>0</v>
      </c>
      <c r="G32" s="165">
        <f t="shared" ref="G32:G37" si="4">E32/128</f>
        <v>0</v>
      </c>
    </row>
    <row r="33" spans="1:7" ht="20">
      <c r="A33" s="15"/>
      <c r="B33" s="85" t="str">
        <f>'Chem&amp;FertInputs&amp;CInsurance'!C45</f>
        <v>Discover</v>
      </c>
      <c r="C33" s="23" t="str">
        <f>'Chem&amp;FertInputs&amp;CInsurance'!D45</f>
        <v>oz</v>
      </c>
      <c r="D33" s="116">
        <f>'Chem&amp;FertInputs&amp;CInsurance'!E45</f>
        <v>1.6904999999999999</v>
      </c>
      <c r="E33" s="133">
        <f>'Chem&amp;FertInputs&amp;CInsurance'!H45</f>
        <v>0</v>
      </c>
      <c r="F33" s="117" t="str">
        <f t="shared" si="0"/>
        <v>0</v>
      </c>
      <c r="G33" s="165">
        <f t="shared" si="4"/>
        <v>0</v>
      </c>
    </row>
    <row r="34" spans="1:7" ht="20">
      <c r="A34" s="15"/>
      <c r="B34" s="85" t="str">
        <f>'Chem&amp;FertInputs&amp;CInsurance'!C46</f>
        <v>FarGO</v>
      </c>
      <c r="C34" s="23" t="str">
        <f>'Chem&amp;FertInputs&amp;CInsurance'!D46</f>
        <v>oz</v>
      </c>
      <c r="D34" s="116">
        <f>'Chem&amp;FertInputs&amp;CInsurance'!E46</f>
        <v>19.158999999999999</v>
      </c>
      <c r="E34" s="133">
        <f>'Chem&amp;FertInputs&amp;CInsurance'!H46</f>
        <v>0</v>
      </c>
      <c r="F34" s="117" t="str">
        <f t="shared" si="0"/>
        <v>0</v>
      </c>
      <c r="G34" s="165">
        <f t="shared" si="4"/>
        <v>0</v>
      </c>
    </row>
    <row r="35" spans="1:7" ht="20">
      <c r="A35" s="15"/>
      <c r="B35" s="85" t="str">
        <f>'Chem&amp;FertInputs&amp;CInsurance'!C47</f>
        <v>Finesse</v>
      </c>
      <c r="C35" s="23" t="str">
        <f>'Chem&amp;FertInputs&amp;CInsurance'!D47</f>
        <v>oz</v>
      </c>
      <c r="D35" s="116">
        <f>'Chem&amp;FertInputs&amp;CInsurance'!E47</f>
        <v>19.940999999999999</v>
      </c>
      <c r="E35" s="133">
        <f>'Chem&amp;FertInputs&amp;CInsurance'!H47</f>
        <v>0</v>
      </c>
      <c r="F35" s="117" t="str">
        <f t="shared" si="0"/>
        <v>0</v>
      </c>
      <c r="G35" s="165">
        <f t="shared" si="4"/>
        <v>0</v>
      </c>
    </row>
    <row r="36" spans="1:7" ht="20">
      <c r="A36" s="15"/>
      <c r="B36" s="85" t="str">
        <f>'Chem&amp;FertInputs&amp;CInsurance'!C48</f>
        <v>Glyphosate</v>
      </c>
      <c r="C36" s="23" t="str">
        <f>'Chem&amp;FertInputs&amp;CInsurance'!D48</f>
        <v>oz</v>
      </c>
      <c r="D36" s="116">
        <f>'Chem&amp;FertInputs&amp;CInsurance'!E48</f>
        <v>0.14949999999999999</v>
      </c>
      <c r="E36" s="133">
        <f>'Chem&amp;FertInputs&amp;CInsurance'!H48</f>
        <v>0</v>
      </c>
      <c r="F36" s="117" t="str">
        <f t="shared" si="0"/>
        <v>0</v>
      </c>
      <c r="G36" s="165">
        <f t="shared" si="4"/>
        <v>0</v>
      </c>
    </row>
    <row r="37" spans="1:7" ht="20">
      <c r="A37" s="15"/>
      <c r="B37" s="85" t="str">
        <f>'Chem&amp;FertInputs&amp;CInsurance'!C49</f>
        <v>Huskie</v>
      </c>
      <c r="C37" s="23" t="str">
        <f>'Chem&amp;FertInputs&amp;CInsurance'!D49</f>
        <v>oz</v>
      </c>
      <c r="D37" s="116">
        <f>'Chem&amp;FertInputs&amp;CInsurance'!E49</f>
        <v>0.88549999999999995</v>
      </c>
      <c r="E37" s="133">
        <f>'Chem&amp;FertInputs&amp;CInsurance'!H49</f>
        <v>13.7</v>
      </c>
      <c r="F37" s="117">
        <f t="shared" si="0"/>
        <v>12.131349999999999</v>
      </c>
      <c r="G37" s="165">
        <f t="shared" si="4"/>
        <v>0.10703124999999999</v>
      </c>
    </row>
    <row r="38" spans="1:7" ht="20">
      <c r="A38" s="15"/>
      <c r="B38" s="85" t="str">
        <f>'Chem&amp;FertInputs&amp;CInsurance'!C50</f>
        <v>Imidan 70</v>
      </c>
      <c r="C38" s="23" t="str">
        <f>'Chem&amp;FertInputs&amp;CInsurance'!D50</f>
        <v>lb</v>
      </c>
      <c r="D38" s="116">
        <f>'Chem&amp;FertInputs&amp;CInsurance'!E50</f>
        <v>17.295999999999999</v>
      </c>
      <c r="E38" s="133">
        <f>'Chem&amp;FertInputs&amp;CInsurance'!H50</f>
        <v>0</v>
      </c>
      <c r="F38" s="117" t="str">
        <f t="shared" si="0"/>
        <v>0</v>
      </c>
      <c r="G38" s="165">
        <f>E38/16</f>
        <v>0</v>
      </c>
    </row>
    <row r="39" spans="1:7" ht="20">
      <c r="A39" s="15"/>
      <c r="B39" s="85" t="str">
        <f>'Chem&amp;FertInputs&amp;CInsurance'!C51</f>
        <v xml:space="preserve">Maverick </v>
      </c>
      <c r="C39" s="23" t="str">
        <f>'Chem&amp;FertInputs&amp;CInsurance'!D51</f>
        <v>oz</v>
      </c>
      <c r="D39" s="116">
        <f>'Chem&amp;FertInputs&amp;CInsurance'!E51</f>
        <v>23.885499999999997</v>
      </c>
      <c r="E39" s="133">
        <f>'Chem&amp;FertInputs&amp;CInsurance'!H51</f>
        <v>0</v>
      </c>
      <c r="F39" s="117" t="str">
        <f t="shared" si="0"/>
        <v>0</v>
      </c>
      <c r="G39" s="165">
        <f t="shared" ref="G39:G51" si="5">E39/128</f>
        <v>0</v>
      </c>
    </row>
    <row r="40" spans="1:7" ht="20">
      <c r="A40" s="15"/>
      <c r="B40" s="85" t="str">
        <f>'Chem&amp;FertInputs&amp;CInsurance'!C52</f>
        <v>Osprey</v>
      </c>
      <c r="C40" s="23" t="str">
        <f>'Chem&amp;FertInputs&amp;CInsurance'!D52</f>
        <v>oz</v>
      </c>
      <c r="D40" s="116">
        <f>'Chem&amp;FertInputs&amp;CInsurance'!E52</f>
        <v>5.0484999999999989</v>
      </c>
      <c r="E40" s="133">
        <f>'Chem&amp;FertInputs&amp;CInsurance'!H52</f>
        <v>0</v>
      </c>
      <c r="F40" s="117" t="str">
        <f t="shared" si="0"/>
        <v>0</v>
      </c>
      <c r="G40" s="165">
        <f t="shared" si="5"/>
        <v>0</v>
      </c>
    </row>
    <row r="41" spans="1:7" ht="20">
      <c r="A41" s="15"/>
      <c r="B41" s="85" t="str">
        <f>'Chem&amp;FertInputs&amp;CInsurance'!C53</f>
        <v>Poast</v>
      </c>
      <c r="C41" s="23" t="str">
        <f>'Chem&amp;FertInputs&amp;CInsurance'!D53</f>
        <v>oz</v>
      </c>
      <c r="D41" s="116">
        <f>'Chem&amp;FertInputs&amp;CInsurance'!E53</f>
        <v>19.285499999999999</v>
      </c>
      <c r="E41" s="133">
        <f>'Chem&amp;FertInputs&amp;CInsurance'!H53</f>
        <v>0</v>
      </c>
      <c r="F41" s="117" t="str">
        <f t="shared" ref="F41" si="6">IF(D41*E41=0,"0",D41*E41)</f>
        <v>0</v>
      </c>
      <c r="G41" s="165">
        <f t="shared" si="5"/>
        <v>0</v>
      </c>
    </row>
    <row r="42" spans="1:7" ht="20">
      <c r="A42" s="15"/>
      <c r="B42" s="85" t="str">
        <f>'Chem&amp;FertInputs&amp;CInsurance'!C54</f>
        <v>Power Flex</v>
      </c>
      <c r="C42" s="23" t="str">
        <f>'Chem&amp;FertInputs&amp;CInsurance'!D54</f>
        <v>oz</v>
      </c>
      <c r="D42" s="116">
        <f>'Chem&amp;FertInputs&amp;CInsurance'!E54</f>
        <v>8.9124999999999996</v>
      </c>
      <c r="E42" s="133">
        <f>'Chem&amp;FertInputs&amp;CInsurance'!H54</f>
        <v>0</v>
      </c>
      <c r="F42" s="117" t="str">
        <f t="shared" si="0"/>
        <v>0</v>
      </c>
      <c r="G42" s="165">
        <f t="shared" si="5"/>
        <v>0</v>
      </c>
    </row>
    <row r="43" spans="1:7" ht="20">
      <c r="A43" s="15"/>
      <c r="B43" s="85" t="str">
        <f>'Chem&amp;FertInputs&amp;CInsurance'!C55</f>
        <v>Priaxor</v>
      </c>
      <c r="C43" s="23" t="str">
        <f>'Chem&amp;FertInputs&amp;CInsurance'!D55</f>
        <v>oz</v>
      </c>
      <c r="D43" s="116">
        <f>'Chem&amp;FertInputs&amp;CInsurance'!E55</f>
        <v>3.4269999999999996</v>
      </c>
      <c r="E43" s="133">
        <f>'Chem&amp;FertInputs&amp;CInsurance'!H55</f>
        <v>0</v>
      </c>
      <c r="F43" s="117" t="str">
        <f t="shared" si="0"/>
        <v>0</v>
      </c>
      <c r="G43" s="165">
        <f t="shared" si="5"/>
        <v>0</v>
      </c>
    </row>
    <row r="44" spans="1:7" ht="20">
      <c r="A44" s="15"/>
      <c r="B44" s="85" t="str">
        <f>'Chem&amp;FertInputs&amp;CInsurance'!C56</f>
        <v>Prowl</v>
      </c>
      <c r="C44" s="23" t="str">
        <f>'Chem&amp;FertInputs&amp;CInsurance'!D56</f>
        <v>oz</v>
      </c>
      <c r="D44" s="116">
        <f>'Chem&amp;FertInputs&amp;CInsurance'!E56</f>
        <v>0.51749999999999996</v>
      </c>
      <c r="E44" s="133">
        <f>'Chem&amp;FertInputs&amp;CInsurance'!H56</f>
        <v>0</v>
      </c>
      <c r="F44" s="117" t="str">
        <f t="shared" si="0"/>
        <v>0</v>
      </c>
      <c r="G44" s="165">
        <f t="shared" si="5"/>
        <v>0</v>
      </c>
    </row>
    <row r="45" spans="1:7" ht="20">
      <c r="A45" s="15"/>
      <c r="B45" s="85" t="str">
        <f>'Chem&amp;FertInputs&amp;CInsurance'!C57</f>
        <v>Pursuit</v>
      </c>
      <c r="C45" s="23" t="str">
        <f>'Chem&amp;FertInputs&amp;CInsurance'!D57</f>
        <v>oz</v>
      </c>
      <c r="D45" s="116">
        <f>'Chem&amp;FertInputs&amp;CInsurance'!E57</f>
        <v>4.0594999999999999</v>
      </c>
      <c r="E45" s="133">
        <f>'Chem&amp;FertInputs&amp;CInsurance'!H57</f>
        <v>0</v>
      </c>
      <c r="F45" s="117" t="str">
        <f t="shared" si="0"/>
        <v>0</v>
      </c>
      <c r="G45" s="165">
        <f t="shared" si="5"/>
        <v>0</v>
      </c>
    </row>
    <row r="46" spans="1:7" ht="20">
      <c r="A46" s="15"/>
      <c r="B46" s="85" t="str">
        <f>'Chem&amp;FertInputs&amp;CInsurance'!C58</f>
        <v xml:space="preserve">Quadris </v>
      </c>
      <c r="C46" s="23" t="str">
        <f>'Chem&amp;FertInputs&amp;CInsurance'!D58</f>
        <v>oz</v>
      </c>
      <c r="D46" s="116">
        <f>'Chem&amp;FertInputs&amp;CInsurance'!E58</f>
        <v>1.127</v>
      </c>
      <c r="E46" s="133">
        <f>'Chem&amp;FertInputs&amp;CInsurance'!H58</f>
        <v>0</v>
      </c>
      <c r="F46" s="117" t="str">
        <f t="shared" si="0"/>
        <v>0</v>
      </c>
      <c r="G46" s="165">
        <f t="shared" si="5"/>
        <v>0</v>
      </c>
    </row>
    <row r="47" spans="1:7" ht="20">
      <c r="A47" s="15"/>
      <c r="B47" s="85" t="str">
        <f>'Chem&amp;FertInputs&amp;CInsurance'!C59</f>
        <v>Quilt</v>
      </c>
      <c r="C47" s="23" t="str">
        <f>'Chem&amp;FertInputs&amp;CInsurance'!D59</f>
        <v>oz</v>
      </c>
      <c r="D47" s="116">
        <f>'Chem&amp;FertInputs&amp;CInsurance'!E59</f>
        <v>1.4834999999999998</v>
      </c>
      <c r="E47" s="133">
        <f>'Chem&amp;FertInputs&amp;CInsurance'!H59</f>
        <v>0</v>
      </c>
      <c r="F47" s="117" t="str">
        <f t="shared" si="0"/>
        <v>0</v>
      </c>
      <c r="G47" s="165">
        <f t="shared" si="5"/>
        <v>0</v>
      </c>
    </row>
    <row r="48" spans="1:7" ht="20">
      <c r="A48" s="15"/>
      <c r="B48" s="85" t="str">
        <f>'Chem&amp;FertInputs&amp;CInsurance'!C60</f>
        <v>R11</v>
      </c>
      <c r="C48" s="23" t="str">
        <f>'Chem&amp;FertInputs&amp;CInsurance'!D60</f>
        <v>oz</v>
      </c>
      <c r="D48" s="116">
        <f>'Chem&amp;FertInputs&amp;CInsurance'!E60</f>
        <v>0.26450000000000001</v>
      </c>
      <c r="E48" s="133">
        <f>'Chem&amp;FertInputs&amp;CInsurance'!H60</f>
        <v>0</v>
      </c>
      <c r="F48" s="117" t="str">
        <f t="shared" si="0"/>
        <v>0</v>
      </c>
      <c r="G48" s="165">
        <f t="shared" si="5"/>
        <v>0</v>
      </c>
    </row>
    <row r="49" spans="1:7" ht="20">
      <c r="A49" s="15"/>
      <c r="B49" s="85" t="str">
        <f>'Chem&amp;FertInputs&amp;CInsurance'!C61</f>
        <v>Starane</v>
      </c>
      <c r="C49" s="23" t="str">
        <f>'Chem&amp;FertInputs&amp;CInsurance'!D61</f>
        <v>oz</v>
      </c>
      <c r="D49" s="116">
        <f>'Chem&amp;FertInputs&amp;CInsurance'!E61</f>
        <v>0.77049999999999996</v>
      </c>
      <c r="E49" s="133">
        <f>'Chem&amp;FertInputs&amp;CInsurance'!H61</f>
        <v>0</v>
      </c>
      <c r="F49" s="117" t="str">
        <f t="shared" si="0"/>
        <v>0</v>
      </c>
      <c r="G49" s="165">
        <f t="shared" si="5"/>
        <v>0</v>
      </c>
    </row>
    <row r="50" spans="1:7" ht="20">
      <c r="A50" s="15"/>
      <c r="B50" s="85" t="str">
        <f>'Chem&amp;FertInputs&amp;CInsurance'!C62</f>
        <v>Starane + Salvo</v>
      </c>
      <c r="C50" s="23" t="str">
        <f>'Chem&amp;FertInputs&amp;CInsurance'!D62</f>
        <v>oz</v>
      </c>
      <c r="D50" s="116">
        <f>'Chem&amp;FertInputs&amp;CInsurance'!E62</f>
        <v>0.77049999999999996</v>
      </c>
      <c r="E50" s="133">
        <f>'Chem&amp;FertInputs&amp;CInsurance'!H62</f>
        <v>0</v>
      </c>
      <c r="F50" s="117" t="str">
        <f t="shared" si="0"/>
        <v>0</v>
      </c>
      <c r="G50" s="165">
        <f t="shared" si="5"/>
        <v>0</v>
      </c>
    </row>
    <row r="51" spans="1:7" ht="20">
      <c r="A51" s="15"/>
      <c r="B51" s="85" t="str">
        <f>'Chem&amp;FertInputs&amp;CInsurance'!C63</f>
        <v xml:space="preserve">Starane + Sword </v>
      </c>
      <c r="C51" s="23" t="str">
        <f>'Chem&amp;FertInputs&amp;CInsurance'!D63</f>
        <v>oz</v>
      </c>
      <c r="D51" s="116">
        <f>'Chem&amp;FertInputs&amp;CInsurance'!E63</f>
        <v>0.77049999999999996</v>
      </c>
      <c r="E51" s="133">
        <f>'Chem&amp;FertInputs&amp;CInsurance'!H63</f>
        <v>0</v>
      </c>
      <c r="F51" s="117" t="str">
        <f t="shared" si="0"/>
        <v>0</v>
      </c>
      <c r="G51" s="165">
        <f t="shared" si="5"/>
        <v>0</v>
      </c>
    </row>
    <row r="52" spans="1:7" ht="20">
      <c r="A52" s="15"/>
      <c r="B52" s="85" t="str">
        <f>'Chem&amp;FertInputs&amp;CInsurance'!C64</f>
        <v xml:space="preserve"> Tilt</v>
      </c>
      <c r="C52" s="23" t="str">
        <f>'Chem&amp;FertInputs&amp;CInsurance'!D64</f>
        <v>oz</v>
      </c>
      <c r="D52" s="116">
        <f>'Chem&amp;FertInputs&amp;CInsurance'!E64</f>
        <v>0.88549999999999995</v>
      </c>
      <c r="E52" s="133">
        <f>'Chem&amp;FertInputs&amp;CInsurance'!H64</f>
        <v>4</v>
      </c>
      <c r="F52" s="117">
        <f t="shared" ref="F52:F53" si="7">IF(D52*E52=0,"0",D52*E52)</f>
        <v>3.5419999999999998</v>
      </c>
      <c r="G52" s="165">
        <f t="shared" ref="G52:G53" si="8">E52/128</f>
        <v>3.125E-2</v>
      </c>
    </row>
    <row r="53" spans="1:7" ht="20">
      <c r="A53" s="15"/>
      <c r="B53" s="85" t="str">
        <f>'Chem&amp;FertInputs&amp;CInsurance'!C65</f>
        <v xml:space="preserve">Wildcard </v>
      </c>
      <c r="C53" s="23" t="str">
        <f>'Chem&amp;FertInputs&amp;CInsurance'!D65</f>
        <v>oz</v>
      </c>
      <c r="D53" s="116">
        <f>'Chem&amp;FertInputs&amp;CInsurance'!E65</f>
        <v>0.35649999999999998</v>
      </c>
      <c r="E53" s="133">
        <f>'Chem&amp;FertInputs&amp;CInsurance'!H65</f>
        <v>0</v>
      </c>
      <c r="F53" s="117" t="str">
        <f t="shared" si="7"/>
        <v>0</v>
      </c>
      <c r="G53" s="165">
        <f t="shared" si="8"/>
        <v>0</v>
      </c>
    </row>
    <row r="54" spans="1:7" ht="20">
      <c r="A54" s="15"/>
      <c r="B54" s="85" t="str">
        <f>'Chem&amp;FertInputs&amp;CInsurance'!C66</f>
        <v>Sharpen</v>
      </c>
      <c r="C54" s="23" t="str">
        <f>'Chem&amp;FertInputs&amp;CInsurance'!D66</f>
        <v>oz</v>
      </c>
      <c r="D54" s="116">
        <f>'Chem&amp;FertInputs&amp;CInsurance'!E66</f>
        <v>6.3134999999999994</v>
      </c>
      <c r="E54" s="133">
        <f>'Chem&amp;FertInputs&amp;CInsurance'!H66</f>
        <v>0</v>
      </c>
      <c r="F54" s="117" t="str">
        <f t="shared" si="0"/>
        <v>0</v>
      </c>
      <c r="G54" s="165">
        <f>E54/128</f>
        <v>0</v>
      </c>
    </row>
    <row r="55" spans="1:7" ht="20">
      <c r="A55" s="15"/>
      <c r="B55" s="85" t="str">
        <f>'Chem&amp;FertInputs&amp;CInsurance'!C67</f>
        <v>Sencor</v>
      </c>
      <c r="C55" s="23" t="str">
        <f>'Chem&amp;FertInputs&amp;CInsurance'!D67</f>
        <v>oz</v>
      </c>
      <c r="D55" s="116">
        <f>'Chem&amp;FertInputs&amp;CInsurance'!E67</f>
        <v>0.45999999999999996</v>
      </c>
      <c r="E55" s="133">
        <f>'Chem&amp;FertInputs&amp;CInsurance'!H67</f>
        <v>0</v>
      </c>
      <c r="F55" s="117" t="str">
        <f t="shared" si="0"/>
        <v>0</v>
      </c>
      <c r="G55" s="165">
        <f>E55/128</f>
        <v>0</v>
      </c>
    </row>
    <row r="56" spans="1:7" ht="20">
      <c r="A56" s="15"/>
      <c r="B56" s="85" t="str">
        <f>'Chem&amp;FertInputs&amp;CInsurance'!C68</f>
        <v>Warrior</v>
      </c>
      <c r="C56" s="23" t="str">
        <f>'Chem&amp;FertInputs&amp;CInsurance'!D68</f>
        <v>acre</v>
      </c>
      <c r="D56" s="116">
        <f>'Chem&amp;FertInputs&amp;CInsurance'!E68</f>
        <v>3.4499999999999997</v>
      </c>
      <c r="E56" s="133">
        <f>'Chem&amp;FertInputs&amp;CInsurance'!H68</f>
        <v>0</v>
      </c>
      <c r="F56" s="117" t="str">
        <f t="shared" si="0"/>
        <v>0</v>
      </c>
      <c r="G56" s="165">
        <f>E56/128</f>
        <v>0</v>
      </c>
    </row>
    <row r="57" spans="1:7" ht="20">
      <c r="A57" s="15"/>
      <c r="B57" s="85" t="str">
        <f>'Chem&amp;FertInputs&amp;CInsurance'!C69</f>
        <v xml:space="preserve"> Lorox</v>
      </c>
      <c r="C57" s="23" t="str">
        <f>'Chem&amp;FertInputs&amp;CInsurance'!D69</f>
        <v>lb</v>
      </c>
      <c r="D57" s="116">
        <f>'Chem&amp;FertInputs&amp;CInsurance'!E69</f>
        <v>26.565000000000001</v>
      </c>
      <c r="E57" s="133">
        <f>'Chem&amp;FertInputs&amp;CInsurance'!H69</f>
        <v>0</v>
      </c>
      <c r="F57" s="117" t="str">
        <f t="shared" si="0"/>
        <v>0</v>
      </c>
      <c r="G57" s="165">
        <f>E57/128</f>
        <v>0</v>
      </c>
    </row>
    <row r="58" spans="1:7" ht="20">
      <c r="A58" s="15"/>
      <c r="B58" s="85" t="str">
        <f>'Chem&amp;FertInputs&amp;CInsurance'!C70</f>
        <v xml:space="preserve"> Valor</v>
      </c>
      <c r="C58" s="23" t="str">
        <f>'Chem&amp;FertInputs&amp;CInsurance'!D70</f>
        <v>oz</v>
      </c>
      <c r="D58" s="116">
        <f>'Chem&amp;FertInputs&amp;CInsurance'!E70</f>
        <v>6.6124999999999998</v>
      </c>
      <c r="E58" s="133">
        <f>'Chem&amp;FertInputs&amp;CInsurance'!H70</f>
        <v>0</v>
      </c>
      <c r="F58" s="117" t="str">
        <f t="shared" ref="F58:F59" si="9">IF(D58*E58=0,"0",D58*E58)</f>
        <v>0</v>
      </c>
      <c r="G58" s="165">
        <f t="shared" ref="G58:G59" si="10">E58/128</f>
        <v>0</v>
      </c>
    </row>
    <row r="59" spans="1:7" ht="20">
      <c r="A59" s="15"/>
      <c r="B59" s="85" t="str">
        <f>'Chem&amp;FertInputs&amp;CInsurance'!C71</f>
        <v xml:space="preserve"> Diagon</v>
      </c>
      <c r="C59" s="23" t="str">
        <f>'Chem&amp;FertInputs&amp;CInsurance'!D71</f>
        <v>oz</v>
      </c>
      <c r="D59" s="116">
        <f>'Chem&amp;FertInputs&amp;CInsurance'!E71</f>
        <v>0.43699999999999994</v>
      </c>
      <c r="E59" s="133">
        <f>'Chem&amp;FertInputs&amp;CInsurance'!H71</f>
        <v>0</v>
      </c>
      <c r="F59" s="117" t="str">
        <f t="shared" si="9"/>
        <v>0</v>
      </c>
      <c r="G59" s="165">
        <f t="shared" si="10"/>
        <v>0</v>
      </c>
    </row>
    <row r="60" spans="1:7" ht="20">
      <c r="A60" s="15"/>
      <c r="B60" s="85" t="str">
        <f>'Chem&amp;FertInputs&amp;CInsurance'!C72</f>
        <v xml:space="preserve">Spartan </v>
      </c>
      <c r="C60" s="23" t="str">
        <f>'Chem&amp;FertInputs&amp;CInsurance'!D72</f>
        <v>oz</v>
      </c>
      <c r="D60" s="116">
        <f>'Chem&amp;FertInputs&amp;CInsurance'!E72</f>
        <v>2.0469999999999997</v>
      </c>
      <c r="E60" s="133">
        <f>'Chem&amp;FertInputs&amp;CInsurance'!H72</f>
        <v>0</v>
      </c>
      <c r="F60" s="117" t="str">
        <f t="shared" si="0"/>
        <v>0</v>
      </c>
      <c r="G60" s="165">
        <f>E60/128</f>
        <v>0</v>
      </c>
    </row>
    <row r="61" spans="1:7" ht="23">
      <c r="A61" s="15"/>
      <c r="B61" s="85" t="str">
        <f>'Chem&amp;FertInputs&amp;CInsurance'!C32</f>
        <v xml:space="preserve">Round Up </v>
      </c>
      <c r="C61" s="23" t="str">
        <f>'Chem&amp;FertInputs&amp;CInsurance'!D32</f>
        <v>oz</v>
      </c>
      <c r="D61" s="116">
        <f>'Chem&amp;FertInputs&amp;CInsurance'!E32</f>
        <v>0.14949999999999999</v>
      </c>
      <c r="E61" s="133">
        <f>'Chem&amp;FertInputs&amp;CInsurance'!H32</f>
        <v>36</v>
      </c>
      <c r="F61" s="117">
        <f t="shared" si="0"/>
        <v>5.3819999999999997</v>
      </c>
      <c r="G61" s="225">
        <f>E61/128</f>
        <v>0.28125</v>
      </c>
    </row>
    <row r="62" spans="1:7" ht="20">
      <c r="A62" s="15"/>
      <c r="B62" s="139" t="s">
        <v>86</v>
      </c>
      <c r="C62" s="23"/>
      <c r="D62" s="116"/>
      <c r="E62" s="133"/>
      <c r="F62" s="117"/>
      <c r="G62" s="165">
        <f>SUM(G14:G61)</f>
        <v>0.59257812499999996</v>
      </c>
    </row>
    <row r="63" spans="1:7" ht="20">
      <c r="A63" s="15"/>
      <c r="B63" s="125" t="str">
        <f>CustomRates!B5</f>
        <v>Aerial (Custom)</v>
      </c>
      <c r="C63" s="41" t="str">
        <f>CustomRates!C5</f>
        <v>acre</v>
      </c>
      <c r="D63" s="116">
        <f>CustomRates!F5</f>
        <v>8.9499999999999993</v>
      </c>
      <c r="E63" s="87">
        <f>CustomRates!F6</f>
        <v>0</v>
      </c>
      <c r="F63" s="117" t="str">
        <f t="shared" ref="F63:F70" si="11">IF(D63*E63=0,"0",D63*E63)</f>
        <v>0</v>
      </c>
    </row>
    <row r="64" spans="1:7" ht="20">
      <c r="A64" s="15"/>
      <c r="B64" s="125" t="str">
        <f>CustomRates!B7</f>
        <v>Sprayer (Rental 90')</v>
      </c>
      <c r="C64" s="41" t="str">
        <f>CustomRates!C7</f>
        <v>acre</v>
      </c>
      <c r="D64" s="116">
        <f>CustomRates!F7</f>
        <v>8</v>
      </c>
      <c r="E64" s="87">
        <f>CustomRates!F8</f>
        <v>1</v>
      </c>
      <c r="F64" s="117">
        <f t="shared" si="11"/>
        <v>8</v>
      </c>
    </row>
    <row r="65" spans="1:9" ht="20">
      <c r="A65" s="15"/>
      <c r="B65" s="125" t="str">
        <f>CustomRates!B9</f>
        <v>Fertilizer - Anhydrous Applicator (Rent)</v>
      </c>
      <c r="C65" s="41" t="str">
        <f>CustomRates!C9</f>
        <v>acre</v>
      </c>
      <c r="D65" s="116">
        <f>CustomRates!F9</f>
        <v>7</v>
      </c>
      <c r="E65" s="87">
        <f>CustomRates!F10</f>
        <v>0</v>
      </c>
      <c r="F65" s="117" t="str">
        <f t="shared" si="11"/>
        <v>0</v>
      </c>
    </row>
    <row r="66" spans="1:9" ht="20">
      <c r="A66" s="15"/>
      <c r="B66" s="125" t="str">
        <f>CustomRates!B11</f>
        <v>Fertilizer Applicator</v>
      </c>
      <c r="C66" s="41" t="str">
        <f>CustomRates!C11</f>
        <v>acre</v>
      </c>
      <c r="D66" s="116">
        <f>CustomRates!F11</f>
        <v>2</v>
      </c>
      <c r="E66" s="87">
        <f>CustomRates!F12</f>
        <v>0</v>
      </c>
      <c r="F66" s="117" t="str">
        <f t="shared" si="11"/>
        <v>0</v>
      </c>
    </row>
    <row r="67" spans="1:9" ht="20">
      <c r="A67" s="15"/>
      <c r="B67" s="125" t="str">
        <f>CustomRates!B13</f>
        <v>26' Rental Shredder</v>
      </c>
      <c r="C67" s="41" t="str">
        <f>CustomRates!C13</f>
        <v>acre</v>
      </c>
      <c r="D67" s="116">
        <f>CustomRates!F13</f>
        <v>10</v>
      </c>
      <c r="E67" s="87">
        <f>CustomRates!F14</f>
        <v>0</v>
      </c>
      <c r="F67" s="117" t="str">
        <f t="shared" si="11"/>
        <v>0</v>
      </c>
    </row>
    <row r="68" spans="1:9" ht="20">
      <c r="A68" s="15"/>
      <c r="B68" s="125" t="str">
        <f>CustomRates!B15</f>
        <v>36' Ripper Shooter</v>
      </c>
      <c r="C68" s="41" t="str">
        <f>CustomRates!C15</f>
        <v>acre</v>
      </c>
      <c r="D68" s="116">
        <f>CustomRates!F15</f>
        <v>2.5</v>
      </c>
      <c r="E68" s="87">
        <f>CustomRates!F16</f>
        <v>0</v>
      </c>
      <c r="F68" s="117" t="str">
        <f t="shared" si="11"/>
        <v>0</v>
      </c>
    </row>
    <row r="69" spans="1:9" ht="20">
      <c r="A69" s="15"/>
      <c r="B69" s="125" t="str">
        <f>CustomRates!B17</f>
        <v>Custom self-propelled sprayer</v>
      </c>
      <c r="C69" s="41" t="str">
        <f>CustomRates!C17</f>
        <v>acre</v>
      </c>
      <c r="D69" s="116">
        <f>CustomRates!F17</f>
        <v>8</v>
      </c>
      <c r="E69" s="87">
        <f>CustomRates!F18</f>
        <v>0</v>
      </c>
      <c r="F69" s="117" t="str">
        <f t="shared" si="11"/>
        <v>0</v>
      </c>
    </row>
    <row r="70" spans="1:9" ht="20">
      <c r="A70" s="15"/>
      <c r="B70" s="125" t="str">
        <f>CustomRates!B19</f>
        <v>Additional Operation #8 (Custom)</v>
      </c>
      <c r="C70" s="41" t="str">
        <f>CustomRates!C19</f>
        <v>acre</v>
      </c>
      <c r="D70" s="116">
        <f>CustomRates!F19</f>
        <v>0</v>
      </c>
      <c r="E70" s="87">
        <f>CustomRates!F20</f>
        <v>0</v>
      </c>
      <c r="F70" s="117" t="str">
        <f t="shared" si="11"/>
        <v>0</v>
      </c>
    </row>
    <row r="71" spans="1:9" ht="20">
      <c r="A71" s="15"/>
      <c r="B71" s="139" t="s">
        <v>87</v>
      </c>
      <c r="C71" s="41"/>
      <c r="D71" s="116"/>
      <c r="E71" s="116"/>
      <c r="F71" s="117"/>
      <c r="H71" s="1" t="s">
        <v>204</v>
      </c>
      <c r="I71" s="1" t="s">
        <v>135</v>
      </c>
    </row>
    <row r="72" spans="1:9" ht="20">
      <c r="A72" s="15"/>
      <c r="B72" s="85" t="str">
        <f>MachineAssumptions!B7&amp;" - Labor"</f>
        <v>Shredder - Labor</v>
      </c>
      <c r="C72" s="41" t="s">
        <v>246</v>
      </c>
      <c r="D72" s="116">
        <f>MachineAssumptions!$R$7</f>
        <v>1.4996591683708247</v>
      </c>
      <c r="E72" s="87">
        <f>FieldApplications!$E$6</f>
        <v>0</v>
      </c>
      <c r="F72" s="117" t="str">
        <f t="shared" ref="F72:F113" si="12">IF(D72*E72=0,"0",D72*E72)</f>
        <v>0</v>
      </c>
      <c r="H72" s="246">
        <f>MachineAssumptions!$R$28*E72</f>
        <v>0</v>
      </c>
      <c r="I72" s="166">
        <f>MachineAssumptions!$R$48*E72</f>
        <v>0</v>
      </c>
    </row>
    <row r="73" spans="1:9" ht="20">
      <c r="A73" s="15"/>
      <c r="B73" s="85" t="str">
        <f>MachineAssumptions!B7&amp;" - Fuel, Lube"</f>
        <v>Shredder - Fuel, Lube</v>
      </c>
      <c r="C73" s="41" t="s">
        <v>246</v>
      </c>
      <c r="D73" s="116">
        <f>MachineAssumptions!$S$7</f>
        <v>5.7486934787548281</v>
      </c>
      <c r="E73" s="87">
        <f>FieldApplications!$E$6</f>
        <v>0</v>
      </c>
      <c r="F73" s="117" t="str">
        <f t="shared" si="12"/>
        <v>0</v>
      </c>
      <c r="H73" s="246">
        <f>MachineAssumptions!$S$28*E73</f>
        <v>0</v>
      </c>
      <c r="I73" s="166">
        <f>MachineAssumptions!$S$48*E73</f>
        <v>0</v>
      </c>
    </row>
    <row r="74" spans="1:9" ht="20">
      <c r="A74" s="15"/>
      <c r="B74" s="85" t="str">
        <f>MachineAssumptions!B7&amp;" - Repairs"</f>
        <v>Shredder - Repairs</v>
      </c>
      <c r="C74" s="41" t="s">
        <v>246</v>
      </c>
      <c r="D74" s="116">
        <f>MachineAssumptions!$T$7</f>
        <v>0.46726721181997538</v>
      </c>
      <c r="E74" s="87">
        <f>FieldApplications!$E$6</f>
        <v>0</v>
      </c>
      <c r="F74" s="117" t="str">
        <f t="shared" si="12"/>
        <v>0</v>
      </c>
      <c r="H74" s="246">
        <f>MachineAssumptions!$T$28*E74</f>
        <v>0</v>
      </c>
      <c r="I74" s="166">
        <f>MachineAssumptions!$T$48*E74</f>
        <v>0</v>
      </c>
    </row>
    <row r="75" spans="1:9" ht="20">
      <c r="A75" s="15"/>
      <c r="B75" s="85" t="str">
        <f>MachineAssumptions!B8&amp;" - Labor"</f>
        <v>Harrow - Labor</v>
      </c>
      <c r="C75" s="41" t="s">
        <v>246</v>
      </c>
      <c r="D75" s="116">
        <f>MachineAssumptions!$R$8</f>
        <v>0.59412746734753996</v>
      </c>
      <c r="E75" s="87">
        <f>FieldApplications!$E$7</f>
        <v>0</v>
      </c>
      <c r="F75" s="117" t="str">
        <f t="shared" si="12"/>
        <v>0</v>
      </c>
      <c r="H75" s="246">
        <f>MachineAssumptions!$R$29*E75</f>
        <v>0</v>
      </c>
      <c r="I75" s="166">
        <f>MachineAssumptions!$R$49*E75</f>
        <v>0</v>
      </c>
    </row>
    <row r="76" spans="1:9" ht="20">
      <c r="A76" s="15"/>
      <c r="B76" s="85" t="str">
        <f>MachineAssumptions!B8&amp;" - Fuel, Lube"</f>
        <v>Harrow - Fuel, Lube</v>
      </c>
      <c r="C76" s="41" t="s">
        <v>246</v>
      </c>
      <c r="D76" s="116">
        <f>MachineAssumptions!$S$8</f>
        <v>2.4845330452715308</v>
      </c>
      <c r="E76" s="87">
        <f>FieldApplications!$E$7</f>
        <v>0</v>
      </c>
      <c r="F76" s="117" t="str">
        <f t="shared" si="12"/>
        <v>0</v>
      </c>
      <c r="H76" s="246">
        <f>MachineAssumptions!$S$29*E76</f>
        <v>0</v>
      </c>
      <c r="I76" s="166">
        <f>MachineAssumptions!$S$49*E76</f>
        <v>0</v>
      </c>
    </row>
    <row r="77" spans="1:9" ht="20">
      <c r="A77" s="15"/>
      <c r="B77" s="85" t="str">
        <f>MachineAssumptions!B8&amp;" - Repairs"</f>
        <v>Harrow - Repairs</v>
      </c>
      <c r="C77" s="41" t="s">
        <v>246</v>
      </c>
      <c r="D77" s="116">
        <f>MachineAssumptions!$T$8</f>
        <v>0.14755184964846621</v>
      </c>
      <c r="E77" s="87">
        <f>FieldApplications!$E$7</f>
        <v>0</v>
      </c>
      <c r="F77" s="117" t="str">
        <f t="shared" si="12"/>
        <v>0</v>
      </c>
      <c r="H77" s="246">
        <f>MachineAssumptions!$T$29*E77</f>
        <v>0</v>
      </c>
      <c r="I77" s="166">
        <f>MachineAssumptions!$T$49*E77</f>
        <v>0</v>
      </c>
    </row>
    <row r="78" spans="1:9" ht="20">
      <c r="A78" s="15"/>
      <c r="B78" s="85" t="str">
        <f>MachineAssumptions!B9&amp;" - Labor"</f>
        <v>Chisel plow - Labor</v>
      </c>
      <c r="C78" s="41" t="s">
        <v>246</v>
      </c>
      <c r="D78" s="116">
        <f>MachineAssumptions!$R$9</f>
        <v>0</v>
      </c>
      <c r="E78" s="87">
        <f>FieldApplications!$E$8</f>
        <v>0</v>
      </c>
      <c r="F78" s="117" t="str">
        <f t="shared" si="12"/>
        <v>0</v>
      </c>
      <c r="H78" s="246">
        <f>MachineAssumptions!$R$30*E78</f>
        <v>0</v>
      </c>
      <c r="I78" s="166">
        <f>MachineAssumptions!$R$50*E78</f>
        <v>0</v>
      </c>
    </row>
    <row r="79" spans="1:9" ht="20">
      <c r="A79" s="15"/>
      <c r="B79" s="85" t="str">
        <f>MachineAssumptions!B9&amp;" - Fuel, Lube"</f>
        <v>Chisel plow - Fuel, Lube</v>
      </c>
      <c r="C79" s="41" t="s">
        <v>246</v>
      </c>
      <c r="D79" s="116">
        <f>MachineAssumptions!$S$9</f>
        <v>0</v>
      </c>
      <c r="E79" s="87">
        <f>FieldApplications!$E$8</f>
        <v>0</v>
      </c>
      <c r="F79" s="117" t="str">
        <f t="shared" si="12"/>
        <v>0</v>
      </c>
      <c r="H79" s="246">
        <f>MachineAssumptions!$R$30*E79</f>
        <v>0</v>
      </c>
      <c r="I79" s="166">
        <f>MachineAssumptions!$S$50*E79</f>
        <v>0</v>
      </c>
    </row>
    <row r="80" spans="1:9" ht="20">
      <c r="A80" s="15"/>
      <c r="B80" s="85" t="str">
        <f>MachineAssumptions!B9&amp;" - Repairs"</f>
        <v>Chisel plow - Repairs</v>
      </c>
      <c r="C80" s="41" t="s">
        <v>246</v>
      </c>
      <c r="D80" s="116">
        <f>MachineAssumptions!$T$9</f>
        <v>0</v>
      </c>
      <c r="E80" s="87">
        <f>FieldApplications!$E$8</f>
        <v>0</v>
      </c>
      <c r="F80" s="117" t="str">
        <f t="shared" si="12"/>
        <v>0</v>
      </c>
      <c r="H80" s="246">
        <f>MachineAssumptions!$T$30*E80</f>
        <v>0</v>
      </c>
      <c r="I80" s="166">
        <f>MachineAssumptions!$T$50*E80</f>
        <v>0</v>
      </c>
    </row>
    <row r="81" spans="1:9" ht="20">
      <c r="A81" s="15"/>
      <c r="B81" s="85" t="str">
        <f>MachineAssumptions!B10&amp;" - Labor"</f>
        <v>Moldboard plow - Labor</v>
      </c>
      <c r="C81" s="41" t="s">
        <v>246</v>
      </c>
      <c r="D81" s="116">
        <f>MachineAssumptions!$R$10</f>
        <v>0</v>
      </c>
      <c r="E81" s="87">
        <f>FieldApplications!$E$9</f>
        <v>0</v>
      </c>
      <c r="F81" s="117" t="str">
        <f t="shared" si="12"/>
        <v>0</v>
      </c>
      <c r="H81" s="246">
        <f>MachineAssumptions!$R$31*E81</f>
        <v>0</v>
      </c>
      <c r="I81" s="166">
        <f>MachineAssumptions!$R$51*E81</f>
        <v>0</v>
      </c>
    </row>
    <row r="82" spans="1:9" ht="20">
      <c r="A82" s="15"/>
      <c r="B82" s="85" t="str">
        <f>MachineAssumptions!B10&amp;" - Fuel, Lube"</f>
        <v>Moldboard plow - Fuel, Lube</v>
      </c>
      <c r="C82" s="41" t="s">
        <v>246</v>
      </c>
      <c r="D82" s="116">
        <f>MachineAssumptions!$S$10</f>
        <v>0</v>
      </c>
      <c r="E82" s="87">
        <f>FieldApplications!$E$9</f>
        <v>0</v>
      </c>
      <c r="F82" s="117" t="str">
        <f t="shared" si="12"/>
        <v>0</v>
      </c>
      <c r="H82" s="246">
        <f>MachineAssumptions!$S$31*E82</f>
        <v>0</v>
      </c>
      <c r="I82" s="166">
        <f>MachineAssumptions!$S$51*E82</f>
        <v>0</v>
      </c>
    </row>
    <row r="83" spans="1:9" ht="20">
      <c r="A83" s="15"/>
      <c r="B83" s="85" t="str">
        <f>MachineAssumptions!B10&amp;" - Repairs"</f>
        <v>Moldboard plow - Repairs</v>
      </c>
      <c r="C83" s="41" t="s">
        <v>246</v>
      </c>
      <c r="D83" s="116">
        <f>MachineAssumptions!$T$10</f>
        <v>0</v>
      </c>
      <c r="E83" s="87">
        <f>FieldApplications!$E$9</f>
        <v>0</v>
      </c>
      <c r="F83" s="117" t="str">
        <f t="shared" si="12"/>
        <v>0</v>
      </c>
      <c r="H83" s="246">
        <f>MachineAssumptions!$T$31*E83</f>
        <v>0</v>
      </c>
      <c r="I83" s="166">
        <f>MachineAssumptions!$T$51*E83</f>
        <v>0</v>
      </c>
    </row>
    <row r="84" spans="1:9" ht="20">
      <c r="A84" s="15"/>
      <c r="B84" s="85" t="str">
        <f>MachineAssumptions!B11&amp;" - Labor"</f>
        <v>Cultivator - Labor</v>
      </c>
      <c r="C84" s="41" t="s">
        <v>246</v>
      </c>
      <c r="D84" s="116">
        <f>MachineAssumptions!$R$11</f>
        <v>0</v>
      </c>
      <c r="E84" s="87">
        <f>FieldApplications!$E$10</f>
        <v>0</v>
      </c>
      <c r="F84" s="117" t="str">
        <f t="shared" si="12"/>
        <v>0</v>
      </c>
      <c r="H84" s="246">
        <f>MachineAssumptions!$R$32*E84</f>
        <v>0</v>
      </c>
      <c r="I84" s="166">
        <f>MachineAssumptions!$R$52*E84</f>
        <v>0</v>
      </c>
    </row>
    <row r="85" spans="1:9" ht="20">
      <c r="A85" s="15"/>
      <c r="B85" s="85" t="str">
        <f>MachineAssumptions!B11&amp;" - Fuel, Lube"</f>
        <v>Cultivator - Fuel, Lube</v>
      </c>
      <c r="C85" s="41" t="s">
        <v>246</v>
      </c>
      <c r="D85" s="116">
        <f>MachineAssumptions!$S$11</f>
        <v>0</v>
      </c>
      <c r="E85" s="87">
        <f>FieldApplications!$E$10</f>
        <v>0</v>
      </c>
      <c r="F85" s="117" t="str">
        <f t="shared" si="12"/>
        <v>0</v>
      </c>
      <c r="H85" s="246">
        <f>MachineAssumptions!$S$32*E85</f>
        <v>0</v>
      </c>
      <c r="I85" s="166">
        <f>MachineAssumptions!$S$52*E85</f>
        <v>0</v>
      </c>
    </row>
    <row r="86" spans="1:9" ht="20">
      <c r="A86" s="15"/>
      <c r="B86" s="85" t="str">
        <f>MachineAssumptions!B11&amp;" - Repairs"</f>
        <v>Cultivator - Repairs</v>
      </c>
      <c r="C86" s="41" t="s">
        <v>246</v>
      </c>
      <c r="D86" s="116">
        <f>MachineAssumptions!$T$11</f>
        <v>0</v>
      </c>
      <c r="E86" s="87">
        <f>FieldApplications!$E$10</f>
        <v>0</v>
      </c>
      <c r="F86" s="117" t="str">
        <f t="shared" si="12"/>
        <v>0</v>
      </c>
      <c r="H86" s="246">
        <f>MachineAssumptions!$T$32*E86</f>
        <v>0</v>
      </c>
      <c r="I86" s="166">
        <f>MachineAssumptions!$T$52*E86</f>
        <v>0</v>
      </c>
    </row>
    <row r="87" spans="1:9" ht="20">
      <c r="A87" s="15"/>
      <c r="B87" s="85" t="str">
        <f>MachineAssumptions!B12&amp;" - Labor"</f>
        <v>Cultiweeder - Labor</v>
      </c>
      <c r="C87" s="41" t="s">
        <v>246</v>
      </c>
      <c r="D87" s="116">
        <f>MachineAssumptions!$R$12</f>
        <v>0</v>
      </c>
      <c r="E87" s="87">
        <f>FieldApplications!$E$11</f>
        <v>0</v>
      </c>
      <c r="F87" s="117" t="str">
        <f t="shared" si="12"/>
        <v>0</v>
      </c>
      <c r="H87" s="246">
        <f>MachineAssumptions!$R$33*E87</f>
        <v>0</v>
      </c>
      <c r="I87" s="166">
        <f>MachineAssumptions!$R$53*E87</f>
        <v>0</v>
      </c>
    </row>
    <row r="88" spans="1:9" ht="20">
      <c r="A88" s="15"/>
      <c r="B88" s="85" t="str">
        <f>MachineAssumptions!B12&amp;" - Fuel, Lube"</f>
        <v>Cultiweeder - Fuel, Lube</v>
      </c>
      <c r="C88" s="41" t="s">
        <v>246</v>
      </c>
      <c r="D88" s="116">
        <f>MachineAssumptions!$S$12</f>
        <v>0</v>
      </c>
      <c r="E88" s="87">
        <f>FieldApplications!$E$11</f>
        <v>0</v>
      </c>
      <c r="F88" s="117" t="str">
        <f t="shared" si="12"/>
        <v>0</v>
      </c>
      <c r="H88" s="246">
        <f>MachineAssumptions!$S$33*E88</f>
        <v>0</v>
      </c>
      <c r="I88" s="166">
        <f>MachineAssumptions!$S$53*E88</f>
        <v>0</v>
      </c>
    </row>
    <row r="89" spans="1:9" ht="20">
      <c r="A89" s="15"/>
      <c r="B89" s="85" t="str">
        <f>MachineAssumptions!B12&amp;" - Repairs"</f>
        <v>Cultiweeder - Repairs</v>
      </c>
      <c r="C89" s="41" t="s">
        <v>246</v>
      </c>
      <c r="D89" s="116">
        <f>MachineAssumptions!$T$12</f>
        <v>0</v>
      </c>
      <c r="E89" s="87">
        <f>FieldApplications!$E$11</f>
        <v>0</v>
      </c>
      <c r="F89" s="117" t="str">
        <f t="shared" si="12"/>
        <v>0</v>
      </c>
      <c r="H89" s="246">
        <f>MachineAssumptions!$T$33*E89</f>
        <v>0</v>
      </c>
      <c r="I89" s="166">
        <f>MachineAssumptions!$T$53*E89</f>
        <v>0</v>
      </c>
    </row>
    <row r="90" spans="1:9" ht="20">
      <c r="A90" s="15"/>
      <c r="B90" s="85" t="str">
        <f>MachineAssumptions!B13&amp;" - Labor"</f>
        <v>Drill - Labor</v>
      </c>
      <c r="C90" s="41" t="s">
        <v>246</v>
      </c>
      <c r="D90" s="116">
        <f>MachineAssumptions!$R$13</f>
        <v>1.6703109815354713</v>
      </c>
      <c r="E90" s="87">
        <f>FieldApplications!$E$12</f>
        <v>1</v>
      </c>
      <c r="F90" s="117">
        <f t="shared" si="12"/>
        <v>1.6703109815354713</v>
      </c>
      <c r="H90" s="246">
        <f>MachineAssumptions!$R$34*E90</f>
        <v>1.6703109815354713</v>
      </c>
      <c r="I90" s="166">
        <f>MachineAssumptions!$R$54*E90</f>
        <v>1.6703109815354713</v>
      </c>
    </row>
    <row r="91" spans="1:9" ht="20">
      <c r="A91" s="15"/>
      <c r="B91" s="85" t="str">
        <f>MachineAssumptions!B13&amp;" - Fuel, Lube"</f>
        <v>Drill - Fuel, Lube</v>
      </c>
      <c r="C91" s="41" t="s">
        <v>246</v>
      </c>
      <c r="D91" s="116">
        <f>MachineAssumptions!$S$13</f>
        <v>6.146744412050535</v>
      </c>
      <c r="E91" s="87">
        <f>FieldApplications!$E$12</f>
        <v>1</v>
      </c>
      <c r="F91" s="117">
        <f t="shared" si="12"/>
        <v>6.146744412050535</v>
      </c>
      <c r="H91" s="246">
        <f>MachineAssumptions!$S$34*E91</f>
        <v>6.146744412050535</v>
      </c>
      <c r="I91" s="166">
        <f>MachineAssumptions!$S$54*E91</f>
        <v>6.146744412050535</v>
      </c>
    </row>
    <row r="92" spans="1:9" ht="20">
      <c r="A92" s="15"/>
      <c r="B92" s="85" t="str">
        <f>MachineAssumptions!B13&amp;" - Repairs"</f>
        <v>Drill - Repairs</v>
      </c>
      <c r="C92" s="41" t="s">
        <v>246</v>
      </c>
      <c r="D92" s="116">
        <f>MachineAssumptions!$T$13</f>
        <v>5.740409656342587</v>
      </c>
      <c r="E92" s="87">
        <f>FieldApplications!$E$12</f>
        <v>1</v>
      </c>
      <c r="F92" s="117">
        <f t="shared" si="12"/>
        <v>5.740409656342587</v>
      </c>
      <c r="H92" s="246">
        <f>MachineAssumptions!$T$34*E92</f>
        <v>5.740409656342587</v>
      </c>
      <c r="I92" s="166">
        <f>MachineAssumptions!$T$54*E92</f>
        <v>5.740409656342587</v>
      </c>
    </row>
    <row r="93" spans="1:9" ht="20">
      <c r="A93" s="15"/>
      <c r="B93" s="85" t="str">
        <f>MachineAssumptions!B14&amp;" - Labor"</f>
        <v>Combine w/ 36' header - Labor</v>
      </c>
      <c r="C93" s="41" t="s">
        <v>246</v>
      </c>
      <c r="D93" s="116">
        <f>MachineAssumptions!$R$14</f>
        <v>1.9161092530657748</v>
      </c>
      <c r="E93" s="87">
        <f>FieldApplications!$E$13</f>
        <v>1</v>
      </c>
      <c r="F93" s="117">
        <f t="shared" si="12"/>
        <v>1.9161092530657748</v>
      </c>
      <c r="H93" s="246">
        <f>MachineAssumptions!$R$35*E93</f>
        <v>1.9161092530657748</v>
      </c>
      <c r="I93" s="166">
        <f>MachineAssumptions!$R$55*E93</f>
        <v>1.9161092530657748</v>
      </c>
    </row>
    <row r="94" spans="1:9" ht="20">
      <c r="A94" s="15"/>
      <c r="B94" s="85" t="str">
        <f>MachineAssumptions!B14&amp;" - Fuel, Lube"</f>
        <v>Combine w/ 36' header - Fuel, Lube</v>
      </c>
      <c r="C94" s="41" t="s">
        <v>246</v>
      </c>
      <c r="D94" s="116">
        <f>MachineAssumptions!$S$14</f>
        <v>7.0512820512820511</v>
      </c>
      <c r="E94" s="87">
        <f>FieldApplications!$E$13</f>
        <v>1</v>
      </c>
      <c r="F94" s="117">
        <f t="shared" si="12"/>
        <v>7.0512820512820511</v>
      </c>
      <c r="H94" s="246">
        <f>MachineAssumptions!$S$35*E94</f>
        <v>7.0512820512820511</v>
      </c>
      <c r="I94" s="166">
        <f>MachineAssumptions!$S$55*E94</f>
        <v>7.0512820512820511</v>
      </c>
    </row>
    <row r="95" spans="1:9" ht="20">
      <c r="A95" s="15"/>
      <c r="B95" s="85" t="str">
        <f>MachineAssumptions!B14&amp;" - Repairs"</f>
        <v>Combine w/ 36' header - Repairs</v>
      </c>
      <c r="C95" s="41" t="s">
        <v>246</v>
      </c>
      <c r="D95" s="116">
        <f>MachineAssumptions!$T$14</f>
        <v>6.4258281801385913</v>
      </c>
      <c r="E95" s="87">
        <f>FieldApplications!$E$13</f>
        <v>1</v>
      </c>
      <c r="F95" s="117">
        <f t="shared" si="12"/>
        <v>6.4258281801385913</v>
      </c>
      <c r="H95" s="246">
        <f>MachineAssumptions!$T$35*E95</f>
        <v>6.4258281801385913</v>
      </c>
      <c r="I95" s="166">
        <f>MachineAssumptions!$T$55*E95</f>
        <v>4.0416300769413871</v>
      </c>
    </row>
    <row r="96" spans="1:9" ht="20">
      <c r="A96" s="15"/>
      <c r="B96" s="85" t="str">
        <f>MachineAssumptions!B16&amp;" - Labor"</f>
        <v>Fertilizer Spreader - Labor</v>
      </c>
      <c r="C96" s="41" t="s">
        <v>246</v>
      </c>
      <c r="D96" s="116">
        <f>MachineAssumptions!$R$16</f>
        <v>0</v>
      </c>
      <c r="E96" s="87">
        <f>FieldApplications!$E$14</f>
        <v>0</v>
      </c>
      <c r="F96" s="117" t="str">
        <f t="shared" si="12"/>
        <v>0</v>
      </c>
      <c r="H96" s="246">
        <f>MachineAssumptions!$R$36*E96</f>
        <v>0</v>
      </c>
      <c r="I96" s="166">
        <f>MachineAssumptions!$R$56*E96</f>
        <v>0</v>
      </c>
    </row>
    <row r="97" spans="1:9" ht="20">
      <c r="A97" s="15"/>
      <c r="B97" s="85" t="str">
        <f>MachineAssumptions!B16&amp;" - Fuel, Lube"</f>
        <v>Fertilizer Spreader - Fuel, Lube</v>
      </c>
      <c r="C97" s="41" t="s">
        <v>246</v>
      </c>
      <c r="D97" s="116">
        <f>MachineAssumptions!$S$16</f>
        <v>0</v>
      </c>
      <c r="E97" s="87">
        <f>FieldApplications!$E$14</f>
        <v>0</v>
      </c>
      <c r="F97" s="117" t="str">
        <f t="shared" si="12"/>
        <v>0</v>
      </c>
      <c r="H97" s="246">
        <f>MachineAssumptions!$S$36*E97</f>
        <v>0</v>
      </c>
      <c r="I97" s="166">
        <f>MachineAssumptions!$S$56*E97</f>
        <v>0</v>
      </c>
    </row>
    <row r="98" spans="1:9" ht="20">
      <c r="A98" s="15"/>
      <c r="B98" s="85" t="str">
        <f>MachineAssumptions!B16&amp;" - Repairs"</f>
        <v>Fertilizer Spreader - Repairs</v>
      </c>
      <c r="C98" s="41" t="s">
        <v>246</v>
      </c>
      <c r="D98" s="116">
        <f>MachineAssumptions!$T$16</f>
        <v>0</v>
      </c>
      <c r="E98" s="87">
        <f>FieldApplications!$E$14</f>
        <v>0</v>
      </c>
      <c r="F98" s="117" t="str">
        <f t="shared" si="12"/>
        <v>0</v>
      </c>
      <c r="H98" s="246">
        <f>MachineAssumptions!$T$36*E98</f>
        <v>0</v>
      </c>
      <c r="I98" s="166">
        <f>MachineAssumptions!$T$56*E98</f>
        <v>0</v>
      </c>
    </row>
    <row r="99" spans="1:9" ht="20">
      <c r="A99" s="15"/>
      <c r="B99" s="85" t="str">
        <f>MachineAssumptions!B17&amp;" - Labor"</f>
        <v>Fertilizer tanks and pump - Labor</v>
      </c>
      <c r="C99" s="41" t="s">
        <v>246</v>
      </c>
      <c r="D99" s="116">
        <f>MachineAssumptions!$R$17</f>
        <v>2.2448979591836737</v>
      </c>
      <c r="E99" s="87">
        <f>FieldApplications!$E$15</f>
        <v>1</v>
      </c>
      <c r="F99" s="117">
        <f t="shared" si="12"/>
        <v>2.2448979591836737</v>
      </c>
      <c r="H99" s="246">
        <f>MachineAssumptions!$R$37*E99</f>
        <v>2.2448979591836737</v>
      </c>
      <c r="I99" s="166">
        <f>MachineAssumptions!$R$57*E99</f>
        <v>2.2448979591836737</v>
      </c>
    </row>
    <row r="100" spans="1:9" ht="20">
      <c r="A100" s="15"/>
      <c r="B100" s="85" t="str">
        <f>MachineAssumptions!B17&amp;" - Fuel, Lube"</f>
        <v>Fertilizer tanks and pump - Fuel, Lube</v>
      </c>
      <c r="C100" s="41" t="s">
        <v>246</v>
      </c>
      <c r="D100" s="116">
        <f>MachineAssumptions!$S$17</f>
        <v>9.387755102040817</v>
      </c>
      <c r="E100" s="87">
        <f>FieldApplications!$E$15</f>
        <v>1</v>
      </c>
      <c r="F100" s="117">
        <f t="shared" si="12"/>
        <v>9.387755102040817</v>
      </c>
      <c r="H100" s="246">
        <f>MachineAssumptions!$S$37*E100</f>
        <v>9.387755102040817</v>
      </c>
      <c r="I100" s="166">
        <f>MachineAssumptions!$S$57*E100</f>
        <v>9.387755102040817</v>
      </c>
    </row>
    <row r="101" spans="1:9" ht="20">
      <c r="A101" s="15"/>
      <c r="B101" s="85" t="str">
        <f>MachineAssumptions!B17&amp;" - Repairs"</f>
        <v>Fertilizer tanks and pump - Repairs</v>
      </c>
      <c r="C101" s="41" t="s">
        <v>246</v>
      </c>
      <c r="D101" s="116">
        <f>MachineAssumptions!$T$17</f>
        <v>0</v>
      </c>
      <c r="E101" s="87">
        <f>FieldApplications!$E$15</f>
        <v>1</v>
      </c>
      <c r="F101" s="117" t="str">
        <f t="shared" si="12"/>
        <v>0</v>
      </c>
      <c r="H101" s="246">
        <f>MachineAssumptions!$T$37*E101</f>
        <v>0</v>
      </c>
      <c r="I101" s="166">
        <f>MachineAssumptions!$T$57*E101</f>
        <v>0</v>
      </c>
    </row>
    <row r="102" spans="1:9" ht="20">
      <c r="A102" s="15"/>
      <c r="B102" s="85" t="str">
        <f>MachineAssumptions!B18&amp;" - Labor"</f>
        <v>Boom sprayer - Labor</v>
      </c>
      <c r="C102" s="41" t="s">
        <v>246</v>
      </c>
      <c r="D102" s="116">
        <f>MachineAssumptions!$R$18</f>
        <v>0.4708120318630365</v>
      </c>
      <c r="E102" s="87">
        <f>FieldApplications!$E$16</f>
        <v>3</v>
      </c>
      <c r="F102" s="117">
        <f t="shared" si="12"/>
        <v>1.4124360955891095</v>
      </c>
      <c r="H102" s="246">
        <f>MachineAssumptions!$R$38*E102</f>
        <v>1.4124360955891095</v>
      </c>
      <c r="I102" s="166">
        <f>MachineAssumptions!$R$58*E102</f>
        <v>1.4124360955891095</v>
      </c>
    </row>
    <row r="103" spans="1:9" ht="20">
      <c r="A103" s="15"/>
      <c r="B103" s="85" t="str">
        <f>MachineAssumptions!B18&amp;" - Fuel, Lube"</f>
        <v>Boom sprayer - Fuel, Lube</v>
      </c>
      <c r="C103" s="41" t="s">
        <v>246</v>
      </c>
      <c r="D103" s="116">
        <f>MachineAssumptions!$S$18</f>
        <v>1.8047794554749732</v>
      </c>
      <c r="E103" s="87">
        <f>FieldApplications!$E$16</f>
        <v>3</v>
      </c>
      <c r="F103" s="117">
        <f t="shared" si="12"/>
        <v>5.4143383664249196</v>
      </c>
      <c r="H103" s="246">
        <f>MachineAssumptions!$S$38*E103</f>
        <v>5.4143383664249196</v>
      </c>
      <c r="I103" s="166">
        <f>MachineAssumptions!$S$58*E103</f>
        <v>5.4143383664249196</v>
      </c>
    </row>
    <row r="104" spans="1:9" ht="20">
      <c r="A104" s="15"/>
      <c r="B104" s="85" t="str">
        <f>MachineAssumptions!B18&amp;" - Repairs"</f>
        <v>Boom sprayer - Repairs</v>
      </c>
      <c r="C104" s="41" t="s">
        <v>246</v>
      </c>
      <c r="D104" s="116">
        <f>MachineAssumptions!$T$18</f>
        <v>0.49795949063219769</v>
      </c>
      <c r="E104" s="87">
        <f>FieldApplications!$E$16</f>
        <v>3</v>
      </c>
      <c r="F104" s="117">
        <f t="shared" si="12"/>
        <v>1.493878471896593</v>
      </c>
      <c r="H104" s="246">
        <f>MachineAssumptions!$T$38*E104</f>
        <v>1.5084005569154613</v>
      </c>
      <c r="I104" s="166">
        <f>MachineAssumptions!$T$58*E104</f>
        <v>1.3532484858048683</v>
      </c>
    </row>
    <row r="105" spans="1:9" ht="20">
      <c r="A105" s="15"/>
      <c r="B105" s="85" t="str">
        <f>MachineAssumptions!B15&amp;" - Labor"</f>
        <v>Bankout Wagon - Labor</v>
      </c>
      <c r="C105" s="41" t="s">
        <v>246</v>
      </c>
      <c r="D105" s="116">
        <f>MachineAssumptions!$R$15</f>
        <v>1.6861761426978819</v>
      </c>
      <c r="E105" s="87">
        <f t="shared" ref="E105:E113" si="13">IF($E$93&gt;0,1,0)</f>
        <v>1</v>
      </c>
      <c r="F105" s="117">
        <f t="shared" si="12"/>
        <v>1.6861761426978819</v>
      </c>
      <c r="H105" s="246">
        <f>MachineAssumptions!$R$39*E105</f>
        <v>1.6861761426978819</v>
      </c>
      <c r="I105" s="166">
        <f>MachineAssumptions!$R$59*E105</f>
        <v>1.6861761426978819</v>
      </c>
    </row>
    <row r="106" spans="1:9" ht="20">
      <c r="A106" s="15"/>
      <c r="B106" s="85" t="str">
        <f>MachineAssumptions!B15&amp;" - Fuel, Lube"</f>
        <v>Bankout Wagon - Fuel, Lube</v>
      </c>
      <c r="C106" s="41" t="s">
        <v>246</v>
      </c>
      <c r="D106" s="116">
        <f>MachineAssumptions!$S$15</f>
        <v>7.0512820512820511</v>
      </c>
      <c r="E106" s="87">
        <f t="shared" si="13"/>
        <v>1</v>
      </c>
      <c r="F106" s="117">
        <f t="shared" si="12"/>
        <v>7.0512820512820511</v>
      </c>
      <c r="H106" s="246">
        <f>MachineAssumptions!$S$39*E106</f>
        <v>7.0512820512820511</v>
      </c>
      <c r="I106" s="166">
        <f>MachineAssumptions!$S$59*E106</f>
        <v>7.0512820512820511</v>
      </c>
    </row>
    <row r="107" spans="1:9" ht="20">
      <c r="A107" s="15"/>
      <c r="B107" s="85" t="str">
        <f>MachineAssumptions!B15&amp;" - Repairs"</f>
        <v>Bankout Wagon - Repairs</v>
      </c>
      <c r="C107" s="41" t="s">
        <v>246</v>
      </c>
      <c r="D107" s="116">
        <f>MachineAssumptions!$T$15</f>
        <v>0.5058930256896228</v>
      </c>
      <c r="E107" s="87">
        <f t="shared" si="13"/>
        <v>1</v>
      </c>
      <c r="F107" s="117">
        <f t="shared" si="12"/>
        <v>0.5058930256896228</v>
      </c>
      <c r="H107" s="246">
        <f>MachineAssumptions!$T$39*E107</f>
        <v>0.5058930256896228</v>
      </c>
      <c r="I107" s="166">
        <f>MachineAssumptions!$T$59*E107</f>
        <v>0.43525361955195507</v>
      </c>
    </row>
    <row r="108" spans="1:9" ht="20">
      <c r="A108" s="15"/>
      <c r="B108" s="85" t="str">
        <f>MachineAssumptions!B19&amp;" - Labor"</f>
        <v>Tandem Axle Truck  - Labor</v>
      </c>
      <c r="C108" s="41" t="s">
        <v>246</v>
      </c>
      <c r="D108" s="116">
        <f>MachineAssumptions!$R$19</f>
        <v>3.6</v>
      </c>
      <c r="E108" s="87">
        <f t="shared" si="13"/>
        <v>1</v>
      </c>
      <c r="F108" s="117">
        <f t="shared" si="12"/>
        <v>3.6</v>
      </c>
      <c r="H108" s="246">
        <f>MachineAssumptions!$R$40*E108</f>
        <v>3.6</v>
      </c>
      <c r="I108" s="166">
        <f>MachineAssumptions!$R$60*E108</f>
        <v>3.6</v>
      </c>
    </row>
    <row r="109" spans="1:9" ht="20">
      <c r="A109" s="15"/>
      <c r="B109" s="85" t="str">
        <f>MachineAssumptions!B19&amp;" - Fuel, Lube"</f>
        <v>Tandem Axle Truck  - Fuel, Lube</v>
      </c>
      <c r="C109" s="41" t="s">
        <v>246</v>
      </c>
      <c r="D109" s="116">
        <f>MachineAssumptions!$S$19</f>
        <v>1.1499999999999999</v>
      </c>
      <c r="E109" s="87">
        <f t="shared" si="13"/>
        <v>1</v>
      </c>
      <c r="F109" s="117">
        <f t="shared" si="12"/>
        <v>1.1499999999999999</v>
      </c>
      <c r="H109" s="246">
        <f>MachineAssumptions!$S$40*E109</f>
        <v>1.1499999999999999</v>
      </c>
      <c r="I109" s="166">
        <f>MachineAssumptions!$S$60*E109</f>
        <v>1.1499999999999999</v>
      </c>
    </row>
    <row r="110" spans="1:9" ht="20">
      <c r="A110" s="15"/>
      <c r="B110" s="85" t="str">
        <f>MachineAssumptions!B19&amp;" - Repairs"</f>
        <v>Tandem Axle Truck  - Repairs</v>
      </c>
      <c r="C110" s="41" t="s">
        <v>246</v>
      </c>
      <c r="D110" s="116">
        <f>MachineAssumptions!$T$19</f>
        <v>0.8</v>
      </c>
      <c r="E110" s="87">
        <f t="shared" si="13"/>
        <v>1</v>
      </c>
      <c r="F110" s="117">
        <f t="shared" si="12"/>
        <v>0.8</v>
      </c>
      <c r="H110" s="246">
        <f>MachineAssumptions!$T$40*E110</f>
        <v>0.8</v>
      </c>
      <c r="I110" s="166">
        <f>MachineAssumptions!$T$60*E110</f>
        <v>0.8</v>
      </c>
    </row>
    <row r="111" spans="1:9" ht="20">
      <c r="A111" s="15"/>
      <c r="B111" s="85" t="str">
        <f>MachineAssumptions!B20&amp;" - Labor"</f>
        <v>Tandem Axle Truck  - Labor</v>
      </c>
      <c r="C111" s="41" t="s">
        <v>246</v>
      </c>
      <c r="D111" s="116">
        <f>MachineAssumptions!$R$20</f>
        <v>3.6</v>
      </c>
      <c r="E111" s="87">
        <f t="shared" si="13"/>
        <v>1</v>
      </c>
      <c r="F111" s="117">
        <f t="shared" si="12"/>
        <v>3.6</v>
      </c>
      <c r="H111" s="416">
        <f>MachineAssumptions!$R$41*E111</f>
        <v>3.6</v>
      </c>
      <c r="I111" s="369">
        <f>MachineAssumptions!$R$61*E111</f>
        <v>3.6</v>
      </c>
    </row>
    <row r="112" spans="1:9" ht="20">
      <c r="A112" s="15"/>
      <c r="B112" s="85" t="str">
        <f>MachineAssumptions!B20&amp;" - Fuel, Lube"</f>
        <v>Tandem Axle Truck  - Fuel, Lube</v>
      </c>
      <c r="C112" s="41" t="s">
        <v>246</v>
      </c>
      <c r="D112" s="116">
        <f>MachineAssumptions!$S$20</f>
        <v>1.72</v>
      </c>
      <c r="E112" s="87">
        <f t="shared" si="13"/>
        <v>1</v>
      </c>
      <c r="F112" s="117">
        <f t="shared" si="12"/>
        <v>1.72</v>
      </c>
      <c r="H112" s="416">
        <f>MachineAssumptions!$S$41*E112</f>
        <v>1.72</v>
      </c>
      <c r="I112" s="369">
        <f>MachineAssumptions!$S$61*E112</f>
        <v>1.72</v>
      </c>
    </row>
    <row r="113" spans="1:13" ht="23">
      <c r="A113" s="15"/>
      <c r="B113" s="85" t="str">
        <f>MachineAssumptions!B20&amp;" - Repairs"</f>
        <v>Tandem Axle Truck  - Repairs</v>
      </c>
      <c r="C113" s="41" t="s">
        <v>246</v>
      </c>
      <c r="D113" s="116">
        <f>MachineAssumptions!$T$20</f>
        <v>0.8</v>
      </c>
      <c r="E113" s="87">
        <f t="shared" si="13"/>
        <v>1</v>
      </c>
      <c r="F113" s="117">
        <f t="shared" si="12"/>
        <v>0.8</v>
      </c>
      <c r="H113" s="248">
        <f>MachineAssumptions!$T$41*E113</f>
        <v>0.8</v>
      </c>
      <c r="I113" s="247">
        <f>MachineAssumptions!$T$61*E113</f>
        <v>0.8</v>
      </c>
    </row>
    <row r="114" spans="1:13" ht="21">
      <c r="A114" s="15"/>
      <c r="B114" s="139" t="s">
        <v>88</v>
      </c>
      <c r="C114" s="41"/>
      <c r="D114" s="116"/>
      <c r="E114" s="87"/>
      <c r="F114" s="117"/>
      <c r="H114" s="249">
        <f>SUM(H74:H113)</f>
        <v>69.831863834238547</v>
      </c>
      <c r="I114" s="249">
        <f>SUM(I74:I113)</f>
        <v>67.221874253793075</v>
      </c>
    </row>
    <row r="115" spans="1:13" ht="20">
      <c r="A115" s="15"/>
      <c r="B115" s="85" t="str">
        <f>'Chem&amp;FertInputs&amp;CInsurance'!B73</f>
        <v>Crop Insurance</v>
      </c>
      <c r="C115" s="23" t="str">
        <f>'Chem&amp;FertInputs&amp;CInsurance'!D73</f>
        <v>acre</v>
      </c>
      <c r="D115" s="116">
        <f>'Chem&amp;FertInputs&amp;CInsurance'!H73</f>
        <v>16</v>
      </c>
      <c r="E115" s="87">
        <v>1</v>
      </c>
      <c r="F115" s="117">
        <f>IF(D115*E115=0,"0",D115*E115)</f>
        <v>16</v>
      </c>
      <c r="H115" s="1" t="s">
        <v>181</v>
      </c>
      <c r="I115" s="1" t="s">
        <v>181</v>
      </c>
    </row>
    <row r="116" spans="1:13" ht="20">
      <c r="A116" s="15"/>
      <c r="B116" s="85" t="s">
        <v>29</v>
      </c>
      <c r="C116" s="41" t="s">
        <v>83</v>
      </c>
      <c r="D116" s="111">
        <f>MachineAssumptions!D25</f>
        <v>0.05</v>
      </c>
      <c r="E116" s="87"/>
      <c r="F116" s="117">
        <f>SUM(F8:F115)*D116</f>
        <v>11.330684587460983</v>
      </c>
      <c r="G116" s="1" t="s">
        <v>111</v>
      </c>
      <c r="H116" s="49">
        <f>(SUM($F8:$F70)+$F115+SUM(H72:H113))*$D116</f>
        <v>11.331410691711927</v>
      </c>
      <c r="I116" s="49">
        <f>(SUM($F8:$F70)+$F115+SUM(I72:I113))*$D116</f>
        <v>11.200911212689654</v>
      </c>
      <c r="J116" s="49">
        <f>F72+F75+F78+F81+F84+F87+F90+F93+F96+F99+F102+F105+F108+F111</f>
        <v>16.129930432071912</v>
      </c>
      <c r="K116" s="1" t="s">
        <v>111</v>
      </c>
    </row>
    <row r="117" spans="1:13" ht="20">
      <c r="A117" s="15"/>
      <c r="B117" s="85" t="s">
        <v>84</v>
      </c>
      <c r="C117" s="41" t="s">
        <v>83</v>
      </c>
      <c r="D117" s="111">
        <f>MachineAssumptions!D26</f>
        <v>6.7500000000000004E-2</v>
      </c>
      <c r="E117" s="112"/>
      <c r="F117" s="118">
        <f>SUM(F8:F116)*(D117/12*MachineAssumptions!D27)</f>
        <v>12.045934052044457</v>
      </c>
      <c r="G117" s="1" t="s">
        <v>4</v>
      </c>
      <c r="H117" s="49">
        <f>(SUM(F8:F70)+(F115+F116+H114))*((D117/12)*MachineAssumptions!D27)</f>
        <v>12.046669232598539</v>
      </c>
      <c r="I117" s="49">
        <f>(SUM(F8:F70)+(F115+F116+I114))*((D117/12)*MachineAssumptions!D27)</f>
        <v>11.914538510088487</v>
      </c>
      <c r="J117" s="49">
        <f>F73+F76+F79+F82+F85+F88+F91+F94+F97+F100+F103+F106+F109+F112</f>
        <v>37.921401983080372</v>
      </c>
      <c r="K117" s="1" t="s">
        <v>4</v>
      </c>
    </row>
    <row r="118" spans="1:13" ht="20">
      <c r="A118" s="15"/>
      <c r="B118" s="14" t="s">
        <v>85</v>
      </c>
      <c r="C118" s="29"/>
      <c r="D118" s="141"/>
      <c r="E118" s="142"/>
      <c r="F118" s="143">
        <f>SUM(F8:F117)</f>
        <v>249.99031038872508</v>
      </c>
      <c r="G118" s="1" t="s">
        <v>112</v>
      </c>
      <c r="J118" s="49">
        <f>F74+F77+F80+F83+F86+F89+F92+F95+F98+F101+F104+F107+F110+F113</f>
        <v>15.766009334067396</v>
      </c>
      <c r="K118" s="1" t="s">
        <v>112</v>
      </c>
      <c r="L118" s="49">
        <f>H74+H77+H80+H83+H86+H89+H92+H95+H98+H101+H104+H107+H110+H113</f>
        <v>15.780531419086264</v>
      </c>
      <c r="M118" s="49">
        <f>I74+I77+I80+I83+I86+I89+I92+I95+I98+I101+I104+I107+I110+I113</f>
        <v>13.1705418386408</v>
      </c>
    </row>
    <row r="119" spans="1:13">
      <c r="A119" s="15"/>
      <c r="B119" s="113"/>
      <c r="C119" s="113"/>
      <c r="D119" s="113"/>
      <c r="E119" s="114"/>
      <c r="F119" s="115"/>
      <c r="H119" s="115"/>
      <c r="J119" s="49">
        <f>SUM(J116:J118)</f>
        <v>69.817341749219679</v>
      </c>
      <c r="K119" s="115"/>
    </row>
    <row r="120" spans="1:13" ht="20">
      <c r="A120" s="15"/>
      <c r="B120" s="132" t="s">
        <v>89</v>
      </c>
      <c r="C120" s="19" t="s">
        <v>2</v>
      </c>
      <c r="D120" s="20" t="s">
        <v>12</v>
      </c>
      <c r="E120" s="21" t="s">
        <v>13</v>
      </c>
      <c r="F120" s="45" t="s">
        <v>0</v>
      </c>
      <c r="H120" s="1" t="s">
        <v>136</v>
      </c>
      <c r="I120" s="1" t="s">
        <v>139</v>
      </c>
    </row>
    <row r="121" spans="1:13" ht="20">
      <c r="A121" s="15"/>
      <c r="B121" s="18" t="str">
        <f>MachineAssumptions!B7&amp;" - Replacement Costs"</f>
        <v>Shredder - Replacement Costs</v>
      </c>
      <c r="C121" s="41" t="str">
        <f>C72</f>
        <v>acre</v>
      </c>
      <c r="D121" s="34">
        <f>MachineAssumptions!U7</f>
        <v>4.3329737628911431</v>
      </c>
      <c r="E121" s="145">
        <f>E72</f>
        <v>0</v>
      </c>
      <c r="F121" s="42" t="str">
        <f t="shared" ref="F121:F134" si="14">IF(D121*E121=0,"0",D121*E121)</f>
        <v>0</v>
      </c>
      <c r="H121" s="166">
        <f>MachineAssumptions!U28*E121</f>
        <v>0</v>
      </c>
      <c r="I121" s="166">
        <f>MachineAssumptions!U48*E121</f>
        <v>0</v>
      </c>
    </row>
    <row r="122" spans="1:13" ht="20">
      <c r="A122" s="15"/>
      <c r="B122" s="18" t="str">
        <f>MachineAssumptions!B8&amp;" - Replacement Costs"</f>
        <v>Harrow - Replacement Costs</v>
      </c>
      <c r="C122" s="41" t="str">
        <f>C75</f>
        <v>acre</v>
      </c>
      <c r="D122" s="34">
        <f>MachineAssumptions!U8</f>
        <v>1.1988479209967022</v>
      </c>
      <c r="E122" s="145">
        <f>E75</f>
        <v>0</v>
      </c>
      <c r="F122" s="42" t="str">
        <f t="shared" si="14"/>
        <v>0</v>
      </c>
      <c r="H122" s="166">
        <f>MachineAssumptions!U29*E122</f>
        <v>0</v>
      </c>
      <c r="I122" s="166">
        <f>MachineAssumptions!U49*E122</f>
        <v>0</v>
      </c>
    </row>
    <row r="123" spans="1:13" ht="20">
      <c r="A123" s="15"/>
      <c r="B123" s="18" t="str">
        <f>MachineAssumptions!B9&amp;" - Replacement Costs"</f>
        <v>Chisel plow - Replacement Costs</v>
      </c>
      <c r="C123" s="41" t="str">
        <f>C78</f>
        <v>acre</v>
      </c>
      <c r="D123" s="34">
        <f>MachineAssumptions!U9</f>
        <v>0</v>
      </c>
      <c r="E123" s="145">
        <f>E78</f>
        <v>0</v>
      </c>
      <c r="F123" s="42" t="str">
        <f t="shared" si="14"/>
        <v>0</v>
      </c>
      <c r="H123" s="166">
        <f>MachineAssumptions!U30*E123</f>
        <v>0</v>
      </c>
      <c r="I123" s="166">
        <f>MachineAssumptions!U50*E123</f>
        <v>0</v>
      </c>
    </row>
    <row r="124" spans="1:13" ht="20">
      <c r="A124" s="15"/>
      <c r="B124" s="18" t="str">
        <f>MachineAssumptions!B10&amp;" - Replacement Costs"</f>
        <v>Moldboard plow - Replacement Costs</v>
      </c>
      <c r="C124" s="41" t="str">
        <f>C81</f>
        <v>acre</v>
      </c>
      <c r="D124" s="34">
        <f>MachineAssumptions!U10</f>
        <v>0</v>
      </c>
      <c r="E124" s="145">
        <f>E81</f>
        <v>0</v>
      </c>
      <c r="F124" s="42" t="str">
        <f t="shared" si="14"/>
        <v>0</v>
      </c>
      <c r="H124" s="166">
        <f>MachineAssumptions!U31*E124</f>
        <v>0</v>
      </c>
      <c r="I124" s="166">
        <f>MachineAssumptions!U51*E124</f>
        <v>0</v>
      </c>
    </row>
    <row r="125" spans="1:13" ht="20">
      <c r="A125" s="15"/>
      <c r="B125" s="18" t="str">
        <f>MachineAssumptions!B11&amp;" - Replacement Costs"</f>
        <v>Cultivator - Replacement Costs</v>
      </c>
      <c r="C125" s="41" t="str">
        <f t="shared" ref="C125:C126" si="15">C82</f>
        <v>acre</v>
      </c>
      <c r="D125" s="34">
        <f>MachineAssumptions!U11</f>
        <v>0</v>
      </c>
      <c r="E125" s="145">
        <f>E84</f>
        <v>0</v>
      </c>
      <c r="F125" s="42" t="str">
        <f t="shared" si="14"/>
        <v>0</v>
      </c>
      <c r="H125" s="166">
        <f>MachineAssumptions!U32*E125</f>
        <v>0</v>
      </c>
      <c r="I125" s="166">
        <f>MachineAssumptions!U52*E125</f>
        <v>0</v>
      </c>
    </row>
    <row r="126" spans="1:13" ht="20">
      <c r="A126" s="15"/>
      <c r="B126" s="18" t="str">
        <f>MachineAssumptions!B12&amp;" - Replacement Costs"</f>
        <v>Cultiweeder - Replacement Costs</v>
      </c>
      <c r="C126" s="41" t="str">
        <f t="shared" si="15"/>
        <v>acre</v>
      </c>
      <c r="D126" s="34">
        <f>MachineAssumptions!U12</f>
        <v>0</v>
      </c>
      <c r="E126" s="145">
        <f>E87</f>
        <v>0</v>
      </c>
      <c r="F126" s="42" t="str">
        <f t="shared" si="14"/>
        <v>0</v>
      </c>
      <c r="H126" s="166">
        <f>MachineAssumptions!U33*E126</f>
        <v>0</v>
      </c>
      <c r="I126" s="166">
        <f>MachineAssumptions!U53*E126</f>
        <v>0</v>
      </c>
    </row>
    <row r="127" spans="1:13" ht="20">
      <c r="A127" s="15"/>
      <c r="B127" s="18" t="str">
        <f>MachineAssumptions!B13&amp;" - Replacement Costs"</f>
        <v>Drill - Replacement Costs</v>
      </c>
      <c r="C127" s="41" t="str">
        <f>C90</f>
        <v>acre</v>
      </c>
      <c r="D127" s="34">
        <f>MachineAssumptions!U13</f>
        <v>7.2419265221735989</v>
      </c>
      <c r="E127" s="145">
        <f>E90</f>
        <v>1</v>
      </c>
      <c r="F127" s="42">
        <f t="shared" si="14"/>
        <v>7.2419265221735989</v>
      </c>
      <c r="H127" s="166">
        <f>MachineAssumptions!U34*E127</f>
        <v>7.2419265221735989</v>
      </c>
      <c r="I127" s="166">
        <f>MachineAssumptions!U54*E127</f>
        <v>7.2419265221735989</v>
      </c>
    </row>
    <row r="128" spans="1:13" ht="20">
      <c r="A128" s="15"/>
      <c r="B128" s="18" t="str">
        <f>MachineAssumptions!B14&amp;" - Replacement Costs"</f>
        <v>Combine w/ 36' header - Replacement Costs</v>
      </c>
      <c r="C128" s="41" t="str">
        <f>C93</f>
        <v>acre</v>
      </c>
      <c r="D128" s="34">
        <f>MachineAssumptions!U14</f>
        <v>9.7031999999999989</v>
      </c>
      <c r="E128" s="145">
        <f>E93</f>
        <v>1</v>
      </c>
      <c r="F128" s="42">
        <f t="shared" si="14"/>
        <v>9.7031999999999989</v>
      </c>
      <c r="H128" s="166">
        <f>MachineAssumptions!U35*E128</f>
        <v>9.7031999999999989</v>
      </c>
      <c r="I128" s="166">
        <f>MachineAssumptions!U55*E128</f>
        <v>9.7032000000000007</v>
      </c>
    </row>
    <row r="129" spans="1:9" ht="20">
      <c r="A129" s="15"/>
      <c r="B129" s="18" t="str">
        <f>MachineAssumptions!B16&amp;" - Replacement Costs"</f>
        <v>Fertilizer Spreader - Replacement Costs</v>
      </c>
      <c r="C129" s="41" t="str">
        <f>C96</f>
        <v>acre</v>
      </c>
      <c r="D129" s="34">
        <f>MachineAssumptions!U16</f>
        <v>0</v>
      </c>
      <c r="E129" s="145">
        <f>E96</f>
        <v>0</v>
      </c>
      <c r="F129" s="42" t="str">
        <f t="shared" si="14"/>
        <v>0</v>
      </c>
      <c r="H129" s="166">
        <f>MachineAssumptions!U36*E129</f>
        <v>0</v>
      </c>
      <c r="I129" s="166">
        <f>MachineAssumptions!U56*E129</f>
        <v>0</v>
      </c>
    </row>
    <row r="130" spans="1:9" ht="20">
      <c r="A130" s="15"/>
      <c r="B130" s="18" t="str">
        <f>MachineAssumptions!B17&amp;" - Replacement Costs"</f>
        <v>Fertilizer tanks and pump - Replacement Costs</v>
      </c>
      <c r="C130" s="41" t="str">
        <f>C99</f>
        <v>acre</v>
      </c>
      <c r="D130" s="34">
        <f>MachineAssumptions!U17</f>
        <v>0.6</v>
      </c>
      <c r="E130" s="145">
        <f>E99</f>
        <v>1</v>
      </c>
      <c r="F130" s="42">
        <f t="shared" si="14"/>
        <v>0.6</v>
      </c>
      <c r="H130" s="166">
        <f>MachineAssumptions!U37*E130</f>
        <v>0.6</v>
      </c>
      <c r="I130" s="166">
        <f>MachineAssumptions!U57*E130</f>
        <v>0.6</v>
      </c>
    </row>
    <row r="131" spans="1:9" ht="20">
      <c r="A131" s="15"/>
      <c r="B131" s="18" t="str">
        <f>MachineAssumptions!B18&amp;" - Replacement Costs"</f>
        <v>Boom sprayer - Replacement Costs</v>
      </c>
      <c r="C131" s="41" t="str">
        <f>C102</f>
        <v>acre</v>
      </c>
      <c r="D131" s="34">
        <f>MachineAssumptions!U18</f>
        <v>0.80913316225248511</v>
      </c>
      <c r="E131" s="145">
        <f>E102</f>
        <v>3</v>
      </c>
      <c r="F131" s="42">
        <f t="shared" si="14"/>
        <v>2.4273994867574551</v>
      </c>
      <c r="H131" s="166">
        <f>MachineAssumptions!U38*E131</f>
        <v>2.4270356342009749</v>
      </c>
      <c r="I131" s="166">
        <f>MachineAssumptions!U58*E131</f>
        <v>2.4273994867574551</v>
      </c>
    </row>
    <row r="132" spans="1:9" ht="20">
      <c r="A132" s="15"/>
      <c r="B132" s="18" t="str">
        <f>MachineAssumptions!B15&amp;" - Replacement Costs"</f>
        <v>Bankout Wagon - Replacement Costs</v>
      </c>
      <c r="C132" s="41" t="str">
        <f>C105</f>
        <v>acre</v>
      </c>
      <c r="D132" s="34">
        <f>MachineAssumptions!U15</f>
        <v>2.9461434675395459</v>
      </c>
      <c r="E132" s="145">
        <f>E105</f>
        <v>1</v>
      </c>
      <c r="F132" s="42">
        <f t="shared" si="14"/>
        <v>2.9461434675395459</v>
      </c>
      <c r="H132" s="166">
        <f>MachineAssumptions!U39*E132</f>
        <v>2.9461434675395459</v>
      </c>
      <c r="I132" s="166">
        <f>MachineAssumptions!U59*E132</f>
        <v>2.9461434675395459</v>
      </c>
    </row>
    <row r="133" spans="1:9" ht="20">
      <c r="A133" s="15"/>
      <c r="B133" s="18" t="str">
        <f>MachineAssumptions!B19&amp;" - Replacement Costs"</f>
        <v>Tandem Axle Truck  - Replacement Costs</v>
      </c>
      <c r="C133" s="41" t="str">
        <f>C108</f>
        <v>acre</v>
      </c>
      <c r="D133" s="34">
        <f>MachineAssumptions!U19</f>
        <v>0.64</v>
      </c>
      <c r="E133" s="145">
        <f>E108</f>
        <v>1</v>
      </c>
      <c r="F133" s="42">
        <f t="shared" si="14"/>
        <v>0.64</v>
      </c>
      <c r="H133" s="166">
        <f>MachineAssumptions!U40*E133</f>
        <v>0.64</v>
      </c>
      <c r="I133" s="166">
        <f>MachineAssumptions!U60*E133</f>
        <v>0.64</v>
      </c>
    </row>
    <row r="134" spans="1:9" ht="23">
      <c r="A134" s="15"/>
      <c r="B134" s="18" t="str">
        <f>MachineAssumptions!B20&amp;" - Replacement Costs"</f>
        <v>Tandem Axle Truck  - Replacement Costs</v>
      </c>
      <c r="C134" s="41" t="str">
        <f t="shared" ref="C134" si="16">C111</f>
        <v>acre</v>
      </c>
      <c r="D134" s="34">
        <f>MachineAssumptions!U20</f>
        <v>0.64</v>
      </c>
      <c r="E134" s="145">
        <f t="shared" ref="E134" si="17">E111</f>
        <v>1</v>
      </c>
      <c r="F134" s="43">
        <f t="shared" si="14"/>
        <v>0.64</v>
      </c>
      <c r="H134" s="247">
        <f>MachineAssumptions!U41*E134</f>
        <v>0.64</v>
      </c>
      <c r="I134" s="247">
        <f>MachineAssumptions!U61*E134</f>
        <v>0.64</v>
      </c>
    </row>
    <row r="135" spans="1:9" ht="20">
      <c r="A135" s="15"/>
      <c r="B135" s="144" t="s">
        <v>38</v>
      </c>
      <c r="C135" s="29"/>
      <c r="D135" s="30"/>
      <c r="E135" s="29"/>
      <c r="F135" s="46">
        <f>SUM(F121:F134)</f>
        <v>24.198669476470602</v>
      </c>
      <c r="H135" s="46">
        <f t="shared" ref="H135:I135" si="18">SUM(H121:H134)</f>
        <v>24.198305623914123</v>
      </c>
      <c r="I135" s="46">
        <f t="shared" si="18"/>
        <v>24.198669476470602</v>
      </c>
    </row>
    <row r="136" spans="1:9" ht="20">
      <c r="A136" s="15"/>
      <c r="B136" s="16"/>
      <c r="C136" s="16"/>
      <c r="D136" s="17"/>
      <c r="E136" s="16"/>
      <c r="F136" s="113"/>
    </row>
    <row r="137" spans="1:9" ht="20">
      <c r="A137" s="15"/>
      <c r="B137" s="14" t="s">
        <v>31</v>
      </c>
      <c r="C137" s="29"/>
      <c r="D137" s="30"/>
      <c r="E137" s="29"/>
      <c r="F137" s="47">
        <f>F118+F135</f>
        <v>274.18897986519568</v>
      </c>
      <c r="H137" s="47">
        <f>SUM(F16:F70)+H114+F115+H116+H117+H135+F8+(H9*D9)+(H10*D10)+(H11*D11)+(H12*D12)+(H13*D13)+(H14*D14)+(H15*D15)</f>
        <v>274.20459938246313</v>
      </c>
      <c r="I137" s="47">
        <f>SUM(F16:F70)+I114+F115+I116+I117+I135+F8+(I9*D9)+(I10*D10)+(I11*D11)+(I12*D12)+(I13*D13)+(I14*D14)+(I15*D15)</f>
        <v>271.3323434530418</v>
      </c>
    </row>
    <row r="138" spans="1:9" ht="21">
      <c r="A138" s="15"/>
      <c r="B138" s="31" t="s">
        <v>32</v>
      </c>
      <c r="C138" s="32"/>
      <c r="D138" s="33"/>
      <c r="E138" s="32"/>
      <c r="F138" s="48">
        <f>F5-F137</f>
        <v>593.81102013480427</v>
      </c>
      <c r="H138" s="250">
        <f>H5-H137</f>
        <v>621.79540061753687</v>
      </c>
      <c r="I138" s="250">
        <f>I5-I137</f>
        <v>652.66765654695814</v>
      </c>
    </row>
    <row r="139" spans="1:9">
      <c r="A139" s="15"/>
    </row>
    <row r="140" spans="1:9">
      <c r="A140" s="15"/>
    </row>
    <row r="141" spans="1:9">
      <c r="A141" s="15"/>
    </row>
  </sheetData>
  <mergeCells count="1">
    <mergeCell ref="B2:F2"/>
  </mergeCells>
  <pageMargins left="0.7" right="0.7" top="0.75" bottom="0.75" header="0.3" footer="0.3"/>
  <pageSetup scale="27" orientation="portrait" r:id="rId1"/>
  <ignoredErrors>
    <ignoredError sqref="B3:F3 B63:F70 B114:F114 B135:F138 B121:C134 E121:F134 B2 B72:B113 D72:F113 H60:I61 C13:G13 B61:F61 C14:F14 H16:I31 H33:I40 H42:I51 H54:I57 B54:F57 B42:F51 B33:F40 B21:F31 B60:F60 B16:G20 G60 B32:G32 G21:G31 B41:G41 G33:G40 B52:G53 G42:G51 B58:G59 G54:G57 B4:F5 B116:F120 B115:D115 E115:F115 C9:G9 C10:G10 C11:G11 C12:G12 C15:G15 B9:B15" unlockedFormula="1"/>
    <ignoredError sqref="D121:D134" formula="1" unlocked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692B8-D53B-1C43-B14C-797F729C2F30}">
  <sheetPr codeName="Sheet24">
    <pageSetUpPr fitToPage="1"/>
  </sheetPr>
  <dimension ref="A1:AH138"/>
  <sheetViews>
    <sheetView zoomScale="120" zoomScaleNormal="120" workbookViewId="0">
      <selection activeCell="B2" sqref="B2:F2"/>
    </sheetView>
  </sheetViews>
  <sheetFormatPr baseColWidth="10" defaultColWidth="11.5" defaultRowHeight="15"/>
  <cols>
    <col min="1" max="1" width="4.83203125" style="1" customWidth="1"/>
    <col min="2" max="2" width="57.83203125" style="1" customWidth="1"/>
    <col min="3" max="6" width="12.83203125" style="1" customWidth="1"/>
    <col min="7" max="15" width="11.5" style="1" hidden="1" customWidth="1"/>
    <col min="16" max="32" width="0" style="1" hidden="1" customWidth="1"/>
    <col min="33" max="16384" width="11.5" style="1"/>
  </cols>
  <sheetData>
    <row r="1" spans="1:34" ht="20">
      <c r="A1" s="352" t="s">
        <v>8</v>
      </c>
      <c r="B1" s="27"/>
      <c r="C1" s="16"/>
      <c r="D1" s="17"/>
      <c r="E1" s="16"/>
      <c r="F1" s="16"/>
    </row>
    <row r="2" spans="1:34" ht="20">
      <c r="A2" s="15"/>
      <c r="B2" s="807" t="str">
        <f>'Prices_Yields&amp;SeedInputs'!B8&amp;", Cash Costs and Returns of Producing, $/acre."</f>
        <v>DN Spring Wheat after Forage Crop, Cash Costs and Returns of Producing, $/acre.</v>
      </c>
      <c r="C2" s="807"/>
      <c r="D2" s="807"/>
      <c r="E2" s="807"/>
      <c r="F2" s="807"/>
    </row>
    <row r="3" spans="1:34" ht="23">
      <c r="A3" s="15"/>
      <c r="B3" s="28" t="s">
        <v>11</v>
      </c>
      <c r="C3" s="24" t="s">
        <v>2</v>
      </c>
      <c r="D3" s="25" t="s">
        <v>12</v>
      </c>
      <c r="E3" s="26" t="s">
        <v>13</v>
      </c>
      <c r="F3" s="26" t="s">
        <v>0</v>
      </c>
      <c r="H3" s="1" t="str">
        <f>'Prices_Yields&amp;SeedInputs'!F3</f>
        <v>Incremental Rotation</v>
      </c>
      <c r="I3" s="1" t="str">
        <f>'Prices_Yields&amp;SeedInputs'!G3</f>
        <v>Aspirational Rotation</v>
      </c>
      <c r="AG3" s="674"/>
      <c r="AH3" s="674"/>
    </row>
    <row r="4" spans="1:34" ht="20">
      <c r="A4" s="15"/>
      <c r="B4" s="127" t="str">
        <f>'Prices_Yields&amp;SeedInputs'!B8</f>
        <v>DN Spring Wheat after Forage Crop</v>
      </c>
      <c r="C4" s="22" t="str">
        <f>'Prices_Yields&amp;SeedInputs'!C8</f>
        <v>bu</v>
      </c>
      <c r="D4" s="17">
        <f>'Prices_Yields&amp;SeedInputs'!D8</f>
        <v>14</v>
      </c>
      <c r="E4" s="90">
        <f>'Prices_Yields&amp;SeedInputs'!E8</f>
        <v>62</v>
      </c>
      <c r="F4" s="35">
        <f>D4*E4</f>
        <v>868</v>
      </c>
      <c r="AG4" s="674"/>
      <c r="AH4" s="674"/>
    </row>
    <row r="5" spans="1:34" ht="20">
      <c r="A5" s="15"/>
      <c r="B5" s="14" t="s">
        <v>14</v>
      </c>
      <c r="C5" s="29"/>
      <c r="D5" s="30"/>
      <c r="E5" s="29"/>
      <c r="F5" s="46">
        <f>SUM(F4:F4)</f>
        <v>868</v>
      </c>
      <c r="H5" s="1">
        <f>D4*'Prices_Yields&amp;SeedInputs'!F8</f>
        <v>896</v>
      </c>
      <c r="I5" s="69">
        <f>D4*'Prices_Yields&amp;SeedInputs'!G8</f>
        <v>924</v>
      </c>
      <c r="AG5" s="674"/>
      <c r="AH5" s="674"/>
    </row>
    <row r="6" spans="1:34" ht="20">
      <c r="A6" s="15"/>
      <c r="B6" s="16"/>
      <c r="C6" s="16"/>
      <c r="D6" s="17"/>
      <c r="E6" s="16"/>
      <c r="F6" s="44"/>
    </row>
    <row r="7" spans="1:34" ht="20">
      <c r="A7" s="15"/>
      <c r="B7" s="132" t="s">
        <v>37</v>
      </c>
      <c r="C7" s="19" t="s">
        <v>2</v>
      </c>
      <c r="D7" s="20" t="s">
        <v>12</v>
      </c>
      <c r="E7" s="21" t="s">
        <v>13</v>
      </c>
      <c r="F7" s="45" t="s">
        <v>0</v>
      </c>
    </row>
    <row r="8" spans="1:34" ht="20">
      <c r="A8" s="15"/>
      <c r="B8" s="85" t="s">
        <v>169</v>
      </c>
      <c r="C8" s="119" t="str">
        <f>'Prices_Yields&amp;SeedInputs'!H8</f>
        <v>pound</v>
      </c>
      <c r="D8" s="120">
        <f>'Prices_Yields&amp;SeedInputs'!I8</f>
        <v>0.3</v>
      </c>
      <c r="E8" s="121">
        <f>'Prices_Yields&amp;SeedInputs'!J8</f>
        <v>100</v>
      </c>
      <c r="F8" s="117">
        <f t="shared" ref="F8:F61" si="0">IF(D8*E8=0,"0",D8*E8)</f>
        <v>30</v>
      </c>
    </row>
    <row r="9" spans="1:34" ht="20">
      <c r="A9" s="15"/>
      <c r="B9" s="85" t="str">
        <f>'Chem&amp;FertInputs&amp;CInsurance'!B6</f>
        <v>Fertilizer - Nitrogen-</v>
      </c>
      <c r="C9" s="23" t="str">
        <f>'Chem&amp;FertInputs&amp;CInsurance'!D6</f>
        <v>pound</v>
      </c>
      <c r="D9" s="116">
        <f>'Chem&amp;FertInputs&amp;CInsurance'!E6</f>
        <v>0.48749999999999999</v>
      </c>
      <c r="E9" s="133">
        <f>'Chem&amp;FertInputs&amp;CInsurance'!I6</f>
        <v>0</v>
      </c>
      <c r="F9" s="117" t="str">
        <f t="shared" si="0"/>
        <v>0</v>
      </c>
      <c r="H9" s="1">
        <f>'Chem&amp;FertInputs&amp;CInsurance'!I7</f>
        <v>0</v>
      </c>
      <c r="I9" s="1">
        <f>'Chem&amp;FertInputs&amp;CInsurance'!I8</f>
        <v>0</v>
      </c>
    </row>
    <row r="10" spans="1:34" ht="20">
      <c r="A10" s="15"/>
      <c r="B10" s="85" t="str">
        <f>'Chem&amp;FertInputs&amp;CInsurance'!B9</f>
        <v>Fertilizer - Anhydrous Ammonia-</v>
      </c>
      <c r="C10" s="23" t="str">
        <f>'Chem&amp;FertInputs&amp;CInsurance'!D9</f>
        <v>pound</v>
      </c>
      <c r="D10" s="116">
        <f>'Chem&amp;FertInputs&amp;CInsurance'!E9</f>
        <v>0.75770000000000004</v>
      </c>
      <c r="E10" s="133">
        <f>'Chem&amp;FertInputs&amp;CInsurance'!I9</f>
        <v>0</v>
      </c>
      <c r="F10" s="117" t="str">
        <f t="shared" si="0"/>
        <v>0</v>
      </c>
      <c r="H10" s="1">
        <f>'Chem&amp;FertInputs&amp;CInsurance'!I10</f>
        <v>0</v>
      </c>
      <c r="I10" s="1">
        <f>'Chem&amp;FertInputs&amp;CInsurance'!I11</f>
        <v>0</v>
      </c>
    </row>
    <row r="11" spans="1:34" ht="20">
      <c r="A11" s="15"/>
      <c r="B11" s="85" t="str">
        <f>'Chem&amp;FertInputs&amp;CInsurance'!B12</f>
        <v xml:space="preserve">Fertilizer - Phosphorus- </v>
      </c>
      <c r="C11" s="23" t="str">
        <f>'Chem&amp;FertInputs&amp;CInsurance'!D12</f>
        <v>pound</v>
      </c>
      <c r="D11" s="116">
        <f>'Chem&amp;FertInputs&amp;CInsurance'!E12</f>
        <v>0.47499999999999998</v>
      </c>
      <c r="E11" s="133">
        <f>'Chem&amp;FertInputs&amp;CInsurance'!I12</f>
        <v>0</v>
      </c>
      <c r="F11" s="117" t="str">
        <f t="shared" si="0"/>
        <v>0</v>
      </c>
      <c r="H11" s="1">
        <f>'Chem&amp;FertInputs&amp;CInsurance'!I13</f>
        <v>0</v>
      </c>
      <c r="I11" s="1">
        <f>'Chem&amp;FertInputs&amp;CInsurance'!I14</f>
        <v>0</v>
      </c>
    </row>
    <row r="12" spans="1:34" ht="20">
      <c r="A12" s="15"/>
      <c r="B12" s="85" t="str">
        <f>'Chem&amp;FertInputs&amp;CInsurance'!B15</f>
        <v>Fertilizer - Potassium-</v>
      </c>
      <c r="C12" s="23" t="str">
        <f>'Chem&amp;FertInputs&amp;CInsurance'!D15</f>
        <v>pound</v>
      </c>
      <c r="D12" s="116">
        <f>'Chem&amp;FertInputs&amp;CInsurance'!E15</f>
        <v>0.441</v>
      </c>
      <c r="E12" s="133">
        <f>'Chem&amp;FertInputs&amp;CInsurance'!I15</f>
        <v>0</v>
      </c>
      <c r="F12" s="117" t="str">
        <f t="shared" si="0"/>
        <v>0</v>
      </c>
      <c r="H12" s="1">
        <f>'Chem&amp;FertInputs&amp;CInsurance'!I16</f>
        <v>0</v>
      </c>
      <c r="I12" s="1">
        <f>'Chem&amp;FertInputs&amp;CInsurance'!I17</f>
        <v>0</v>
      </c>
    </row>
    <row r="13" spans="1:34" ht="20">
      <c r="A13" s="15"/>
      <c r="B13" s="85" t="str">
        <f>'Chem&amp;FertInputs&amp;CInsurance'!B18</f>
        <v>Fertilizer - Sulfur-</v>
      </c>
      <c r="C13" s="23" t="str">
        <f>'Chem&amp;FertInputs&amp;CInsurance'!D18</f>
        <v>pound</v>
      </c>
      <c r="D13" s="116">
        <f>'Chem&amp;FertInputs&amp;CInsurance'!E18</f>
        <v>0.2555</v>
      </c>
      <c r="E13" s="133">
        <f>'Chem&amp;FertInputs&amp;CInsurance'!I18</f>
        <v>0</v>
      </c>
      <c r="F13" s="117" t="str">
        <f t="shared" si="0"/>
        <v>0</v>
      </c>
      <c r="H13" s="1">
        <f>'Chem&amp;FertInputs&amp;CInsurance'!I19</f>
        <v>0</v>
      </c>
      <c r="I13" s="1">
        <f>'Chem&amp;FertInputs&amp;CInsurance'!I20</f>
        <v>0</v>
      </c>
    </row>
    <row r="14" spans="1:34" ht="20">
      <c r="A14" s="15"/>
      <c r="B14" s="85" t="str">
        <f>'Chem&amp;FertInputs&amp;CInsurance'!B21</f>
        <v>Adjuvant - Ammonium Sulfate liquid-</v>
      </c>
      <c r="C14" s="23" t="str">
        <f>'Chem&amp;FertInputs&amp;CInsurance'!D21</f>
        <v>oz</v>
      </c>
      <c r="D14" s="116">
        <f>'Chem&amp;FertInputs&amp;CInsurance'!E21</f>
        <v>0.48</v>
      </c>
      <c r="E14" s="133">
        <f>'Chem&amp;FertInputs&amp;CInsurance'!I21</f>
        <v>0</v>
      </c>
      <c r="F14" s="117" t="str">
        <f t="shared" ref="F14:F20" si="1">IF(D14*E14=0,"0",D14*E14)</f>
        <v>0</v>
      </c>
      <c r="G14" s="165">
        <f>E14/128</f>
        <v>0</v>
      </c>
      <c r="H14" s="1">
        <f>'Chem&amp;FertInputs&amp;CInsurance'!I22</f>
        <v>0</v>
      </c>
      <c r="I14" s="1">
        <f>'Chem&amp;FertInputs&amp;CInsurance'!I23</f>
        <v>0</v>
      </c>
    </row>
    <row r="15" spans="1:34" ht="20">
      <c r="A15" s="15"/>
      <c r="B15" s="85" t="str">
        <f>'Chem&amp;FertInputs&amp;CInsurance'!B24</f>
        <v>Adjuvant - Ammonium Sulfate  (other)-</v>
      </c>
      <c r="C15" s="23" t="str">
        <f>'Chem&amp;FertInputs&amp;CInsurance'!D24</f>
        <v>pound</v>
      </c>
      <c r="D15" s="116">
        <f>'Chem&amp;FertInputs&amp;CInsurance'!E24</f>
        <v>0.71</v>
      </c>
      <c r="E15" s="133">
        <f>'Chem&amp;FertInputs&amp;CInsurance'!I24</f>
        <v>0</v>
      </c>
      <c r="F15" s="117" t="str">
        <f t="shared" si="1"/>
        <v>0</v>
      </c>
      <c r="G15" s="165">
        <f>E15/16</f>
        <v>0</v>
      </c>
      <c r="H15" s="1">
        <f>'Chem&amp;FertInputs&amp;CInsurance'!I25</f>
        <v>0</v>
      </c>
      <c r="I15" s="1">
        <f>'Chem&amp;FertInputs&amp;CInsurance'!I26</f>
        <v>0</v>
      </c>
    </row>
    <row r="16" spans="1:34" ht="20">
      <c r="A16" s="15"/>
      <c r="B16" s="85" t="str">
        <f>'Chem&amp;FertInputs&amp;CInsurance'!C27</f>
        <v xml:space="preserve">crop oil concentrate </v>
      </c>
      <c r="C16" s="23" t="str">
        <f>'Chem&amp;FertInputs&amp;CInsurance'!D27</f>
        <v>pint</v>
      </c>
      <c r="D16" s="116">
        <f>'Chem&amp;FertInputs&amp;CInsurance'!E27</f>
        <v>1.6559999999999999</v>
      </c>
      <c r="E16" s="133">
        <f>'Chem&amp;FertInputs&amp;CInsurance'!I27</f>
        <v>0</v>
      </c>
      <c r="F16" s="117" t="str">
        <f t="shared" si="1"/>
        <v>0</v>
      </c>
      <c r="G16" s="165">
        <f>E16/8</f>
        <v>0</v>
      </c>
    </row>
    <row r="17" spans="1:7" ht="20">
      <c r="A17" s="15"/>
      <c r="B17" s="85" t="str">
        <f>'Chem&amp;FertInputs&amp;CInsurance'!C28</f>
        <v>In-place</v>
      </c>
      <c r="C17" s="23" t="str">
        <f>'Chem&amp;FertInputs&amp;CInsurance'!D28</f>
        <v>oz</v>
      </c>
      <c r="D17" s="116">
        <f>'Chem&amp;FertInputs&amp;CInsurance'!E28</f>
        <v>0.35649999999999998</v>
      </c>
      <c r="E17" s="133">
        <f>'Chem&amp;FertInputs&amp;CInsurance'!I28</f>
        <v>0</v>
      </c>
      <c r="F17" s="117" t="str">
        <f t="shared" si="1"/>
        <v>0</v>
      </c>
      <c r="G17" s="165">
        <f>E17/128</f>
        <v>0</v>
      </c>
    </row>
    <row r="18" spans="1:7" ht="20">
      <c r="A18" s="15"/>
      <c r="B18" s="85" t="str">
        <f>'Chem&amp;FertInputs&amp;CInsurance'!C29</f>
        <v xml:space="preserve">M90 </v>
      </c>
      <c r="C18" s="23" t="str">
        <f>'Chem&amp;FertInputs&amp;CInsurance'!D29</f>
        <v>oz</v>
      </c>
      <c r="D18" s="116">
        <f>'Chem&amp;FertInputs&amp;CInsurance'!E29</f>
        <v>0.253</v>
      </c>
      <c r="E18" s="133">
        <f>'Chem&amp;FertInputs&amp;CInsurance'!I29</f>
        <v>0</v>
      </c>
      <c r="F18" s="117" t="str">
        <f t="shared" si="1"/>
        <v>0</v>
      </c>
      <c r="G18" s="165">
        <f>E18/128</f>
        <v>0</v>
      </c>
    </row>
    <row r="19" spans="1:7" ht="20">
      <c r="A19" s="15"/>
      <c r="B19" s="85" t="str">
        <f>'Chem&amp;FertInputs&amp;CInsurance'!C30</f>
        <v>Surfactant</v>
      </c>
      <c r="C19" s="23" t="str">
        <f>'Chem&amp;FertInputs&amp;CInsurance'!D30</f>
        <v>oz</v>
      </c>
      <c r="D19" s="116">
        <f>'Chem&amp;FertInputs&amp;CInsurance'!E30</f>
        <v>0.26450000000000001</v>
      </c>
      <c r="E19" s="133">
        <f>'Chem&amp;FertInputs&amp;CInsurance'!I30</f>
        <v>0</v>
      </c>
      <c r="F19" s="117" t="str">
        <f t="shared" si="1"/>
        <v>0</v>
      </c>
      <c r="G19" s="165">
        <f>E19/128</f>
        <v>0</v>
      </c>
    </row>
    <row r="20" spans="1:7" ht="20">
      <c r="A20" s="15"/>
      <c r="B20" s="85" t="str">
        <f>'Chem&amp;FertInputs&amp;CInsurance'!C31</f>
        <v>Syltac sticker</v>
      </c>
      <c r="C20" s="23" t="str">
        <f>'Chem&amp;FertInputs&amp;CInsurance'!D31</f>
        <v>pint</v>
      </c>
      <c r="D20" s="116">
        <f>'Chem&amp;FertInputs&amp;CInsurance'!E31</f>
        <v>7.1874999999999991</v>
      </c>
      <c r="E20" s="133">
        <f>'Chem&amp;FertInputs&amp;CInsurance'!I31</f>
        <v>0</v>
      </c>
      <c r="F20" s="117" t="str">
        <f t="shared" si="1"/>
        <v>0</v>
      </c>
      <c r="G20" s="165">
        <f>E20/8</f>
        <v>0</v>
      </c>
    </row>
    <row r="21" spans="1:7" ht="20">
      <c r="A21" s="15"/>
      <c r="B21" s="85" t="str">
        <f>'Chem&amp;FertInputs&amp;CInsurance'!C33</f>
        <v>2,4 - D</v>
      </c>
      <c r="C21" s="23" t="str">
        <f>'Chem&amp;FertInputs&amp;CInsurance'!D33</f>
        <v>oz</v>
      </c>
      <c r="D21" s="116">
        <f>'Chem&amp;FertInputs&amp;CInsurance'!E33</f>
        <v>0.33349999999999996</v>
      </c>
      <c r="E21" s="133">
        <f>'Chem&amp;FertInputs&amp;CInsurance'!I33</f>
        <v>0</v>
      </c>
      <c r="F21" s="117" t="str">
        <f t="shared" si="0"/>
        <v>0</v>
      </c>
      <c r="G21" s="165">
        <f t="shared" ref="G21:G30" si="2">E21/128</f>
        <v>0</v>
      </c>
    </row>
    <row r="22" spans="1:7" ht="20">
      <c r="A22" s="15"/>
      <c r="B22" s="85" t="str">
        <f>'Chem&amp;FertInputs&amp;CInsurance'!C34</f>
        <v>Achieve SC</v>
      </c>
      <c r="C22" s="23" t="str">
        <f>'Chem&amp;FertInputs&amp;CInsurance'!D34</f>
        <v>oz</v>
      </c>
      <c r="D22" s="116">
        <f>'Chem&amp;FertInputs&amp;CInsurance'!E34</f>
        <v>1.3454999999999999</v>
      </c>
      <c r="E22" s="133">
        <f>'Chem&amp;FertInputs&amp;CInsurance'!I34</f>
        <v>0</v>
      </c>
      <c r="F22" s="117" t="str">
        <f t="shared" si="0"/>
        <v>0</v>
      </c>
      <c r="G22" s="165">
        <f t="shared" si="2"/>
        <v>0</v>
      </c>
    </row>
    <row r="23" spans="1:7" ht="20">
      <c r="A23" s="15"/>
      <c r="B23" s="85" t="str">
        <f>'Chem&amp;FertInputs&amp;CInsurance'!C35</f>
        <v>Affintity TankMix</v>
      </c>
      <c r="C23" s="23" t="str">
        <f>'Chem&amp;FertInputs&amp;CInsurance'!D35</f>
        <v>oz</v>
      </c>
      <c r="D23" s="116">
        <f>'Chem&amp;FertInputs&amp;CInsurance'!E35</f>
        <v>8.9699999999999989</v>
      </c>
      <c r="E23" s="133">
        <f>'Chem&amp;FertInputs&amp;CInsurance'!I35</f>
        <v>0</v>
      </c>
      <c r="F23" s="117" t="str">
        <f t="shared" si="0"/>
        <v>0</v>
      </c>
      <c r="G23" s="165">
        <f t="shared" si="2"/>
        <v>0</v>
      </c>
    </row>
    <row r="24" spans="1:7" ht="20">
      <c r="A24" s="15"/>
      <c r="B24" s="85" t="str">
        <f>'Chem&amp;FertInputs&amp;CInsurance'!C36</f>
        <v xml:space="preserve">Ally </v>
      </c>
      <c r="C24" s="23" t="str">
        <f>'Chem&amp;FertInputs&amp;CInsurance'!D36</f>
        <v>oz</v>
      </c>
      <c r="D24" s="116">
        <f>'Chem&amp;FertInputs&amp;CInsurance'!E36</f>
        <v>1.7249999999999999</v>
      </c>
      <c r="E24" s="133">
        <f>'Chem&amp;FertInputs&amp;CInsurance'!I36</f>
        <v>0</v>
      </c>
      <c r="F24" s="117" t="str">
        <f t="shared" si="0"/>
        <v>0</v>
      </c>
      <c r="G24" s="165">
        <f t="shared" si="2"/>
        <v>0</v>
      </c>
    </row>
    <row r="25" spans="1:7" ht="20">
      <c r="A25" s="15"/>
      <c r="B25" s="85" t="str">
        <f>'Chem&amp;FertInputs&amp;CInsurance'!C37</f>
        <v>Assure</v>
      </c>
      <c r="C25" s="23" t="str">
        <f>'Chem&amp;FertInputs&amp;CInsurance'!D37</f>
        <v>oz</v>
      </c>
      <c r="D25" s="116">
        <f>'Chem&amp;FertInputs&amp;CInsurance'!E37</f>
        <v>0.98899999999999988</v>
      </c>
      <c r="E25" s="133">
        <f>'Chem&amp;FertInputs&amp;CInsurance'!I37</f>
        <v>0</v>
      </c>
      <c r="F25" s="117" t="str">
        <f t="shared" si="0"/>
        <v>0</v>
      </c>
      <c r="G25" s="165">
        <f t="shared" si="2"/>
        <v>0</v>
      </c>
    </row>
    <row r="26" spans="1:7" ht="20">
      <c r="A26" s="15"/>
      <c r="B26" s="85" t="str">
        <f>'Chem&amp;FertInputs&amp;CInsurance'!C38</f>
        <v>Axial Star</v>
      </c>
      <c r="C26" s="23" t="str">
        <f>'Chem&amp;FertInputs&amp;CInsurance'!D38</f>
        <v>oz</v>
      </c>
      <c r="D26" s="116">
        <f>'Chem&amp;FertInputs&amp;CInsurance'!E38</f>
        <v>1.3224999999999998</v>
      </c>
      <c r="E26" s="133">
        <f>'Chem&amp;FertInputs&amp;CInsurance'!I38</f>
        <v>0</v>
      </c>
      <c r="F26" s="117" t="str">
        <f t="shared" si="0"/>
        <v>0</v>
      </c>
      <c r="G26" s="165">
        <f t="shared" si="2"/>
        <v>0</v>
      </c>
    </row>
    <row r="27" spans="1:7" ht="20">
      <c r="A27" s="15"/>
      <c r="B27" s="85" t="str">
        <f>'Chem&amp;FertInputs&amp;CInsurance'!C39</f>
        <v>Axial Bold</v>
      </c>
      <c r="C27" s="23" t="str">
        <f>'Chem&amp;FertInputs&amp;CInsurance'!D39</f>
        <v>oz</v>
      </c>
      <c r="D27" s="116">
        <f>'Chem&amp;FertInputs&amp;CInsurance'!E39</f>
        <v>1.0924999999999998</v>
      </c>
      <c r="E27" s="133">
        <f>'Chem&amp;FertInputs&amp;CInsurance'!I39</f>
        <v>0</v>
      </c>
      <c r="F27" s="117" t="str">
        <f t="shared" si="0"/>
        <v>0</v>
      </c>
      <c r="G27" s="165">
        <f t="shared" si="2"/>
        <v>0</v>
      </c>
    </row>
    <row r="28" spans="1:7" ht="20">
      <c r="A28" s="15"/>
      <c r="B28" s="85" t="str">
        <f>'Chem&amp;FertInputs&amp;CInsurance'!C40</f>
        <v>Bronate</v>
      </c>
      <c r="C28" s="23" t="str">
        <f>'Chem&amp;FertInputs&amp;CInsurance'!D40</f>
        <v>oz</v>
      </c>
      <c r="D28" s="116">
        <f>'Chem&amp;FertInputs&amp;CInsurance'!E40</f>
        <v>7.911999999999999</v>
      </c>
      <c r="E28" s="133">
        <f>'Chem&amp;FertInputs&amp;CInsurance'!I40</f>
        <v>0</v>
      </c>
      <c r="F28" s="117" t="str">
        <f t="shared" si="0"/>
        <v>0</v>
      </c>
      <c r="G28" s="165">
        <f t="shared" si="2"/>
        <v>0</v>
      </c>
    </row>
    <row r="29" spans="1:7" ht="20">
      <c r="A29" s="15"/>
      <c r="B29" s="85" t="str">
        <f>'Chem&amp;FertInputs&amp;CInsurance'!C41</f>
        <v xml:space="preserve">Brox M </v>
      </c>
      <c r="C29" s="23" t="str">
        <f>'Chem&amp;FertInputs&amp;CInsurance'!D41</f>
        <v>oz</v>
      </c>
      <c r="D29" s="116">
        <f>'Chem&amp;FertInputs&amp;CInsurance'!E41</f>
        <v>0.42549999999999999</v>
      </c>
      <c r="E29" s="133">
        <f>'Chem&amp;FertInputs&amp;CInsurance'!I41</f>
        <v>0</v>
      </c>
      <c r="F29" s="117" t="str">
        <f t="shared" si="0"/>
        <v>0</v>
      </c>
      <c r="G29" s="165">
        <f t="shared" si="2"/>
        <v>0</v>
      </c>
    </row>
    <row r="30" spans="1:7" ht="20">
      <c r="A30" s="15"/>
      <c r="B30" s="85" t="str">
        <f>'Chem&amp;FertInputs&amp;CInsurance'!C42</f>
        <v>Capture</v>
      </c>
      <c r="C30" s="23" t="str">
        <f>'Chem&amp;FertInputs&amp;CInsurance'!D42</f>
        <v>oz</v>
      </c>
      <c r="D30" s="116">
        <f>'Chem&amp;FertInputs&amp;CInsurance'!E42</f>
        <v>2.7024999999999997</v>
      </c>
      <c r="E30" s="133">
        <f>'Chem&amp;FertInputs&amp;CInsurance'!I42</f>
        <v>0</v>
      </c>
      <c r="F30" s="117" t="str">
        <f t="shared" si="0"/>
        <v>0</v>
      </c>
      <c r="G30" s="165">
        <f t="shared" si="2"/>
        <v>0</v>
      </c>
    </row>
    <row r="31" spans="1:7" ht="20">
      <c r="A31" s="15"/>
      <c r="B31" s="85" t="str">
        <f>'Chem&amp;FertInputs&amp;CInsurance'!C43</f>
        <v xml:space="preserve">Dimethoate </v>
      </c>
      <c r="C31" s="23" t="str">
        <f>'Chem&amp;FertInputs&amp;CInsurance'!D43</f>
        <v>pint</v>
      </c>
      <c r="D31" s="116">
        <f>'Chem&amp;FertInputs&amp;CInsurance'!E43</f>
        <v>7.1874999999999991</v>
      </c>
      <c r="E31" s="133">
        <f>'Chem&amp;FertInputs&amp;CInsurance'!I43</f>
        <v>0</v>
      </c>
      <c r="F31" s="117" t="str">
        <f t="shared" si="0"/>
        <v>0</v>
      </c>
      <c r="G31" s="165">
        <f>E31/8</f>
        <v>0</v>
      </c>
    </row>
    <row r="32" spans="1:7" ht="20">
      <c r="A32" s="15"/>
      <c r="B32" s="85" t="str">
        <f>'Chem&amp;FertInputs&amp;CInsurance'!C44</f>
        <v>Clethodim</v>
      </c>
      <c r="C32" s="23" t="str">
        <f>'Chem&amp;FertInputs&amp;CInsurance'!D44</f>
        <v>oz</v>
      </c>
      <c r="D32" s="116">
        <f>'Chem&amp;FertInputs&amp;CInsurance'!E44</f>
        <v>0.75900000000000001</v>
      </c>
      <c r="E32" s="133">
        <f>'Chem&amp;FertInputs&amp;CInsurance'!I44</f>
        <v>0</v>
      </c>
      <c r="F32" s="117" t="str">
        <f t="shared" ref="F32" si="3">IF(D32*E32=0,"0",D32*E32)</f>
        <v>0</v>
      </c>
      <c r="G32" s="165">
        <f t="shared" ref="G32:G37" si="4">E32/128</f>
        <v>0</v>
      </c>
    </row>
    <row r="33" spans="1:7" ht="20">
      <c r="A33" s="15"/>
      <c r="B33" s="85" t="str">
        <f>'Chem&amp;FertInputs&amp;CInsurance'!C45</f>
        <v>Discover</v>
      </c>
      <c r="C33" s="23" t="str">
        <f>'Chem&amp;FertInputs&amp;CInsurance'!D45</f>
        <v>oz</v>
      </c>
      <c r="D33" s="116">
        <f>'Chem&amp;FertInputs&amp;CInsurance'!E45</f>
        <v>1.6904999999999999</v>
      </c>
      <c r="E33" s="133">
        <f>'Chem&amp;FertInputs&amp;CInsurance'!I45</f>
        <v>0</v>
      </c>
      <c r="F33" s="117" t="str">
        <f t="shared" si="0"/>
        <v>0</v>
      </c>
      <c r="G33" s="165">
        <f t="shared" si="4"/>
        <v>0</v>
      </c>
    </row>
    <row r="34" spans="1:7" ht="20">
      <c r="A34" s="15"/>
      <c r="B34" s="85" t="str">
        <f>'Chem&amp;FertInputs&amp;CInsurance'!C46</f>
        <v>FarGO</v>
      </c>
      <c r="C34" s="23" t="str">
        <f>'Chem&amp;FertInputs&amp;CInsurance'!D46</f>
        <v>oz</v>
      </c>
      <c r="D34" s="116">
        <f>'Chem&amp;FertInputs&amp;CInsurance'!E46</f>
        <v>19.158999999999999</v>
      </c>
      <c r="E34" s="133">
        <f>'Chem&amp;FertInputs&amp;CInsurance'!I46</f>
        <v>0</v>
      </c>
      <c r="F34" s="117" t="str">
        <f t="shared" si="0"/>
        <v>0</v>
      </c>
      <c r="G34" s="165">
        <f t="shared" si="4"/>
        <v>0</v>
      </c>
    </row>
    <row r="35" spans="1:7" ht="20">
      <c r="A35" s="15"/>
      <c r="B35" s="85" t="str">
        <f>'Chem&amp;FertInputs&amp;CInsurance'!C47</f>
        <v>Finesse</v>
      </c>
      <c r="C35" s="23" t="str">
        <f>'Chem&amp;FertInputs&amp;CInsurance'!D47</f>
        <v>oz</v>
      </c>
      <c r="D35" s="116">
        <f>'Chem&amp;FertInputs&amp;CInsurance'!E47</f>
        <v>19.940999999999999</v>
      </c>
      <c r="E35" s="133">
        <f>'Chem&amp;FertInputs&amp;CInsurance'!I47</f>
        <v>0</v>
      </c>
      <c r="F35" s="117" t="str">
        <f t="shared" si="0"/>
        <v>0</v>
      </c>
      <c r="G35" s="165">
        <f t="shared" si="4"/>
        <v>0</v>
      </c>
    </row>
    <row r="36" spans="1:7" ht="20">
      <c r="A36" s="15"/>
      <c r="B36" s="85" t="str">
        <f>'Chem&amp;FertInputs&amp;CInsurance'!C48</f>
        <v>Glyphosate</v>
      </c>
      <c r="C36" s="23" t="str">
        <f>'Chem&amp;FertInputs&amp;CInsurance'!D48</f>
        <v>oz</v>
      </c>
      <c r="D36" s="116">
        <f>'Chem&amp;FertInputs&amp;CInsurance'!E48</f>
        <v>0.14949999999999999</v>
      </c>
      <c r="E36" s="133">
        <f>'Chem&amp;FertInputs&amp;CInsurance'!I48</f>
        <v>0</v>
      </c>
      <c r="F36" s="117" t="str">
        <f t="shared" si="0"/>
        <v>0</v>
      </c>
      <c r="G36" s="165">
        <f t="shared" si="4"/>
        <v>0</v>
      </c>
    </row>
    <row r="37" spans="1:7" ht="20">
      <c r="A37" s="15"/>
      <c r="B37" s="85" t="str">
        <f>'Chem&amp;FertInputs&amp;CInsurance'!C49</f>
        <v>Huskie</v>
      </c>
      <c r="C37" s="23" t="str">
        <f>'Chem&amp;FertInputs&amp;CInsurance'!D49</f>
        <v>oz</v>
      </c>
      <c r="D37" s="116">
        <f>'Chem&amp;FertInputs&amp;CInsurance'!E49</f>
        <v>0.88549999999999995</v>
      </c>
      <c r="E37" s="133">
        <f>'Chem&amp;FertInputs&amp;CInsurance'!I49</f>
        <v>0</v>
      </c>
      <c r="F37" s="117" t="str">
        <f t="shared" si="0"/>
        <v>0</v>
      </c>
      <c r="G37" s="165">
        <f t="shared" si="4"/>
        <v>0</v>
      </c>
    </row>
    <row r="38" spans="1:7" ht="20">
      <c r="A38" s="15"/>
      <c r="B38" s="85" t="str">
        <f>'Chem&amp;FertInputs&amp;CInsurance'!C50</f>
        <v>Imidan 70</v>
      </c>
      <c r="C38" s="23" t="str">
        <f>'Chem&amp;FertInputs&amp;CInsurance'!D50</f>
        <v>lb</v>
      </c>
      <c r="D38" s="116">
        <f>'Chem&amp;FertInputs&amp;CInsurance'!E50</f>
        <v>17.295999999999999</v>
      </c>
      <c r="E38" s="133">
        <f>'Chem&amp;FertInputs&amp;CInsurance'!I50</f>
        <v>0</v>
      </c>
      <c r="F38" s="117" t="str">
        <f t="shared" si="0"/>
        <v>0</v>
      </c>
      <c r="G38" s="165">
        <f>E38/16</f>
        <v>0</v>
      </c>
    </row>
    <row r="39" spans="1:7" ht="20">
      <c r="A39" s="15"/>
      <c r="B39" s="85" t="str">
        <f>'Chem&amp;FertInputs&amp;CInsurance'!C51</f>
        <v xml:space="preserve">Maverick </v>
      </c>
      <c r="C39" s="23" t="str">
        <f>'Chem&amp;FertInputs&amp;CInsurance'!D51</f>
        <v>oz</v>
      </c>
      <c r="D39" s="116">
        <f>'Chem&amp;FertInputs&amp;CInsurance'!E51</f>
        <v>23.885499999999997</v>
      </c>
      <c r="E39" s="133">
        <f>'Chem&amp;FertInputs&amp;CInsurance'!I51</f>
        <v>0</v>
      </c>
      <c r="F39" s="117" t="str">
        <f t="shared" si="0"/>
        <v>0</v>
      </c>
      <c r="G39" s="165">
        <f t="shared" ref="G39:G51" si="5">E39/128</f>
        <v>0</v>
      </c>
    </row>
    <row r="40" spans="1:7" ht="20">
      <c r="A40" s="15"/>
      <c r="B40" s="85" t="str">
        <f>'Chem&amp;FertInputs&amp;CInsurance'!C52</f>
        <v>Osprey</v>
      </c>
      <c r="C40" s="23" t="str">
        <f>'Chem&amp;FertInputs&amp;CInsurance'!D52</f>
        <v>oz</v>
      </c>
      <c r="D40" s="116">
        <f>'Chem&amp;FertInputs&amp;CInsurance'!E52</f>
        <v>5.0484999999999989</v>
      </c>
      <c r="E40" s="133">
        <f>'Chem&amp;FertInputs&amp;CInsurance'!I52</f>
        <v>0</v>
      </c>
      <c r="F40" s="117" t="str">
        <f t="shared" si="0"/>
        <v>0</v>
      </c>
      <c r="G40" s="165">
        <f t="shared" si="5"/>
        <v>0</v>
      </c>
    </row>
    <row r="41" spans="1:7" ht="20">
      <c r="A41" s="15"/>
      <c r="B41" s="85" t="str">
        <f>'Chem&amp;FertInputs&amp;CInsurance'!C53</f>
        <v>Poast</v>
      </c>
      <c r="C41" s="23" t="str">
        <f>'Chem&amp;FertInputs&amp;CInsurance'!D53</f>
        <v>oz</v>
      </c>
      <c r="D41" s="116">
        <f>'Chem&amp;FertInputs&amp;CInsurance'!E53</f>
        <v>19.285499999999999</v>
      </c>
      <c r="E41" s="133">
        <f>'Chem&amp;FertInputs&amp;CInsurance'!I53</f>
        <v>0</v>
      </c>
      <c r="F41" s="117" t="str">
        <f t="shared" ref="F41" si="6">IF(D41*E41=0,"0",D41*E41)</f>
        <v>0</v>
      </c>
      <c r="G41" s="165">
        <f t="shared" si="5"/>
        <v>0</v>
      </c>
    </row>
    <row r="42" spans="1:7" ht="20">
      <c r="A42" s="15"/>
      <c r="B42" s="85" t="str">
        <f>'Chem&amp;FertInputs&amp;CInsurance'!C54</f>
        <v>Power Flex</v>
      </c>
      <c r="C42" s="23" t="str">
        <f>'Chem&amp;FertInputs&amp;CInsurance'!D54</f>
        <v>oz</v>
      </c>
      <c r="D42" s="116">
        <f>'Chem&amp;FertInputs&amp;CInsurance'!E54</f>
        <v>8.9124999999999996</v>
      </c>
      <c r="E42" s="133">
        <f>'Chem&amp;FertInputs&amp;CInsurance'!I54</f>
        <v>0</v>
      </c>
      <c r="F42" s="117" t="str">
        <f t="shared" si="0"/>
        <v>0</v>
      </c>
      <c r="G42" s="165">
        <f t="shared" si="5"/>
        <v>0</v>
      </c>
    </row>
    <row r="43" spans="1:7" ht="20">
      <c r="A43" s="15"/>
      <c r="B43" s="85" t="str">
        <f>'Chem&amp;FertInputs&amp;CInsurance'!C55</f>
        <v>Priaxor</v>
      </c>
      <c r="C43" s="23" t="str">
        <f>'Chem&amp;FertInputs&amp;CInsurance'!D55</f>
        <v>oz</v>
      </c>
      <c r="D43" s="116">
        <f>'Chem&amp;FertInputs&amp;CInsurance'!E55</f>
        <v>3.4269999999999996</v>
      </c>
      <c r="E43" s="133">
        <f>'Chem&amp;FertInputs&amp;CInsurance'!I55</f>
        <v>0</v>
      </c>
      <c r="F43" s="117" t="str">
        <f t="shared" si="0"/>
        <v>0</v>
      </c>
      <c r="G43" s="165">
        <f t="shared" si="5"/>
        <v>0</v>
      </c>
    </row>
    <row r="44" spans="1:7" ht="20">
      <c r="A44" s="15"/>
      <c r="B44" s="85" t="str">
        <f>'Chem&amp;FertInputs&amp;CInsurance'!C56</f>
        <v>Prowl</v>
      </c>
      <c r="C44" s="23" t="str">
        <f>'Chem&amp;FertInputs&amp;CInsurance'!D56</f>
        <v>oz</v>
      </c>
      <c r="D44" s="116">
        <f>'Chem&amp;FertInputs&amp;CInsurance'!E56</f>
        <v>0.51749999999999996</v>
      </c>
      <c r="E44" s="133">
        <f>'Chem&amp;FertInputs&amp;CInsurance'!I56</f>
        <v>0</v>
      </c>
      <c r="F44" s="117" t="str">
        <f t="shared" si="0"/>
        <v>0</v>
      </c>
      <c r="G44" s="165">
        <f t="shared" si="5"/>
        <v>0</v>
      </c>
    </row>
    <row r="45" spans="1:7" ht="20">
      <c r="A45" s="15"/>
      <c r="B45" s="85" t="str">
        <f>'Chem&amp;FertInputs&amp;CInsurance'!C57</f>
        <v>Pursuit</v>
      </c>
      <c r="C45" s="23" t="str">
        <f>'Chem&amp;FertInputs&amp;CInsurance'!D57</f>
        <v>oz</v>
      </c>
      <c r="D45" s="116">
        <f>'Chem&amp;FertInputs&amp;CInsurance'!E57</f>
        <v>4.0594999999999999</v>
      </c>
      <c r="E45" s="133">
        <f>'Chem&amp;FertInputs&amp;CInsurance'!I57</f>
        <v>0</v>
      </c>
      <c r="F45" s="117" t="str">
        <f t="shared" si="0"/>
        <v>0</v>
      </c>
      <c r="G45" s="165">
        <f t="shared" si="5"/>
        <v>0</v>
      </c>
    </row>
    <row r="46" spans="1:7" ht="20">
      <c r="A46" s="15"/>
      <c r="B46" s="85" t="str">
        <f>'Chem&amp;FertInputs&amp;CInsurance'!C58</f>
        <v xml:space="preserve">Quadris </v>
      </c>
      <c r="C46" s="23" t="str">
        <f>'Chem&amp;FertInputs&amp;CInsurance'!D58</f>
        <v>oz</v>
      </c>
      <c r="D46" s="116">
        <f>'Chem&amp;FertInputs&amp;CInsurance'!E58</f>
        <v>1.127</v>
      </c>
      <c r="E46" s="133">
        <f>'Chem&amp;FertInputs&amp;CInsurance'!I58</f>
        <v>0</v>
      </c>
      <c r="F46" s="117" t="str">
        <f t="shared" si="0"/>
        <v>0</v>
      </c>
      <c r="G46" s="165">
        <f t="shared" si="5"/>
        <v>0</v>
      </c>
    </row>
    <row r="47" spans="1:7" ht="20">
      <c r="A47" s="15"/>
      <c r="B47" s="85" t="str">
        <f>'Chem&amp;FertInputs&amp;CInsurance'!C59</f>
        <v>Quilt</v>
      </c>
      <c r="C47" s="23" t="str">
        <f>'Chem&amp;FertInputs&amp;CInsurance'!D59</f>
        <v>oz</v>
      </c>
      <c r="D47" s="116">
        <f>'Chem&amp;FertInputs&amp;CInsurance'!E59</f>
        <v>1.4834999999999998</v>
      </c>
      <c r="E47" s="133">
        <f>'Chem&amp;FertInputs&amp;CInsurance'!I59</f>
        <v>0</v>
      </c>
      <c r="F47" s="117" t="str">
        <f t="shared" si="0"/>
        <v>0</v>
      </c>
      <c r="G47" s="165">
        <f t="shared" si="5"/>
        <v>0</v>
      </c>
    </row>
    <row r="48" spans="1:7" ht="20">
      <c r="A48" s="15"/>
      <c r="B48" s="85" t="str">
        <f>'Chem&amp;FertInputs&amp;CInsurance'!C60</f>
        <v>R11</v>
      </c>
      <c r="C48" s="23" t="str">
        <f>'Chem&amp;FertInputs&amp;CInsurance'!D60</f>
        <v>oz</v>
      </c>
      <c r="D48" s="116">
        <f>'Chem&amp;FertInputs&amp;CInsurance'!E60</f>
        <v>0.26450000000000001</v>
      </c>
      <c r="E48" s="133">
        <f>'Chem&amp;FertInputs&amp;CInsurance'!I60</f>
        <v>0</v>
      </c>
      <c r="F48" s="117" t="str">
        <f t="shared" si="0"/>
        <v>0</v>
      </c>
      <c r="G48" s="165">
        <f t="shared" si="5"/>
        <v>0</v>
      </c>
    </row>
    <row r="49" spans="1:7" ht="20">
      <c r="A49" s="15"/>
      <c r="B49" s="85" t="str">
        <f>'Chem&amp;FertInputs&amp;CInsurance'!C61</f>
        <v>Starane</v>
      </c>
      <c r="C49" s="23" t="str">
        <f>'Chem&amp;FertInputs&amp;CInsurance'!D61</f>
        <v>oz</v>
      </c>
      <c r="D49" s="116">
        <f>'Chem&amp;FertInputs&amp;CInsurance'!E61</f>
        <v>0.77049999999999996</v>
      </c>
      <c r="E49" s="133">
        <f>'Chem&amp;FertInputs&amp;CInsurance'!I61</f>
        <v>0</v>
      </c>
      <c r="F49" s="117" t="str">
        <f t="shared" si="0"/>
        <v>0</v>
      </c>
      <c r="G49" s="165">
        <f t="shared" si="5"/>
        <v>0</v>
      </c>
    </row>
    <row r="50" spans="1:7" ht="20">
      <c r="A50" s="15"/>
      <c r="B50" s="85" t="str">
        <f>'Chem&amp;FertInputs&amp;CInsurance'!C62</f>
        <v>Starane + Salvo</v>
      </c>
      <c r="C50" s="23" t="str">
        <f>'Chem&amp;FertInputs&amp;CInsurance'!D62</f>
        <v>oz</v>
      </c>
      <c r="D50" s="116">
        <f>'Chem&amp;FertInputs&amp;CInsurance'!E62</f>
        <v>0.77049999999999996</v>
      </c>
      <c r="E50" s="133">
        <f>'Chem&amp;FertInputs&amp;CInsurance'!I62</f>
        <v>0</v>
      </c>
      <c r="F50" s="117" t="str">
        <f t="shared" si="0"/>
        <v>0</v>
      </c>
      <c r="G50" s="165">
        <f t="shared" si="5"/>
        <v>0</v>
      </c>
    </row>
    <row r="51" spans="1:7" ht="20">
      <c r="A51" s="15"/>
      <c r="B51" s="85" t="str">
        <f>'Chem&amp;FertInputs&amp;CInsurance'!C63</f>
        <v xml:space="preserve">Starane + Sword </v>
      </c>
      <c r="C51" s="23" t="str">
        <f>'Chem&amp;FertInputs&amp;CInsurance'!D63</f>
        <v>oz</v>
      </c>
      <c r="D51" s="116">
        <f>'Chem&amp;FertInputs&amp;CInsurance'!E63</f>
        <v>0.77049999999999996</v>
      </c>
      <c r="E51" s="133">
        <f>'Chem&amp;FertInputs&amp;CInsurance'!I63</f>
        <v>0</v>
      </c>
      <c r="F51" s="117" t="str">
        <f t="shared" si="0"/>
        <v>0</v>
      </c>
      <c r="G51" s="165">
        <f t="shared" si="5"/>
        <v>0</v>
      </c>
    </row>
    <row r="52" spans="1:7" ht="20">
      <c r="A52" s="15"/>
      <c r="B52" s="85" t="str">
        <f>'Chem&amp;FertInputs&amp;CInsurance'!C64</f>
        <v xml:space="preserve"> Tilt</v>
      </c>
      <c r="C52" s="23" t="str">
        <f>'Chem&amp;FertInputs&amp;CInsurance'!D64</f>
        <v>oz</v>
      </c>
      <c r="D52" s="116">
        <f>'Chem&amp;FertInputs&amp;CInsurance'!E64</f>
        <v>0.88549999999999995</v>
      </c>
      <c r="E52" s="133">
        <f>'Chem&amp;FertInputs&amp;CInsurance'!I64</f>
        <v>0</v>
      </c>
      <c r="F52" s="117" t="str">
        <f t="shared" ref="F52:F53" si="7">IF(D52*E52=0,"0",D52*E52)</f>
        <v>0</v>
      </c>
      <c r="G52" s="165">
        <f t="shared" ref="G52:G53" si="8">E52/128</f>
        <v>0</v>
      </c>
    </row>
    <row r="53" spans="1:7" ht="20">
      <c r="A53" s="15"/>
      <c r="B53" s="85" t="str">
        <f>'Chem&amp;FertInputs&amp;CInsurance'!C65</f>
        <v xml:space="preserve">Wildcard </v>
      </c>
      <c r="C53" s="23" t="str">
        <f>'Chem&amp;FertInputs&amp;CInsurance'!D65</f>
        <v>oz</v>
      </c>
      <c r="D53" s="116">
        <f>'Chem&amp;FertInputs&amp;CInsurance'!E65</f>
        <v>0.35649999999999998</v>
      </c>
      <c r="E53" s="133">
        <f>'Chem&amp;FertInputs&amp;CInsurance'!I65</f>
        <v>0</v>
      </c>
      <c r="F53" s="117" t="str">
        <f t="shared" si="7"/>
        <v>0</v>
      </c>
      <c r="G53" s="165">
        <f t="shared" si="8"/>
        <v>0</v>
      </c>
    </row>
    <row r="54" spans="1:7" ht="20">
      <c r="A54" s="15"/>
      <c r="B54" s="85" t="str">
        <f>'Chem&amp;FertInputs&amp;CInsurance'!C66</f>
        <v>Sharpen</v>
      </c>
      <c r="C54" s="23" t="str">
        <f>'Chem&amp;FertInputs&amp;CInsurance'!D66</f>
        <v>oz</v>
      </c>
      <c r="D54" s="116">
        <f>'Chem&amp;FertInputs&amp;CInsurance'!E66</f>
        <v>6.3134999999999994</v>
      </c>
      <c r="E54" s="133">
        <f>'Chem&amp;FertInputs&amp;CInsurance'!I66</f>
        <v>0</v>
      </c>
      <c r="F54" s="117" t="str">
        <f t="shared" si="0"/>
        <v>0</v>
      </c>
      <c r="G54" s="165">
        <f>E54/128</f>
        <v>0</v>
      </c>
    </row>
    <row r="55" spans="1:7" ht="20">
      <c r="A55" s="15"/>
      <c r="B55" s="85" t="str">
        <f>'Chem&amp;FertInputs&amp;CInsurance'!C67</f>
        <v>Sencor</v>
      </c>
      <c r="C55" s="23" t="str">
        <f>'Chem&amp;FertInputs&amp;CInsurance'!D67</f>
        <v>oz</v>
      </c>
      <c r="D55" s="116">
        <f>'Chem&amp;FertInputs&amp;CInsurance'!E67</f>
        <v>0.45999999999999996</v>
      </c>
      <c r="E55" s="133">
        <f>'Chem&amp;FertInputs&amp;CInsurance'!I67</f>
        <v>0</v>
      </c>
      <c r="F55" s="117" t="str">
        <f t="shared" si="0"/>
        <v>0</v>
      </c>
      <c r="G55" s="165">
        <f>E55/128</f>
        <v>0</v>
      </c>
    </row>
    <row r="56" spans="1:7" ht="20">
      <c r="A56" s="15"/>
      <c r="B56" s="85" t="str">
        <f>'Chem&amp;FertInputs&amp;CInsurance'!C68</f>
        <v>Warrior</v>
      </c>
      <c r="C56" s="23" t="str">
        <f>'Chem&amp;FertInputs&amp;CInsurance'!D68</f>
        <v>acre</v>
      </c>
      <c r="D56" s="116">
        <f>'Chem&amp;FertInputs&amp;CInsurance'!E68</f>
        <v>3.4499999999999997</v>
      </c>
      <c r="E56" s="133">
        <f>'Chem&amp;FertInputs&amp;CInsurance'!I68</f>
        <v>0</v>
      </c>
      <c r="F56" s="117" t="str">
        <f t="shared" si="0"/>
        <v>0</v>
      </c>
      <c r="G56" s="165">
        <f>E56/128</f>
        <v>0</v>
      </c>
    </row>
    <row r="57" spans="1:7" ht="20">
      <c r="A57" s="15"/>
      <c r="B57" s="85" t="str">
        <f>'Chem&amp;FertInputs&amp;CInsurance'!C69</f>
        <v xml:space="preserve"> Lorox</v>
      </c>
      <c r="C57" s="23" t="str">
        <f>'Chem&amp;FertInputs&amp;CInsurance'!D69</f>
        <v>lb</v>
      </c>
      <c r="D57" s="116">
        <f>'Chem&amp;FertInputs&amp;CInsurance'!E69</f>
        <v>26.565000000000001</v>
      </c>
      <c r="E57" s="133">
        <f>'Chem&amp;FertInputs&amp;CInsurance'!I69</f>
        <v>0</v>
      </c>
      <c r="F57" s="117" t="str">
        <f t="shared" si="0"/>
        <v>0</v>
      </c>
      <c r="G57" s="165">
        <f>E57/128</f>
        <v>0</v>
      </c>
    </row>
    <row r="58" spans="1:7" ht="20">
      <c r="A58" s="15"/>
      <c r="B58" s="85" t="str">
        <f>'Chem&amp;FertInputs&amp;CInsurance'!C70</f>
        <v xml:space="preserve"> Valor</v>
      </c>
      <c r="C58" s="23" t="str">
        <f>'Chem&amp;FertInputs&amp;CInsurance'!D70</f>
        <v>oz</v>
      </c>
      <c r="D58" s="116">
        <f>'Chem&amp;FertInputs&amp;CInsurance'!E70</f>
        <v>6.6124999999999998</v>
      </c>
      <c r="E58" s="133">
        <f>'Chem&amp;FertInputs&amp;CInsurance'!I70</f>
        <v>0</v>
      </c>
      <c r="F58" s="117" t="str">
        <f t="shared" ref="F58:F59" si="9">IF(D58*E58=0,"0",D58*E58)</f>
        <v>0</v>
      </c>
      <c r="G58" s="165">
        <f t="shared" ref="G58:G59" si="10">E58/128</f>
        <v>0</v>
      </c>
    </row>
    <row r="59" spans="1:7" ht="20">
      <c r="A59" s="15"/>
      <c r="B59" s="85" t="str">
        <f>'Chem&amp;FertInputs&amp;CInsurance'!C71</f>
        <v xml:space="preserve"> Diagon</v>
      </c>
      <c r="C59" s="23" t="str">
        <f>'Chem&amp;FertInputs&amp;CInsurance'!D71</f>
        <v>oz</v>
      </c>
      <c r="D59" s="116">
        <f>'Chem&amp;FertInputs&amp;CInsurance'!E71</f>
        <v>0.43699999999999994</v>
      </c>
      <c r="E59" s="133">
        <f>'Chem&amp;FertInputs&amp;CInsurance'!I71</f>
        <v>0</v>
      </c>
      <c r="F59" s="117" t="str">
        <f t="shared" si="9"/>
        <v>0</v>
      </c>
      <c r="G59" s="165">
        <f t="shared" si="10"/>
        <v>0</v>
      </c>
    </row>
    <row r="60" spans="1:7" ht="20">
      <c r="A60" s="15"/>
      <c r="B60" s="85" t="str">
        <f>'Chem&amp;FertInputs&amp;CInsurance'!C72</f>
        <v xml:space="preserve">Spartan </v>
      </c>
      <c r="C60" s="23" t="str">
        <f>'Chem&amp;FertInputs&amp;CInsurance'!D72</f>
        <v>oz</v>
      </c>
      <c r="D60" s="116">
        <f>'Chem&amp;FertInputs&amp;CInsurance'!E72</f>
        <v>2.0469999999999997</v>
      </c>
      <c r="E60" s="133">
        <f>'Chem&amp;FertInputs&amp;CInsurance'!I72</f>
        <v>0</v>
      </c>
      <c r="F60" s="117" t="str">
        <f t="shared" si="0"/>
        <v>0</v>
      </c>
      <c r="G60" s="165">
        <f>E60/128</f>
        <v>0</v>
      </c>
    </row>
    <row r="61" spans="1:7" ht="23">
      <c r="A61" s="15"/>
      <c r="B61" s="85" t="str">
        <f>'Chem&amp;FertInputs&amp;CInsurance'!C32</f>
        <v xml:space="preserve">Round Up </v>
      </c>
      <c r="C61" s="23" t="str">
        <f>'Chem&amp;FertInputs&amp;CInsurance'!D32</f>
        <v>oz</v>
      </c>
      <c r="D61" s="116">
        <f>'Chem&amp;FertInputs&amp;CInsurance'!E32</f>
        <v>0.14949999999999999</v>
      </c>
      <c r="E61" s="133">
        <f>'Chem&amp;FertInputs&amp;CInsurance'!I32</f>
        <v>0</v>
      </c>
      <c r="F61" s="117" t="str">
        <f t="shared" si="0"/>
        <v>0</v>
      </c>
      <c r="G61" s="225">
        <f>E61/128</f>
        <v>0</v>
      </c>
    </row>
    <row r="62" spans="1:7" ht="20">
      <c r="A62" s="15"/>
      <c r="B62" s="139" t="s">
        <v>86</v>
      </c>
      <c r="C62" s="23"/>
      <c r="D62" s="116"/>
      <c r="E62" s="133"/>
      <c r="F62" s="117"/>
      <c r="G62" s="165">
        <f>SUM(G14:G61)</f>
        <v>0</v>
      </c>
    </row>
    <row r="63" spans="1:7" ht="20">
      <c r="A63" s="15"/>
      <c r="B63" s="125" t="str">
        <f>CustomRates!B5</f>
        <v>Aerial (Custom)</v>
      </c>
      <c r="C63" s="41" t="str">
        <f>CustomRates!C5</f>
        <v>acre</v>
      </c>
      <c r="D63" s="116">
        <f>CustomRates!G5</f>
        <v>8.9499999999999993</v>
      </c>
      <c r="E63" s="87">
        <f>CustomRates!G6</f>
        <v>1</v>
      </c>
      <c r="F63" s="117">
        <f t="shared" ref="F63:F70" si="11">IF(D63*E63=0,"0",D63*E63)</f>
        <v>8.9499999999999993</v>
      </c>
    </row>
    <row r="64" spans="1:7" ht="20">
      <c r="A64" s="15"/>
      <c r="B64" s="125" t="str">
        <f>CustomRates!B7</f>
        <v>Sprayer (Rental 90')</v>
      </c>
      <c r="C64" s="41" t="str">
        <f>CustomRates!C7</f>
        <v>acre</v>
      </c>
      <c r="D64" s="116">
        <f>CustomRates!G7</f>
        <v>8</v>
      </c>
      <c r="E64" s="87">
        <f>CustomRates!G8</f>
        <v>0</v>
      </c>
      <c r="F64" s="117" t="str">
        <f t="shared" si="11"/>
        <v>0</v>
      </c>
    </row>
    <row r="65" spans="1:9" ht="20">
      <c r="A65" s="15"/>
      <c r="B65" s="125" t="str">
        <f>CustomRates!B9</f>
        <v>Fertilizer - Anhydrous Applicator (Rent)</v>
      </c>
      <c r="C65" s="41" t="str">
        <f>CustomRates!C9</f>
        <v>acre</v>
      </c>
      <c r="D65" s="116">
        <f>CustomRates!G9</f>
        <v>7</v>
      </c>
      <c r="E65" s="87">
        <f>CustomRates!G10</f>
        <v>0</v>
      </c>
      <c r="F65" s="117" t="str">
        <f t="shared" si="11"/>
        <v>0</v>
      </c>
    </row>
    <row r="66" spans="1:9" ht="20">
      <c r="A66" s="15"/>
      <c r="B66" s="125" t="str">
        <f>CustomRates!B11</f>
        <v>Fertilizer Applicator</v>
      </c>
      <c r="C66" s="41" t="str">
        <f>CustomRates!C11</f>
        <v>acre</v>
      </c>
      <c r="D66" s="116">
        <f>CustomRates!G11</f>
        <v>2</v>
      </c>
      <c r="E66" s="87">
        <f>CustomRates!G12</f>
        <v>0</v>
      </c>
      <c r="F66" s="117" t="str">
        <f t="shared" si="11"/>
        <v>0</v>
      </c>
    </row>
    <row r="67" spans="1:9" ht="20">
      <c r="A67" s="15"/>
      <c r="B67" s="125" t="str">
        <f>CustomRates!B13</f>
        <v>26' Rental Shredder</v>
      </c>
      <c r="C67" s="41" t="str">
        <f>CustomRates!C13</f>
        <v>acre</v>
      </c>
      <c r="D67" s="116">
        <f>CustomRates!G13</f>
        <v>10</v>
      </c>
      <c r="E67" s="87">
        <f>CustomRates!G14</f>
        <v>0</v>
      </c>
      <c r="F67" s="117" t="str">
        <f t="shared" si="11"/>
        <v>0</v>
      </c>
    </row>
    <row r="68" spans="1:9" ht="20">
      <c r="A68" s="15"/>
      <c r="B68" s="125" t="str">
        <f>CustomRates!B15</f>
        <v>36' Ripper Shooter</v>
      </c>
      <c r="C68" s="41" t="str">
        <f>CustomRates!C15</f>
        <v>acre</v>
      </c>
      <c r="D68" s="116">
        <f>CustomRates!G15</f>
        <v>2.5</v>
      </c>
      <c r="E68" s="87">
        <f>CustomRates!G16</f>
        <v>0</v>
      </c>
      <c r="F68" s="117" t="str">
        <f t="shared" si="11"/>
        <v>0</v>
      </c>
    </row>
    <row r="69" spans="1:9" ht="20">
      <c r="A69" s="15"/>
      <c r="B69" s="125" t="str">
        <f>CustomRates!B17</f>
        <v>Custom self-propelled sprayer</v>
      </c>
      <c r="C69" s="41" t="str">
        <f>CustomRates!C17</f>
        <v>acre</v>
      </c>
      <c r="D69" s="116">
        <f>CustomRates!G17</f>
        <v>8</v>
      </c>
      <c r="E69" s="87">
        <f>CustomRates!G18</f>
        <v>0</v>
      </c>
      <c r="F69" s="117" t="str">
        <f t="shared" si="11"/>
        <v>0</v>
      </c>
    </row>
    <row r="70" spans="1:9" ht="20">
      <c r="A70" s="15"/>
      <c r="B70" s="125" t="str">
        <f>CustomRates!B19</f>
        <v>Additional Operation #8 (Custom)</v>
      </c>
      <c r="C70" s="41" t="str">
        <f>CustomRates!C19</f>
        <v>acre</v>
      </c>
      <c r="D70" s="116">
        <f>CustomRates!G19</f>
        <v>0</v>
      </c>
      <c r="E70" s="87">
        <f>CustomRates!G20</f>
        <v>0</v>
      </c>
      <c r="F70" s="117" t="str">
        <f t="shared" si="11"/>
        <v>0</v>
      </c>
    </row>
    <row r="71" spans="1:9" ht="20">
      <c r="A71" s="15"/>
      <c r="B71" s="139" t="s">
        <v>87</v>
      </c>
      <c r="C71" s="41"/>
      <c r="D71" s="116"/>
      <c r="E71" s="116"/>
      <c r="F71" s="117"/>
      <c r="H71" s="1" t="s">
        <v>204</v>
      </c>
      <c r="I71" s="1" t="s">
        <v>135</v>
      </c>
    </row>
    <row r="72" spans="1:9" ht="20">
      <c r="A72" s="15"/>
      <c r="B72" s="85" t="str">
        <f>MachineAssumptions!B7&amp;" - Labor"</f>
        <v>Shredder - Labor</v>
      </c>
      <c r="C72" s="41" t="s">
        <v>246</v>
      </c>
      <c r="D72" s="116">
        <f>MachineAssumptions!$R$7</f>
        <v>1.4996591683708247</v>
      </c>
      <c r="E72" s="87">
        <f>FieldApplications!$F$6</f>
        <v>0</v>
      </c>
      <c r="F72" s="117" t="str">
        <f t="shared" ref="F72:F113" si="12">IF(D72*E72=0,"0",D72*E72)</f>
        <v>0</v>
      </c>
      <c r="H72" s="246">
        <f>MachineAssumptions!$R$28*E72</f>
        <v>0</v>
      </c>
      <c r="I72" s="166">
        <f>MachineAssumptions!$R$48*E72</f>
        <v>0</v>
      </c>
    </row>
    <row r="73" spans="1:9" ht="20">
      <c r="A73" s="15"/>
      <c r="B73" s="85" t="str">
        <f>MachineAssumptions!B7&amp;" - Fuel, Lube"</f>
        <v>Shredder - Fuel, Lube</v>
      </c>
      <c r="C73" s="41" t="s">
        <v>246</v>
      </c>
      <c r="D73" s="116">
        <f>MachineAssumptions!$S$7</f>
        <v>5.7486934787548281</v>
      </c>
      <c r="E73" s="87">
        <f>FieldApplications!$F$6</f>
        <v>0</v>
      </c>
      <c r="F73" s="117" t="str">
        <f t="shared" si="12"/>
        <v>0</v>
      </c>
      <c r="H73" s="246">
        <f>MachineAssumptions!$S$28*E73</f>
        <v>0</v>
      </c>
      <c r="I73" s="166">
        <f>MachineAssumptions!$S$48*E73</f>
        <v>0</v>
      </c>
    </row>
    <row r="74" spans="1:9" ht="20">
      <c r="A74" s="15"/>
      <c r="B74" s="85" t="str">
        <f>MachineAssumptions!B7&amp;" - Repairs"</f>
        <v>Shredder - Repairs</v>
      </c>
      <c r="C74" s="41" t="s">
        <v>246</v>
      </c>
      <c r="D74" s="116">
        <f>MachineAssumptions!$T$7</f>
        <v>0.46726721181997538</v>
      </c>
      <c r="E74" s="87">
        <f>FieldApplications!$F$6</f>
        <v>0</v>
      </c>
      <c r="F74" s="117" t="str">
        <f t="shared" si="12"/>
        <v>0</v>
      </c>
      <c r="H74" s="246">
        <f>MachineAssumptions!$T$28*E74</f>
        <v>0</v>
      </c>
      <c r="I74" s="166">
        <f>MachineAssumptions!$T$48*E74</f>
        <v>0</v>
      </c>
    </row>
    <row r="75" spans="1:9" ht="20">
      <c r="A75" s="15"/>
      <c r="B75" s="85" t="str">
        <f>MachineAssumptions!B8&amp;" - Labor"</f>
        <v>Harrow - Labor</v>
      </c>
      <c r="C75" s="41" t="s">
        <v>246</v>
      </c>
      <c r="D75" s="116">
        <f>MachineAssumptions!$R$8</f>
        <v>0.59412746734753996</v>
      </c>
      <c r="E75" s="87">
        <f>FieldApplications!$F$7</f>
        <v>0</v>
      </c>
      <c r="F75" s="117" t="str">
        <f t="shared" si="12"/>
        <v>0</v>
      </c>
      <c r="H75" s="246">
        <f>MachineAssumptions!$R$29*E75</f>
        <v>0</v>
      </c>
      <c r="I75" s="166">
        <f>MachineAssumptions!$R$49*E75</f>
        <v>0</v>
      </c>
    </row>
    <row r="76" spans="1:9" ht="20">
      <c r="A76" s="15"/>
      <c r="B76" s="85" t="str">
        <f>MachineAssumptions!B8&amp;" - Fuel, Lube"</f>
        <v>Harrow - Fuel, Lube</v>
      </c>
      <c r="C76" s="41" t="s">
        <v>246</v>
      </c>
      <c r="D76" s="116">
        <f>MachineAssumptions!$S$8</f>
        <v>2.4845330452715308</v>
      </c>
      <c r="E76" s="87">
        <f>FieldApplications!$F$7</f>
        <v>0</v>
      </c>
      <c r="F76" s="117" t="str">
        <f t="shared" si="12"/>
        <v>0</v>
      </c>
      <c r="H76" s="246">
        <f>MachineAssumptions!$S$29*E76</f>
        <v>0</v>
      </c>
      <c r="I76" s="166">
        <f>MachineAssumptions!$S$49*E76</f>
        <v>0</v>
      </c>
    </row>
    <row r="77" spans="1:9" ht="20">
      <c r="A77" s="15"/>
      <c r="B77" s="85" t="str">
        <f>MachineAssumptions!B8&amp;" - Repairs"</f>
        <v>Harrow - Repairs</v>
      </c>
      <c r="C77" s="41" t="s">
        <v>246</v>
      </c>
      <c r="D77" s="116">
        <f>MachineAssumptions!$T$8</f>
        <v>0.14755184964846621</v>
      </c>
      <c r="E77" s="87">
        <f>FieldApplications!$F$7</f>
        <v>0</v>
      </c>
      <c r="F77" s="117" t="str">
        <f t="shared" si="12"/>
        <v>0</v>
      </c>
      <c r="H77" s="246">
        <f>MachineAssumptions!$T$29*E77</f>
        <v>0</v>
      </c>
      <c r="I77" s="166">
        <f>MachineAssumptions!$T$49*E77</f>
        <v>0</v>
      </c>
    </row>
    <row r="78" spans="1:9" ht="20">
      <c r="A78" s="15"/>
      <c r="B78" s="85" t="str">
        <f>MachineAssumptions!B9&amp;" - Labor"</f>
        <v>Chisel plow - Labor</v>
      </c>
      <c r="C78" s="41" t="s">
        <v>246</v>
      </c>
      <c r="D78" s="116">
        <f>MachineAssumptions!$R$9</f>
        <v>0</v>
      </c>
      <c r="E78" s="87">
        <f>FieldApplications!$F$8</f>
        <v>0</v>
      </c>
      <c r="F78" s="117" t="str">
        <f t="shared" si="12"/>
        <v>0</v>
      </c>
      <c r="H78" s="246">
        <f>MachineAssumptions!$R$30*E78</f>
        <v>0</v>
      </c>
      <c r="I78" s="166">
        <f>MachineAssumptions!$R$50*E78</f>
        <v>0</v>
      </c>
    </row>
    <row r="79" spans="1:9" ht="20">
      <c r="A79" s="15"/>
      <c r="B79" s="85" t="str">
        <f>MachineAssumptions!B9&amp;" - Fuel, Lube"</f>
        <v>Chisel plow - Fuel, Lube</v>
      </c>
      <c r="C79" s="41" t="s">
        <v>246</v>
      </c>
      <c r="D79" s="116">
        <f>MachineAssumptions!$S$9</f>
        <v>0</v>
      </c>
      <c r="E79" s="87">
        <f>FieldApplications!$F$8</f>
        <v>0</v>
      </c>
      <c r="F79" s="117" t="str">
        <f t="shared" si="12"/>
        <v>0</v>
      </c>
      <c r="H79" s="246">
        <f>MachineAssumptions!$R$30*E79</f>
        <v>0</v>
      </c>
      <c r="I79" s="166">
        <f>MachineAssumptions!$S$50*E79</f>
        <v>0</v>
      </c>
    </row>
    <row r="80" spans="1:9" ht="20">
      <c r="A80" s="15"/>
      <c r="B80" s="85" t="str">
        <f>MachineAssumptions!B9&amp;" - Repairs"</f>
        <v>Chisel plow - Repairs</v>
      </c>
      <c r="C80" s="41" t="s">
        <v>246</v>
      </c>
      <c r="D80" s="116">
        <f>MachineAssumptions!$T$9</f>
        <v>0</v>
      </c>
      <c r="E80" s="87">
        <f>FieldApplications!$F$8</f>
        <v>0</v>
      </c>
      <c r="F80" s="117" t="str">
        <f t="shared" si="12"/>
        <v>0</v>
      </c>
      <c r="H80" s="246">
        <f>MachineAssumptions!$T$30*E80</f>
        <v>0</v>
      </c>
      <c r="I80" s="166">
        <f>MachineAssumptions!$T$50*E80</f>
        <v>0</v>
      </c>
    </row>
    <row r="81" spans="1:9" ht="20">
      <c r="A81" s="15"/>
      <c r="B81" s="85" t="str">
        <f>MachineAssumptions!B10&amp;" - Labor"</f>
        <v>Moldboard plow - Labor</v>
      </c>
      <c r="C81" s="41" t="s">
        <v>246</v>
      </c>
      <c r="D81" s="116">
        <f>MachineAssumptions!$R$10</f>
        <v>0</v>
      </c>
      <c r="E81" s="87">
        <f>FieldApplications!$F$9</f>
        <v>0</v>
      </c>
      <c r="F81" s="117" t="str">
        <f t="shared" si="12"/>
        <v>0</v>
      </c>
      <c r="H81" s="246">
        <f>MachineAssumptions!$R$31*E81</f>
        <v>0</v>
      </c>
      <c r="I81" s="166">
        <f>MachineAssumptions!$R$51*E81</f>
        <v>0</v>
      </c>
    </row>
    <row r="82" spans="1:9" ht="20">
      <c r="A82" s="15"/>
      <c r="B82" s="85" t="str">
        <f>MachineAssumptions!B10&amp;" - Fuel, Lube"</f>
        <v>Moldboard plow - Fuel, Lube</v>
      </c>
      <c r="C82" s="41" t="s">
        <v>246</v>
      </c>
      <c r="D82" s="116">
        <f>MachineAssumptions!$S$10</f>
        <v>0</v>
      </c>
      <c r="E82" s="87">
        <f>FieldApplications!$F$9</f>
        <v>0</v>
      </c>
      <c r="F82" s="117" t="str">
        <f t="shared" si="12"/>
        <v>0</v>
      </c>
      <c r="H82" s="246">
        <f>MachineAssumptions!$S$31*E82</f>
        <v>0</v>
      </c>
      <c r="I82" s="166">
        <f>MachineAssumptions!$S$51*E82</f>
        <v>0</v>
      </c>
    </row>
    <row r="83" spans="1:9" ht="20">
      <c r="A83" s="15"/>
      <c r="B83" s="85" t="str">
        <f>MachineAssumptions!B10&amp;" - Repairs"</f>
        <v>Moldboard plow - Repairs</v>
      </c>
      <c r="C83" s="41" t="s">
        <v>246</v>
      </c>
      <c r="D83" s="116">
        <f>MachineAssumptions!$T$10</f>
        <v>0</v>
      </c>
      <c r="E83" s="87">
        <f>FieldApplications!$F$9</f>
        <v>0</v>
      </c>
      <c r="F83" s="117" t="str">
        <f t="shared" si="12"/>
        <v>0</v>
      </c>
      <c r="H83" s="246">
        <f>MachineAssumptions!$T$31*E83</f>
        <v>0</v>
      </c>
      <c r="I83" s="166">
        <f>MachineAssumptions!$T$51*E83</f>
        <v>0</v>
      </c>
    </row>
    <row r="84" spans="1:9" ht="20">
      <c r="A84" s="15"/>
      <c r="B84" s="85" t="str">
        <f>MachineAssumptions!B11&amp;" - Labor"</f>
        <v>Cultivator - Labor</v>
      </c>
      <c r="C84" s="41" t="s">
        <v>246</v>
      </c>
      <c r="D84" s="116">
        <f>MachineAssumptions!$R$11</f>
        <v>0</v>
      </c>
      <c r="E84" s="87">
        <f>FieldApplications!$F$10</f>
        <v>0</v>
      </c>
      <c r="F84" s="117" t="str">
        <f t="shared" si="12"/>
        <v>0</v>
      </c>
      <c r="H84" s="246">
        <f>MachineAssumptions!$R$32*E84</f>
        <v>0</v>
      </c>
      <c r="I84" s="166">
        <f>MachineAssumptions!$R$52*E84</f>
        <v>0</v>
      </c>
    </row>
    <row r="85" spans="1:9" ht="20">
      <c r="A85" s="15"/>
      <c r="B85" s="85" t="str">
        <f>MachineAssumptions!B11&amp;" - Fuel, Lube"</f>
        <v>Cultivator - Fuel, Lube</v>
      </c>
      <c r="C85" s="41" t="s">
        <v>246</v>
      </c>
      <c r="D85" s="116">
        <f>MachineAssumptions!$S$11</f>
        <v>0</v>
      </c>
      <c r="E85" s="87">
        <f>FieldApplications!$F$10</f>
        <v>0</v>
      </c>
      <c r="F85" s="117" t="str">
        <f t="shared" si="12"/>
        <v>0</v>
      </c>
      <c r="H85" s="246">
        <f>MachineAssumptions!$S$32*E85</f>
        <v>0</v>
      </c>
      <c r="I85" s="166">
        <f>MachineAssumptions!$S$52*E85</f>
        <v>0</v>
      </c>
    </row>
    <row r="86" spans="1:9" ht="20">
      <c r="A86" s="15"/>
      <c r="B86" s="85" t="str">
        <f>MachineAssumptions!B11&amp;" - Repairs"</f>
        <v>Cultivator - Repairs</v>
      </c>
      <c r="C86" s="41" t="s">
        <v>246</v>
      </c>
      <c r="D86" s="116">
        <f>MachineAssumptions!$T$11</f>
        <v>0</v>
      </c>
      <c r="E86" s="87">
        <f>FieldApplications!$F$10</f>
        <v>0</v>
      </c>
      <c r="F86" s="117" t="str">
        <f t="shared" si="12"/>
        <v>0</v>
      </c>
      <c r="H86" s="246">
        <f>MachineAssumptions!$T$32*E86</f>
        <v>0</v>
      </c>
      <c r="I86" s="166">
        <f>MachineAssumptions!$T$52*E86</f>
        <v>0</v>
      </c>
    </row>
    <row r="87" spans="1:9" ht="20">
      <c r="A87" s="15"/>
      <c r="B87" s="85" t="str">
        <f>MachineAssumptions!B12&amp;" - Labor"</f>
        <v>Cultiweeder - Labor</v>
      </c>
      <c r="C87" s="41" t="s">
        <v>246</v>
      </c>
      <c r="D87" s="116">
        <f>MachineAssumptions!$R$12</f>
        <v>0</v>
      </c>
      <c r="E87" s="87">
        <f>FieldApplications!$F$11</f>
        <v>0</v>
      </c>
      <c r="F87" s="117" t="str">
        <f t="shared" si="12"/>
        <v>0</v>
      </c>
      <c r="H87" s="246">
        <f>MachineAssumptions!$R$33*E87</f>
        <v>0</v>
      </c>
      <c r="I87" s="166">
        <f>MachineAssumptions!$R$53*E87</f>
        <v>0</v>
      </c>
    </row>
    <row r="88" spans="1:9" ht="20">
      <c r="A88" s="15"/>
      <c r="B88" s="85" t="str">
        <f>MachineAssumptions!B12&amp;" - Fuel, Lube"</f>
        <v>Cultiweeder - Fuel, Lube</v>
      </c>
      <c r="C88" s="41" t="s">
        <v>246</v>
      </c>
      <c r="D88" s="116">
        <f>MachineAssumptions!$S$12</f>
        <v>0</v>
      </c>
      <c r="E88" s="87">
        <f>FieldApplications!$F$11</f>
        <v>0</v>
      </c>
      <c r="F88" s="117" t="str">
        <f t="shared" si="12"/>
        <v>0</v>
      </c>
      <c r="H88" s="246">
        <f>MachineAssumptions!$S$33*E88</f>
        <v>0</v>
      </c>
      <c r="I88" s="166">
        <f>MachineAssumptions!$S$53*E88</f>
        <v>0</v>
      </c>
    </row>
    <row r="89" spans="1:9" ht="20">
      <c r="A89" s="15"/>
      <c r="B89" s="85" t="str">
        <f>MachineAssumptions!B12&amp;" - Repairs"</f>
        <v>Cultiweeder - Repairs</v>
      </c>
      <c r="C89" s="41" t="s">
        <v>246</v>
      </c>
      <c r="D89" s="116">
        <f>MachineAssumptions!$T$12</f>
        <v>0</v>
      </c>
      <c r="E89" s="87">
        <f>FieldApplications!$F$11</f>
        <v>0</v>
      </c>
      <c r="F89" s="117" t="str">
        <f t="shared" si="12"/>
        <v>0</v>
      </c>
      <c r="H89" s="246">
        <f>MachineAssumptions!$T$33*E89</f>
        <v>0</v>
      </c>
      <c r="I89" s="166">
        <f>MachineAssumptions!$T$53*E89</f>
        <v>0</v>
      </c>
    </row>
    <row r="90" spans="1:9" ht="20">
      <c r="A90" s="15"/>
      <c r="B90" s="85" t="str">
        <f>MachineAssumptions!B13&amp;" - Labor"</f>
        <v>Drill - Labor</v>
      </c>
      <c r="C90" s="41" t="s">
        <v>246</v>
      </c>
      <c r="D90" s="116">
        <f>MachineAssumptions!$R$13</f>
        <v>1.6703109815354713</v>
      </c>
      <c r="E90" s="87">
        <f>FieldApplications!$F$12</f>
        <v>1</v>
      </c>
      <c r="F90" s="117">
        <f t="shared" si="12"/>
        <v>1.6703109815354713</v>
      </c>
      <c r="H90" s="246">
        <f>MachineAssumptions!$R$34*E90</f>
        <v>1.6703109815354713</v>
      </c>
      <c r="I90" s="166">
        <f>MachineAssumptions!$R$54*E90</f>
        <v>1.6703109815354713</v>
      </c>
    </row>
    <row r="91" spans="1:9" ht="20">
      <c r="A91" s="15"/>
      <c r="B91" s="85" t="str">
        <f>MachineAssumptions!B13&amp;" - Fuel, Lube"</f>
        <v>Drill - Fuel, Lube</v>
      </c>
      <c r="C91" s="41" t="s">
        <v>246</v>
      </c>
      <c r="D91" s="116">
        <f>MachineAssumptions!$S$13</f>
        <v>6.146744412050535</v>
      </c>
      <c r="E91" s="87">
        <f>FieldApplications!$F$12</f>
        <v>1</v>
      </c>
      <c r="F91" s="117">
        <f t="shared" si="12"/>
        <v>6.146744412050535</v>
      </c>
      <c r="H91" s="246">
        <f>MachineAssumptions!$S$34*E91</f>
        <v>6.146744412050535</v>
      </c>
      <c r="I91" s="166">
        <f>MachineAssumptions!$S$54*E91</f>
        <v>6.146744412050535</v>
      </c>
    </row>
    <row r="92" spans="1:9" ht="20">
      <c r="A92" s="15"/>
      <c r="B92" s="85" t="str">
        <f>MachineAssumptions!B13&amp;" - Repairs"</f>
        <v>Drill - Repairs</v>
      </c>
      <c r="C92" s="41" t="s">
        <v>246</v>
      </c>
      <c r="D92" s="116">
        <f>MachineAssumptions!$T$13</f>
        <v>5.740409656342587</v>
      </c>
      <c r="E92" s="87">
        <f>FieldApplications!$F$12</f>
        <v>1</v>
      </c>
      <c r="F92" s="117">
        <f t="shared" si="12"/>
        <v>5.740409656342587</v>
      </c>
      <c r="H92" s="246">
        <f>MachineAssumptions!$T$34*E92</f>
        <v>5.740409656342587</v>
      </c>
      <c r="I92" s="166">
        <f>MachineAssumptions!$T$54*E92</f>
        <v>5.740409656342587</v>
      </c>
    </row>
    <row r="93" spans="1:9" ht="20">
      <c r="A93" s="15"/>
      <c r="B93" s="85" t="str">
        <f>MachineAssumptions!B14&amp;" - Labor"</f>
        <v>Combine w/ 36' header - Labor</v>
      </c>
      <c r="C93" s="41" t="s">
        <v>246</v>
      </c>
      <c r="D93" s="116">
        <f>MachineAssumptions!$R$14</f>
        <v>1.9161092530657748</v>
      </c>
      <c r="E93" s="87">
        <f>FieldApplications!$F$13</f>
        <v>1</v>
      </c>
      <c r="F93" s="117">
        <f t="shared" si="12"/>
        <v>1.9161092530657748</v>
      </c>
      <c r="H93" s="246">
        <f>MachineAssumptions!$R$35*E93</f>
        <v>1.9161092530657748</v>
      </c>
      <c r="I93" s="166">
        <f>MachineAssumptions!$R$55*E93</f>
        <v>1.9161092530657748</v>
      </c>
    </row>
    <row r="94" spans="1:9" ht="20">
      <c r="A94" s="15"/>
      <c r="B94" s="85" t="str">
        <f>MachineAssumptions!B14&amp;" - Fuel, Lube"</f>
        <v>Combine w/ 36' header - Fuel, Lube</v>
      </c>
      <c r="C94" s="41" t="s">
        <v>246</v>
      </c>
      <c r="D94" s="116">
        <f>MachineAssumptions!$S$14</f>
        <v>7.0512820512820511</v>
      </c>
      <c r="E94" s="87">
        <f>FieldApplications!$F$13</f>
        <v>1</v>
      </c>
      <c r="F94" s="117">
        <f t="shared" si="12"/>
        <v>7.0512820512820511</v>
      </c>
      <c r="H94" s="246">
        <f>MachineAssumptions!$S$35*E94</f>
        <v>7.0512820512820511</v>
      </c>
      <c r="I94" s="166">
        <f>MachineAssumptions!$S$55*E94</f>
        <v>7.0512820512820511</v>
      </c>
    </row>
    <row r="95" spans="1:9" ht="20">
      <c r="A95" s="15"/>
      <c r="B95" s="85" t="str">
        <f>MachineAssumptions!B14&amp;" - Repairs"</f>
        <v>Combine w/ 36' header - Repairs</v>
      </c>
      <c r="C95" s="41" t="s">
        <v>246</v>
      </c>
      <c r="D95" s="116">
        <f>MachineAssumptions!$T$14</f>
        <v>6.4258281801385913</v>
      </c>
      <c r="E95" s="87">
        <f>FieldApplications!$F$13</f>
        <v>1</v>
      </c>
      <c r="F95" s="117">
        <f t="shared" si="12"/>
        <v>6.4258281801385913</v>
      </c>
      <c r="H95" s="246">
        <f>MachineAssumptions!$T$35*E95</f>
        <v>6.4258281801385913</v>
      </c>
      <c r="I95" s="166">
        <f>MachineAssumptions!$T$55*E95</f>
        <v>4.0416300769413871</v>
      </c>
    </row>
    <row r="96" spans="1:9" ht="20">
      <c r="A96" s="15"/>
      <c r="B96" s="85" t="str">
        <f>MachineAssumptions!B16&amp;" - Labor"</f>
        <v>Fertilizer Spreader - Labor</v>
      </c>
      <c r="C96" s="41" t="s">
        <v>246</v>
      </c>
      <c r="D96" s="116">
        <f>MachineAssumptions!$R$16</f>
        <v>0</v>
      </c>
      <c r="E96" s="87">
        <f>FieldApplications!$F$14</f>
        <v>0</v>
      </c>
      <c r="F96" s="117" t="str">
        <f t="shared" si="12"/>
        <v>0</v>
      </c>
      <c r="H96" s="246">
        <f>MachineAssumptions!$R$36*E96</f>
        <v>0</v>
      </c>
      <c r="I96" s="166">
        <f>MachineAssumptions!$R$56*E96</f>
        <v>0</v>
      </c>
    </row>
    <row r="97" spans="1:9" ht="20">
      <c r="A97" s="15"/>
      <c r="B97" s="85" t="str">
        <f>MachineAssumptions!B16&amp;" - Fuel, Lube"</f>
        <v>Fertilizer Spreader - Fuel, Lube</v>
      </c>
      <c r="C97" s="41" t="s">
        <v>246</v>
      </c>
      <c r="D97" s="116">
        <f>MachineAssumptions!$S$16</f>
        <v>0</v>
      </c>
      <c r="E97" s="87">
        <f>FieldApplications!$F$14</f>
        <v>0</v>
      </c>
      <c r="F97" s="117" t="str">
        <f t="shared" si="12"/>
        <v>0</v>
      </c>
      <c r="H97" s="246">
        <f>MachineAssumptions!$S$36*E97</f>
        <v>0</v>
      </c>
      <c r="I97" s="166">
        <f>MachineAssumptions!$S$56*E97</f>
        <v>0</v>
      </c>
    </row>
    <row r="98" spans="1:9" ht="20">
      <c r="A98" s="15"/>
      <c r="B98" s="85" t="str">
        <f>MachineAssumptions!B16&amp;" - Repairs"</f>
        <v>Fertilizer Spreader - Repairs</v>
      </c>
      <c r="C98" s="41" t="s">
        <v>246</v>
      </c>
      <c r="D98" s="116">
        <f>MachineAssumptions!$T$16</f>
        <v>0</v>
      </c>
      <c r="E98" s="87">
        <f>FieldApplications!$F$14</f>
        <v>0</v>
      </c>
      <c r="F98" s="117" t="str">
        <f t="shared" si="12"/>
        <v>0</v>
      </c>
      <c r="H98" s="246">
        <f>MachineAssumptions!$T$36*E98</f>
        <v>0</v>
      </c>
      <c r="I98" s="166">
        <f>MachineAssumptions!$T$56*E98</f>
        <v>0</v>
      </c>
    </row>
    <row r="99" spans="1:9" ht="20">
      <c r="A99" s="15"/>
      <c r="B99" s="85" t="str">
        <f>MachineAssumptions!B17&amp;" - Labor"</f>
        <v>Fertilizer tanks and pump - Labor</v>
      </c>
      <c r="C99" s="41" t="s">
        <v>246</v>
      </c>
      <c r="D99" s="116">
        <f>MachineAssumptions!$R$17</f>
        <v>2.2448979591836737</v>
      </c>
      <c r="E99" s="87">
        <f>FieldApplications!$F$15</f>
        <v>1</v>
      </c>
      <c r="F99" s="117">
        <f t="shared" si="12"/>
        <v>2.2448979591836737</v>
      </c>
      <c r="H99" s="246">
        <f>MachineAssumptions!$R$37*E99</f>
        <v>2.2448979591836737</v>
      </c>
      <c r="I99" s="166">
        <f>MachineAssumptions!$R$57*E99</f>
        <v>2.2448979591836737</v>
      </c>
    </row>
    <row r="100" spans="1:9" ht="20">
      <c r="A100" s="15"/>
      <c r="B100" s="85" t="str">
        <f>MachineAssumptions!B17&amp;" - Fuel, Lube"</f>
        <v>Fertilizer tanks and pump - Fuel, Lube</v>
      </c>
      <c r="C100" s="41" t="s">
        <v>246</v>
      </c>
      <c r="D100" s="116">
        <f>MachineAssumptions!$S$17</f>
        <v>9.387755102040817</v>
      </c>
      <c r="E100" s="87">
        <f>FieldApplications!$F$15</f>
        <v>1</v>
      </c>
      <c r="F100" s="117">
        <f t="shared" si="12"/>
        <v>9.387755102040817</v>
      </c>
      <c r="H100" s="246">
        <f>MachineAssumptions!$S$37*E100</f>
        <v>9.387755102040817</v>
      </c>
      <c r="I100" s="166">
        <f>MachineAssumptions!$S$57*E100</f>
        <v>9.387755102040817</v>
      </c>
    </row>
    <row r="101" spans="1:9" ht="20">
      <c r="A101" s="15"/>
      <c r="B101" s="85" t="str">
        <f>MachineAssumptions!B17&amp;" - Repairs"</f>
        <v>Fertilizer tanks and pump - Repairs</v>
      </c>
      <c r="C101" s="41" t="s">
        <v>246</v>
      </c>
      <c r="D101" s="116">
        <f>MachineAssumptions!$T$17</f>
        <v>0</v>
      </c>
      <c r="E101" s="87">
        <f>FieldApplications!$F$15</f>
        <v>1</v>
      </c>
      <c r="F101" s="117" t="str">
        <f t="shared" si="12"/>
        <v>0</v>
      </c>
      <c r="H101" s="246">
        <f>MachineAssumptions!$T$37*E101</f>
        <v>0</v>
      </c>
      <c r="I101" s="166">
        <f>MachineAssumptions!$T$57*E101</f>
        <v>0</v>
      </c>
    </row>
    <row r="102" spans="1:9" ht="20">
      <c r="A102" s="15"/>
      <c r="B102" s="85" t="str">
        <f>MachineAssumptions!B18&amp;" - Labor"</f>
        <v>Boom sprayer - Labor</v>
      </c>
      <c r="C102" s="41" t="s">
        <v>246</v>
      </c>
      <c r="D102" s="116">
        <f>MachineAssumptions!$R$18</f>
        <v>0.4708120318630365</v>
      </c>
      <c r="E102" s="87">
        <f>FieldApplications!$F$16</f>
        <v>3</v>
      </c>
      <c r="F102" s="117">
        <f t="shared" si="12"/>
        <v>1.4124360955891095</v>
      </c>
      <c r="H102" s="246">
        <f>MachineAssumptions!$R$38*E102</f>
        <v>1.4124360955891095</v>
      </c>
      <c r="I102" s="166">
        <f>MachineAssumptions!$R$58*E102</f>
        <v>1.4124360955891095</v>
      </c>
    </row>
    <row r="103" spans="1:9" ht="20">
      <c r="A103" s="15"/>
      <c r="B103" s="85" t="str">
        <f>MachineAssumptions!B18&amp;" - Fuel, Lube"</f>
        <v>Boom sprayer - Fuel, Lube</v>
      </c>
      <c r="C103" s="41" t="s">
        <v>246</v>
      </c>
      <c r="D103" s="116">
        <f>MachineAssumptions!$S$18</f>
        <v>1.8047794554749732</v>
      </c>
      <c r="E103" s="87">
        <f>FieldApplications!$F$16</f>
        <v>3</v>
      </c>
      <c r="F103" s="117">
        <f t="shared" si="12"/>
        <v>5.4143383664249196</v>
      </c>
      <c r="H103" s="246">
        <f>MachineAssumptions!$S$38*E103</f>
        <v>5.4143383664249196</v>
      </c>
      <c r="I103" s="166">
        <f>MachineAssumptions!$S$58*E103</f>
        <v>5.4143383664249196</v>
      </c>
    </row>
    <row r="104" spans="1:9" ht="20">
      <c r="A104" s="15"/>
      <c r="B104" s="85" t="str">
        <f>MachineAssumptions!B18&amp;" - Repairs"</f>
        <v>Boom sprayer - Repairs</v>
      </c>
      <c r="C104" s="41" t="s">
        <v>246</v>
      </c>
      <c r="D104" s="116">
        <f>MachineAssumptions!$T$18</f>
        <v>0.49795949063219769</v>
      </c>
      <c r="E104" s="87">
        <f>FieldApplications!$F$16</f>
        <v>3</v>
      </c>
      <c r="F104" s="117">
        <f t="shared" si="12"/>
        <v>1.493878471896593</v>
      </c>
      <c r="H104" s="246">
        <f>MachineAssumptions!$T$38*E104</f>
        <v>1.5084005569154613</v>
      </c>
      <c r="I104" s="166">
        <f>MachineAssumptions!$T$58*E104</f>
        <v>1.3532484858048683</v>
      </c>
    </row>
    <row r="105" spans="1:9" ht="20">
      <c r="A105" s="15"/>
      <c r="B105" s="85" t="str">
        <f>MachineAssumptions!B15&amp;" - Labor"</f>
        <v>Bankout Wagon - Labor</v>
      </c>
      <c r="C105" s="41" t="s">
        <v>246</v>
      </c>
      <c r="D105" s="116">
        <f>MachineAssumptions!$R$15</f>
        <v>1.6861761426978819</v>
      </c>
      <c r="E105" s="87">
        <f t="shared" ref="E105:E113" si="13">IF($E$93&gt;0,1,0)</f>
        <v>1</v>
      </c>
      <c r="F105" s="117">
        <f t="shared" si="12"/>
        <v>1.6861761426978819</v>
      </c>
      <c r="H105" s="246">
        <f>MachineAssumptions!$R$39*E105</f>
        <v>1.6861761426978819</v>
      </c>
      <c r="I105" s="166">
        <f>MachineAssumptions!$R$59*E105</f>
        <v>1.6861761426978819</v>
      </c>
    </row>
    <row r="106" spans="1:9" ht="20">
      <c r="A106" s="15"/>
      <c r="B106" s="85" t="str">
        <f>MachineAssumptions!B15&amp;" - Fuel, Lube"</f>
        <v>Bankout Wagon - Fuel, Lube</v>
      </c>
      <c r="C106" s="41" t="s">
        <v>246</v>
      </c>
      <c r="D106" s="116">
        <f>MachineAssumptions!$S$15</f>
        <v>7.0512820512820511</v>
      </c>
      <c r="E106" s="87">
        <f t="shared" si="13"/>
        <v>1</v>
      </c>
      <c r="F106" s="117">
        <f t="shared" si="12"/>
        <v>7.0512820512820511</v>
      </c>
      <c r="H106" s="246">
        <f>MachineAssumptions!$S$39*E106</f>
        <v>7.0512820512820511</v>
      </c>
      <c r="I106" s="166">
        <f>MachineAssumptions!$S$59*E106</f>
        <v>7.0512820512820511</v>
      </c>
    </row>
    <row r="107" spans="1:9" ht="20">
      <c r="A107" s="15"/>
      <c r="B107" s="85" t="str">
        <f>MachineAssumptions!B15&amp;" - Repairs"</f>
        <v>Bankout Wagon - Repairs</v>
      </c>
      <c r="C107" s="41" t="s">
        <v>246</v>
      </c>
      <c r="D107" s="116">
        <f>MachineAssumptions!$T$15</f>
        <v>0.5058930256896228</v>
      </c>
      <c r="E107" s="87">
        <f t="shared" si="13"/>
        <v>1</v>
      </c>
      <c r="F107" s="117">
        <f t="shared" si="12"/>
        <v>0.5058930256896228</v>
      </c>
      <c r="H107" s="246">
        <f>MachineAssumptions!$T$39*E107</f>
        <v>0.5058930256896228</v>
      </c>
      <c r="I107" s="166">
        <f>MachineAssumptions!$T$59*E107</f>
        <v>0.43525361955195507</v>
      </c>
    </row>
    <row r="108" spans="1:9" ht="20">
      <c r="A108" s="15"/>
      <c r="B108" s="85" t="str">
        <f>MachineAssumptions!B19&amp;" - Labor"</f>
        <v>Tandem Axle Truck  - Labor</v>
      </c>
      <c r="C108" s="41" t="s">
        <v>246</v>
      </c>
      <c r="D108" s="116">
        <f>MachineAssumptions!$R$19</f>
        <v>3.6</v>
      </c>
      <c r="E108" s="87">
        <f t="shared" si="13"/>
        <v>1</v>
      </c>
      <c r="F108" s="117">
        <f t="shared" si="12"/>
        <v>3.6</v>
      </c>
      <c r="H108" s="246">
        <f>MachineAssumptions!$R$40*E108</f>
        <v>3.6</v>
      </c>
      <c r="I108" s="166">
        <f>MachineAssumptions!$R$60*E108</f>
        <v>3.6</v>
      </c>
    </row>
    <row r="109" spans="1:9" ht="20">
      <c r="A109" s="15"/>
      <c r="B109" s="85" t="str">
        <f>MachineAssumptions!B19&amp;" - Fuel, Lube"</f>
        <v>Tandem Axle Truck  - Fuel, Lube</v>
      </c>
      <c r="C109" s="41" t="s">
        <v>246</v>
      </c>
      <c r="D109" s="116">
        <f>MachineAssumptions!$S$19</f>
        <v>1.1499999999999999</v>
      </c>
      <c r="E109" s="87">
        <f t="shared" si="13"/>
        <v>1</v>
      </c>
      <c r="F109" s="117">
        <f t="shared" si="12"/>
        <v>1.1499999999999999</v>
      </c>
      <c r="H109" s="246">
        <f>MachineAssumptions!$S$40*E109</f>
        <v>1.1499999999999999</v>
      </c>
      <c r="I109" s="166">
        <f>MachineAssumptions!$S$60*E109</f>
        <v>1.1499999999999999</v>
      </c>
    </row>
    <row r="110" spans="1:9" ht="20">
      <c r="A110" s="15"/>
      <c r="B110" s="85" t="str">
        <f>MachineAssumptions!B19&amp;" - Repairs"</f>
        <v>Tandem Axle Truck  - Repairs</v>
      </c>
      <c r="C110" s="41" t="s">
        <v>246</v>
      </c>
      <c r="D110" s="116">
        <f>MachineAssumptions!$T$19</f>
        <v>0.8</v>
      </c>
      <c r="E110" s="87">
        <f t="shared" si="13"/>
        <v>1</v>
      </c>
      <c r="F110" s="117">
        <f t="shared" si="12"/>
        <v>0.8</v>
      </c>
      <c r="H110" s="246">
        <f>MachineAssumptions!$T$40*E110</f>
        <v>0.8</v>
      </c>
      <c r="I110" s="166">
        <f>MachineAssumptions!$T$60*E110</f>
        <v>0.8</v>
      </c>
    </row>
    <row r="111" spans="1:9" ht="20">
      <c r="A111" s="15"/>
      <c r="B111" s="85" t="str">
        <f>MachineAssumptions!B20&amp;" - Labor"</f>
        <v>Tandem Axle Truck  - Labor</v>
      </c>
      <c r="C111" s="41" t="s">
        <v>246</v>
      </c>
      <c r="D111" s="116">
        <f>MachineAssumptions!$R$20</f>
        <v>3.6</v>
      </c>
      <c r="E111" s="87">
        <f t="shared" si="13"/>
        <v>1</v>
      </c>
      <c r="F111" s="117">
        <f t="shared" si="12"/>
        <v>3.6</v>
      </c>
      <c r="H111" s="416">
        <f>MachineAssumptions!$R$41*E111</f>
        <v>3.6</v>
      </c>
      <c r="I111" s="369">
        <f>MachineAssumptions!$R$61*E111</f>
        <v>3.6</v>
      </c>
    </row>
    <row r="112" spans="1:9" ht="20">
      <c r="A112" s="15"/>
      <c r="B112" s="85" t="str">
        <f>MachineAssumptions!B20&amp;" - Fuel, Lube"</f>
        <v>Tandem Axle Truck  - Fuel, Lube</v>
      </c>
      <c r="C112" s="41" t="s">
        <v>246</v>
      </c>
      <c r="D112" s="116">
        <f>MachineAssumptions!$S$20</f>
        <v>1.72</v>
      </c>
      <c r="E112" s="87">
        <f t="shared" si="13"/>
        <v>1</v>
      </c>
      <c r="F112" s="117">
        <f t="shared" si="12"/>
        <v>1.72</v>
      </c>
      <c r="H112" s="416">
        <f>MachineAssumptions!$S$41*E112</f>
        <v>1.72</v>
      </c>
      <c r="I112" s="369">
        <f>MachineAssumptions!$S$61*E112</f>
        <v>1.72</v>
      </c>
    </row>
    <row r="113" spans="1:13" ht="23">
      <c r="A113" s="15"/>
      <c r="B113" s="85" t="str">
        <f>MachineAssumptions!B20&amp;" - Repairs"</f>
        <v>Tandem Axle Truck  - Repairs</v>
      </c>
      <c r="C113" s="41" t="s">
        <v>246</v>
      </c>
      <c r="D113" s="116">
        <f>MachineAssumptions!$T$20</f>
        <v>0.8</v>
      </c>
      <c r="E113" s="87">
        <f t="shared" si="13"/>
        <v>1</v>
      </c>
      <c r="F113" s="117">
        <f t="shared" si="12"/>
        <v>0.8</v>
      </c>
      <c r="H113" s="248">
        <f>MachineAssumptions!$T$41*E113</f>
        <v>0.8</v>
      </c>
      <c r="I113" s="247">
        <f>MachineAssumptions!$T$61*E113</f>
        <v>0.8</v>
      </c>
    </row>
    <row r="114" spans="1:13" ht="21">
      <c r="A114" s="15"/>
      <c r="B114" s="139" t="s">
        <v>88</v>
      </c>
      <c r="C114" s="41"/>
      <c r="D114" s="116"/>
      <c r="E114" s="87"/>
      <c r="F114" s="117"/>
      <c r="H114" s="249">
        <f>SUM(H74:H113)</f>
        <v>69.831863834238547</v>
      </c>
      <c r="I114" s="249">
        <f>SUM(I74:I113)</f>
        <v>67.221874253793075</v>
      </c>
    </row>
    <row r="115" spans="1:13" ht="20">
      <c r="A115" s="15"/>
      <c r="B115" s="85" t="str">
        <f>'Chem&amp;FertInputs&amp;CInsurance'!B73</f>
        <v>Crop Insurance</v>
      </c>
      <c r="C115" s="23" t="str">
        <f>'Chem&amp;FertInputs&amp;CInsurance'!D73</f>
        <v>acre</v>
      </c>
      <c r="D115" s="116">
        <f>'Chem&amp;FertInputs&amp;CInsurance'!I73</f>
        <v>0</v>
      </c>
      <c r="E115" s="87">
        <v>1</v>
      </c>
      <c r="F115" s="117" t="str">
        <f>IF(D115*E115=0,"0",D115*E115)</f>
        <v>0</v>
      </c>
      <c r="H115" s="1" t="s">
        <v>181</v>
      </c>
      <c r="I115" s="1" t="s">
        <v>181</v>
      </c>
    </row>
    <row r="116" spans="1:13" ht="20">
      <c r="A116" s="15"/>
      <c r="B116" s="85" t="s">
        <v>72</v>
      </c>
      <c r="C116" s="41" t="s">
        <v>83</v>
      </c>
      <c r="D116" s="111">
        <f>MachineAssumptions!D25</f>
        <v>0.05</v>
      </c>
      <c r="E116" s="87"/>
      <c r="F116" s="86">
        <f>SUM(F8:F115)*D116</f>
        <v>5.4383670874609846</v>
      </c>
      <c r="G116" s="1" t="s">
        <v>111</v>
      </c>
      <c r="H116" s="49">
        <f>(SUM($F8:$F70)+$F115+SUM(H72:H113))*$D116</f>
        <v>5.4390931917119278</v>
      </c>
      <c r="I116" s="49">
        <f>(SUM($F8:$F70)+$F115+SUM(I72:I113))*$D116</f>
        <v>5.3085937126896541</v>
      </c>
      <c r="J116" s="49">
        <f>F72+F75+F78+F81+F84+F87+F90+F93+F96+F99+F102+F105+F108+F111</f>
        <v>16.129930432071912</v>
      </c>
      <c r="K116" s="1" t="s">
        <v>111</v>
      </c>
    </row>
    <row r="117" spans="1:13" ht="20">
      <c r="A117" s="15"/>
      <c r="B117" s="85" t="s">
        <v>84</v>
      </c>
      <c r="C117" s="41" t="s">
        <v>83</v>
      </c>
      <c r="D117" s="111">
        <f>MachineAssumptions!D26</f>
        <v>6.7500000000000004E-2</v>
      </c>
      <c r="E117" s="112"/>
      <c r="F117" s="140">
        <f>SUM(F8:F116)*(D117/12*MachineAssumptions!D27)</f>
        <v>5.7816640098569589</v>
      </c>
      <c r="G117" s="1" t="s">
        <v>4</v>
      </c>
      <c r="H117" s="49">
        <f>(SUM(F8:F70)+(F115+F116+H114))*((D117/12)*MachineAssumptions!D27)</f>
        <v>5.7823991904110397</v>
      </c>
      <c r="I117" s="49">
        <f>(SUM(F8:F70)+(F115+F116+I114))*((D117/12)*MachineAssumptions!D27)</f>
        <v>5.6502684679009878</v>
      </c>
      <c r="J117" s="49">
        <f>F73+F76+F79+F82+F85+F88+F91+F94+F97+F100+F103+F106+F109+F112</f>
        <v>37.921401983080372</v>
      </c>
      <c r="K117" s="1" t="s">
        <v>4</v>
      </c>
    </row>
    <row r="118" spans="1:13" ht="20">
      <c r="A118" s="15"/>
      <c r="B118" s="14" t="s">
        <v>85</v>
      </c>
      <c r="C118" s="29"/>
      <c r="D118" s="141"/>
      <c r="E118" s="142"/>
      <c r="F118" s="143">
        <f>SUM(F8:F117)</f>
        <v>119.98737284653762</v>
      </c>
      <c r="G118" s="1" t="s">
        <v>112</v>
      </c>
      <c r="J118" s="49">
        <f>F74+F77+F80+F83+F86+F89+F92+F95+F98+F101+F104+F107+F110+F113</f>
        <v>15.766009334067396</v>
      </c>
      <c r="K118" s="1" t="s">
        <v>112</v>
      </c>
      <c r="L118" s="49">
        <f>H74+H77+H80+H83+H86+H89+H92+H95+H98+H101+H104+H107+H110+H113</f>
        <v>15.780531419086264</v>
      </c>
      <c r="M118" s="49">
        <f>I74+I77+I80+I83+I86+I89+I92+I95+I98+I101+I104+I107+I110+I113</f>
        <v>13.1705418386408</v>
      </c>
    </row>
    <row r="119" spans="1:13">
      <c r="A119" s="15"/>
      <c r="B119" s="113"/>
      <c r="C119" s="113"/>
      <c r="D119" s="113"/>
      <c r="E119" s="114"/>
      <c r="F119" s="115"/>
      <c r="H119" s="115"/>
      <c r="J119" s="49">
        <f>SUM(J116:J118)</f>
        <v>69.817341749219679</v>
      </c>
      <c r="K119" s="115"/>
    </row>
    <row r="120" spans="1:13" ht="20">
      <c r="A120" s="15"/>
      <c r="B120" s="132" t="s">
        <v>89</v>
      </c>
      <c r="C120" s="19" t="s">
        <v>2</v>
      </c>
      <c r="D120" s="20" t="s">
        <v>12</v>
      </c>
      <c r="E120" s="21" t="s">
        <v>13</v>
      </c>
      <c r="F120" s="45" t="s">
        <v>0</v>
      </c>
      <c r="H120" s="1" t="s">
        <v>136</v>
      </c>
      <c r="I120" s="1" t="s">
        <v>139</v>
      </c>
    </row>
    <row r="121" spans="1:13" ht="20">
      <c r="A121" s="15"/>
      <c r="B121" s="18" t="str">
        <f>MachineAssumptions!B7&amp;" - Replacement Costs"</f>
        <v>Shredder - Replacement Costs</v>
      </c>
      <c r="C121" s="41" t="str">
        <f>C72</f>
        <v>acre</v>
      </c>
      <c r="D121" s="34">
        <f>MachineAssumptions!U7</f>
        <v>4.3329737628911431</v>
      </c>
      <c r="E121" s="145">
        <f>E72</f>
        <v>0</v>
      </c>
      <c r="F121" s="42" t="str">
        <f t="shared" ref="F121:F134" si="14">IF(D121*E121=0,"0",D121*E121)</f>
        <v>0</v>
      </c>
      <c r="H121" s="166">
        <f>MachineAssumptions!U28*E121</f>
        <v>0</v>
      </c>
      <c r="I121" s="166">
        <f>MachineAssumptions!U48*E121</f>
        <v>0</v>
      </c>
    </row>
    <row r="122" spans="1:13" ht="20">
      <c r="A122" s="15"/>
      <c r="B122" s="18" t="str">
        <f>MachineAssumptions!B8&amp;" - Replacement Costs"</f>
        <v>Harrow - Replacement Costs</v>
      </c>
      <c r="C122" s="41" t="str">
        <f>C75</f>
        <v>acre</v>
      </c>
      <c r="D122" s="34">
        <f>MachineAssumptions!U8</f>
        <v>1.1988479209967022</v>
      </c>
      <c r="E122" s="145">
        <f>E75</f>
        <v>0</v>
      </c>
      <c r="F122" s="42" t="str">
        <f t="shared" si="14"/>
        <v>0</v>
      </c>
      <c r="H122" s="166">
        <f>MachineAssumptions!U29*E122</f>
        <v>0</v>
      </c>
      <c r="I122" s="166">
        <f>MachineAssumptions!U49*E122</f>
        <v>0</v>
      </c>
    </row>
    <row r="123" spans="1:13" ht="20">
      <c r="A123" s="15"/>
      <c r="B123" s="18" t="str">
        <f>MachineAssumptions!B9&amp;" - Replacement Costs"</f>
        <v>Chisel plow - Replacement Costs</v>
      </c>
      <c r="C123" s="41" t="str">
        <f>C78</f>
        <v>acre</v>
      </c>
      <c r="D123" s="34">
        <f>MachineAssumptions!U9</f>
        <v>0</v>
      </c>
      <c r="E123" s="145">
        <f>E78</f>
        <v>0</v>
      </c>
      <c r="F123" s="42" t="str">
        <f t="shared" si="14"/>
        <v>0</v>
      </c>
      <c r="H123" s="166">
        <f>MachineAssumptions!U30*E123</f>
        <v>0</v>
      </c>
      <c r="I123" s="166">
        <f>MachineAssumptions!U50*E123</f>
        <v>0</v>
      </c>
    </row>
    <row r="124" spans="1:13" ht="20">
      <c r="A124" s="15"/>
      <c r="B124" s="18" t="str">
        <f>MachineAssumptions!B10&amp;" - Replacement Costs"</f>
        <v>Moldboard plow - Replacement Costs</v>
      </c>
      <c r="C124" s="41" t="str">
        <f>C81</f>
        <v>acre</v>
      </c>
      <c r="D124" s="34">
        <f>MachineAssumptions!U10</f>
        <v>0</v>
      </c>
      <c r="E124" s="145">
        <f>E81</f>
        <v>0</v>
      </c>
      <c r="F124" s="42" t="str">
        <f t="shared" si="14"/>
        <v>0</v>
      </c>
      <c r="H124" s="166">
        <f>MachineAssumptions!U31*E124</f>
        <v>0</v>
      </c>
      <c r="I124" s="166">
        <f>MachineAssumptions!U51*E124</f>
        <v>0</v>
      </c>
    </row>
    <row r="125" spans="1:13" ht="20">
      <c r="A125" s="15"/>
      <c r="B125" s="18" t="str">
        <f>MachineAssumptions!B11&amp;" - Replacement Costs"</f>
        <v>Cultivator - Replacement Costs</v>
      </c>
      <c r="C125" s="41" t="str">
        <f t="shared" ref="C125:C126" si="15">C82</f>
        <v>acre</v>
      </c>
      <c r="D125" s="34">
        <f>MachineAssumptions!U11</f>
        <v>0</v>
      </c>
      <c r="E125" s="145">
        <f>E84</f>
        <v>0</v>
      </c>
      <c r="F125" s="42" t="str">
        <f t="shared" si="14"/>
        <v>0</v>
      </c>
      <c r="H125" s="166">
        <f>MachineAssumptions!U32*E125</f>
        <v>0</v>
      </c>
      <c r="I125" s="166">
        <f>MachineAssumptions!U52*E125</f>
        <v>0</v>
      </c>
    </row>
    <row r="126" spans="1:13" ht="20">
      <c r="A126" s="15"/>
      <c r="B126" s="18" t="str">
        <f>MachineAssumptions!B12&amp;" - Replacement Costs"</f>
        <v>Cultiweeder - Replacement Costs</v>
      </c>
      <c r="C126" s="41" t="str">
        <f t="shared" si="15"/>
        <v>acre</v>
      </c>
      <c r="D126" s="34">
        <f>MachineAssumptions!U12</f>
        <v>0</v>
      </c>
      <c r="E126" s="145">
        <f>E87</f>
        <v>0</v>
      </c>
      <c r="F126" s="42" t="str">
        <f t="shared" si="14"/>
        <v>0</v>
      </c>
      <c r="H126" s="166">
        <f>MachineAssumptions!U33*E126</f>
        <v>0</v>
      </c>
      <c r="I126" s="166">
        <f>MachineAssumptions!U53*E126</f>
        <v>0</v>
      </c>
    </row>
    <row r="127" spans="1:13" ht="20">
      <c r="A127" s="15"/>
      <c r="B127" s="18" t="str">
        <f>MachineAssumptions!B13&amp;" - Replacement Costs"</f>
        <v>Drill - Replacement Costs</v>
      </c>
      <c r="C127" s="41" t="str">
        <f>C90</f>
        <v>acre</v>
      </c>
      <c r="D127" s="34">
        <f>MachineAssumptions!U13</f>
        <v>7.2419265221735989</v>
      </c>
      <c r="E127" s="145">
        <f>E90</f>
        <v>1</v>
      </c>
      <c r="F127" s="42">
        <f t="shared" si="14"/>
        <v>7.2419265221735989</v>
      </c>
      <c r="H127" s="166">
        <f>MachineAssumptions!U34*E127</f>
        <v>7.2419265221735989</v>
      </c>
      <c r="I127" s="166">
        <f>MachineAssumptions!U54*E127</f>
        <v>7.2419265221735989</v>
      </c>
    </row>
    <row r="128" spans="1:13" ht="20">
      <c r="A128" s="15"/>
      <c r="B128" s="18" t="str">
        <f>MachineAssumptions!B14&amp;" - Replacement Costs"</f>
        <v>Combine w/ 36' header - Replacement Costs</v>
      </c>
      <c r="C128" s="41" t="str">
        <f>C93</f>
        <v>acre</v>
      </c>
      <c r="D128" s="34">
        <f>MachineAssumptions!U14</f>
        <v>9.7031999999999989</v>
      </c>
      <c r="E128" s="145">
        <f>E93</f>
        <v>1</v>
      </c>
      <c r="F128" s="42">
        <f t="shared" si="14"/>
        <v>9.7031999999999989</v>
      </c>
      <c r="H128" s="166">
        <f>MachineAssumptions!U35*E128</f>
        <v>9.7031999999999989</v>
      </c>
      <c r="I128" s="166">
        <f>MachineAssumptions!U55*E128</f>
        <v>9.7032000000000007</v>
      </c>
    </row>
    <row r="129" spans="1:9" ht="20">
      <c r="A129" s="15"/>
      <c r="B129" s="18" t="str">
        <f>MachineAssumptions!B16&amp;" - Replacement Costs"</f>
        <v>Fertilizer Spreader - Replacement Costs</v>
      </c>
      <c r="C129" s="41" t="str">
        <f>C96</f>
        <v>acre</v>
      </c>
      <c r="D129" s="34">
        <f>MachineAssumptions!U16</f>
        <v>0</v>
      </c>
      <c r="E129" s="145">
        <f>E96</f>
        <v>0</v>
      </c>
      <c r="F129" s="42" t="str">
        <f t="shared" si="14"/>
        <v>0</v>
      </c>
      <c r="H129" s="166">
        <f>MachineAssumptions!U36*E129</f>
        <v>0</v>
      </c>
      <c r="I129" s="166">
        <f>MachineAssumptions!U56*E129</f>
        <v>0</v>
      </c>
    </row>
    <row r="130" spans="1:9" ht="20">
      <c r="A130" s="15"/>
      <c r="B130" s="18" t="str">
        <f>MachineAssumptions!B17&amp;" - Replacement Costs"</f>
        <v>Fertilizer tanks and pump - Replacement Costs</v>
      </c>
      <c r="C130" s="41" t="str">
        <f>C99</f>
        <v>acre</v>
      </c>
      <c r="D130" s="34">
        <f>MachineAssumptions!U17</f>
        <v>0.6</v>
      </c>
      <c r="E130" s="145">
        <f>E99</f>
        <v>1</v>
      </c>
      <c r="F130" s="42">
        <f t="shared" si="14"/>
        <v>0.6</v>
      </c>
      <c r="H130" s="166">
        <f>MachineAssumptions!U37*E130</f>
        <v>0.6</v>
      </c>
      <c r="I130" s="166">
        <f>MachineAssumptions!U57*E130</f>
        <v>0.6</v>
      </c>
    </row>
    <row r="131" spans="1:9" ht="20">
      <c r="A131" s="15"/>
      <c r="B131" s="18" t="str">
        <f>MachineAssumptions!B18&amp;" - Replacement Costs"</f>
        <v>Boom sprayer - Replacement Costs</v>
      </c>
      <c r="C131" s="41" t="str">
        <f>C102</f>
        <v>acre</v>
      </c>
      <c r="D131" s="34">
        <f>MachineAssumptions!U18</f>
        <v>0.80913316225248511</v>
      </c>
      <c r="E131" s="145">
        <f>E102</f>
        <v>3</v>
      </c>
      <c r="F131" s="42">
        <f t="shared" si="14"/>
        <v>2.4273994867574551</v>
      </c>
      <c r="H131" s="166">
        <f>MachineAssumptions!U38*E131</f>
        <v>2.4270356342009749</v>
      </c>
      <c r="I131" s="166">
        <f>MachineAssumptions!U58*E131</f>
        <v>2.4273994867574551</v>
      </c>
    </row>
    <row r="132" spans="1:9" ht="20">
      <c r="A132" s="15"/>
      <c r="B132" s="18" t="str">
        <f>MachineAssumptions!B15&amp;" - Replacement Costs"</f>
        <v>Bankout Wagon - Replacement Costs</v>
      </c>
      <c r="C132" s="41" t="str">
        <f>C105</f>
        <v>acre</v>
      </c>
      <c r="D132" s="34">
        <f>MachineAssumptions!U15</f>
        <v>2.9461434675395459</v>
      </c>
      <c r="E132" s="145">
        <f>E105</f>
        <v>1</v>
      </c>
      <c r="F132" s="42">
        <f t="shared" si="14"/>
        <v>2.9461434675395459</v>
      </c>
      <c r="H132" s="166">
        <f>MachineAssumptions!U39*E132</f>
        <v>2.9461434675395459</v>
      </c>
      <c r="I132" s="166">
        <f>MachineAssumptions!U59*E132</f>
        <v>2.9461434675395459</v>
      </c>
    </row>
    <row r="133" spans="1:9" ht="20">
      <c r="A133" s="15"/>
      <c r="B133" s="18" t="str">
        <f>MachineAssumptions!B19&amp;" - Replacement Costs"</f>
        <v>Tandem Axle Truck  - Replacement Costs</v>
      </c>
      <c r="C133" s="41" t="str">
        <f>C108</f>
        <v>acre</v>
      </c>
      <c r="D133" s="34">
        <f>MachineAssumptions!U19</f>
        <v>0.64</v>
      </c>
      <c r="E133" s="145">
        <f>E108</f>
        <v>1</v>
      </c>
      <c r="F133" s="42">
        <f t="shared" si="14"/>
        <v>0.64</v>
      </c>
      <c r="H133" s="166">
        <f>MachineAssumptions!U40*E133</f>
        <v>0.64</v>
      </c>
      <c r="I133" s="166">
        <f>MachineAssumptions!U60*E133</f>
        <v>0.64</v>
      </c>
    </row>
    <row r="134" spans="1:9" ht="23">
      <c r="A134" s="15"/>
      <c r="B134" s="18" t="str">
        <f>MachineAssumptions!B20&amp;" - Replacement Costs"</f>
        <v>Tandem Axle Truck  - Replacement Costs</v>
      </c>
      <c r="C134" s="41" t="str">
        <f t="shared" ref="C134" si="16">C111</f>
        <v>acre</v>
      </c>
      <c r="D134" s="34">
        <f>MachineAssumptions!U20</f>
        <v>0.64</v>
      </c>
      <c r="E134" s="145">
        <f t="shared" ref="E134" si="17">E111</f>
        <v>1</v>
      </c>
      <c r="F134" s="43">
        <f t="shared" si="14"/>
        <v>0.64</v>
      </c>
      <c r="H134" s="247">
        <f>MachineAssumptions!U41*E134</f>
        <v>0.64</v>
      </c>
      <c r="I134" s="247">
        <f>MachineAssumptions!U61*E134</f>
        <v>0.64</v>
      </c>
    </row>
    <row r="135" spans="1:9" ht="20">
      <c r="A135" s="15"/>
      <c r="B135" s="144" t="s">
        <v>38</v>
      </c>
      <c r="C135" s="29"/>
      <c r="D135" s="30"/>
      <c r="E135" s="29"/>
      <c r="F135" s="46">
        <f>SUM(F121:F134)</f>
        <v>24.198669476470602</v>
      </c>
      <c r="H135" s="46">
        <f t="shared" ref="H135:I135" si="18">SUM(H121:H134)</f>
        <v>24.198305623914123</v>
      </c>
      <c r="I135" s="46">
        <f t="shared" si="18"/>
        <v>24.198669476470602</v>
      </c>
    </row>
    <row r="136" spans="1:9" ht="20">
      <c r="A136" s="15"/>
      <c r="B136" s="16"/>
      <c r="C136" s="16"/>
      <c r="D136" s="17"/>
      <c r="E136" s="16"/>
      <c r="F136" s="113"/>
    </row>
    <row r="137" spans="1:9" ht="20">
      <c r="A137" s="15"/>
      <c r="B137" s="14" t="s">
        <v>31</v>
      </c>
      <c r="C137" s="29"/>
      <c r="D137" s="30"/>
      <c r="E137" s="29"/>
      <c r="F137" s="47">
        <f>F118+F135</f>
        <v>144.18604232300822</v>
      </c>
      <c r="H137" s="47">
        <f>SUM(F16:F70)+H114+F115+H116+H117+H135+F8+(H9*D9)+(H10*D10)+(H11*D11)+(H12*D12)+(H13*D13)+(H14*D14)+(H15*D15)</f>
        <v>144.20166184027565</v>
      </c>
      <c r="I137" s="47">
        <f>SUM(F16:F70)+I114+F115+I116+I117+I135+F8+(I9*D9)+(I10*D10)+(I11*D11)+(I12*D12)+(I13*D13)+(I14*D14)+(I15*D15)</f>
        <v>141.32940591085432</v>
      </c>
    </row>
    <row r="138" spans="1:9" ht="21">
      <c r="A138" s="15"/>
      <c r="B138" s="31" t="s">
        <v>32</v>
      </c>
      <c r="C138" s="32"/>
      <c r="D138" s="33"/>
      <c r="E138" s="32"/>
      <c r="F138" s="48">
        <f>F5-F137</f>
        <v>723.81395767699178</v>
      </c>
      <c r="H138" s="250">
        <f>H5-H137</f>
        <v>751.79833815972438</v>
      </c>
      <c r="I138" s="250">
        <f>I5-I137</f>
        <v>782.67059408914565</v>
      </c>
    </row>
  </sheetData>
  <mergeCells count="1">
    <mergeCell ref="B2:F2"/>
  </mergeCells>
  <pageMargins left="0.7" right="0.7" top="0.75" bottom="0.75" header="0.3" footer="0.3"/>
  <pageSetup scale="62" orientation="portrait" horizontalDpi="0" verticalDpi="0"/>
  <ignoredErrors>
    <ignoredError sqref="B135:F138 B114:F114 B90:B113 B116:F116 B115:D115 B127:C134 E127:G134 E121:F123 B60:D60 E124:G124 B121:C124 B84:B89 B125:F126 B62:E62 C14:D14 B118:F120 B117:E117 C13:D13 C9:D9 C10:D10 C11:D11 C12:D12 F14 B61:D61 D4:F4 B5:F7 B3:F3 B4:C4 B8:F8 B71:E71 B63:C63 B64:C64 B65:C65 B66:C66 B67:C67 B68:C68 B69:C69 B70:C70 D63:E70 B2 B73:B83 B72 D72:E72 D90:E113 D84:F89 D73:E83 B57:D57 B56:D56 B55:D55 B54:D54 B51:D51 B50:D50 B49:D49 B48:D48 B47:D47 B46:D46 B45:D45 B44:D44 B43:D43 B42:D42 B40:D40 B39:D39 B38:D38 B37:D37 B36:D36 B35:D35 B34:D34 B33:D33 B31:D31 B30:D30 B29:D29 B28:D28 B27:D27 B26:D26 B25:D25 B24:D24 B23:D23 B22:D22 B21:D21 B16:G20 B32:G32 E21:G21 E22:G22 E23:G23 E24:G24 E25:G25 E26:G26 E27:G27 E28:G28 E29:G29 E30:G30 E31:G31 B41:G41 E33:G33 E34:G34 E35:G35 E36:G36 E37:G37 E38:G38 E39:G39 E40:G40 B52:G53 E42:G42 E43:G43 E44:G44 E45:G45 E46:G46 E47:G47 E48:G48 E49:G49 E50:G50 E51:G51 B58:G59 E54:G54 E55:G55 E56:G56 E57:G57 E115 C15:G15 B9:B15" unlockedFormula="1"/>
    <ignoredError sqref="D127:D134 D121:D124" formula="1" unlockedFormula="1"/>
  </ignoredErrors>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04608-9B7E-6445-82C9-866BB012D061}">
  <sheetPr codeName="Sheet18">
    <pageSetUpPr fitToPage="1"/>
  </sheetPr>
  <dimension ref="A1:R138"/>
  <sheetViews>
    <sheetView zoomScale="120" zoomScaleNormal="120" workbookViewId="0">
      <selection activeCell="B2" sqref="B2:F2"/>
    </sheetView>
  </sheetViews>
  <sheetFormatPr baseColWidth="10" defaultColWidth="11.5" defaultRowHeight="15"/>
  <cols>
    <col min="1" max="1" width="4.83203125" style="1" customWidth="1"/>
    <col min="2" max="2" width="57.83203125" style="1" customWidth="1"/>
    <col min="3" max="6" width="12.83203125" style="1" customWidth="1"/>
    <col min="7" max="14" width="11.5" style="1" hidden="1" customWidth="1"/>
    <col min="15" max="16" width="0" style="1" hidden="1" customWidth="1"/>
    <col min="17" max="16384" width="11.5" style="1"/>
  </cols>
  <sheetData>
    <row r="1" spans="1:18" ht="20">
      <c r="A1" s="352" t="s">
        <v>8</v>
      </c>
      <c r="B1" s="27"/>
      <c r="C1" s="16"/>
      <c r="D1" s="17"/>
      <c r="E1" s="16"/>
      <c r="F1" s="16"/>
    </row>
    <row r="2" spans="1:18" ht="20">
      <c r="A2" s="15"/>
      <c r="B2" s="807" t="str">
        <f>'Prices_Yields&amp;SeedInputs'!B9&amp;", Cash Costs and Returns of Producing, $/acre."</f>
        <v>DN Spring Wheat after Winter Crop, Cash Costs and Returns of Producing, $/acre.</v>
      </c>
      <c r="C2" s="807"/>
      <c r="D2" s="807"/>
      <c r="E2" s="807"/>
      <c r="F2" s="807"/>
    </row>
    <row r="3" spans="1:18" ht="20">
      <c r="A3" s="15"/>
      <c r="B3" s="131" t="s">
        <v>11</v>
      </c>
      <c r="C3" s="24" t="s">
        <v>2</v>
      </c>
      <c r="D3" s="25" t="s">
        <v>12</v>
      </c>
      <c r="E3" s="26" t="s">
        <v>13</v>
      </c>
      <c r="F3" s="26" t="s">
        <v>0</v>
      </c>
      <c r="H3" s="1" t="str">
        <f>'Prices_Yields&amp;SeedInputs'!F3</f>
        <v>Incremental Rotation</v>
      </c>
      <c r="I3" s="1" t="str">
        <f>'Prices_Yields&amp;SeedInputs'!G3</f>
        <v>Aspirational Rotation</v>
      </c>
      <c r="Q3" s="674"/>
      <c r="R3" s="674"/>
    </row>
    <row r="4" spans="1:18" ht="20">
      <c r="A4" s="15"/>
      <c r="B4" s="18" t="str">
        <f>'Prices_Yields&amp;SeedInputs'!B9</f>
        <v>DN Spring Wheat after Winter Crop</v>
      </c>
      <c r="C4" s="23" t="str">
        <f>'Prices_Yields&amp;SeedInputs'!C9</f>
        <v>bu</v>
      </c>
      <c r="D4" s="130">
        <f>'Prices_Yields&amp;SeedInputs'!D9</f>
        <v>14</v>
      </c>
      <c r="E4" s="128">
        <f>'Prices_Yields&amp;SeedInputs'!E9</f>
        <v>60</v>
      </c>
      <c r="F4" s="35">
        <f>D4*E4</f>
        <v>840</v>
      </c>
      <c r="Q4" s="674"/>
      <c r="R4" s="674"/>
    </row>
    <row r="5" spans="1:18" ht="20">
      <c r="A5" s="15"/>
      <c r="B5" s="14" t="s">
        <v>14</v>
      </c>
      <c r="C5" s="29"/>
      <c r="D5" s="30"/>
      <c r="E5" s="29"/>
      <c r="F5" s="46">
        <f>SUM(F4:F4)</f>
        <v>840</v>
      </c>
      <c r="H5" s="1">
        <f>D4*'Prices_Yields&amp;SeedInputs'!F9</f>
        <v>868</v>
      </c>
      <c r="I5" s="1">
        <f>D4*'Prices_Yields&amp;SeedInputs'!G9</f>
        <v>896</v>
      </c>
      <c r="Q5" s="674"/>
      <c r="R5" s="674"/>
    </row>
    <row r="6" spans="1:18" ht="20">
      <c r="A6" s="15"/>
      <c r="B6" s="16"/>
      <c r="C6" s="16"/>
      <c r="D6" s="17"/>
      <c r="E6" s="16"/>
      <c r="F6" s="44"/>
    </row>
    <row r="7" spans="1:18" ht="20">
      <c r="A7" s="15"/>
      <c r="B7" s="132" t="s">
        <v>37</v>
      </c>
      <c r="C7" s="19" t="s">
        <v>2</v>
      </c>
      <c r="D7" s="20" t="s">
        <v>12</v>
      </c>
      <c r="E7" s="21" t="s">
        <v>13</v>
      </c>
      <c r="F7" s="45" t="s">
        <v>0</v>
      </c>
    </row>
    <row r="8" spans="1:18" ht="20">
      <c r="A8" s="15"/>
      <c r="B8" s="89" t="s">
        <v>169</v>
      </c>
      <c r="C8" s="134" t="str">
        <f>'Prices_Yields&amp;SeedInputs'!H9</f>
        <v>pound</v>
      </c>
      <c r="D8" s="89">
        <f>'Prices_Yields&amp;SeedInputs'!I9</f>
        <v>0.3</v>
      </c>
      <c r="E8" s="90">
        <f>'Prices_Yields&amp;SeedInputs'!J9</f>
        <v>100</v>
      </c>
      <c r="F8" s="117">
        <f t="shared" ref="F8:F61" si="0">IF(D8*E8=0,"0",D8*E8)</f>
        <v>30</v>
      </c>
    </row>
    <row r="9" spans="1:18" ht="20">
      <c r="A9" s="15"/>
      <c r="B9" s="85" t="str">
        <f>'Chem&amp;FertInputs&amp;CInsurance'!B6</f>
        <v>Fertilizer - Nitrogen-</v>
      </c>
      <c r="C9" s="23" t="str">
        <f>'Chem&amp;FertInputs&amp;CInsurance'!D6</f>
        <v>pound</v>
      </c>
      <c r="D9" s="116">
        <f>'Chem&amp;FertInputs&amp;CInsurance'!E6</f>
        <v>0.48749999999999999</v>
      </c>
      <c r="E9" s="133">
        <f>'Chem&amp;FertInputs&amp;CInsurance'!J6</f>
        <v>130</v>
      </c>
      <c r="F9" s="117">
        <f t="shared" si="0"/>
        <v>63.375</v>
      </c>
      <c r="H9" s="1">
        <f>'Chem&amp;FertInputs&amp;CInsurance'!J7</f>
        <v>130</v>
      </c>
      <c r="I9" s="1">
        <f>'Chem&amp;FertInputs&amp;CInsurance'!J8</f>
        <v>130</v>
      </c>
    </row>
    <row r="10" spans="1:18" ht="20">
      <c r="A10" s="15"/>
      <c r="B10" s="85" t="str">
        <f>'Chem&amp;FertInputs&amp;CInsurance'!B9</f>
        <v>Fertilizer - Anhydrous Ammonia-</v>
      </c>
      <c r="C10" s="23" t="str">
        <f>'Chem&amp;FertInputs&amp;CInsurance'!D9</f>
        <v>pound</v>
      </c>
      <c r="D10" s="116">
        <f>'Chem&amp;FertInputs&amp;CInsurance'!E9</f>
        <v>0.75770000000000004</v>
      </c>
      <c r="E10" s="133">
        <f>'Chem&amp;FertInputs&amp;CInsurance'!J9</f>
        <v>0</v>
      </c>
      <c r="F10" s="117" t="str">
        <f t="shared" si="0"/>
        <v>0</v>
      </c>
      <c r="H10" s="1">
        <f>'Chem&amp;FertInputs&amp;CInsurance'!J10</f>
        <v>0</v>
      </c>
      <c r="I10" s="1">
        <f>'Chem&amp;FertInputs&amp;CInsurance'!J11</f>
        <v>0</v>
      </c>
    </row>
    <row r="11" spans="1:18" ht="20">
      <c r="A11" s="15"/>
      <c r="B11" s="85" t="str">
        <f>'Chem&amp;FertInputs&amp;CInsurance'!B12</f>
        <v xml:space="preserve">Fertilizer - Phosphorus- </v>
      </c>
      <c r="C11" s="23" t="str">
        <f>'Chem&amp;FertInputs&amp;CInsurance'!D12</f>
        <v>pound</v>
      </c>
      <c r="D11" s="116">
        <f>'Chem&amp;FertInputs&amp;CInsurance'!E12</f>
        <v>0.47499999999999998</v>
      </c>
      <c r="E11" s="133">
        <f>'Chem&amp;FertInputs&amp;CInsurance'!J12</f>
        <v>5</v>
      </c>
      <c r="F11" s="117">
        <f t="shared" si="0"/>
        <v>2.375</v>
      </c>
      <c r="H11" s="1">
        <f>'Chem&amp;FertInputs&amp;CInsurance'!J13</f>
        <v>5</v>
      </c>
      <c r="I11" s="1">
        <f>'Chem&amp;FertInputs&amp;CInsurance'!J14</f>
        <v>5</v>
      </c>
    </row>
    <row r="12" spans="1:18" ht="20">
      <c r="A12" s="15"/>
      <c r="B12" s="85" t="str">
        <f>'Chem&amp;FertInputs&amp;CInsurance'!B15</f>
        <v>Fertilizer - Potassium-</v>
      </c>
      <c r="C12" s="23" t="str">
        <f>'Chem&amp;FertInputs&amp;CInsurance'!D15</f>
        <v>pound</v>
      </c>
      <c r="D12" s="116">
        <f>'Chem&amp;FertInputs&amp;CInsurance'!E15</f>
        <v>0.441</v>
      </c>
      <c r="E12" s="133">
        <f>'Chem&amp;FertInputs&amp;CInsurance'!J15</f>
        <v>0</v>
      </c>
      <c r="F12" s="117" t="str">
        <f t="shared" si="0"/>
        <v>0</v>
      </c>
      <c r="H12" s="1">
        <f>'Chem&amp;FertInputs&amp;CInsurance'!J16</f>
        <v>0</v>
      </c>
      <c r="I12" s="1">
        <f>'Chem&amp;FertInputs&amp;CInsurance'!J17</f>
        <v>0</v>
      </c>
    </row>
    <row r="13" spans="1:18" ht="20">
      <c r="A13" s="15"/>
      <c r="B13" s="85" t="str">
        <f>'Chem&amp;FertInputs&amp;CInsurance'!B18</f>
        <v>Fertilizer - Sulfur-</v>
      </c>
      <c r="C13" s="23" t="str">
        <f>'Chem&amp;FertInputs&amp;CInsurance'!D18</f>
        <v>pound</v>
      </c>
      <c r="D13" s="116">
        <f>'Chem&amp;FertInputs&amp;CInsurance'!E18</f>
        <v>0.2555</v>
      </c>
      <c r="E13" s="133">
        <f>'Chem&amp;FertInputs&amp;CInsurance'!J18</f>
        <v>25</v>
      </c>
      <c r="F13" s="117">
        <f t="shared" si="0"/>
        <v>6.3875000000000002</v>
      </c>
      <c r="H13" s="1">
        <f>'Chem&amp;FertInputs&amp;CInsurance'!J19</f>
        <v>25</v>
      </c>
      <c r="I13" s="1">
        <f>'Chem&amp;FertInputs&amp;CInsurance'!J20</f>
        <v>25</v>
      </c>
    </row>
    <row r="14" spans="1:18" ht="20">
      <c r="A14" s="15"/>
      <c r="B14" s="85" t="str">
        <f>'Chem&amp;FertInputs&amp;CInsurance'!B21</f>
        <v>Adjuvant - Ammonium Sulfate liquid-</v>
      </c>
      <c r="C14" s="23" t="str">
        <f>'Chem&amp;FertInputs&amp;CInsurance'!D21</f>
        <v>oz</v>
      </c>
      <c r="D14" s="116">
        <f>'Chem&amp;FertInputs&amp;CInsurance'!E21</f>
        <v>0.48</v>
      </c>
      <c r="E14" s="133">
        <f>'Chem&amp;FertInputs&amp;CInsurance'!J21</f>
        <v>1.7</v>
      </c>
      <c r="F14" s="117">
        <f t="shared" ref="F14:F20" si="1">IF(D14*E14=0,"0",D14*E14)</f>
        <v>0.81599999999999995</v>
      </c>
      <c r="G14" s="165">
        <f>E14/128</f>
        <v>1.328125E-2</v>
      </c>
      <c r="H14" s="1">
        <f>'Chem&amp;FertInputs&amp;CInsurance'!J22</f>
        <v>1.7</v>
      </c>
      <c r="I14" s="1">
        <f>'Chem&amp;FertInputs&amp;CInsurance'!J23</f>
        <v>1.7</v>
      </c>
    </row>
    <row r="15" spans="1:18" ht="20">
      <c r="A15" s="15"/>
      <c r="B15" s="85" t="str">
        <f>'Chem&amp;FertInputs&amp;CInsurance'!B24</f>
        <v>Adjuvant - Ammonium Sulfate  (other)-</v>
      </c>
      <c r="C15" s="23" t="str">
        <f>'Chem&amp;FertInputs&amp;CInsurance'!D24</f>
        <v>pound</v>
      </c>
      <c r="D15" s="116">
        <f>'Chem&amp;FertInputs&amp;CInsurance'!E24</f>
        <v>0.71</v>
      </c>
      <c r="E15" s="133">
        <f>'Chem&amp;FertInputs&amp;CInsurance'!J24</f>
        <v>0</v>
      </c>
      <c r="F15" s="117" t="str">
        <f t="shared" si="1"/>
        <v>0</v>
      </c>
      <c r="G15" s="165">
        <f>E15/16</f>
        <v>0</v>
      </c>
      <c r="H15" s="1">
        <f>'Chem&amp;FertInputs&amp;CInsurance'!J25</f>
        <v>0</v>
      </c>
      <c r="I15" s="1">
        <f>'Chem&amp;FertInputs&amp;CInsurance'!J26</f>
        <v>0</v>
      </c>
    </row>
    <row r="16" spans="1:18" ht="20">
      <c r="A16" s="15"/>
      <c r="B16" s="85" t="str">
        <f>'Chem&amp;FertInputs&amp;CInsurance'!C27</f>
        <v xml:space="preserve">crop oil concentrate </v>
      </c>
      <c r="C16" s="23" t="str">
        <f>'Chem&amp;FertInputs&amp;CInsurance'!D27</f>
        <v>pint</v>
      </c>
      <c r="D16" s="116">
        <f>'Chem&amp;FertInputs&amp;CInsurance'!E27</f>
        <v>1.6559999999999999</v>
      </c>
      <c r="E16" s="133">
        <f>'Chem&amp;FertInputs&amp;CInsurance'!J27</f>
        <v>0</v>
      </c>
      <c r="F16" s="117" t="str">
        <f t="shared" si="1"/>
        <v>0</v>
      </c>
      <c r="G16" s="165">
        <f>E16/8</f>
        <v>0</v>
      </c>
    </row>
    <row r="17" spans="1:7" ht="20">
      <c r="A17" s="15"/>
      <c r="B17" s="85" t="str">
        <f>'Chem&amp;FertInputs&amp;CInsurance'!C28</f>
        <v>In-place</v>
      </c>
      <c r="C17" s="23" t="str">
        <f>'Chem&amp;FertInputs&amp;CInsurance'!D28</f>
        <v>oz</v>
      </c>
      <c r="D17" s="116">
        <f>'Chem&amp;FertInputs&amp;CInsurance'!E28</f>
        <v>0.35649999999999998</v>
      </c>
      <c r="E17" s="133">
        <f>'Chem&amp;FertInputs&amp;CInsurance'!J28</f>
        <v>0</v>
      </c>
      <c r="F17" s="117" t="str">
        <f t="shared" si="1"/>
        <v>0</v>
      </c>
      <c r="G17" s="165">
        <f>E17/128</f>
        <v>0</v>
      </c>
    </row>
    <row r="18" spans="1:7" ht="20">
      <c r="A18" s="15"/>
      <c r="B18" s="85" t="str">
        <f>'Chem&amp;FertInputs&amp;CInsurance'!C29</f>
        <v xml:space="preserve">M90 </v>
      </c>
      <c r="C18" s="23" t="str">
        <f>'Chem&amp;FertInputs&amp;CInsurance'!D29</f>
        <v>oz</v>
      </c>
      <c r="D18" s="116">
        <f>'Chem&amp;FertInputs&amp;CInsurance'!E29</f>
        <v>0.253</v>
      </c>
      <c r="E18" s="133">
        <f>'Chem&amp;FertInputs&amp;CInsurance'!J29</f>
        <v>3</v>
      </c>
      <c r="F18" s="117">
        <f t="shared" si="1"/>
        <v>0.75900000000000001</v>
      </c>
      <c r="G18" s="165">
        <f>E18/128</f>
        <v>2.34375E-2</v>
      </c>
    </row>
    <row r="19" spans="1:7" ht="20">
      <c r="A19" s="15"/>
      <c r="B19" s="85" t="str">
        <f>'Chem&amp;FertInputs&amp;CInsurance'!C30</f>
        <v>Surfactant</v>
      </c>
      <c r="C19" s="23" t="str">
        <f>'Chem&amp;FertInputs&amp;CInsurance'!D30</f>
        <v>oz</v>
      </c>
      <c r="D19" s="116">
        <f>'Chem&amp;FertInputs&amp;CInsurance'!E30</f>
        <v>0.26450000000000001</v>
      </c>
      <c r="E19" s="133">
        <f>'Chem&amp;FertInputs&amp;CInsurance'!J30</f>
        <v>0</v>
      </c>
      <c r="F19" s="117" t="str">
        <f t="shared" si="1"/>
        <v>0</v>
      </c>
      <c r="G19" s="165">
        <f>E19/128</f>
        <v>0</v>
      </c>
    </row>
    <row r="20" spans="1:7" ht="20">
      <c r="A20" s="15"/>
      <c r="B20" s="85" t="str">
        <f>'Chem&amp;FertInputs&amp;CInsurance'!C31</f>
        <v>Syltac sticker</v>
      </c>
      <c r="C20" s="23" t="str">
        <f>'Chem&amp;FertInputs&amp;CInsurance'!D31</f>
        <v>pint</v>
      </c>
      <c r="D20" s="116">
        <f>'Chem&amp;FertInputs&amp;CInsurance'!E31</f>
        <v>7.1874999999999991</v>
      </c>
      <c r="E20" s="133">
        <f>'Chem&amp;FertInputs&amp;CInsurance'!J31</f>
        <v>0</v>
      </c>
      <c r="F20" s="117" t="str">
        <f t="shared" si="1"/>
        <v>0</v>
      </c>
      <c r="G20" s="165">
        <f>E20/8</f>
        <v>0</v>
      </c>
    </row>
    <row r="21" spans="1:7" ht="20">
      <c r="A21" s="15"/>
      <c r="B21" s="85" t="str">
        <f>'Chem&amp;FertInputs&amp;CInsurance'!C33</f>
        <v>2,4 - D</v>
      </c>
      <c r="C21" s="23" t="str">
        <f>'Chem&amp;FertInputs&amp;CInsurance'!D33</f>
        <v>oz</v>
      </c>
      <c r="D21" s="116">
        <f>'Chem&amp;FertInputs&amp;CInsurance'!E33</f>
        <v>0.33349999999999996</v>
      </c>
      <c r="E21" s="133">
        <f>'Chem&amp;FertInputs&amp;CInsurance'!J33</f>
        <v>0</v>
      </c>
      <c r="F21" s="117" t="str">
        <f t="shared" si="0"/>
        <v>0</v>
      </c>
      <c r="G21" s="165">
        <f t="shared" ref="G21:G30" si="2">E21/128</f>
        <v>0</v>
      </c>
    </row>
    <row r="22" spans="1:7" ht="20">
      <c r="A22" s="15"/>
      <c r="B22" s="85" t="str">
        <f>'Chem&amp;FertInputs&amp;CInsurance'!C34</f>
        <v>Achieve SC</v>
      </c>
      <c r="C22" s="23" t="str">
        <f>'Chem&amp;FertInputs&amp;CInsurance'!D34</f>
        <v>oz</v>
      </c>
      <c r="D22" s="116">
        <f>'Chem&amp;FertInputs&amp;CInsurance'!E34</f>
        <v>1.3454999999999999</v>
      </c>
      <c r="E22" s="133">
        <f>'Chem&amp;FertInputs&amp;CInsurance'!J34</f>
        <v>0</v>
      </c>
      <c r="F22" s="117" t="str">
        <f t="shared" si="0"/>
        <v>0</v>
      </c>
      <c r="G22" s="165">
        <f t="shared" si="2"/>
        <v>0</v>
      </c>
    </row>
    <row r="23" spans="1:7" ht="20">
      <c r="A23" s="15"/>
      <c r="B23" s="85" t="str">
        <f>'Chem&amp;FertInputs&amp;CInsurance'!C35</f>
        <v>Affintity TankMix</v>
      </c>
      <c r="C23" s="23" t="str">
        <f>'Chem&amp;FertInputs&amp;CInsurance'!D35</f>
        <v>oz</v>
      </c>
      <c r="D23" s="116">
        <f>'Chem&amp;FertInputs&amp;CInsurance'!E35</f>
        <v>8.9699999999999989</v>
      </c>
      <c r="E23" s="133">
        <f>'Chem&amp;FertInputs&amp;CInsurance'!J35</f>
        <v>0.75</v>
      </c>
      <c r="F23" s="117">
        <f t="shared" si="0"/>
        <v>6.7274999999999991</v>
      </c>
      <c r="G23" s="165">
        <f t="shared" si="2"/>
        <v>5.859375E-3</v>
      </c>
    </row>
    <row r="24" spans="1:7" ht="20">
      <c r="A24" s="15"/>
      <c r="B24" s="85" t="str">
        <f>'Chem&amp;FertInputs&amp;CInsurance'!C36</f>
        <v xml:space="preserve">Ally </v>
      </c>
      <c r="C24" s="23" t="str">
        <f>'Chem&amp;FertInputs&amp;CInsurance'!D36</f>
        <v>oz</v>
      </c>
      <c r="D24" s="116">
        <f>'Chem&amp;FertInputs&amp;CInsurance'!E36</f>
        <v>1.7249999999999999</v>
      </c>
      <c r="E24" s="133">
        <f>'Chem&amp;FertInputs&amp;CInsurance'!J36</f>
        <v>0</v>
      </c>
      <c r="F24" s="117" t="str">
        <f t="shared" si="0"/>
        <v>0</v>
      </c>
      <c r="G24" s="165">
        <f t="shared" si="2"/>
        <v>0</v>
      </c>
    </row>
    <row r="25" spans="1:7" ht="20">
      <c r="A25" s="15"/>
      <c r="B25" s="85" t="str">
        <f>'Chem&amp;FertInputs&amp;CInsurance'!C37</f>
        <v>Assure</v>
      </c>
      <c r="C25" s="23" t="str">
        <f>'Chem&amp;FertInputs&amp;CInsurance'!D37</f>
        <v>oz</v>
      </c>
      <c r="D25" s="116">
        <f>'Chem&amp;FertInputs&amp;CInsurance'!E37</f>
        <v>0.98899999999999988</v>
      </c>
      <c r="E25" s="133">
        <f>'Chem&amp;FertInputs&amp;CInsurance'!J37</f>
        <v>0</v>
      </c>
      <c r="F25" s="117" t="str">
        <f t="shared" si="0"/>
        <v>0</v>
      </c>
      <c r="G25" s="165">
        <f t="shared" si="2"/>
        <v>0</v>
      </c>
    </row>
    <row r="26" spans="1:7" ht="20">
      <c r="A26" s="15"/>
      <c r="B26" s="85" t="str">
        <f>'Chem&amp;FertInputs&amp;CInsurance'!C38</f>
        <v>Axial Star</v>
      </c>
      <c r="C26" s="23" t="str">
        <f>'Chem&amp;FertInputs&amp;CInsurance'!D38</f>
        <v>oz</v>
      </c>
      <c r="D26" s="116">
        <f>'Chem&amp;FertInputs&amp;CInsurance'!E38</f>
        <v>1.3224999999999998</v>
      </c>
      <c r="E26" s="133">
        <f>'Chem&amp;FertInputs&amp;CInsurance'!J38</f>
        <v>0</v>
      </c>
      <c r="F26" s="117" t="str">
        <f t="shared" si="0"/>
        <v>0</v>
      </c>
      <c r="G26" s="165">
        <f t="shared" si="2"/>
        <v>0</v>
      </c>
    </row>
    <row r="27" spans="1:7" ht="20">
      <c r="A27" s="15"/>
      <c r="B27" s="85" t="str">
        <f>'Chem&amp;FertInputs&amp;CInsurance'!C39</f>
        <v>Axial Bold</v>
      </c>
      <c r="C27" s="23" t="str">
        <f>'Chem&amp;FertInputs&amp;CInsurance'!D39</f>
        <v>oz</v>
      </c>
      <c r="D27" s="116">
        <f>'Chem&amp;FertInputs&amp;CInsurance'!E39</f>
        <v>1.0924999999999998</v>
      </c>
      <c r="E27" s="133">
        <f>'Chem&amp;FertInputs&amp;CInsurance'!J39</f>
        <v>15</v>
      </c>
      <c r="F27" s="117">
        <f t="shared" si="0"/>
        <v>16.387499999999996</v>
      </c>
      <c r="G27" s="165">
        <f t="shared" si="2"/>
        <v>0.1171875</v>
      </c>
    </row>
    <row r="28" spans="1:7" ht="20">
      <c r="A28" s="15"/>
      <c r="B28" s="85" t="str">
        <f>'Chem&amp;FertInputs&amp;CInsurance'!C40</f>
        <v>Bronate</v>
      </c>
      <c r="C28" s="23" t="str">
        <f>'Chem&amp;FertInputs&amp;CInsurance'!D40</f>
        <v>oz</v>
      </c>
      <c r="D28" s="116">
        <f>'Chem&amp;FertInputs&amp;CInsurance'!E40</f>
        <v>7.911999999999999</v>
      </c>
      <c r="E28" s="133">
        <f>'Chem&amp;FertInputs&amp;CInsurance'!J40</f>
        <v>0</v>
      </c>
      <c r="F28" s="117" t="str">
        <f t="shared" si="0"/>
        <v>0</v>
      </c>
      <c r="G28" s="165">
        <f t="shared" si="2"/>
        <v>0</v>
      </c>
    </row>
    <row r="29" spans="1:7" ht="20">
      <c r="A29" s="15"/>
      <c r="B29" s="85" t="str">
        <f>'Chem&amp;FertInputs&amp;CInsurance'!C41</f>
        <v xml:space="preserve">Brox M </v>
      </c>
      <c r="C29" s="23" t="str">
        <f>'Chem&amp;FertInputs&amp;CInsurance'!D41</f>
        <v>oz</v>
      </c>
      <c r="D29" s="116">
        <f>'Chem&amp;FertInputs&amp;CInsurance'!E41</f>
        <v>0.42549999999999999</v>
      </c>
      <c r="E29" s="133">
        <f>'Chem&amp;FertInputs&amp;CInsurance'!J41</f>
        <v>0</v>
      </c>
      <c r="F29" s="117" t="str">
        <f t="shared" si="0"/>
        <v>0</v>
      </c>
      <c r="G29" s="165">
        <f t="shared" si="2"/>
        <v>0</v>
      </c>
    </row>
    <row r="30" spans="1:7" ht="20">
      <c r="A30" s="15"/>
      <c r="B30" s="85" t="str">
        <f>'Chem&amp;FertInputs&amp;CInsurance'!C42</f>
        <v>Capture</v>
      </c>
      <c r="C30" s="23" t="str">
        <f>'Chem&amp;FertInputs&amp;CInsurance'!D42</f>
        <v>oz</v>
      </c>
      <c r="D30" s="116">
        <f>'Chem&amp;FertInputs&amp;CInsurance'!E42</f>
        <v>2.7024999999999997</v>
      </c>
      <c r="E30" s="133">
        <f>'Chem&amp;FertInputs&amp;CInsurance'!J42</f>
        <v>0</v>
      </c>
      <c r="F30" s="117" t="str">
        <f t="shared" si="0"/>
        <v>0</v>
      </c>
      <c r="G30" s="165">
        <f t="shared" si="2"/>
        <v>0</v>
      </c>
    </row>
    <row r="31" spans="1:7" ht="20">
      <c r="A31" s="15"/>
      <c r="B31" s="85" t="str">
        <f>'Chem&amp;FertInputs&amp;CInsurance'!C43</f>
        <v xml:space="preserve">Dimethoate </v>
      </c>
      <c r="C31" s="23" t="str">
        <f>'Chem&amp;FertInputs&amp;CInsurance'!D43</f>
        <v>pint</v>
      </c>
      <c r="D31" s="116">
        <f>'Chem&amp;FertInputs&amp;CInsurance'!E43</f>
        <v>7.1874999999999991</v>
      </c>
      <c r="E31" s="133">
        <f>'Chem&amp;FertInputs&amp;CInsurance'!J43</f>
        <v>0</v>
      </c>
      <c r="F31" s="117" t="str">
        <f t="shared" si="0"/>
        <v>0</v>
      </c>
      <c r="G31" s="165">
        <f>E31/8</f>
        <v>0</v>
      </c>
    </row>
    <row r="32" spans="1:7" ht="20">
      <c r="A32" s="15"/>
      <c r="B32" s="85" t="str">
        <f>'Chem&amp;FertInputs&amp;CInsurance'!C44</f>
        <v>Clethodim</v>
      </c>
      <c r="C32" s="23" t="str">
        <f>'Chem&amp;FertInputs&amp;CInsurance'!D44</f>
        <v>oz</v>
      </c>
      <c r="D32" s="116">
        <f>'Chem&amp;FertInputs&amp;CInsurance'!E44</f>
        <v>0.75900000000000001</v>
      </c>
      <c r="E32" s="133">
        <f>'Chem&amp;FertInputs&amp;CInsurance'!J44</f>
        <v>0</v>
      </c>
      <c r="F32" s="117" t="str">
        <f t="shared" ref="F32" si="3">IF(D32*E32=0,"0",D32*E32)</f>
        <v>0</v>
      </c>
      <c r="G32" s="165">
        <f t="shared" ref="G32:G37" si="4">E32/128</f>
        <v>0</v>
      </c>
    </row>
    <row r="33" spans="1:7" ht="20">
      <c r="A33" s="15"/>
      <c r="B33" s="85" t="str">
        <f>'Chem&amp;FertInputs&amp;CInsurance'!C45</f>
        <v>Discover</v>
      </c>
      <c r="C33" s="23" t="str">
        <f>'Chem&amp;FertInputs&amp;CInsurance'!D45</f>
        <v>oz</v>
      </c>
      <c r="D33" s="116">
        <f>'Chem&amp;FertInputs&amp;CInsurance'!E45</f>
        <v>1.6904999999999999</v>
      </c>
      <c r="E33" s="133">
        <f>'Chem&amp;FertInputs&amp;CInsurance'!J45</f>
        <v>0</v>
      </c>
      <c r="F33" s="117" t="str">
        <f t="shared" si="0"/>
        <v>0</v>
      </c>
      <c r="G33" s="165">
        <f t="shared" si="4"/>
        <v>0</v>
      </c>
    </row>
    <row r="34" spans="1:7" ht="20">
      <c r="A34" s="15"/>
      <c r="B34" s="85" t="str">
        <f>'Chem&amp;FertInputs&amp;CInsurance'!C46</f>
        <v>FarGO</v>
      </c>
      <c r="C34" s="23" t="str">
        <f>'Chem&amp;FertInputs&amp;CInsurance'!D46</f>
        <v>oz</v>
      </c>
      <c r="D34" s="116">
        <f>'Chem&amp;FertInputs&amp;CInsurance'!E46</f>
        <v>19.158999999999999</v>
      </c>
      <c r="E34" s="133">
        <f>'Chem&amp;FertInputs&amp;CInsurance'!J46</f>
        <v>0</v>
      </c>
      <c r="F34" s="117" t="str">
        <f t="shared" si="0"/>
        <v>0</v>
      </c>
      <c r="G34" s="165">
        <f t="shared" si="4"/>
        <v>0</v>
      </c>
    </row>
    <row r="35" spans="1:7" ht="20">
      <c r="A35" s="15"/>
      <c r="B35" s="85" t="str">
        <f>'Chem&amp;FertInputs&amp;CInsurance'!C47</f>
        <v>Finesse</v>
      </c>
      <c r="C35" s="23" t="str">
        <f>'Chem&amp;FertInputs&amp;CInsurance'!D47</f>
        <v>oz</v>
      </c>
      <c r="D35" s="116">
        <f>'Chem&amp;FertInputs&amp;CInsurance'!E47</f>
        <v>19.940999999999999</v>
      </c>
      <c r="E35" s="133">
        <f>'Chem&amp;FertInputs&amp;CInsurance'!J47</f>
        <v>0</v>
      </c>
      <c r="F35" s="117" t="str">
        <f t="shared" si="0"/>
        <v>0</v>
      </c>
      <c r="G35" s="165">
        <f t="shared" si="4"/>
        <v>0</v>
      </c>
    </row>
    <row r="36" spans="1:7" ht="20">
      <c r="A36" s="15"/>
      <c r="B36" s="85" t="str">
        <f>'Chem&amp;FertInputs&amp;CInsurance'!C48</f>
        <v>Glyphosate</v>
      </c>
      <c r="C36" s="23" t="str">
        <f>'Chem&amp;FertInputs&amp;CInsurance'!D48</f>
        <v>oz</v>
      </c>
      <c r="D36" s="116">
        <f>'Chem&amp;FertInputs&amp;CInsurance'!E48</f>
        <v>0.14949999999999999</v>
      </c>
      <c r="E36" s="133">
        <f>'Chem&amp;FertInputs&amp;CInsurance'!J48</f>
        <v>0</v>
      </c>
      <c r="F36" s="117" t="str">
        <f t="shared" si="0"/>
        <v>0</v>
      </c>
      <c r="G36" s="165">
        <f t="shared" si="4"/>
        <v>0</v>
      </c>
    </row>
    <row r="37" spans="1:7" ht="20">
      <c r="A37" s="15"/>
      <c r="B37" s="85" t="str">
        <f>'Chem&amp;FertInputs&amp;CInsurance'!C49</f>
        <v>Huskie</v>
      </c>
      <c r="C37" s="23" t="str">
        <f>'Chem&amp;FertInputs&amp;CInsurance'!D49</f>
        <v>oz</v>
      </c>
      <c r="D37" s="116">
        <f>'Chem&amp;FertInputs&amp;CInsurance'!E49</f>
        <v>0.88549999999999995</v>
      </c>
      <c r="E37" s="133">
        <f>'Chem&amp;FertInputs&amp;CInsurance'!J49</f>
        <v>13.7</v>
      </c>
      <c r="F37" s="117">
        <f t="shared" si="0"/>
        <v>12.131349999999999</v>
      </c>
      <c r="G37" s="165">
        <f t="shared" si="4"/>
        <v>0.10703124999999999</v>
      </c>
    </row>
    <row r="38" spans="1:7" ht="20">
      <c r="A38" s="15"/>
      <c r="B38" s="85" t="str">
        <f>'Chem&amp;FertInputs&amp;CInsurance'!C50</f>
        <v>Imidan 70</v>
      </c>
      <c r="C38" s="23" t="str">
        <f>'Chem&amp;FertInputs&amp;CInsurance'!D50</f>
        <v>lb</v>
      </c>
      <c r="D38" s="116">
        <f>'Chem&amp;FertInputs&amp;CInsurance'!E50</f>
        <v>17.295999999999999</v>
      </c>
      <c r="E38" s="133">
        <f>'Chem&amp;FertInputs&amp;CInsurance'!J50</f>
        <v>0</v>
      </c>
      <c r="F38" s="117" t="str">
        <f t="shared" si="0"/>
        <v>0</v>
      </c>
      <c r="G38" s="165">
        <f>E38/16</f>
        <v>0</v>
      </c>
    </row>
    <row r="39" spans="1:7" ht="20">
      <c r="A39" s="15"/>
      <c r="B39" s="85" t="str">
        <f>'Chem&amp;FertInputs&amp;CInsurance'!C51</f>
        <v xml:space="preserve">Maverick </v>
      </c>
      <c r="C39" s="23" t="str">
        <f>'Chem&amp;FertInputs&amp;CInsurance'!D51</f>
        <v>oz</v>
      </c>
      <c r="D39" s="116">
        <f>'Chem&amp;FertInputs&amp;CInsurance'!E51</f>
        <v>23.885499999999997</v>
      </c>
      <c r="E39" s="133">
        <f>'Chem&amp;FertInputs&amp;CInsurance'!J51</f>
        <v>0</v>
      </c>
      <c r="F39" s="117" t="str">
        <f t="shared" si="0"/>
        <v>0</v>
      </c>
      <c r="G39" s="165">
        <f t="shared" ref="G39:G51" si="5">E39/128</f>
        <v>0</v>
      </c>
    </row>
    <row r="40" spans="1:7" ht="20">
      <c r="A40" s="15"/>
      <c r="B40" s="85" t="str">
        <f>'Chem&amp;FertInputs&amp;CInsurance'!C52</f>
        <v>Osprey</v>
      </c>
      <c r="C40" s="23" t="str">
        <f>'Chem&amp;FertInputs&amp;CInsurance'!D52</f>
        <v>oz</v>
      </c>
      <c r="D40" s="116">
        <f>'Chem&amp;FertInputs&amp;CInsurance'!E52</f>
        <v>5.0484999999999989</v>
      </c>
      <c r="E40" s="133">
        <f>'Chem&amp;FertInputs&amp;CInsurance'!J52</f>
        <v>0</v>
      </c>
      <c r="F40" s="117" t="str">
        <f t="shared" si="0"/>
        <v>0</v>
      </c>
      <c r="G40" s="165">
        <f t="shared" si="5"/>
        <v>0</v>
      </c>
    </row>
    <row r="41" spans="1:7" ht="20">
      <c r="A41" s="15"/>
      <c r="B41" s="85" t="str">
        <f>'Chem&amp;FertInputs&amp;CInsurance'!C53</f>
        <v>Poast</v>
      </c>
      <c r="C41" s="23" t="str">
        <f>'Chem&amp;FertInputs&amp;CInsurance'!D53</f>
        <v>oz</v>
      </c>
      <c r="D41" s="116">
        <f>'Chem&amp;FertInputs&amp;CInsurance'!E53</f>
        <v>19.285499999999999</v>
      </c>
      <c r="E41" s="133">
        <f>'Chem&amp;FertInputs&amp;CInsurance'!J53</f>
        <v>0</v>
      </c>
      <c r="F41" s="117" t="str">
        <f t="shared" ref="F41" si="6">IF(D41*E41=0,"0",D41*E41)</f>
        <v>0</v>
      </c>
      <c r="G41" s="165">
        <f t="shared" si="5"/>
        <v>0</v>
      </c>
    </row>
    <row r="42" spans="1:7" ht="20">
      <c r="A42" s="15"/>
      <c r="B42" s="85" t="str">
        <f>'Chem&amp;FertInputs&amp;CInsurance'!C54</f>
        <v>Power Flex</v>
      </c>
      <c r="C42" s="23" t="str">
        <f>'Chem&amp;FertInputs&amp;CInsurance'!D54</f>
        <v>oz</v>
      </c>
      <c r="D42" s="116">
        <f>'Chem&amp;FertInputs&amp;CInsurance'!E54</f>
        <v>8.9124999999999996</v>
      </c>
      <c r="E42" s="133">
        <f>'Chem&amp;FertInputs&amp;CInsurance'!J54</f>
        <v>0</v>
      </c>
      <c r="F42" s="117" t="str">
        <f t="shared" si="0"/>
        <v>0</v>
      </c>
      <c r="G42" s="165">
        <f t="shared" si="5"/>
        <v>0</v>
      </c>
    </row>
    <row r="43" spans="1:7" ht="20">
      <c r="A43" s="15"/>
      <c r="B43" s="85" t="str">
        <f>'Chem&amp;FertInputs&amp;CInsurance'!C55</f>
        <v>Priaxor</v>
      </c>
      <c r="C43" s="23" t="str">
        <f>'Chem&amp;FertInputs&amp;CInsurance'!D55</f>
        <v>oz</v>
      </c>
      <c r="D43" s="116">
        <f>'Chem&amp;FertInputs&amp;CInsurance'!E55</f>
        <v>3.4269999999999996</v>
      </c>
      <c r="E43" s="133">
        <f>'Chem&amp;FertInputs&amp;CInsurance'!J55</f>
        <v>0</v>
      </c>
      <c r="F43" s="117" t="str">
        <f t="shared" si="0"/>
        <v>0</v>
      </c>
      <c r="G43" s="165">
        <f t="shared" si="5"/>
        <v>0</v>
      </c>
    </row>
    <row r="44" spans="1:7" ht="20">
      <c r="A44" s="15"/>
      <c r="B44" s="85" t="str">
        <f>'Chem&amp;FertInputs&amp;CInsurance'!C56</f>
        <v>Prowl</v>
      </c>
      <c r="C44" s="23" t="str">
        <f>'Chem&amp;FertInputs&amp;CInsurance'!D56</f>
        <v>oz</v>
      </c>
      <c r="D44" s="116">
        <f>'Chem&amp;FertInputs&amp;CInsurance'!E56</f>
        <v>0.51749999999999996</v>
      </c>
      <c r="E44" s="133">
        <f>'Chem&amp;FertInputs&amp;CInsurance'!J56</f>
        <v>0</v>
      </c>
      <c r="F44" s="117" t="str">
        <f t="shared" si="0"/>
        <v>0</v>
      </c>
      <c r="G44" s="165">
        <f t="shared" si="5"/>
        <v>0</v>
      </c>
    </row>
    <row r="45" spans="1:7" ht="20">
      <c r="A45" s="15"/>
      <c r="B45" s="85" t="str">
        <f>'Chem&amp;FertInputs&amp;CInsurance'!C57</f>
        <v>Pursuit</v>
      </c>
      <c r="C45" s="23" t="str">
        <f>'Chem&amp;FertInputs&amp;CInsurance'!D57</f>
        <v>oz</v>
      </c>
      <c r="D45" s="116">
        <f>'Chem&amp;FertInputs&amp;CInsurance'!E57</f>
        <v>4.0594999999999999</v>
      </c>
      <c r="E45" s="133">
        <f>'Chem&amp;FertInputs&amp;CInsurance'!J57</f>
        <v>0</v>
      </c>
      <c r="F45" s="117" t="str">
        <f t="shared" si="0"/>
        <v>0</v>
      </c>
      <c r="G45" s="165">
        <f t="shared" si="5"/>
        <v>0</v>
      </c>
    </row>
    <row r="46" spans="1:7" ht="20">
      <c r="A46" s="15"/>
      <c r="B46" s="85" t="str">
        <f>'Chem&amp;FertInputs&amp;CInsurance'!C58</f>
        <v xml:space="preserve">Quadris </v>
      </c>
      <c r="C46" s="23" t="str">
        <f>'Chem&amp;FertInputs&amp;CInsurance'!D58</f>
        <v>oz</v>
      </c>
      <c r="D46" s="116">
        <f>'Chem&amp;FertInputs&amp;CInsurance'!E58</f>
        <v>1.127</v>
      </c>
      <c r="E46" s="133">
        <f>'Chem&amp;FertInputs&amp;CInsurance'!J58</f>
        <v>0</v>
      </c>
      <c r="F46" s="117" t="str">
        <f t="shared" si="0"/>
        <v>0</v>
      </c>
      <c r="G46" s="165">
        <f t="shared" si="5"/>
        <v>0</v>
      </c>
    </row>
    <row r="47" spans="1:7" ht="20">
      <c r="A47" s="15"/>
      <c r="B47" s="85" t="str">
        <f>'Chem&amp;FertInputs&amp;CInsurance'!C59</f>
        <v>Quilt</v>
      </c>
      <c r="C47" s="23" t="str">
        <f>'Chem&amp;FertInputs&amp;CInsurance'!D59</f>
        <v>oz</v>
      </c>
      <c r="D47" s="116">
        <f>'Chem&amp;FertInputs&amp;CInsurance'!E59</f>
        <v>1.4834999999999998</v>
      </c>
      <c r="E47" s="133">
        <f>'Chem&amp;FertInputs&amp;CInsurance'!J59</f>
        <v>0</v>
      </c>
      <c r="F47" s="117" t="str">
        <f t="shared" si="0"/>
        <v>0</v>
      </c>
      <c r="G47" s="165">
        <f t="shared" si="5"/>
        <v>0</v>
      </c>
    </row>
    <row r="48" spans="1:7" ht="20">
      <c r="A48" s="15"/>
      <c r="B48" s="85" t="str">
        <f>'Chem&amp;FertInputs&amp;CInsurance'!C60</f>
        <v>R11</v>
      </c>
      <c r="C48" s="23" t="str">
        <f>'Chem&amp;FertInputs&amp;CInsurance'!D60</f>
        <v>oz</v>
      </c>
      <c r="D48" s="116">
        <f>'Chem&amp;FertInputs&amp;CInsurance'!E60</f>
        <v>0.26450000000000001</v>
      </c>
      <c r="E48" s="133">
        <f>'Chem&amp;FertInputs&amp;CInsurance'!J60</f>
        <v>0</v>
      </c>
      <c r="F48" s="117" t="str">
        <f t="shared" si="0"/>
        <v>0</v>
      </c>
      <c r="G48" s="165">
        <f t="shared" si="5"/>
        <v>0</v>
      </c>
    </row>
    <row r="49" spans="1:7" ht="20">
      <c r="A49" s="15"/>
      <c r="B49" s="85" t="str">
        <f>'Chem&amp;FertInputs&amp;CInsurance'!C61</f>
        <v>Starane</v>
      </c>
      <c r="C49" s="23" t="str">
        <f>'Chem&amp;FertInputs&amp;CInsurance'!D61</f>
        <v>oz</v>
      </c>
      <c r="D49" s="116">
        <f>'Chem&amp;FertInputs&amp;CInsurance'!E61</f>
        <v>0.77049999999999996</v>
      </c>
      <c r="E49" s="133">
        <f>'Chem&amp;FertInputs&amp;CInsurance'!J61</f>
        <v>0</v>
      </c>
      <c r="F49" s="117" t="str">
        <f t="shared" si="0"/>
        <v>0</v>
      </c>
      <c r="G49" s="165">
        <f t="shared" si="5"/>
        <v>0</v>
      </c>
    </row>
    <row r="50" spans="1:7" ht="20">
      <c r="A50" s="15"/>
      <c r="B50" s="85" t="str">
        <f>'Chem&amp;FertInputs&amp;CInsurance'!C62</f>
        <v>Starane + Salvo</v>
      </c>
      <c r="C50" s="23" t="str">
        <f>'Chem&amp;FertInputs&amp;CInsurance'!D62</f>
        <v>oz</v>
      </c>
      <c r="D50" s="116">
        <f>'Chem&amp;FertInputs&amp;CInsurance'!E62</f>
        <v>0.77049999999999996</v>
      </c>
      <c r="E50" s="133">
        <f>'Chem&amp;FertInputs&amp;CInsurance'!J62</f>
        <v>0</v>
      </c>
      <c r="F50" s="117" t="str">
        <f t="shared" si="0"/>
        <v>0</v>
      </c>
      <c r="G50" s="165">
        <f t="shared" si="5"/>
        <v>0</v>
      </c>
    </row>
    <row r="51" spans="1:7" ht="20">
      <c r="A51" s="15"/>
      <c r="B51" s="85" t="str">
        <f>'Chem&amp;FertInputs&amp;CInsurance'!C63</f>
        <v xml:space="preserve">Starane + Sword </v>
      </c>
      <c r="C51" s="23" t="str">
        <f>'Chem&amp;FertInputs&amp;CInsurance'!D63</f>
        <v>oz</v>
      </c>
      <c r="D51" s="116">
        <f>'Chem&amp;FertInputs&amp;CInsurance'!E63</f>
        <v>0.77049999999999996</v>
      </c>
      <c r="E51" s="133">
        <f>'Chem&amp;FertInputs&amp;CInsurance'!J63</f>
        <v>0</v>
      </c>
      <c r="F51" s="117" t="str">
        <f t="shared" si="0"/>
        <v>0</v>
      </c>
      <c r="G51" s="165">
        <f t="shared" si="5"/>
        <v>0</v>
      </c>
    </row>
    <row r="52" spans="1:7" ht="20">
      <c r="A52" s="15"/>
      <c r="B52" s="85" t="str">
        <f>'Chem&amp;FertInputs&amp;CInsurance'!C64</f>
        <v xml:space="preserve"> Tilt</v>
      </c>
      <c r="C52" s="23" t="str">
        <f>'Chem&amp;FertInputs&amp;CInsurance'!D64</f>
        <v>oz</v>
      </c>
      <c r="D52" s="116">
        <f>'Chem&amp;FertInputs&amp;CInsurance'!E64</f>
        <v>0.88549999999999995</v>
      </c>
      <c r="E52" s="133">
        <f>'Chem&amp;FertInputs&amp;CInsurance'!J64</f>
        <v>4</v>
      </c>
      <c r="F52" s="117">
        <f t="shared" ref="F52:F53" si="7">IF(D52*E52=0,"0",D52*E52)</f>
        <v>3.5419999999999998</v>
      </c>
      <c r="G52" s="165">
        <f t="shared" ref="G52:G53" si="8">E52/128</f>
        <v>3.125E-2</v>
      </c>
    </row>
    <row r="53" spans="1:7" ht="20">
      <c r="A53" s="15"/>
      <c r="B53" s="85" t="str">
        <f>'Chem&amp;FertInputs&amp;CInsurance'!C65</f>
        <v xml:space="preserve">Wildcard </v>
      </c>
      <c r="C53" s="23" t="str">
        <f>'Chem&amp;FertInputs&amp;CInsurance'!D65</f>
        <v>oz</v>
      </c>
      <c r="D53" s="116">
        <f>'Chem&amp;FertInputs&amp;CInsurance'!E65</f>
        <v>0.35649999999999998</v>
      </c>
      <c r="E53" s="133">
        <f>'Chem&amp;FertInputs&amp;CInsurance'!J65</f>
        <v>0</v>
      </c>
      <c r="F53" s="117" t="str">
        <f t="shared" si="7"/>
        <v>0</v>
      </c>
      <c r="G53" s="165">
        <f t="shared" si="8"/>
        <v>0</v>
      </c>
    </row>
    <row r="54" spans="1:7" ht="20">
      <c r="A54" s="15"/>
      <c r="B54" s="85" t="str">
        <f>'Chem&amp;FertInputs&amp;CInsurance'!C66</f>
        <v>Sharpen</v>
      </c>
      <c r="C54" s="23" t="str">
        <f>'Chem&amp;FertInputs&amp;CInsurance'!D66</f>
        <v>oz</v>
      </c>
      <c r="D54" s="116">
        <f>'Chem&amp;FertInputs&amp;CInsurance'!E66</f>
        <v>6.3134999999999994</v>
      </c>
      <c r="E54" s="133">
        <f>'Chem&amp;FertInputs&amp;CInsurance'!J66</f>
        <v>0</v>
      </c>
      <c r="F54" s="117" t="str">
        <f t="shared" si="0"/>
        <v>0</v>
      </c>
      <c r="G54" s="165">
        <f>E54/128</f>
        <v>0</v>
      </c>
    </row>
    <row r="55" spans="1:7" ht="20">
      <c r="A55" s="15"/>
      <c r="B55" s="85" t="str">
        <f>'Chem&amp;FertInputs&amp;CInsurance'!C67</f>
        <v>Sencor</v>
      </c>
      <c r="C55" s="23" t="str">
        <f>'Chem&amp;FertInputs&amp;CInsurance'!D67</f>
        <v>oz</v>
      </c>
      <c r="D55" s="116">
        <f>'Chem&amp;FertInputs&amp;CInsurance'!E67</f>
        <v>0.45999999999999996</v>
      </c>
      <c r="E55" s="133">
        <f>'Chem&amp;FertInputs&amp;CInsurance'!J67</f>
        <v>0</v>
      </c>
      <c r="F55" s="117" t="str">
        <f t="shared" si="0"/>
        <v>0</v>
      </c>
      <c r="G55" s="165">
        <f>E55/128</f>
        <v>0</v>
      </c>
    </row>
    <row r="56" spans="1:7" ht="20">
      <c r="A56" s="15"/>
      <c r="B56" s="85" t="str">
        <f>'Chem&amp;FertInputs&amp;CInsurance'!C68</f>
        <v>Warrior</v>
      </c>
      <c r="C56" s="23" t="str">
        <f>'Chem&amp;FertInputs&amp;CInsurance'!D68</f>
        <v>acre</v>
      </c>
      <c r="D56" s="116">
        <f>'Chem&amp;FertInputs&amp;CInsurance'!E68</f>
        <v>3.4499999999999997</v>
      </c>
      <c r="E56" s="133">
        <f>'Chem&amp;FertInputs&amp;CInsurance'!J68</f>
        <v>0</v>
      </c>
      <c r="F56" s="117" t="str">
        <f t="shared" si="0"/>
        <v>0</v>
      </c>
      <c r="G56" s="165">
        <f>E56/128</f>
        <v>0</v>
      </c>
    </row>
    <row r="57" spans="1:7" ht="20">
      <c r="A57" s="15"/>
      <c r="B57" s="85" t="str">
        <f>'Chem&amp;FertInputs&amp;CInsurance'!C69</f>
        <v xml:space="preserve"> Lorox</v>
      </c>
      <c r="C57" s="23" t="str">
        <f>'Chem&amp;FertInputs&amp;CInsurance'!D69</f>
        <v>lb</v>
      </c>
      <c r="D57" s="116">
        <f>'Chem&amp;FertInputs&amp;CInsurance'!E69</f>
        <v>26.565000000000001</v>
      </c>
      <c r="E57" s="133">
        <f>'Chem&amp;FertInputs&amp;CInsurance'!J69</f>
        <v>0</v>
      </c>
      <c r="F57" s="117" t="str">
        <f t="shared" si="0"/>
        <v>0</v>
      </c>
      <c r="G57" s="165">
        <f>E57/128</f>
        <v>0</v>
      </c>
    </row>
    <row r="58" spans="1:7" ht="20">
      <c r="A58" s="15"/>
      <c r="B58" s="85" t="str">
        <f>'Chem&amp;FertInputs&amp;CInsurance'!C70</f>
        <v xml:space="preserve"> Valor</v>
      </c>
      <c r="C58" s="23" t="str">
        <f>'Chem&amp;FertInputs&amp;CInsurance'!D70</f>
        <v>oz</v>
      </c>
      <c r="D58" s="116">
        <f>'Chem&amp;FertInputs&amp;CInsurance'!E70</f>
        <v>6.6124999999999998</v>
      </c>
      <c r="E58" s="133">
        <f>'Chem&amp;FertInputs&amp;CInsurance'!J70</f>
        <v>0</v>
      </c>
      <c r="F58" s="117" t="str">
        <f t="shared" ref="F58:F59" si="9">IF(D58*E58=0,"0",D58*E58)</f>
        <v>0</v>
      </c>
      <c r="G58" s="165">
        <f t="shared" ref="G58:G59" si="10">E58/128</f>
        <v>0</v>
      </c>
    </row>
    <row r="59" spans="1:7" ht="20">
      <c r="A59" s="15"/>
      <c r="B59" s="85" t="str">
        <f>'Chem&amp;FertInputs&amp;CInsurance'!C71</f>
        <v xml:space="preserve"> Diagon</v>
      </c>
      <c r="C59" s="23" t="str">
        <f>'Chem&amp;FertInputs&amp;CInsurance'!D71</f>
        <v>oz</v>
      </c>
      <c r="D59" s="116">
        <f>'Chem&amp;FertInputs&amp;CInsurance'!E71</f>
        <v>0.43699999999999994</v>
      </c>
      <c r="E59" s="133">
        <f>'Chem&amp;FertInputs&amp;CInsurance'!J71</f>
        <v>0</v>
      </c>
      <c r="F59" s="117" t="str">
        <f t="shared" si="9"/>
        <v>0</v>
      </c>
      <c r="G59" s="165">
        <f t="shared" si="10"/>
        <v>0</v>
      </c>
    </row>
    <row r="60" spans="1:7" ht="20">
      <c r="A60" s="15"/>
      <c r="B60" s="85" t="str">
        <f>'Chem&amp;FertInputs&amp;CInsurance'!C72</f>
        <v xml:space="preserve">Spartan </v>
      </c>
      <c r="C60" s="23" t="str">
        <f>'Chem&amp;FertInputs&amp;CInsurance'!D72</f>
        <v>oz</v>
      </c>
      <c r="D60" s="116">
        <f>'Chem&amp;FertInputs&amp;CInsurance'!E72</f>
        <v>2.0469999999999997</v>
      </c>
      <c r="E60" s="133">
        <f>'Chem&amp;FertInputs&amp;CInsurance'!J72</f>
        <v>0</v>
      </c>
      <c r="F60" s="117" t="str">
        <f t="shared" si="0"/>
        <v>0</v>
      </c>
      <c r="G60" s="165">
        <f>E60/128</f>
        <v>0</v>
      </c>
    </row>
    <row r="61" spans="1:7" ht="23">
      <c r="A61" s="15"/>
      <c r="B61" s="85" t="str">
        <f>'Chem&amp;FertInputs&amp;CInsurance'!C32</f>
        <v xml:space="preserve">Round Up </v>
      </c>
      <c r="C61" s="23" t="str">
        <f>'Chem&amp;FertInputs&amp;CInsurance'!D32</f>
        <v>oz</v>
      </c>
      <c r="D61" s="116">
        <f>'Chem&amp;FertInputs&amp;CInsurance'!E32</f>
        <v>0.14949999999999999</v>
      </c>
      <c r="E61" s="133">
        <f>'Chem&amp;FertInputs&amp;CInsurance'!J32</f>
        <v>36</v>
      </c>
      <c r="F61" s="117">
        <f t="shared" si="0"/>
        <v>5.3819999999999997</v>
      </c>
      <c r="G61" s="225">
        <f>E61/128</f>
        <v>0.28125</v>
      </c>
    </row>
    <row r="62" spans="1:7" ht="20">
      <c r="A62" s="15"/>
      <c r="B62" s="139" t="s">
        <v>86</v>
      </c>
      <c r="C62" s="23"/>
      <c r="D62" s="116"/>
      <c r="E62" s="133"/>
      <c r="F62" s="117"/>
      <c r="G62" s="165">
        <f>SUM(G14:G61)</f>
        <v>0.57929687500000004</v>
      </c>
    </row>
    <row r="63" spans="1:7" ht="20">
      <c r="A63" s="15"/>
      <c r="B63" s="125" t="str">
        <f>CustomRates!B5</f>
        <v>Aerial (Custom)</v>
      </c>
      <c r="C63" s="41" t="str">
        <f>CustomRates!C5</f>
        <v>acre</v>
      </c>
      <c r="D63" s="116">
        <f>CustomRates!H5</f>
        <v>8.9499999999999993</v>
      </c>
      <c r="E63" s="87">
        <f>CustomRates!H6</f>
        <v>0</v>
      </c>
      <c r="F63" s="117" t="str">
        <f t="shared" ref="F63:F70" si="11">IF(D63*E63=0,"0",D63*E63)</f>
        <v>0</v>
      </c>
    </row>
    <row r="64" spans="1:7" ht="20">
      <c r="A64" s="15"/>
      <c r="B64" s="125" t="str">
        <f>CustomRates!B7</f>
        <v>Sprayer (Rental 90')</v>
      </c>
      <c r="C64" s="41" t="str">
        <f>CustomRates!C7</f>
        <v>acre</v>
      </c>
      <c r="D64" s="116">
        <f>CustomRates!H7</f>
        <v>8</v>
      </c>
      <c r="E64" s="87">
        <f>CustomRates!H8</f>
        <v>1</v>
      </c>
      <c r="F64" s="117">
        <f t="shared" si="11"/>
        <v>8</v>
      </c>
    </row>
    <row r="65" spans="1:9" ht="20">
      <c r="A65" s="15"/>
      <c r="B65" s="125" t="str">
        <f>CustomRates!B9</f>
        <v>Fertilizer - Anhydrous Applicator (Rent)</v>
      </c>
      <c r="C65" s="41" t="str">
        <f>CustomRates!C9</f>
        <v>acre</v>
      </c>
      <c r="D65" s="116">
        <f>CustomRates!H9</f>
        <v>7</v>
      </c>
      <c r="E65" s="87">
        <f>CustomRates!H10</f>
        <v>0</v>
      </c>
      <c r="F65" s="117" t="str">
        <f t="shared" si="11"/>
        <v>0</v>
      </c>
    </row>
    <row r="66" spans="1:9" ht="20">
      <c r="A66" s="15"/>
      <c r="B66" s="125" t="str">
        <f>CustomRates!B11</f>
        <v>Fertilizer Applicator</v>
      </c>
      <c r="C66" s="41" t="str">
        <f>CustomRates!C11</f>
        <v>acre</v>
      </c>
      <c r="D66" s="116">
        <f>CustomRates!H11</f>
        <v>2</v>
      </c>
      <c r="E66" s="87">
        <f>CustomRates!H12</f>
        <v>0</v>
      </c>
      <c r="F66" s="117" t="str">
        <f t="shared" si="11"/>
        <v>0</v>
      </c>
    </row>
    <row r="67" spans="1:9" ht="20">
      <c r="A67" s="15"/>
      <c r="B67" s="125" t="str">
        <f>CustomRates!B13</f>
        <v>26' Rental Shredder</v>
      </c>
      <c r="C67" s="41" t="str">
        <f>CustomRates!C13</f>
        <v>acre</v>
      </c>
      <c r="D67" s="116">
        <f>CustomRates!H13</f>
        <v>10</v>
      </c>
      <c r="E67" s="87">
        <f>CustomRates!H14</f>
        <v>0</v>
      </c>
      <c r="F67" s="117" t="str">
        <f t="shared" si="11"/>
        <v>0</v>
      </c>
    </row>
    <row r="68" spans="1:9" ht="20">
      <c r="A68" s="15"/>
      <c r="B68" s="125" t="str">
        <f>CustomRates!B15</f>
        <v>36' Ripper Shooter</v>
      </c>
      <c r="C68" s="41" t="str">
        <f>CustomRates!C15</f>
        <v>acre</v>
      </c>
      <c r="D68" s="116">
        <f>CustomRates!H15</f>
        <v>2.5</v>
      </c>
      <c r="E68" s="87">
        <f>CustomRates!H16</f>
        <v>0</v>
      </c>
      <c r="F68" s="117" t="str">
        <f t="shared" si="11"/>
        <v>0</v>
      </c>
    </row>
    <row r="69" spans="1:9" ht="20">
      <c r="A69" s="15"/>
      <c r="B69" s="125" t="str">
        <f>CustomRates!B17</f>
        <v>Custom self-propelled sprayer</v>
      </c>
      <c r="C69" s="41" t="str">
        <f>CustomRates!C17</f>
        <v>acre</v>
      </c>
      <c r="D69" s="116">
        <f>CustomRates!H17</f>
        <v>8</v>
      </c>
      <c r="E69" s="87">
        <f>CustomRates!H18</f>
        <v>0</v>
      </c>
      <c r="F69" s="117" t="str">
        <f t="shared" si="11"/>
        <v>0</v>
      </c>
    </row>
    <row r="70" spans="1:9" ht="20">
      <c r="A70" s="15"/>
      <c r="B70" s="125" t="str">
        <f>CustomRates!B19</f>
        <v>Additional Operation #8 (Custom)</v>
      </c>
      <c r="C70" s="41" t="str">
        <f>CustomRates!C19</f>
        <v>acre</v>
      </c>
      <c r="D70" s="116">
        <f>CustomRates!H19</f>
        <v>0</v>
      </c>
      <c r="E70" s="87">
        <f>CustomRates!H20</f>
        <v>0</v>
      </c>
      <c r="F70" s="117" t="str">
        <f t="shared" si="11"/>
        <v>0</v>
      </c>
    </row>
    <row r="71" spans="1:9" ht="20">
      <c r="A71" s="15"/>
      <c r="B71" s="139" t="s">
        <v>87</v>
      </c>
      <c r="C71" s="41"/>
      <c r="D71" s="116"/>
      <c r="E71" s="116"/>
      <c r="F71" s="117"/>
      <c r="H71" s="1" t="s">
        <v>204</v>
      </c>
      <c r="I71" s="1" t="s">
        <v>135</v>
      </c>
    </row>
    <row r="72" spans="1:9" ht="20">
      <c r="A72" s="15"/>
      <c r="B72" s="85" t="str">
        <f>MachineAssumptions!B7&amp;" - Labor"</f>
        <v>Shredder - Labor</v>
      </c>
      <c r="C72" s="41" t="s">
        <v>246</v>
      </c>
      <c r="D72" s="116">
        <f>MachineAssumptions!$R$7</f>
        <v>1.4996591683708247</v>
      </c>
      <c r="E72" s="87">
        <f>FieldApplications!$G$6</f>
        <v>0</v>
      </c>
      <c r="F72" s="117" t="str">
        <f t="shared" ref="F72:F113" si="12">IF(D72*E72=0,"0",D72*E72)</f>
        <v>0</v>
      </c>
      <c r="H72" s="246">
        <f>MachineAssumptions!$R$28*E72</f>
        <v>0</v>
      </c>
      <c r="I72" s="166">
        <f>MachineAssumptions!$R$48*E72</f>
        <v>0</v>
      </c>
    </row>
    <row r="73" spans="1:9" ht="20">
      <c r="A73" s="15"/>
      <c r="B73" s="85" t="str">
        <f>MachineAssumptions!B7&amp;" - Fuel, Lube"</f>
        <v>Shredder - Fuel, Lube</v>
      </c>
      <c r="C73" s="41" t="s">
        <v>246</v>
      </c>
      <c r="D73" s="116">
        <f>MachineAssumptions!$S$7</f>
        <v>5.7486934787548281</v>
      </c>
      <c r="E73" s="87">
        <f>FieldApplications!$G$6</f>
        <v>0</v>
      </c>
      <c r="F73" s="117" t="str">
        <f t="shared" si="12"/>
        <v>0</v>
      </c>
      <c r="H73" s="246">
        <f>MachineAssumptions!$S$28*E73</f>
        <v>0</v>
      </c>
      <c r="I73" s="166">
        <f>MachineAssumptions!$S$48*E73</f>
        <v>0</v>
      </c>
    </row>
    <row r="74" spans="1:9" ht="20">
      <c r="A74" s="15"/>
      <c r="B74" s="85" t="str">
        <f>MachineAssumptions!B7&amp;" - Repairs"</f>
        <v>Shredder - Repairs</v>
      </c>
      <c r="C74" s="41" t="s">
        <v>246</v>
      </c>
      <c r="D74" s="116">
        <f>MachineAssumptions!$T$7</f>
        <v>0.46726721181997538</v>
      </c>
      <c r="E74" s="87">
        <f>FieldApplications!$G$6</f>
        <v>0</v>
      </c>
      <c r="F74" s="117" t="str">
        <f t="shared" si="12"/>
        <v>0</v>
      </c>
      <c r="H74" s="246">
        <f>MachineAssumptions!$T$28*E74</f>
        <v>0</v>
      </c>
      <c r="I74" s="166">
        <f>MachineAssumptions!$T$48*E74</f>
        <v>0</v>
      </c>
    </row>
    <row r="75" spans="1:9" ht="20">
      <c r="A75" s="15"/>
      <c r="B75" s="85" t="str">
        <f>MachineAssumptions!B8&amp;" - Labor"</f>
        <v>Harrow - Labor</v>
      </c>
      <c r="C75" s="41" t="s">
        <v>246</v>
      </c>
      <c r="D75" s="116">
        <f>MachineAssumptions!$R$8</f>
        <v>0.59412746734753996</v>
      </c>
      <c r="E75" s="87">
        <f>FieldApplications!$G$7</f>
        <v>0</v>
      </c>
      <c r="F75" s="117" t="str">
        <f t="shared" si="12"/>
        <v>0</v>
      </c>
      <c r="H75" s="246">
        <f>MachineAssumptions!$R$29*E75</f>
        <v>0</v>
      </c>
      <c r="I75" s="166">
        <f>MachineAssumptions!$R$49*E75</f>
        <v>0</v>
      </c>
    </row>
    <row r="76" spans="1:9" ht="20">
      <c r="A76" s="15"/>
      <c r="B76" s="85" t="str">
        <f>MachineAssumptions!B8&amp;" - Fuel, Lube"</f>
        <v>Harrow - Fuel, Lube</v>
      </c>
      <c r="C76" s="41" t="s">
        <v>246</v>
      </c>
      <c r="D76" s="116">
        <f>MachineAssumptions!$S$8</f>
        <v>2.4845330452715308</v>
      </c>
      <c r="E76" s="87">
        <f>FieldApplications!$G$7</f>
        <v>0</v>
      </c>
      <c r="F76" s="117" t="str">
        <f t="shared" si="12"/>
        <v>0</v>
      </c>
      <c r="H76" s="246">
        <f>MachineAssumptions!$S$29*E76</f>
        <v>0</v>
      </c>
      <c r="I76" s="166">
        <f>MachineAssumptions!$S$49*E76</f>
        <v>0</v>
      </c>
    </row>
    <row r="77" spans="1:9" ht="20">
      <c r="A77" s="15"/>
      <c r="B77" s="85" t="str">
        <f>MachineAssumptions!B8&amp;" - Repairs"</f>
        <v>Harrow - Repairs</v>
      </c>
      <c r="C77" s="41" t="s">
        <v>246</v>
      </c>
      <c r="D77" s="116">
        <f>MachineAssumptions!$T$8</f>
        <v>0.14755184964846621</v>
      </c>
      <c r="E77" s="87">
        <f>FieldApplications!$G$7</f>
        <v>0</v>
      </c>
      <c r="F77" s="117" t="str">
        <f t="shared" si="12"/>
        <v>0</v>
      </c>
      <c r="H77" s="246">
        <f>MachineAssumptions!$T$29*E77</f>
        <v>0</v>
      </c>
      <c r="I77" s="166">
        <f>MachineAssumptions!$T$49*E77</f>
        <v>0</v>
      </c>
    </row>
    <row r="78" spans="1:9" ht="20">
      <c r="A78" s="15"/>
      <c r="B78" s="85" t="str">
        <f>MachineAssumptions!B9&amp;" - Labor"</f>
        <v>Chisel plow - Labor</v>
      </c>
      <c r="C78" s="41" t="s">
        <v>246</v>
      </c>
      <c r="D78" s="116">
        <f>MachineAssumptions!$R$9</f>
        <v>0</v>
      </c>
      <c r="E78" s="87">
        <f>FieldApplications!$G$8</f>
        <v>0</v>
      </c>
      <c r="F78" s="117" t="str">
        <f t="shared" si="12"/>
        <v>0</v>
      </c>
      <c r="H78" s="246">
        <f>MachineAssumptions!$R$30*E78</f>
        <v>0</v>
      </c>
      <c r="I78" s="166">
        <f>MachineAssumptions!$R$50*E78</f>
        <v>0</v>
      </c>
    </row>
    <row r="79" spans="1:9" ht="20">
      <c r="A79" s="15"/>
      <c r="B79" s="85" t="str">
        <f>MachineAssumptions!B9&amp;" - Fuel, Lube"</f>
        <v>Chisel plow - Fuel, Lube</v>
      </c>
      <c r="C79" s="41" t="s">
        <v>246</v>
      </c>
      <c r="D79" s="116">
        <f>MachineAssumptions!$S$9</f>
        <v>0</v>
      </c>
      <c r="E79" s="87">
        <f>FieldApplications!$G$8</f>
        <v>0</v>
      </c>
      <c r="F79" s="117" t="str">
        <f t="shared" si="12"/>
        <v>0</v>
      </c>
      <c r="H79" s="246">
        <f>MachineAssumptions!$R$30*E79</f>
        <v>0</v>
      </c>
      <c r="I79" s="166">
        <f>MachineAssumptions!$S$50*E79</f>
        <v>0</v>
      </c>
    </row>
    <row r="80" spans="1:9" ht="20">
      <c r="A80" s="15"/>
      <c r="B80" s="85" t="str">
        <f>MachineAssumptions!B9&amp;" - Repairs"</f>
        <v>Chisel plow - Repairs</v>
      </c>
      <c r="C80" s="41" t="s">
        <v>246</v>
      </c>
      <c r="D80" s="116">
        <f>MachineAssumptions!$T$9</f>
        <v>0</v>
      </c>
      <c r="E80" s="87">
        <f>FieldApplications!$G$8</f>
        <v>0</v>
      </c>
      <c r="F80" s="117" t="str">
        <f t="shared" si="12"/>
        <v>0</v>
      </c>
      <c r="H80" s="246">
        <f>MachineAssumptions!$T$30*E80</f>
        <v>0</v>
      </c>
      <c r="I80" s="166">
        <f>MachineAssumptions!$T$50*E80</f>
        <v>0</v>
      </c>
    </row>
    <row r="81" spans="1:9" ht="20">
      <c r="A81" s="15"/>
      <c r="B81" s="85" t="str">
        <f>MachineAssumptions!B10&amp;" - Labor"</f>
        <v>Moldboard plow - Labor</v>
      </c>
      <c r="C81" s="41" t="s">
        <v>246</v>
      </c>
      <c r="D81" s="116">
        <f>MachineAssumptions!$R$10</f>
        <v>0</v>
      </c>
      <c r="E81" s="87">
        <f>FieldApplications!$G$9</f>
        <v>0</v>
      </c>
      <c r="F81" s="117" t="str">
        <f t="shared" si="12"/>
        <v>0</v>
      </c>
      <c r="H81" s="246">
        <f>MachineAssumptions!$R$31*E81</f>
        <v>0</v>
      </c>
      <c r="I81" s="166">
        <f>MachineAssumptions!$R$51*E81</f>
        <v>0</v>
      </c>
    </row>
    <row r="82" spans="1:9" ht="20">
      <c r="A82" s="15"/>
      <c r="B82" s="85" t="str">
        <f>MachineAssumptions!B10&amp;" - Fuel, Lube"</f>
        <v>Moldboard plow - Fuel, Lube</v>
      </c>
      <c r="C82" s="41" t="s">
        <v>246</v>
      </c>
      <c r="D82" s="116">
        <f>MachineAssumptions!$S$10</f>
        <v>0</v>
      </c>
      <c r="E82" s="87">
        <f>FieldApplications!$G$9</f>
        <v>0</v>
      </c>
      <c r="F82" s="117" t="str">
        <f t="shared" si="12"/>
        <v>0</v>
      </c>
      <c r="H82" s="246">
        <f>MachineAssumptions!$S$31*E82</f>
        <v>0</v>
      </c>
      <c r="I82" s="166">
        <f>MachineAssumptions!$S$51*E82</f>
        <v>0</v>
      </c>
    </row>
    <row r="83" spans="1:9" ht="20">
      <c r="A83" s="15"/>
      <c r="B83" s="85" t="str">
        <f>MachineAssumptions!B10&amp;" - Repairs"</f>
        <v>Moldboard plow - Repairs</v>
      </c>
      <c r="C83" s="41" t="s">
        <v>246</v>
      </c>
      <c r="D83" s="116">
        <f>MachineAssumptions!$T$10</f>
        <v>0</v>
      </c>
      <c r="E83" s="87">
        <f>FieldApplications!$G$9</f>
        <v>0</v>
      </c>
      <c r="F83" s="117" t="str">
        <f t="shared" si="12"/>
        <v>0</v>
      </c>
      <c r="H83" s="246">
        <f>MachineAssumptions!$T$31*E83</f>
        <v>0</v>
      </c>
      <c r="I83" s="166">
        <f>MachineAssumptions!$T$51*E83</f>
        <v>0</v>
      </c>
    </row>
    <row r="84" spans="1:9" ht="20">
      <c r="A84" s="15"/>
      <c r="B84" s="85" t="str">
        <f>MachineAssumptions!B11&amp;" - Labor"</f>
        <v>Cultivator - Labor</v>
      </c>
      <c r="C84" s="41" t="s">
        <v>246</v>
      </c>
      <c r="D84" s="116">
        <f>MachineAssumptions!$R$11</f>
        <v>0</v>
      </c>
      <c r="E84" s="87">
        <f>FieldApplications!$G$10</f>
        <v>0</v>
      </c>
      <c r="F84" s="117" t="str">
        <f t="shared" si="12"/>
        <v>0</v>
      </c>
      <c r="H84" s="246">
        <f>MachineAssumptions!$R$32*E84</f>
        <v>0</v>
      </c>
      <c r="I84" s="166">
        <f>MachineAssumptions!$R$52*E84</f>
        <v>0</v>
      </c>
    </row>
    <row r="85" spans="1:9" ht="20">
      <c r="A85" s="15"/>
      <c r="B85" s="85" t="str">
        <f>MachineAssumptions!B11&amp;" - Fuel, Lube"</f>
        <v>Cultivator - Fuel, Lube</v>
      </c>
      <c r="C85" s="41" t="s">
        <v>246</v>
      </c>
      <c r="D85" s="116">
        <f>MachineAssumptions!$S$11</f>
        <v>0</v>
      </c>
      <c r="E85" s="87">
        <f>FieldApplications!$G$10</f>
        <v>0</v>
      </c>
      <c r="F85" s="117" t="str">
        <f t="shared" si="12"/>
        <v>0</v>
      </c>
      <c r="H85" s="246">
        <f>MachineAssumptions!$S$32*E85</f>
        <v>0</v>
      </c>
      <c r="I85" s="166">
        <f>MachineAssumptions!$S$52*E85</f>
        <v>0</v>
      </c>
    </row>
    <row r="86" spans="1:9" ht="20">
      <c r="A86" s="15"/>
      <c r="B86" s="85" t="str">
        <f>MachineAssumptions!B11&amp;" - Repairs"</f>
        <v>Cultivator - Repairs</v>
      </c>
      <c r="C86" s="41" t="s">
        <v>246</v>
      </c>
      <c r="D86" s="116">
        <f>MachineAssumptions!$T$11</f>
        <v>0</v>
      </c>
      <c r="E86" s="87">
        <f>FieldApplications!$G$10</f>
        <v>0</v>
      </c>
      <c r="F86" s="117" t="str">
        <f t="shared" si="12"/>
        <v>0</v>
      </c>
      <c r="H86" s="246">
        <f>MachineAssumptions!$T$32*E86</f>
        <v>0</v>
      </c>
      <c r="I86" s="166">
        <f>MachineAssumptions!$T$52*E86</f>
        <v>0</v>
      </c>
    </row>
    <row r="87" spans="1:9" ht="20">
      <c r="A87" s="15"/>
      <c r="B87" s="85" t="str">
        <f>MachineAssumptions!B12&amp;" - Labor"</f>
        <v>Cultiweeder - Labor</v>
      </c>
      <c r="C87" s="41" t="s">
        <v>246</v>
      </c>
      <c r="D87" s="116">
        <f>MachineAssumptions!$R$12</f>
        <v>0</v>
      </c>
      <c r="E87" s="87">
        <f>FieldApplications!$G$11</f>
        <v>0</v>
      </c>
      <c r="F87" s="117" t="str">
        <f t="shared" si="12"/>
        <v>0</v>
      </c>
      <c r="H87" s="246">
        <f>MachineAssumptions!$R$33*E87</f>
        <v>0</v>
      </c>
      <c r="I87" s="166">
        <f>MachineAssumptions!$R$53*E87</f>
        <v>0</v>
      </c>
    </row>
    <row r="88" spans="1:9" ht="20">
      <c r="A88" s="15"/>
      <c r="B88" s="85" t="str">
        <f>MachineAssumptions!B12&amp;" - Fuel, Lube"</f>
        <v>Cultiweeder - Fuel, Lube</v>
      </c>
      <c r="C88" s="41" t="s">
        <v>246</v>
      </c>
      <c r="D88" s="116">
        <f>MachineAssumptions!$S$12</f>
        <v>0</v>
      </c>
      <c r="E88" s="87">
        <f>FieldApplications!$G$11</f>
        <v>0</v>
      </c>
      <c r="F88" s="117" t="str">
        <f t="shared" si="12"/>
        <v>0</v>
      </c>
      <c r="H88" s="246">
        <f>MachineAssumptions!$S$33*E88</f>
        <v>0</v>
      </c>
      <c r="I88" s="166">
        <f>MachineAssumptions!$S$53*E88</f>
        <v>0</v>
      </c>
    </row>
    <row r="89" spans="1:9" ht="20">
      <c r="A89" s="15"/>
      <c r="B89" s="85" t="str">
        <f>MachineAssumptions!B12&amp;" - Repairs"</f>
        <v>Cultiweeder - Repairs</v>
      </c>
      <c r="C89" s="41" t="s">
        <v>246</v>
      </c>
      <c r="D89" s="116">
        <f>MachineAssumptions!$T$12</f>
        <v>0</v>
      </c>
      <c r="E89" s="87">
        <f>FieldApplications!$G$11</f>
        <v>0</v>
      </c>
      <c r="F89" s="117" t="str">
        <f t="shared" si="12"/>
        <v>0</v>
      </c>
      <c r="H89" s="246">
        <f>MachineAssumptions!$T$33*E89</f>
        <v>0</v>
      </c>
      <c r="I89" s="166">
        <f>MachineAssumptions!$T$53*E89</f>
        <v>0</v>
      </c>
    </row>
    <row r="90" spans="1:9" ht="20">
      <c r="A90" s="15"/>
      <c r="B90" s="85" t="str">
        <f>MachineAssumptions!B13&amp;" - Labor"</f>
        <v>Drill - Labor</v>
      </c>
      <c r="C90" s="41" t="s">
        <v>246</v>
      </c>
      <c r="D90" s="116">
        <f>MachineAssumptions!$R$13</f>
        <v>1.6703109815354713</v>
      </c>
      <c r="E90" s="87">
        <f>FieldApplications!$G$12</f>
        <v>1</v>
      </c>
      <c r="F90" s="117">
        <f t="shared" si="12"/>
        <v>1.6703109815354713</v>
      </c>
      <c r="H90" s="246">
        <f>MachineAssumptions!$R$34*E90</f>
        <v>1.6703109815354713</v>
      </c>
      <c r="I90" s="166">
        <f>MachineAssumptions!$R$54*E90</f>
        <v>1.6703109815354713</v>
      </c>
    </row>
    <row r="91" spans="1:9" ht="20">
      <c r="A91" s="15"/>
      <c r="B91" s="85" t="str">
        <f>MachineAssumptions!B13&amp;" - Fuel, Lube"</f>
        <v>Drill - Fuel, Lube</v>
      </c>
      <c r="C91" s="41" t="s">
        <v>246</v>
      </c>
      <c r="D91" s="116">
        <f>MachineAssumptions!$S$13</f>
        <v>6.146744412050535</v>
      </c>
      <c r="E91" s="87">
        <f>FieldApplications!$G$12</f>
        <v>1</v>
      </c>
      <c r="F91" s="117">
        <f t="shared" si="12"/>
        <v>6.146744412050535</v>
      </c>
      <c r="H91" s="246">
        <f>MachineAssumptions!$S$34*E91</f>
        <v>6.146744412050535</v>
      </c>
      <c r="I91" s="166">
        <f>MachineAssumptions!$S$54*E91</f>
        <v>6.146744412050535</v>
      </c>
    </row>
    <row r="92" spans="1:9" ht="20">
      <c r="A92" s="15"/>
      <c r="B92" s="85" t="str">
        <f>MachineAssumptions!B13&amp;" - Repairs"</f>
        <v>Drill - Repairs</v>
      </c>
      <c r="C92" s="41" t="s">
        <v>246</v>
      </c>
      <c r="D92" s="116">
        <f>MachineAssumptions!$T$13</f>
        <v>5.740409656342587</v>
      </c>
      <c r="E92" s="87">
        <f>FieldApplications!$G$12</f>
        <v>1</v>
      </c>
      <c r="F92" s="117">
        <f t="shared" si="12"/>
        <v>5.740409656342587</v>
      </c>
      <c r="H92" s="246">
        <f>MachineAssumptions!$T$34*E92</f>
        <v>5.740409656342587</v>
      </c>
      <c r="I92" s="166">
        <f>MachineAssumptions!$T$54*E92</f>
        <v>5.740409656342587</v>
      </c>
    </row>
    <row r="93" spans="1:9" ht="20">
      <c r="A93" s="15"/>
      <c r="B93" s="85" t="str">
        <f>MachineAssumptions!B14&amp;" - Labor"</f>
        <v>Combine w/ 36' header - Labor</v>
      </c>
      <c r="C93" s="41" t="s">
        <v>246</v>
      </c>
      <c r="D93" s="116">
        <f>MachineAssumptions!$R$14</f>
        <v>1.9161092530657748</v>
      </c>
      <c r="E93" s="87">
        <f>FieldApplications!$G$13</f>
        <v>1</v>
      </c>
      <c r="F93" s="117">
        <f t="shared" si="12"/>
        <v>1.9161092530657748</v>
      </c>
      <c r="H93" s="246">
        <f>MachineAssumptions!$R$35*E93</f>
        <v>1.9161092530657748</v>
      </c>
      <c r="I93" s="166">
        <f>MachineAssumptions!$R$55*E93</f>
        <v>1.9161092530657748</v>
      </c>
    </row>
    <row r="94" spans="1:9" ht="20">
      <c r="A94" s="15"/>
      <c r="B94" s="85" t="str">
        <f>MachineAssumptions!B14&amp;" - Fuel, Lube"</f>
        <v>Combine w/ 36' header - Fuel, Lube</v>
      </c>
      <c r="C94" s="41" t="s">
        <v>246</v>
      </c>
      <c r="D94" s="116">
        <f>MachineAssumptions!$S$14</f>
        <v>7.0512820512820511</v>
      </c>
      <c r="E94" s="87">
        <f>FieldApplications!$G$13</f>
        <v>1</v>
      </c>
      <c r="F94" s="117">
        <f t="shared" si="12"/>
        <v>7.0512820512820511</v>
      </c>
      <c r="H94" s="246">
        <f>MachineAssumptions!$S$35*E94</f>
        <v>7.0512820512820511</v>
      </c>
      <c r="I94" s="166">
        <f>MachineAssumptions!$S$55*E94</f>
        <v>7.0512820512820511</v>
      </c>
    </row>
    <row r="95" spans="1:9" ht="20">
      <c r="A95" s="15"/>
      <c r="B95" s="85" t="str">
        <f>MachineAssumptions!B14&amp;" - Repairs"</f>
        <v>Combine w/ 36' header - Repairs</v>
      </c>
      <c r="C95" s="41" t="s">
        <v>246</v>
      </c>
      <c r="D95" s="116">
        <f>MachineAssumptions!$T$14</f>
        <v>6.4258281801385913</v>
      </c>
      <c r="E95" s="87">
        <f>FieldApplications!$G$13</f>
        <v>1</v>
      </c>
      <c r="F95" s="117">
        <f t="shared" si="12"/>
        <v>6.4258281801385913</v>
      </c>
      <c r="H95" s="246">
        <f>MachineAssumptions!$T$35*E95</f>
        <v>6.4258281801385913</v>
      </c>
      <c r="I95" s="166">
        <f>MachineAssumptions!$T$55*E95</f>
        <v>4.0416300769413871</v>
      </c>
    </row>
    <row r="96" spans="1:9" ht="20">
      <c r="A96" s="15"/>
      <c r="B96" s="85" t="str">
        <f>MachineAssumptions!B16&amp;" - Labor"</f>
        <v>Fertilizer Spreader - Labor</v>
      </c>
      <c r="C96" s="41" t="s">
        <v>246</v>
      </c>
      <c r="D96" s="116">
        <f>MachineAssumptions!$R$16</f>
        <v>0</v>
      </c>
      <c r="E96" s="87">
        <f>FieldApplications!$G$14</f>
        <v>0</v>
      </c>
      <c r="F96" s="117" t="str">
        <f t="shared" si="12"/>
        <v>0</v>
      </c>
      <c r="H96" s="246">
        <f>MachineAssumptions!$R$36*E96</f>
        <v>0</v>
      </c>
      <c r="I96" s="166">
        <f>MachineAssumptions!$R$56*E96</f>
        <v>0</v>
      </c>
    </row>
    <row r="97" spans="1:9" ht="20">
      <c r="A97" s="15"/>
      <c r="B97" s="85" t="str">
        <f>MachineAssumptions!B16&amp;" - Fuel, Lube"</f>
        <v>Fertilizer Spreader - Fuel, Lube</v>
      </c>
      <c r="C97" s="41" t="s">
        <v>246</v>
      </c>
      <c r="D97" s="116">
        <f>MachineAssumptions!$S$16</f>
        <v>0</v>
      </c>
      <c r="E97" s="87">
        <f>FieldApplications!$G$14</f>
        <v>0</v>
      </c>
      <c r="F97" s="117" t="str">
        <f t="shared" si="12"/>
        <v>0</v>
      </c>
      <c r="H97" s="246">
        <f>MachineAssumptions!$S$36*E97</f>
        <v>0</v>
      </c>
      <c r="I97" s="166">
        <f>MachineAssumptions!$S$56*E97</f>
        <v>0</v>
      </c>
    </row>
    <row r="98" spans="1:9" ht="20">
      <c r="A98" s="15"/>
      <c r="B98" s="85" t="str">
        <f>MachineAssumptions!B16&amp;" - Repairs"</f>
        <v>Fertilizer Spreader - Repairs</v>
      </c>
      <c r="C98" s="41" t="s">
        <v>246</v>
      </c>
      <c r="D98" s="116">
        <f>MachineAssumptions!$T$16</f>
        <v>0</v>
      </c>
      <c r="E98" s="87">
        <f>FieldApplications!$G$14</f>
        <v>0</v>
      </c>
      <c r="F98" s="117" t="str">
        <f t="shared" si="12"/>
        <v>0</v>
      </c>
      <c r="H98" s="246">
        <f>MachineAssumptions!$T$36*E98</f>
        <v>0</v>
      </c>
      <c r="I98" s="166">
        <f>MachineAssumptions!$T$56*E98</f>
        <v>0</v>
      </c>
    </row>
    <row r="99" spans="1:9" ht="20">
      <c r="A99" s="15"/>
      <c r="B99" s="85" t="str">
        <f>MachineAssumptions!B17&amp;" - Labor"</f>
        <v>Fertilizer tanks and pump - Labor</v>
      </c>
      <c r="C99" s="41" t="s">
        <v>246</v>
      </c>
      <c r="D99" s="116">
        <f>MachineAssumptions!$R$17</f>
        <v>2.2448979591836737</v>
      </c>
      <c r="E99" s="87">
        <f>FieldApplications!$G$15</f>
        <v>1</v>
      </c>
      <c r="F99" s="117">
        <f t="shared" si="12"/>
        <v>2.2448979591836737</v>
      </c>
      <c r="H99" s="246">
        <f>MachineAssumptions!$R$37*E99</f>
        <v>2.2448979591836737</v>
      </c>
      <c r="I99" s="166">
        <f>MachineAssumptions!$R$57*E99</f>
        <v>2.2448979591836737</v>
      </c>
    </row>
    <row r="100" spans="1:9" ht="20">
      <c r="A100" s="15"/>
      <c r="B100" s="85" t="str">
        <f>MachineAssumptions!B17&amp;" - Fuel, Lube"</f>
        <v>Fertilizer tanks and pump - Fuel, Lube</v>
      </c>
      <c r="C100" s="41" t="s">
        <v>246</v>
      </c>
      <c r="D100" s="116">
        <f>MachineAssumptions!$S$17</f>
        <v>9.387755102040817</v>
      </c>
      <c r="E100" s="87">
        <f>FieldApplications!$G$15</f>
        <v>1</v>
      </c>
      <c r="F100" s="117">
        <f t="shared" si="12"/>
        <v>9.387755102040817</v>
      </c>
      <c r="H100" s="246">
        <f>MachineAssumptions!$S$37*E100</f>
        <v>9.387755102040817</v>
      </c>
      <c r="I100" s="166">
        <f>MachineAssumptions!$S$57*E100</f>
        <v>9.387755102040817</v>
      </c>
    </row>
    <row r="101" spans="1:9" ht="20">
      <c r="A101" s="15"/>
      <c r="B101" s="85" t="str">
        <f>MachineAssumptions!B17&amp;" - Repairs"</f>
        <v>Fertilizer tanks and pump - Repairs</v>
      </c>
      <c r="C101" s="41" t="s">
        <v>246</v>
      </c>
      <c r="D101" s="116">
        <f>MachineAssumptions!$T$17</f>
        <v>0</v>
      </c>
      <c r="E101" s="87">
        <f>FieldApplications!$G$15</f>
        <v>1</v>
      </c>
      <c r="F101" s="117" t="str">
        <f t="shared" si="12"/>
        <v>0</v>
      </c>
      <c r="H101" s="246">
        <f>MachineAssumptions!$T$37*E101</f>
        <v>0</v>
      </c>
      <c r="I101" s="166">
        <f>MachineAssumptions!$T$57*E101</f>
        <v>0</v>
      </c>
    </row>
    <row r="102" spans="1:9" ht="20">
      <c r="A102" s="15"/>
      <c r="B102" s="85" t="str">
        <f>MachineAssumptions!B18&amp;" - Labor"</f>
        <v>Boom sprayer - Labor</v>
      </c>
      <c r="C102" s="41" t="s">
        <v>246</v>
      </c>
      <c r="D102" s="116">
        <f>MachineAssumptions!$R$18</f>
        <v>0.4708120318630365</v>
      </c>
      <c r="E102" s="87">
        <f>FieldApplications!$G$16</f>
        <v>3</v>
      </c>
      <c r="F102" s="117">
        <f t="shared" si="12"/>
        <v>1.4124360955891095</v>
      </c>
      <c r="H102" s="246">
        <f>MachineAssumptions!$R$38*E102</f>
        <v>1.4124360955891095</v>
      </c>
      <c r="I102" s="166">
        <f>MachineAssumptions!$R$58*E102</f>
        <v>1.4124360955891095</v>
      </c>
    </row>
    <row r="103" spans="1:9" ht="20">
      <c r="A103" s="15"/>
      <c r="B103" s="85" t="str">
        <f>MachineAssumptions!B18&amp;" - Fuel, Lube"</f>
        <v>Boom sprayer - Fuel, Lube</v>
      </c>
      <c r="C103" s="41" t="s">
        <v>246</v>
      </c>
      <c r="D103" s="116">
        <f>MachineAssumptions!$S$18</f>
        <v>1.8047794554749732</v>
      </c>
      <c r="E103" s="87">
        <f>FieldApplications!$G$16</f>
        <v>3</v>
      </c>
      <c r="F103" s="117">
        <f t="shared" si="12"/>
        <v>5.4143383664249196</v>
      </c>
      <c r="H103" s="246">
        <f>MachineAssumptions!$S$38*E103</f>
        <v>5.4143383664249196</v>
      </c>
      <c r="I103" s="166">
        <f>MachineAssumptions!$S$58*E103</f>
        <v>5.4143383664249196</v>
      </c>
    </row>
    <row r="104" spans="1:9" ht="20">
      <c r="A104" s="15"/>
      <c r="B104" s="85" t="str">
        <f>MachineAssumptions!B18&amp;" - Repairs"</f>
        <v>Boom sprayer - Repairs</v>
      </c>
      <c r="C104" s="41" t="s">
        <v>246</v>
      </c>
      <c r="D104" s="116">
        <f>MachineAssumptions!$T$18</f>
        <v>0.49795949063219769</v>
      </c>
      <c r="E104" s="87">
        <f>FieldApplications!$G$16</f>
        <v>3</v>
      </c>
      <c r="F104" s="117">
        <f t="shared" si="12"/>
        <v>1.493878471896593</v>
      </c>
      <c r="H104" s="246">
        <f>MachineAssumptions!$T$38*E104</f>
        <v>1.5084005569154613</v>
      </c>
      <c r="I104" s="166">
        <f>MachineAssumptions!$T$58*E104</f>
        <v>1.3532484858048683</v>
      </c>
    </row>
    <row r="105" spans="1:9" ht="20">
      <c r="A105" s="15"/>
      <c r="B105" s="85" t="str">
        <f>MachineAssumptions!B15&amp;" - Labor"</f>
        <v>Bankout Wagon - Labor</v>
      </c>
      <c r="C105" s="41" t="s">
        <v>246</v>
      </c>
      <c r="D105" s="116">
        <f>MachineAssumptions!$R$15</f>
        <v>1.6861761426978819</v>
      </c>
      <c r="E105" s="87">
        <f t="shared" ref="E105:E113" si="13">IF($E$93&gt;0,1,0)</f>
        <v>1</v>
      </c>
      <c r="F105" s="117">
        <f t="shared" si="12"/>
        <v>1.6861761426978819</v>
      </c>
      <c r="H105" s="246">
        <f>MachineAssumptions!$R$39*E105</f>
        <v>1.6861761426978819</v>
      </c>
      <c r="I105" s="166">
        <f>MachineAssumptions!$R$59*E105</f>
        <v>1.6861761426978819</v>
      </c>
    </row>
    <row r="106" spans="1:9" ht="20">
      <c r="A106" s="15"/>
      <c r="B106" s="85" t="str">
        <f>MachineAssumptions!B15&amp;" - Fuel, Lube"</f>
        <v>Bankout Wagon - Fuel, Lube</v>
      </c>
      <c r="C106" s="41" t="s">
        <v>246</v>
      </c>
      <c r="D106" s="116">
        <f>MachineAssumptions!$S$15</f>
        <v>7.0512820512820511</v>
      </c>
      <c r="E106" s="87">
        <f t="shared" si="13"/>
        <v>1</v>
      </c>
      <c r="F106" s="117">
        <f t="shared" si="12"/>
        <v>7.0512820512820511</v>
      </c>
      <c r="H106" s="246">
        <f>MachineAssumptions!$S$39*E106</f>
        <v>7.0512820512820511</v>
      </c>
      <c r="I106" s="166">
        <f>MachineAssumptions!$S$59*E106</f>
        <v>7.0512820512820511</v>
      </c>
    </row>
    <row r="107" spans="1:9" ht="20">
      <c r="A107" s="15"/>
      <c r="B107" s="85" t="str">
        <f>MachineAssumptions!B15&amp;" - Repairs"</f>
        <v>Bankout Wagon - Repairs</v>
      </c>
      <c r="C107" s="41" t="s">
        <v>246</v>
      </c>
      <c r="D107" s="116">
        <f>MachineAssumptions!$T$15</f>
        <v>0.5058930256896228</v>
      </c>
      <c r="E107" s="87">
        <f t="shared" si="13"/>
        <v>1</v>
      </c>
      <c r="F107" s="117">
        <f t="shared" si="12"/>
        <v>0.5058930256896228</v>
      </c>
      <c r="H107" s="246">
        <f>MachineAssumptions!$T$39*E107</f>
        <v>0.5058930256896228</v>
      </c>
      <c r="I107" s="166">
        <f>MachineAssumptions!$T$59*E107</f>
        <v>0.43525361955195507</v>
      </c>
    </row>
    <row r="108" spans="1:9" ht="20">
      <c r="A108" s="15"/>
      <c r="B108" s="85" t="str">
        <f>MachineAssumptions!B19&amp;" - Labor"</f>
        <v>Tandem Axle Truck  - Labor</v>
      </c>
      <c r="C108" s="41" t="s">
        <v>246</v>
      </c>
      <c r="D108" s="116">
        <f>MachineAssumptions!$R$19</f>
        <v>3.6</v>
      </c>
      <c r="E108" s="87">
        <f t="shared" si="13"/>
        <v>1</v>
      </c>
      <c r="F108" s="117">
        <f t="shared" si="12"/>
        <v>3.6</v>
      </c>
      <c r="H108" s="246">
        <f>MachineAssumptions!$R$40*E108</f>
        <v>3.6</v>
      </c>
      <c r="I108" s="166">
        <f>MachineAssumptions!$R$60*E108</f>
        <v>3.6</v>
      </c>
    </row>
    <row r="109" spans="1:9" ht="20">
      <c r="A109" s="15"/>
      <c r="B109" s="85" t="str">
        <f>MachineAssumptions!B19&amp;" - Fuel, Lube"</f>
        <v>Tandem Axle Truck  - Fuel, Lube</v>
      </c>
      <c r="C109" s="41" t="s">
        <v>246</v>
      </c>
      <c r="D109" s="116">
        <f>MachineAssumptions!$S$19</f>
        <v>1.1499999999999999</v>
      </c>
      <c r="E109" s="87">
        <f t="shared" si="13"/>
        <v>1</v>
      </c>
      <c r="F109" s="117">
        <f t="shared" si="12"/>
        <v>1.1499999999999999</v>
      </c>
      <c r="H109" s="246">
        <f>MachineAssumptions!$S$40*E109</f>
        <v>1.1499999999999999</v>
      </c>
      <c r="I109" s="166">
        <f>MachineAssumptions!$S$60*E109</f>
        <v>1.1499999999999999</v>
      </c>
    </row>
    <row r="110" spans="1:9" ht="20">
      <c r="A110" s="15"/>
      <c r="B110" s="85" t="str">
        <f>MachineAssumptions!B19&amp;" - Repairs"</f>
        <v>Tandem Axle Truck  - Repairs</v>
      </c>
      <c r="C110" s="41" t="s">
        <v>246</v>
      </c>
      <c r="D110" s="116">
        <f>MachineAssumptions!$T$19</f>
        <v>0.8</v>
      </c>
      <c r="E110" s="87">
        <f t="shared" si="13"/>
        <v>1</v>
      </c>
      <c r="F110" s="117">
        <f t="shared" si="12"/>
        <v>0.8</v>
      </c>
      <c r="H110" s="246">
        <f>MachineAssumptions!$T$40*E110</f>
        <v>0.8</v>
      </c>
      <c r="I110" s="166">
        <f>MachineAssumptions!$T$60*E110</f>
        <v>0.8</v>
      </c>
    </row>
    <row r="111" spans="1:9" ht="20">
      <c r="A111" s="15"/>
      <c r="B111" s="85" t="str">
        <f>MachineAssumptions!B20&amp;" - Labor"</f>
        <v>Tandem Axle Truck  - Labor</v>
      </c>
      <c r="C111" s="41" t="s">
        <v>246</v>
      </c>
      <c r="D111" s="116">
        <f>MachineAssumptions!$R$20</f>
        <v>3.6</v>
      </c>
      <c r="E111" s="87">
        <f t="shared" si="13"/>
        <v>1</v>
      </c>
      <c r="F111" s="117">
        <f t="shared" si="12"/>
        <v>3.6</v>
      </c>
      <c r="H111" s="416">
        <f>MachineAssumptions!$R$41*E111</f>
        <v>3.6</v>
      </c>
      <c r="I111" s="369">
        <f>MachineAssumptions!$R$61*E111</f>
        <v>3.6</v>
      </c>
    </row>
    <row r="112" spans="1:9" ht="20">
      <c r="A112" s="15"/>
      <c r="B112" s="85" t="str">
        <f>MachineAssumptions!B20&amp;" - Fuel, Lube"</f>
        <v>Tandem Axle Truck  - Fuel, Lube</v>
      </c>
      <c r="C112" s="41" t="s">
        <v>246</v>
      </c>
      <c r="D112" s="116">
        <f>MachineAssumptions!$S$20</f>
        <v>1.72</v>
      </c>
      <c r="E112" s="87">
        <f t="shared" si="13"/>
        <v>1</v>
      </c>
      <c r="F112" s="117">
        <f t="shared" si="12"/>
        <v>1.72</v>
      </c>
      <c r="H112" s="416">
        <f>MachineAssumptions!$S$41*E112</f>
        <v>1.72</v>
      </c>
      <c r="I112" s="369">
        <f>MachineAssumptions!$S$61*E112</f>
        <v>1.72</v>
      </c>
    </row>
    <row r="113" spans="1:13" ht="23">
      <c r="A113" s="15"/>
      <c r="B113" s="85" t="str">
        <f>MachineAssumptions!B20&amp;" - Repairs"</f>
        <v>Tandem Axle Truck  - Repairs</v>
      </c>
      <c r="C113" s="41" t="s">
        <v>246</v>
      </c>
      <c r="D113" s="116">
        <f>MachineAssumptions!$T$20</f>
        <v>0.8</v>
      </c>
      <c r="E113" s="87">
        <f t="shared" si="13"/>
        <v>1</v>
      </c>
      <c r="F113" s="117">
        <f t="shared" si="12"/>
        <v>0.8</v>
      </c>
      <c r="H113" s="248">
        <f>MachineAssumptions!$T$41*E113</f>
        <v>0.8</v>
      </c>
      <c r="I113" s="247">
        <f>MachineAssumptions!$T$61*E113</f>
        <v>0.8</v>
      </c>
    </row>
    <row r="114" spans="1:13" ht="21">
      <c r="A114" s="15"/>
      <c r="B114" s="139" t="s">
        <v>88</v>
      </c>
      <c r="C114" s="41"/>
      <c r="D114" s="116"/>
      <c r="E114" s="87"/>
      <c r="F114" s="117"/>
      <c r="H114" s="249">
        <f>SUM(H74:H113)</f>
        <v>69.831863834238547</v>
      </c>
      <c r="I114" s="249">
        <f>SUM(I74:I113)</f>
        <v>67.221874253793075</v>
      </c>
    </row>
    <row r="115" spans="1:13" ht="20">
      <c r="A115" s="15"/>
      <c r="B115" s="85" t="str">
        <f>'Chem&amp;FertInputs&amp;CInsurance'!B73</f>
        <v>Crop Insurance</v>
      </c>
      <c r="C115" s="23" t="str">
        <f>'Chem&amp;FertInputs&amp;CInsurance'!D73</f>
        <v>acre</v>
      </c>
      <c r="D115" s="116">
        <f>'Chem&amp;FertInputs&amp;CInsurance'!J73</f>
        <v>17</v>
      </c>
      <c r="E115" s="87">
        <v>1</v>
      </c>
      <c r="F115" s="117">
        <f>IF(D115*E115=0,"0",D115*E115)</f>
        <v>17</v>
      </c>
      <c r="H115" s="1" t="s">
        <v>181</v>
      </c>
      <c r="I115" s="1" t="s">
        <v>181</v>
      </c>
    </row>
    <row r="116" spans="1:13" ht="20">
      <c r="A116" s="15"/>
      <c r="B116" s="85" t="s">
        <v>72</v>
      </c>
      <c r="C116" s="41" t="s">
        <v>83</v>
      </c>
      <c r="D116" s="111">
        <f>MachineAssumptions!D25</f>
        <v>0.05</v>
      </c>
      <c r="E116" s="87"/>
      <c r="F116" s="86">
        <f>SUM(F8:F115)*D116</f>
        <v>12.135009587460983</v>
      </c>
      <c r="G116" s="1" t="s">
        <v>111</v>
      </c>
      <c r="H116" s="49">
        <f>(SUM($F8:$F70)+$F115+SUM(H72:H113))*$D116</f>
        <v>12.135735691711927</v>
      </c>
      <c r="I116" s="49">
        <f>(SUM($F8:$F70)+$F115+SUM(I72:I113))*$D116</f>
        <v>12.005236212689653</v>
      </c>
      <c r="J116" s="49">
        <f>F72+F75+F78+F81+F84+F87+F90+F93+F96+F99+F102+F105+F108+F111</f>
        <v>16.129930432071912</v>
      </c>
      <c r="K116" s="1" t="s">
        <v>111</v>
      </c>
    </row>
    <row r="117" spans="1:13" ht="20">
      <c r="A117" s="15"/>
      <c r="B117" s="85" t="s">
        <v>84</v>
      </c>
      <c r="C117" s="41" t="s">
        <v>83</v>
      </c>
      <c r="D117" s="111">
        <f>MachineAssumptions!D26</f>
        <v>6.7500000000000004E-2</v>
      </c>
      <c r="E117" s="112"/>
      <c r="F117" s="140">
        <f>SUM(F8:F116)*(D117/12*MachineAssumptions!D27)</f>
        <v>12.901032067669458</v>
      </c>
      <c r="G117" s="1" t="s">
        <v>4</v>
      </c>
      <c r="H117" s="49">
        <f>(SUM(F8:F70)+(F115+F116+H114))*((D117/12)*MachineAssumptions!D27)</f>
        <v>12.901767248223539</v>
      </c>
      <c r="I117" s="49">
        <f>(SUM(F8:F70)+(F115+F116+I114))*((D117/12)*MachineAssumptions!D27)</f>
        <v>12.769636525713487</v>
      </c>
      <c r="J117" s="49">
        <f>F73+F76+F79+F82+F85+F88+F91+F94+F97+F100+F103+F106+F109+F112</f>
        <v>37.921401983080372</v>
      </c>
      <c r="K117" s="1" t="s">
        <v>4</v>
      </c>
    </row>
    <row r="118" spans="1:13" ht="20">
      <c r="A118" s="15"/>
      <c r="B118" s="14" t="s">
        <v>85</v>
      </c>
      <c r="C118" s="29"/>
      <c r="D118" s="141"/>
      <c r="E118" s="142"/>
      <c r="F118" s="143">
        <f>SUM(F8:F117)</f>
        <v>267.73623340435006</v>
      </c>
      <c r="G118" s="1" t="s">
        <v>112</v>
      </c>
      <c r="J118" s="49">
        <f>F74+F77+F80+F83+F86+F89+F92+F95+F98+F101+F104+F107+F110+F113</f>
        <v>15.766009334067396</v>
      </c>
      <c r="K118" s="1" t="s">
        <v>112</v>
      </c>
      <c r="L118" s="49">
        <f>H74+H77+H80+H83+H86+H89+H92+H95+H98+H101+H104+H107+H110+H113</f>
        <v>15.780531419086264</v>
      </c>
      <c r="M118" s="49">
        <f>I74+I77+I80+I83+I86+I89+I92+I95+I98+I101+I104+I107+I110+I113</f>
        <v>13.1705418386408</v>
      </c>
    </row>
    <row r="119" spans="1:13">
      <c r="A119" s="15"/>
      <c r="B119" s="113"/>
      <c r="C119" s="113"/>
      <c r="D119" s="113"/>
      <c r="E119" s="114"/>
      <c r="F119" s="115"/>
      <c r="H119" s="115"/>
      <c r="J119" s="49">
        <f>SUM(J116:J118)</f>
        <v>69.817341749219679</v>
      </c>
      <c r="K119" s="115"/>
    </row>
    <row r="120" spans="1:13" ht="20">
      <c r="A120" s="15"/>
      <c r="B120" s="132" t="s">
        <v>89</v>
      </c>
      <c r="C120" s="19" t="s">
        <v>2</v>
      </c>
      <c r="D120" s="20" t="s">
        <v>12</v>
      </c>
      <c r="E120" s="21" t="s">
        <v>13</v>
      </c>
      <c r="F120" s="45" t="s">
        <v>0</v>
      </c>
      <c r="H120" s="1" t="s">
        <v>136</v>
      </c>
      <c r="I120" s="1" t="s">
        <v>139</v>
      </c>
    </row>
    <row r="121" spans="1:13" ht="20">
      <c r="A121" s="15"/>
      <c r="B121" s="18" t="str">
        <f>MachineAssumptions!B7&amp;" - Replacement Costs"</f>
        <v>Shredder - Replacement Costs</v>
      </c>
      <c r="C121" s="41" t="str">
        <f>C72</f>
        <v>acre</v>
      </c>
      <c r="D121" s="34">
        <f>MachineAssumptions!U7</f>
        <v>4.3329737628911431</v>
      </c>
      <c r="E121" s="145">
        <f>E72</f>
        <v>0</v>
      </c>
      <c r="F121" s="42" t="str">
        <f t="shared" ref="F121:F134" si="14">IF(D121*E121=0,"0",D121*E121)</f>
        <v>0</v>
      </c>
      <c r="H121" s="166">
        <f>MachineAssumptions!U28*E121</f>
        <v>0</v>
      </c>
      <c r="I121" s="166">
        <f>MachineAssumptions!U48*E121</f>
        <v>0</v>
      </c>
    </row>
    <row r="122" spans="1:13" ht="20">
      <c r="A122" s="15"/>
      <c r="B122" s="18" t="str">
        <f>MachineAssumptions!B8&amp;" - Replacement Costs"</f>
        <v>Harrow - Replacement Costs</v>
      </c>
      <c r="C122" s="41" t="str">
        <f>C75</f>
        <v>acre</v>
      </c>
      <c r="D122" s="34">
        <f>MachineAssumptions!U8</f>
        <v>1.1988479209967022</v>
      </c>
      <c r="E122" s="145">
        <f>E75</f>
        <v>0</v>
      </c>
      <c r="F122" s="42" t="str">
        <f t="shared" si="14"/>
        <v>0</v>
      </c>
      <c r="H122" s="166">
        <f>MachineAssumptions!U29*E122</f>
        <v>0</v>
      </c>
      <c r="I122" s="166">
        <f>MachineAssumptions!U49*E122</f>
        <v>0</v>
      </c>
    </row>
    <row r="123" spans="1:13" ht="20">
      <c r="A123" s="15"/>
      <c r="B123" s="18" t="str">
        <f>MachineAssumptions!B9&amp;" - Replacement Costs"</f>
        <v>Chisel plow - Replacement Costs</v>
      </c>
      <c r="C123" s="41" t="str">
        <f>C78</f>
        <v>acre</v>
      </c>
      <c r="D123" s="34">
        <f>MachineAssumptions!U9</f>
        <v>0</v>
      </c>
      <c r="E123" s="145">
        <f>E78</f>
        <v>0</v>
      </c>
      <c r="F123" s="42" t="str">
        <f t="shared" si="14"/>
        <v>0</v>
      </c>
      <c r="H123" s="166">
        <f>MachineAssumptions!U30*E123</f>
        <v>0</v>
      </c>
      <c r="I123" s="166">
        <f>MachineAssumptions!U50*E123</f>
        <v>0</v>
      </c>
    </row>
    <row r="124" spans="1:13" ht="20">
      <c r="A124" s="15"/>
      <c r="B124" s="18" t="str">
        <f>MachineAssumptions!B10&amp;" - Replacement Costs"</f>
        <v>Moldboard plow - Replacement Costs</v>
      </c>
      <c r="C124" s="41" t="str">
        <f>C81</f>
        <v>acre</v>
      </c>
      <c r="D124" s="34">
        <f>MachineAssumptions!U10</f>
        <v>0</v>
      </c>
      <c r="E124" s="145">
        <f>E81</f>
        <v>0</v>
      </c>
      <c r="F124" s="42" t="str">
        <f t="shared" si="14"/>
        <v>0</v>
      </c>
      <c r="H124" s="166">
        <f>MachineAssumptions!U31*E124</f>
        <v>0</v>
      </c>
      <c r="I124" s="166">
        <f>MachineAssumptions!U51*E124</f>
        <v>0</v>
      </c>
    </row>
    <row r="125" spans="1:13" ht="20">
      <c r="A125" s="15"/>
      <c r="B125" s="18" t="str">
        <f>MachineAssumptions!B11&amp;" - Replacement Costs"</f>
        <v>Cultivator - Replacement Costs</v>
      </c>
      <c r="C125" s="41" t="str">
        <f t="shared" ref="C125:C126" si="15">C82</f>
        <v>acre</v>
      </c>
      <c r="D125" s="34">
        <f>MachineAssumptions!U11</f>
        <v>0</v>
      </c>
      <c r="E125" s="145">
        <f>E84</f>
        <v>0</v>
      </c>
      <c r="F125" s="42" t="str">
        <f t="shared" si="14"/>
        <v>0</v>
      </c>
      <c r="H125" s="166">
        <f>MachineAssumptions!U32*E125</f>
        <v>0</v>
      </c>
      <c r="I125" s="166">
        <f>MachineAssumptions!U52*E125</f>
        <v>0</v>
      </c>
    </row>
    <row r="126" spans="1:13" ht="20">
      <c r="A126" s="15"/>
      <c r="B126" s="18" t="str">
        <f>MachineAssumptions!B12&amp;" - Replacement Costs"</f>
        <v>Cultiweeder - Replacement Costs</v>
      </c>
      <c r="C126" s="41" t="str">
        <f t="shared" si="15"/>
        <v>acre</v>
      </c>
      <c r="D126" s="34">
        <f>MachineAssumptions!U12</f>
        <v>0</v>
      </c>
      <c r="E126" s="145">
        <f>E87</f>
        <v>0</v>
      </c>
      <c r="F126" s="42" t="str">
        <f t="shared" si="14"/>
        <v>0</v>
      </c>
      <c r="H126" s="166">
        <f>MachineAssumptions!U33*E126</f>
        <v>0</v>
      </c>
      <c r="I126" s="166">
        <f>MachineAssumptions!U53*E126</f>
        <v>0</v>
      </c>
    </row>
    <row r="127" spans="1:13" ht="20">
      <c r="A127" s="15"/>
      <c r="B127" s="18" t="str">
        <f>MachineAssumptions!B13&amp;" - Replacement Costs"</f>
        <v>Drill - Replacement Costs</v>
      </c>
      <c r="C127" s="41" t="str">
        <f>C90</f>
        <v>acre</v>
      </c>
      <c r="D127" s="34">
        <f>MachineAssumptions!U13</f>
        <v>7.2419265221735989</v>
      </c>
      <c r="E127" s="145">
        <f>E90</f>
        <v>1</v>
      </c>
      <c r="F127" s="42">
        <f t="shared" si="14"/>
        <v>7.2419265221735989</v>
      </c>
      <c r="H127" s="166">
        <f>MachineAssumptions!U34*E127</f>
        <v>7.2419265221735989</v>
      </c>
      <c r="I127" s="166">
        <f>MachineAssumptions!U54*E127</f>
        <v>7.2419265221735989</v>
      </c>
    </row>
    <row r="128" spans="1:13" ht="20">
      <c r="A128" s="15"/>
      <c r="B128" s="18" t="str">
        <f>MachineAssumptions!B14&amp;" - Replacement Costs"</f>
        <v>Combine w/ 36' header - Replacement Costs</v>
      </c>
      <c r="C128" s="41" t="str">
        <f>C93</f>
        <v>acre</v>
      </c>
      <c r="D128" s="34">
        <f>MachineAssumptions!U14</f>
        <v>9.7031999999999989</v>
      </c>
      <c r="E128" s="145">
        <f>E93</f>
        <v>1</v>
      </c>
      <c r="F128" s="42">
        <f t="shared" si="14"/>
        <v>9.7031999999999989</v>
      </c>
      <c r="H128" s="166">
        <f>MachineAssumptions!U35*E128</f>
        <v>9.7031999999999989</v>
      </c>
      <c r="I128" s="166">
        <f>MachineAssumptions!U55*E128</f>
        <v>9.7032000000000007</v>
      </c>
    </row>
    <row r="129" spans="1:9" ht="20">
      <c r="A129" s="15"/>
      <c r="B129" s="18" t="str">
        <f>MachineAssumptions!B16&amp;" - Replacement Costs"</f>
        <v>Fertilizer Spreader - Replacement Costs</v>
      </c>
      <c r="C129" s="41" t="str">
        <f>C96</f>
        <v>acre</v>
      </c>
      <c r="D129" s="34">
        <f>MachineAssumptions!U16</f>
        <v>0</v>
      </c>
      <c r="E129" s="145">
        <f>E96</f>
        <v>0</v>
      </c>
      <c r="F129" s="42" t="str">
        <f t="shared" si="14"/>
        <v>0</v>
      </c>
      <c r="H129" s="166">
        <f>MachineAssumptions!U36*E129</f>
        <v>0</v>
      </c>
      <c r="I129" s="166">
        <f>MachineAssumptions!U56*E129</f>
        <v>0</v>
      </c>
    </row>
    <row r="130" spans="1:9" ht="20">
      <c r="A130" s="15"/>
      <c r="B130" s="18" t="str">
        <f>MachineAssumptions!B17&amp;" - Replacement Costs"</f>
        <v>Fertilizer tanks and pump - Replacement Costs</v>
      </c>
      <c r="C130" s="41" t="str">
        <f>C99</f>
        <v>acre</v>
      </c>
      <c r="D130" s="34">
        <f>MachineAssumptions!U17</f>
        <v>0.6</v>
      </c>
      <c r="E130" s="145">
        <f>E99</f>
        <v>1</v>
      </c>
      <c r="F130" s="42">
        <f t="shared" si="14"/>
        <v>0.6</v>
      </c>
      <c r="H130" s="166">
        <f>MachineAssumptions!U37*E130</f>
        <v>0.6</v>
      </c>
      <c r="I130" s="166">
        <f>MachineAssumptions!U57*E130</f>
        <v>0.6</v>
      </c>
    </row>
    <row r="131" spans="1:9" ht="20">
      <c r="A131" s="15"/>
      <c r="B131" s="18" t="str">
        <f>MachineAssumptions!B18&amp;" - Replacement Costs"</f>
        <v>Boom sprayer - Replacement Costs</v>
      </c>
      <c r="C131" s="41" t="str">
        <f>C102</f>
        <v>acre</v>
      </c>
      <c r="D131" s="34">
        <f>MachineAssumptions!U18</f>
        <v>0.80913316225248511</v>
      </c>
      <c r="E131" s="145">
        <f>E102</f>
        <v>3</v>
      </c>
      <c r="F131" s="42">
        <f t="shared" si="14"/>
        <v>2.4273994867574551</v>
      </c>
      <c r="H131" s="166">
        <f>MachineAssumptions!U38*E131</f>
        <v>2.4270356342009749</v>
      </c>
      <c r="I131" s="166">
        <f>MachineAssumptions!U58*E131</f>
        <v>2.4273994867574551</v>
      </c>
    </row>
    <row r="132" spans="1:9" ht="20">
      <c r="A132" s="15"/>
      <c r="B132" s="18" t="str">
        <f>MachineAssumptions!B15&amp;" - Replacement Costs"</f>
        <v>Bankout Wagon - Replacement Costs</v>
      </c>
      <c r="C132" s="41" t="str">
        <f>C105</f>
        <v>acre</v>
      </c>
      <c r="D132" s="34">
        <f>MachineAssumptions!U15</f>
        <v>2.9461434675395459</v>
      </c>
      <c r="E132" s="145">
        <f>E105</f>
        <v>1</v>
      </c>
      <c r="F132" s="42">
        <f t="shared" si="14"/>
        <v>2.9461434675395459</v>
      </c>
      <c r="H132" s="166">
        <f>MachineAssumptions!U39*E132</f>
        <v>2.9461434675395459</v>
      </c>
      <c r="I132" s="166">
        <f>MachineAssumptions!U59*E132</f>
        <v>2.9461434675395459</v>
      </c>
    </row>
    <row r="133" spans="1:9" ht="20">
      <c r="A133" s="15"/>
      <c r="B133" s="18" t="str">
        <f>MachineAssumptions!B19&amp;" - Replacement Costs"</f>
        <v>Tandem Axle Truck  - Replacement Costs</v>
      </c>
      <c r="C133" s="41" t="str">
        <f>C108</f>
        <v>acre</v>
      </c>
      <c r="D133" s="34">
        <f>MachineAssumptions!U19</f>
        <v>0.64</v>
      </c>
      <c r="E133" s="145">
        <f>E108</f>
        <v>1</v>
      </c>
      <c r="F133" s="42">
        <f t="shared" si="14"/>
        <v>0.64</v>
      </c>
      <c r="H133" s="166">
        <f>MachineAssumptions!U40*E133</f>
        <v>0.64</v>
      </c>
      <c r="I133" s="166">
        <f>MachineAssumptions!U60*E133</f>
        <v>0.64</v>
      </c>
    </row>
    <row r="134" spans="1:9" ht="23">
      <c r="A134" s="15"/>
      <c r="B134" s="18" t="str">
        <f>MachineAssumptions!B20&amp;" - Replacement Costs"</f>
        <v>Tandem Axle Truck  - Replacement Costs</v>
      </c>
      <c r="C134" s="41" t="str">
        <f t="shared" ref="C134" si="16">C111</f>
        <v>acre</v>
      </c>
      <c r="D134" s="34">
        <f>MachineAssumptions!U20</f>
        <v>0.64</v>
      </c>
      <c r="E134" s="145">
        <f t="shared" ref="E134" si="17">E111</f>
        <v>1</v>
      </c>
      <c r="F134" s="43">
        <f t="shared" si="14"/>
        <v>0.64</v>
      </c>
      <c r="H134" s="247">
        <f>MachineAssumptions!U41*E134</f>
        <v>0.64</v>
      </c>
      <c r="I134" s="247">
        <f>MachineAssumptions!U61*E134</f>
        <v>0.64</v>
      </c>
    </row>
    <row r="135" spans="1:9" ht="20">
      <c r="A135" s="15"/>
      <c r="B135" s="144" t="s">
        <v>38</v>
      </c>
      <c r="C135" s="29"/>
      <c r="D135" s="30"/>
      <c r="E135" s="29"/>
      <c r="F135" s="46">
        <f>SUM(F121:F134)</f>
        <v>24.198669476470602</v>
      </c>
      <c r="H135" s="46">
        <f t="shared" ref="H135:I135" si="18">SUM(H121:H134)</f>
        <v>24.198305623914123</v>
      </c>
      <c r="I135" s="46">
        <f t="shared" si="18"/>
        <v>24.198669476470602</v>
      </c>
    </row>
    <row r="136" spans="1:9" ht="20">
      <c r="A136" s="15"/>
      <c r="B136" s="16"/>
      <c r="C136" s="16"/>
      <c r="D136" s="17"/>
      <c r="E136" s="16"/>
      <c r="F136" s="113"/>
    </row>
    <row r="137" spans="1:9" ht="20">
      <c r="A137" s="15"/>
      <c r="B137" s="14" t="s">
        <v>31</v>
      </c>
      <c r="C137" s="29"/>
      <c r="D137" s="30"/>
      <c r="E137" s="29"/>
      <c r="F137" s="47">
        <f>F118+F135</f>
        <v>291.93490288082069</v>
      </c>
      <c r="H137" s="47">
        <f>SUM(F16:F70)+H114+F115+H116+H117+H135+F8+(H9*D9)+(H10*D10)+(H11*D11)+(H12*D12)+(H13*D13)+(H14*D14)+(H15*D15)</f>
        <v>291.95052239808808</v>
      </c>
      <c r="I137" s="47">
        <f>SUM(F16:F70)+I114+F115+I116+I117+I135+F8+(I9*D9)+(I10*D10)+(I11*D11)+(I12*D12)+(I13*D13)+(I14*D14)+(I15*D15)</f>
        <v>289.07826646866675</v>
      </c>
    </row>
    <row r="138" spans="1:9" ht="21">
      <c r="A138" s="15"/>
      <c r="B138" s="31" t="s">
        <v>32</v>
      </c>
      <c r="C138" s="32"/>
      <c r="D138" s="33"/>
      <c r="E138" s="32"/>
      <c r="F138" s="48">
        <f>F5-F137</f>
        <v>548.06509711917931</v>
      </c>
      <c r="H138" s="250">
        <f>H5-H137</f>
        <v>576.04947760191192</v>
      </c>
      <c r="I138" s="250">
        <f>I5-I137</f>
        <v>606.9217335313333</v>
      </c>
    </row>
  </sheetData>
  <mergeCells count="1">
    <mergeCell ref="B2:F2"/>
  </mergeCells>
  <pageMargins left="0.7" right="0.7" top="0.75" bottom="0.75" header="0.3" footer="0.3"/>
  <pageSetup scale="61" orientation="portrait" horizontalDpi="0" verticalDpi="0"/>
  <ignoredErrors>
    <ignoredError sqref="B135:F138 B114:F114 B3:F3 B116:F116 B115:E115 B121:C124 B127:C134 E121:F123 B125:F126 C13:E13 B61:E71 C14:F14 B118:F120 B117:E117 C8:E8 B2 B72:B113 D90:E113 D84:F89 D72:E83 E124:G124 E127:G134 B4:F7 B54:E57 B42:E51 B33:E40 B21:E31 B60:E60 B16:G20 F60:G60 B32:G32 F21:G31 B41:G41 F33:G40 B52:G53 F42:G51 B58:G59 F54:G57 C9:E9 C10:E10 C11:E11 C12:E12 C15:G15 B9:B15" unlockedFormula="1"/>
    <ignoredError sqref="D127:D131 D132:D134 D121:D123 D124" formula="1" unlockedFormula="1"/>
  </ignoredError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BD16E-B5AC-FA42-9498-79E50A851C49}">
  <sheetPr codeName="Sheet21">
    <pageSetUpPr fitToPage="1"/>
  </sheetPr>
  <dimension ref="A1:R138"/>
  <sheetViews>
    <sheetView zoomScale="120" zoomScaleNormal="120" workbookViewId="0">
      <selection activeCell="B2" sqref="B2:F2"/>
    </sheetView>
  </sheetViews>
  <sheetFormatPr baseColWidth="10" defaultColWidth="11.5" defaultRowHeight="15"/>
  <cols>
    <col min="1" max="1" width="4.83203125" style="1" customWidth="1"/>
    <col min="2" max="2" width="57.83203125" style="1" customWidth="1"/>
    <col min="3" max="6" width="12.83203125" style="1" customWidth="1"/>
    <col min="7" max="16" width="11.5" style="1" hidden="1" customWidth="1"/>
    <col min="17" max="16384" width="11.5" style="1"/>
  </cols>
  <sheetData>
    <row r="1" spans="1:18" ht="20">
      <c r="A1" s="352" t="s">
        <v>8</v>
      </c>
      <c r="B1" s="27"/>
      <c r="C1" s="16"/>
      <c r="D1" s="17"/>
      <c r="E1" s="16"/>
      <c r="F1" s="16"/>
    </row>
    <row r="2" spans="1:18" ht="20">
      <c r="A2" s="15"/>
      <c r="B2" s="807" t="str">
        <f>'Prices_Yields&amp;SeedInputs'!B10&amp;", Cash Costs and Returns of Producing, $/acre."</f>
        <v>Chickpea after Forage Crop, Cash Costs and Returns of Producing, $/acre.</v>
      </c>
      <c r="C2" s="807"/>
      <c r="D2" s="807"/>
      <c r="E2" s="807"/>
      <c r="F2" s="807"/>
    </row>
    <row r="3" spans="1:18" ht="20">
      <c r="A3" s="15"/>
      <c r="B3" s="131" t="s">
        <v>11</v>
      </c>
      <c r="C3" s="24" t="s">
        <v>2</v>
      </c>
      <c r="D3" s="25" t="s">
        <v>12</v>
      </c>
      <c r="E3" s="26" t="s">
        <v>13</v>
      </c>
      <c r="F3" s="26" t="s">
        <v>0</v>
      </c>
      <c r="H3" s="1" t="str">
        <f>'Prices_Yields&amp;SeedInputs'!F3</f>
        <v>Incremental Rotation</v>
      </c>
      <c r="I3" s="1" t="str">
        <f>'Prices_Yields&amp;SeedInputs'!G3</f>
        <v>Aspirational Rotation</v>
      </c>
      <c r="Q3" s="674"/>
      <c r="R3" s="674"/>
    </row>
    <row r="4" spans="1:18" ht="20">
      <c r="A4" s="15"/>
      <c r="B4" s="127" t="str">
        <f>'Prices_Yields&amp;SeedInputs'!B10</f>
        <v>Chickpea after Forage Crop</v>
      </c>
      <c r="C4" s="22" t="str">
        <f>'Prices_Yields&amp;SeedInputs'!C10</f>
        <v>lb</v>
      </c>
      <c r="D4" s="17">
        <f>'Prices_Yields&amp;SeedInputs'!D10</f>
        <v>0.16</v>
      </c>
      <c r="E4" s="90">
        <f>'Prices_Yields&amp;SeedInputs'!E10</f>
        <v>1400</v>
      </c>
      <c r="F4" s="35">
        <f>D4*E4</f>
        <v>224</v>
      </c>
      <c r="Q4" s="674"/>
      <c r="R4" s="674"/>
    </row>
    <row r="5" spans="1:18" ht="20">
      <c r="A5" s="15"/>
      <c r="B5" s="14" t="s">
        <v>14</v>
      </c>
      <c r="C5" s="29"/>
      <c r="D5" s="30"/>
      <c r="E5" s="29"/>
      <c r="F5" s="46">
        <f>SUM(F4:F4)</f>
        <v>224</v>
      </c>
      <c r="H5" s="1">
        <f>D4*'Prices_Yields&amp;SeedInputs'!F10</f>
        <v>224</v>
      </c>
      <c r="I5" s="1">
        <f>D4*'Prices_Yields&amp;SeedInputs'!G10</f>
        <v>224</v>
      </c>
      <c r="Q5" s="674"/>
      <c r="R5" s="674"/>
    </row>
    <row r="6" spans="1:18" ht="20">
      <c r="A6" s="15"/>
      <c r="B6" s="16"/>
      <c r="C6" s="16"/>
      <c r="D6" s="17"/>
      <c r="E6" s="16"/>
      <c r="F6" s="44"/>
    </row>
    <row r="7" spans="1:18" ht="20">
      <c r="A7" s="15"/>
      <c r="B7" s="132" t="s">
        <v>37</v>
      </c>
      <c r="C7" s="19" t="s">
        <v>2</v>
      </c>
      <c r="D7" s="20" t="s">
        <v>12</v>
      </c>
      <c r="E7" s="21" t="s">
        <v>13</v>
      </c>
      <c r="F7" s="45" t="s">
        <v>0</v>
      </c>
    </row>
    <row r="8" spans="1:18" ht="20">
      <c r="A8" s="15"/>
      <c r="B8" s="272" t="s">
        <v>169</v>
      </c>
      <c r="C8" s="119" t="str">
        <f>'Prices_Yields&amp;SeedInputs'!H10</f>
        <v>pound</v>
      </c>
      <c r="D8" s="120">
        <f>'Prices_Yields&amp;SeedInputs'!I10</f>
        <v>0.53</v>
      </c>
      <c r="E8" s="121">
        <f>'Prices_Yields&amp;SeedInputs'!J10</f>
        <v>130</v>
      </c>
      <c r="F8" s="117">
        <f t="shared" ref="F8:F61" si="0">IF(D8*E8=0,"0",D8*E8)</f>
        <v>68.900000000000006</v>
      </c>
    </row>
    <row r="9" spans="1:18" ht="20">
      <c r="A9" s="15"/>
      <c r="B9" s="85" t="str">
        <f>'Chem&amp;FertInputs&amp;CInsurance'!B6</f>
        <v>Fertilizer - Nitrogen-</v>
      </c>
      <c r="C9" s="23" t="str">
        <f>'Chem&amp;FertInputs&amp;CInsurance'!D6</f>
        <v>pound</v>
      </c>
      <c r="D9" s="116">
        <f>'Chem&amp;FertInputs&amp;CInsurance'!E6</f>
        <v>0.48749999999999999</v>
      </c>
      <c r="E9" s="133">
        <f>'Chem&amp;FertInputs&amp;CInsurance'!K6</f>
        <v>0</v>
      </c>
      <c r="F9" s="117" t="str">
        <f t="shared" si="0"/>
        <v>0</v>
      </c>
      <c r="H9" s="1">
        <f>'Chem&amp;FertInputs&amp;CInsurance'!K7</f>
        <v>0</v>
      </c>
      <c r="I9" s="1">
        <f>'Chem&amp;FertInputs&amp;CInsurance'!K8</f>
        <v>0</v>
      </c>
    </row>
    <row r="10" spans="1:18" ht="20">
      <c r="A10" s="15"/>
      <c r="B10" s="85" t="str">
        <f>'Chem&amp;FertInputs&amp;CInsurance'!B9</f>
        <v>Fertilizer - Anhydrous Ammonia-</v>
      </c>
      <c r="C10" s="23" t="str">
        <f>'Chem&amp;FertInputs&amp;CInsurance'!D9</f>
        <v>pound</v>
      </c>
      <c r="D10" s="116">
        <f>'Chem&amp;FertInputs&amp;CInsurance'!E9</f>
        <v>0.75770000000000004</v>
      </c>
      <c r="E10" s="133">
        <f>'Chem&amp;FertInputs&amp;CInsurance'!K9</f>
        <v>0</v>
      </c>
      <c r="F10" s="117" t="str">
        <f t="shared" si="0"/>
        <v>0</v>
      </c>
      <c r="H10" s="1">
        <f>'Chem&amp;FertInputs&amp;CInsurance'!K10</f>
        <v>0</v>
      </c>
      <c r="I10" s="1">
        <f>'Chem&amp;FertInputs&amp;CInsurance'!K11</f>
        <v>0</v>
      </c>
    </row>
    <row r="11" spans="1:18" ht="20">
      <c r="A11" s="15"/>
      <c r="B11" s="85" t="str">
        <f>'Chem&amp;FertInputs&amp;CInsurance'!B12</f>
        <v xml:space="preserve">Fertilizer - Phosphorus- </v>
      </c>
      <c r="C11" s="23" t="str">
        <f>'Chem&amp;FertInputs&amp;CInsurance'!D12</f>
        <v>pound</v>
      </c>
      <c r="D11" s="116">
        <f>'Chem&amp;FertInputs&amp;CInsurance'!E12</f>
        <v>0.47499999999999998</v>
      </c>
      <c r="E11" s="133">
        <f>'Chem&amp;FertInputs&amp;CInsurance'!K12</f>
        <v>0</v>
      </c>
      <c r="F11" s="117" t="str">
        <f t="shared" si="0"/>
        <v>0</v>
      </c>
      <c r="H11" s="1">
        <f>'Chem&amp;FertInputs&amp;CInsurance'!K13</f>
        <v>0</v>
      </c>
      <c r="I11" s="1">
        <f>'Chem&amp;FertInputs&amp;CInsurance'!K14</f>
        <v>0</v>
      </c>
    </row>
    <row r="12" spans="1:18" ht="20">
      <c r="A12" s="15"/>
      <c r="B12" s="85" t="str">
        <f>'Chem&amp;FertInputs&amp;CInsurance'!B15</f>
        <v>Fertilizer - Potassium-</v>
      </c>
      <c r="C12" s="23" t="str">
        <f>'Chem&amp;FertInputs&amp;CInsurance'!D15</f>
        <v>pound</v>
      </c>
      <c r="D12" s="116">
        <f>'Chem&amp;FertInputs&amp;CInsurance'!E15</f>
        <v>0.441</v>
      </c>
      <c r="E12" s="133">
        <f>'Chem&amp;FertInputs&amp;CInsurance'!K15</f>
        <v>0</v>
      </c>
      <c r="F12" s="117" t="str">
        <f t="shared" si="0"/>
        <v>0</v>
      </c>
      <c r="H12" s="1">
        <f>'Chem&amp;FertInputs&amp;CInsurance'!K16</f>
        <v>0</v>
      </c>
      <c r="I12" s="1">
        <f>'Chem&amp;FertInputs&amp;CInsurance'!K17</f>
        <v>0</v>
      </c>
    </row>
    <row r="13" spans="1:18" ht="20">
      <c r="A13" s="15"/>
      <c r="B13" s="85" t="str">
        <f>'Chem&amp;FertInputs&amp;CInsurance'!B18</f>
        <v>Fertilizer - Sulfur-</v>
      </c>
      <c r="C13" s="23" t="str">
        <f>'Chem&amp;FertInputs&amp;CInsurance'!D18</f>
        <v>pound</v>
      </c>
      <c r="D13" s="116">
        <f>'Chem&amp;FertInputs&amp;CInsurance'!E18</f>
        <v>0.2555</v>
      </c>
      <c r="E13" s="133">
        <f>'Chem&amp;FertInputs&amp;CInsurance'!K18</f>
        <v>0</v>
      </c>
      <c r="F13" s="117" t="str">
        <f t="shared" si="0"/>
        <v>0</v>
      </c>
      <c r="H13" s="1">
        <f>'Chem&amp;FertInputs&amp;CInsurance'!K19</f>
        <v>0</v>
      </c>
      <c r="I13" s="1">
        <f>'Chem&amp;FertInputs&amp;CInsurance'!K20</f>
        <v>0</v>
      </c>
    </row>
    <row r="14" spans="1:18" ht="20">
      <c r="A14" s="15"/>
      <c r="B14" s="85" t="str">
        <f>'Chem&amp;FertInputs&amp;CInsurance'!B21</f>
        <v>Adjuvant - Ammonium Sulfate liquid-</v>
      </c>
      <c r="C14" s="23" t="str">
        <f>'Chem&amp;FertInputs&amp;CInsurance'!D21</f>
        <v>oz</v>
      </c>
      <c r="D14" s="116">
        <f>'Chem&amp;FertInputs&amp;CInsurance'!E21</f>
        <v>0.48</v>
      </c>
      <c r="E14" s="133">
        <f>'Chem&amp;FertInputs&amp;CInsurance'!K21</f>
        <v>1.7</v>
      </c>
      <c r="F14" s="117">
        <f t="shared" ref="F14:F20" si="1">IF(D14*E14=0,"0",D14*E14)</f>
        <v>0.81599999999999995</v>
      </c>
      <c r="G14" s="165">
        <f>E14/128</f>
        <v>1.328125E-2</v>
      </c>
      <c r="H14" s="1">
        <f>'Chem&amp;FertInputs&amp;CInsurance'!K22</f>
        <v>1.7</v>
      </c>
      <c r="I14" s="1">
        <f>'Chem&amp;FertInputs&amp;CInsurance'!K23</f>
        <v>1.7</v>
      </c>
    </row>
    <row r="15" spans="1:18" ht="20">
      <c r="A15" s="15"/>
      <c r="B15" s="85" t="str">
        <f>'Chem&amp;FertInputs&amp;CInsurance'!B24</f>
        <v>Adjuvant - Ammonium Sulfate  (other)-</v>
      </c>
      <c r="C15" s="23" t="str">
        <f>'Chem&amp;FertInputs&amp;CInsurance'!D24</f>
        <v>pound</v>
      </c>
      <c r="D15" s="116">
        <f>'Chem&amp;FertInputs&amp;CInsurance'!E24</f>
        <v>0.71</v>
      </c>
      <c r="E15" s="133">
        <f>'Chem&amp;FertInputs&amp;CInsurance'!K24</f>
        <v>0</v>
      </c>
      <c r="F15" s="117" t="str">
        <f t="shared" si="1"/>
        <v>0</v>
      </c>
      <c r="G15" s="165">
        <f>E15/16</f>
        <v>0</v>
      </c>
      <c r="H15" s="1">
        <f>'Chem&amp;FertInputs&amp;CInsurance'!K25</f>
        <v>0</v>
      </c>
      <c r="I15" s="1">
        <f>'Chem&amp;FertInputs&amp;CInsurance'!K26</f>
        <v>0</v>
      </c>
    </row>
    <row r="16" spans="1:18" ht="20">
      <c r="A16" s="15"/>
      <c r="B16" s="85" t="str">
        <f>'Chem&amp;FertInputs&amp;CInsurance'!C27</f>
        <v xml:space="preserve">crop oil concentrate </v>
      </c>
      <c r="C16" s="23" t="str">
        <f>'Chem&amp;FertInputs&amp;CInsurance'!D27</f>
        <v>pint</v>
      </c>
      <c r="D16" s="116">
        <f>'Chem&amp;FertInputs&amp;CInsurance'!E27</f>
        <v>1.6559999999999999</v>
      </c>
      <c r="E16" s="133">
        <f>'Chem&amp;FertInputs&amp;CInsurance'!K27</f>
        <v>0</v>
      </c>
      <c r="F16" s="117" t="str">
        <f t="shared" si="1"/>
        <v>0</v>
      </c>
      <c r="G16" s="165">
        <f>E16/8</f>
        <v>0</v>
      </c>
    </row>
    <row r="17" spans="1:7" ht="20">
      <c r="A17" s="15"/>
      <c r="B17" s="85" t="str">
        <f>'Chem&amp;FertInputs&amp;CInsurance'!C28</f>
        <v>In-place</v>
      </c>
      <c r="C17" s="23" t="str">
        <f>'Chem&amp;FertInputs&amp;CInsurance'!D28</f>
        <v>oz</v>
      </c>
      <c r="D17" s="116">
        <f>'Chem&amp;FertInputs&amp;CInsurance'!E28</f>
        <v>0.35649999999999998</v>
      </c>
      <c r="E17" s="133">
        <f>'Chem&amp;FertInputs&amp;CInsurance'!K28</f>
        <v>0</v>
      </c>
      <c r="F17" s="117" t="str">
        <f t="shared" si="1"/>
        <v>0</v>
      </c>
      <c r="G17" s="165">
        <f>E17/128</f>
        <v>0</v>
      </c>
    </row>
    <row r="18" spans="1:7" ht="20">
      <c r="A18" s="15"/>
      <c r="B18" s="85" t="str">
        <f>'Chem&amp;FertInputs&amp;CInsurance'!C29</f>
        <v xml:space="preserve">M90 </v>
      </c>
      <c r="C18" s="23" t="str">
        <f>'Chem&amp;FertInputs&amp;CInsurance'!D29</f>
        <v>oz</v>
      </c>
      <c r="D18" s="116">
        <f>'Chem&amp;FertInputs&amp;CInsurance'!E29</f>
        <v>0.253</v>
      </c>
      <c r="E18" s="133">
        <f>'Chem&amp;FertInputs&amp;CInsurance'!K29</f>
        <v>1.5</v>
      </c>
      <c r="F18" s="117">
        <f t="shared" si="1"/>
        <v>0.3795</v>
      </c>
      <c r="G18" s="165">
        <f>E18/128</f>
        <v>1.171875E-2</v>
      </c>
    </row>
    <row r="19" spans="1:7" ht="20">
      <c r="A19" s="15"/>
      <c r="B19" s="85" t="str">
        <f>'Chem&amp;FertInputs&amp;CInsurance'!C30</f>
        <v>Surfactant</v>
      </c>
      <c r="C19" s="23" t="str">
        <f>'Chem&amp;FertInputs&amp;CInsurance'!D30</f>
        <v>oz</v>
      </c>
      <c r="D19" s="116">
        <f>'Chem&amp;FertInputs&amp;CInsurance'!E30</f>
        <v>0.26450000000000001</v>
      </c>
      <c r="E19" s="133">
        <f>'Chem&amp;FertInputs&amp;CInsurance'!K30</f>
        <v>0</v>
      </c>
      <c r="F19" s="117" t="str">
        <f t="shared" si="1"/>
        <v>0</v>
      </c>
      <c r="G19" s="165">
        <f>E19/128</f>
        <v>0</v>
      </c>
    </row>
    <row r="20" spans="1:7" ht="20">
      <c r="A20" s="15"/>
      <c r="B20" s="85" t="str">
        <f>'Chem&amp;FertInputs&amp;CInsurance'!C31</f>
        <v>Syltac sticker</v>
      </c>
      <c r="C20" s="23" t="str">
        <f>'Chem&amp;FertInputs&amp;CInsurance'!D31</f>
        <v>pint</v>
      </c>
      <c r="D20" s="116">
        <f>'Chem&amp;FertInputs&amp;CInsurance'!E31</f>
        <v>7.1874999999999991</v>
      </c>
      <c r="E20" s="133">
        <f>'Chem&amp;FertInputs&amp;CInsurance'!K31</f>
        <v>0</v>
      </c>
      <c r="F20" s="117" t="str">
        <f t="shared" si="1"/>
        <v>0</v>
      </c>
      <c r="G20" s="165">
        <f>E20/8</f>
        <v>0</v>
      </c>
    </row>
    <row r="21" spans="1:7" ht="20">
      <c r="A21" s="15"/>
      <c r="B21" s="85" t="str">
        <f>'Chem&amp;FertInputs&amp;CInsurance'!C33</f>
        <v>2,4 - D</v>
      </c>
      <c r="C21" s="23" t="str">
        <f>'Chem&amp;FertInputs&amp;CInsurance'!D33</f>
        <v>oz</v>
      </c>
      <c r="D21" s="116">
        <f>'Chem&amp;FertInputs&amp;CInsurance'!E33</f>
        <v>0.33349999999999996</v>
      </c>
      <c r="E21" s="133">
        <f>'Chem&amp;FertInputs&amp;CInsurance'!K33</f>
        <v>0</v>
      </c>
      <c r="F21" s="117" t="str">
        <f t="shared" si="0"/>
        <v>0</v>
      </c>
      <c r="G21" s="165">
        <f t="shared" ref="G21:G30" si="2">E21/128</f>
        <v>0</v>
      </c>
    </row>
    <row r="22" spans="1:7" ht="20">
      <c r="A22" s="15"/>
      <c r="B22" s="85" t="str">
        <f>'Chem&amp;FertInputs&amp;CInsurance'!C34</f>
        <v>Achieve SC</v>
      </c>
      <c r="C22" s="23" t="str">
        <f>'Chem&amp;FertInputs&amp;CInsurance'!D34</f>
        <v>oz</v>
      </c>
      <c r="D22" s="116">
        <f>'Chem&amp;FertInputs&amp;CInsurance'!E34</f>
        <v>1.3454999999999999</v>
      </c>
      <c r="E22" s="133">
        <f>'Chem&amp;FertInputs&amp;CInsurance'!K34</f>
        <v>0</v>
      </c>
      <c r="F22" s="117" t="str">
        <f t="shared" si="0"/>
        <v>0</v>
      </c>
      <c r="G22" s="165">
        <f t="shared" si="2"/>
        <v>0</v>
      </c>
    </row>
    <row r="23" spans="1:7" ht="20">
      <c r="A23" s="15"/>
      <c r="B23" s="85" t="str">
        <f>'Chem&amp;FertInputs&amp;CInsurance'!C35</f>
        <v>Affintity TankMix</v>
      </c>
      <c r="C23" s="23" t="str">
        <f>'Chem&amp;FertInputs&amp;CInsurance'!D35</f>
        <v>oz</v>
      </c>
      <c r="D23" s="116">
        <f>'Chem&amp;FertInputs&amp;CInsurance'!E35</f>
        <v>8.9699999999999989</v>
      </c>
      <c r="E23" s="133">
        <f>'Chem&amp;FertInputs&amp;CInsurance'!K35</f>
        <v>0</v>
      </c>
      <c r="F23" s="117" t="str">
        <f t="shared" si="0"/>
        <v>0</v>
      </c>
      <c r="G23" s="165">
        <f t="shared" si="2"/>
        <v>0</v>
      </c>
    </row>
    <row r="24" spans="1:7" ht="20">
      <c r="A24" s="15"/>
      <c r="B24" s="85" t="str">
        <f>'Chem&amp;FertInputs&amp;CInsurance'!C36</f>
        <v xml:space="preserve">Ally </v>
      </c>
      <c r="C24" s="23" t="str">
        <f>'Chem&amp;FertInputs&amp;CInsurance'!D36</f>
        <v>oz</v>
      </c>
      <c r="D24" s="116">
        <f>'Chem&amp;FertInputs&amp;CInsurance'!E36</f>
        <v>1.7249999999999999</v>
      </c>
      <c r="E24" s="133">
        <f>'Chem&amp;FertInputs&amp;CInsurance'!K36</f>
        <v>0</v>
      </c>
      <c r="F24" s="117" t="str">
        <f t="shared" si="0"/>
        <v>0</v>
      </c>
      <c r="G24" s="165">
        <f t="shared" si="2"/>
        <v>0</v>
      </c>
    </row>
    <row r="25" spans="1:7" ht="20">
      <c r="A25" s="15"/>
      <c r="B25" s="85" t="str">
        <f>'Chem&amp;FertInputs&amp;CInsurance'!C37</f>
        <v>Assure</v>
      </c>
      <c r="C25" s="23" t="str">
        <f>'Chem&amp;FertInputs&amp;CInsurance'!D37</f>
        <v>oz</v>
      </c>
      <c r="D25" s="116">
        <f>'Chem&amp;FertInputs&amp;CInsurance'!E37</f>
        <v>0.98899999999999988</v>
      </c>
      <c r="E25" s="133">
        <f>'Chem&amp;FertInputs&amp;CInsurance'!K37</f>
        <v>0</v>
      </c>
      <c r="F25" s="117" t="str">
        <f t="shared" si="0"/>
        <v>0</v>
      </c>
      <c r="G25" s="165">
        <f t="shared" si="2"/>
        <v>0</v>
      </c>
    </row>
    <row r="26" spans="1:7" ht="20">
      <c r="A26" s="15"/>
      <c r="B26" s="85" t="str">
        <f>'Chem&amp;FertInputs&amp;CInsurance'!C38</f>
        <v>Axial Star</v>
      </c>
      <c r="C26" s="23" t="str">
        <f>'Chem&amp;FertInputs&amp;CInsurance'!D38</f>
        <v>oz</v>
      </c>
      <c r="D26" s="116">
        <f>'Chem&amp;FertInputs&amp;CInsurance'!E38</f>
        <v>1.3224999999999998</v>
      </c>
      <c r="E26" s="133">
        <f>'Chem&amp;FertInputs&amp;CInsurance'!K38</f>
        <v>0</v>
      </c>
      <c r="F26" s="117" t="str">
        <f t="shared" si="0"/>
        <v>0</v>
      </c>
      <c r="G26" s="165">
        <f t="shared" si="2"/>
        <v>0</v>
      </c>
    </row>
    <row r="27" spans="1:7" ht="20">
      <c r="A27" s="15"/>
      <c r="B27" s="85" t="str">
        <f>'Chem&amp;FertInputs&amp;CInsurance'!C39</f>
        <v>Axial Bold</v>
      </c>
      <c r="C27" s="23" t="str">
        <f>'Chem&amp;FertInputs&amp;CInsurance'!D39</f>
        <v>oz</v>
      </c>
      <c r="D27" s="116">
        <f>'Chem&amp;FertInputs&amp;CInsurance'!E39</f>
        <v>1.0924999999999998</v>
      </c>
      <c r="E27" s="133">
        <f>'Chem&amp;FertInputs&amp;CInsurance'!K39</f>
        <v>0</v>
      </c>
      <c r="F27" s="117" t="str">
        <f t="shared" si="0"/>
        <v>0</v>
      </c>
      <c r="G27" s="165">
        <f t="shared" si="2"/>
        <v>0</v>
      </c>
    </row>
    <row r="28" spans="1:7" ht="20">
      <c r="A28" s="15"/>
      <c r="B28" s="85" t="str">
        <f>'Chem&amp;FertInputs&amp;CInsurance'!C40</f>
        <v>Bronate</v>
      </c>
      <c r="C28" s="23" t="str">
        <f>'Chem&amp;FertInputs&amp;CInsurance'!D40</f>
        <v>oz</v>
      </c>
      <c r="D28" s="116">
        <f>'Chem&amp;FertInputs&amp;CInsurance'!E40</f>
        <v>7.911999999999999</v>
      </c>
      <c r="E28" s="133">
        <f>'Chem&amp;FertInputs&amp;CInsurance'!K40</f>
        <v>0</v>
      </c>
      <c r="F28" s="117" t="str">
        <f t="shared" si="0"/>
        <v>0</v>
      </c>
      <c r="G28" s="165">
        <f t="shared" si="2"/>
        <v>0</v>
      </c>
    </row>
    <row r="29" spans="1:7" ht="20">
      <c r="A29" s="15"/>
      <c r="B29" s="85" t="str">
        <f>'Chem&amp;FertInputs&amp;CInsurance'!C41</f>
        <v xml:space="preserve">Brox M </v>
      </c>
      <c r="C29" s="23" t="str">
        <f>'Chem&amp;FertInputs&amp;CInsurance'!D41</f>
        <v>oz</v>
      </c>
      <c r="D29" s="116">
        <f>'Chem&amp;FertInputs&amp;CInsurance'!E41</f>
        <v>0.42549999999999999</v>
      </c>
      <c r="E29" s="133">
        <f>'Chem&amp;FertInputs&amp;CInsurance'!K41</f>
        <v>0</v>
      </c>
      <c r="F29" s="117" t="str">
        <f t="shared" si="0"/>
        <v>0</v>
      </c>
      <c r="G29" s="165">
        <f t="shared" si="2"/>
        <v>0</v>
      </c>
    </row>
    <row r="30" spans="1:7" ht="20">
      <c r="A30" s="15"/>
      <c r="B30" s="85" t="str">
        <f>'Chem&amp;FertInputs&amp;CInsurance'!C42</f>
        <v>Capture</v>
      </c>
      <c r="C30" s="23" t="str">
        <f>'Chem&amp;FertInputs&amp;CInsurance'!D42</f>
        <v>oz</v>
      </c>
      <c r="D30" s="116">
        <f>'Chem&amp;FertInputs&amp;CInsurance'!E42</f>
        <v>2.7024999999999997</v>
      </c>
      <c r="E30" s="133">
        <f>'Chem&amp;FertInputs&amp;CInsurance'!K42</f>
        <v>0</v>
      </c>
      <c r="F30" s="117" t="str">
        <f t="shared" si="0"/>
        <v>0</v>
      </c>
      <c r="G30" s="165">
        <f t="shared" si="2"/>
        <v>0</v>
      </c>
    </row>
    <row r="31" spans="1:7" ht="20">
      <c r="A31" s="15"/>
      <c r="B31" s="85" t="str">
        <f>'Chem&amp;FertInputs&amp;CInsurance'!C43</f>
        <v xml:space="preserve">Dimethoate </v>
      </c>
      <c r="C31" s="23" t="str">
        <f>'Chem&amp;FertInputs&amp;CInsurance'!D43</f>
        <v>pint</v>
      </c>
      <c r="D31" s="116">
        <f>'Chem&amp;FertInputs&amp;CInsurance'!E43</f>
        <v>7.1874999999999991</v>
      </c>
      <c r="E31" s="133">
        <f>'Chem&amp;FertInputs&amp;CInsurance'!K43</f>
        <v>1</v>
      </c>
      <c r="F31" s="117">
        <f t="shared" si="0"/>
        <v>7.1874999999999991</v>
      </c>
      <c r="G31" s="165">
        <f>E31/8</f>
        <v>0.125</v>
      </c>
    </row>
    <row r="32" spans="1:7" ht="20">
      <c r="A32" s="15"/>
      <c r="B32" s="85" t="str">
        <f>'Chem&amp;FertInputs&amp;CInsurance'!C44</f>
        <v>Clethodim</v>
      </c>
      <c r="C32" s="23" t="str">
        <f>'Chem&amp;FertInputs&amp;CInsurance'!D44</f>
        <v>oz</v>
      </c>
      <c r="D32" s="116">
        <f>'Chem&amp;FertInputs&amp;CInsurance'!E44</f>
        <v>0.75900000000000001</v>
      </c>
      <c r="E32" s="133">
        <f>'Chem&amp;FertInputs&amp;CInsurance'!K44</f>
        <v>4</v>
      </c>
      <c r="F32" s="117">
        <f t="shared" ref="F32" si="3">IF(D32*E32=0,"0",D32*E32)</f>
        <v>3.036</v>
      </c>
      <c r="G32" s="165">
        <f t="shared" ref="G32:G37" si="4">E32/128</f>
        <v>3.125E-2</v>
      </c>
    </row>
    <row r="33" spans="1:7" ht="20">
      <c r="A33" s="15"/>
      <c r="B33" s="85" t="str">
        <f>'Chem&amp;FertInputs&amp;CInsurance'!C45</f>
        <v>Discover</v>
      </c>
      <c r="C33" s="23" t="str">
        <f>'Chem&amp;FertInputs&amp;CInsurance'!D45</f>
        <v>oz</v>
      </c>
      <c r="D33" s="116">
        <f>'Chem&amp;FertInputs&amp;CInsurance'!E45</f>
        <v>1.6904999999999999</v>
      </c>
      <c r="E33" s="133">
        <f>'Chem&amp;FertInputs&amp;CInsurance'!K45</f>
        <v>0</v>
      </c>
      <c r="F33" s="117" t="str">
        <f t="shared" si="0"/>
        <v>0</v>
      </c>
      <c r="G33" s="165">
        <f t="shared" si="4"/>
        <v>0</v>
      </c>
    </row>
    <row r="34" spans="1:7" ht="20">
      <c r="A34" s="15"/>
      <c r="B34" s="85" t="str">
        <f>'Chem&amp;FertInputs&amp;CInsurance'!C46</f>
        <v>FarGO</v>
      </c>
      <c r="C34" s="23" t="str">
        <f>'Chem&amp;FertInputs&amp;CInsurance'!D46</f>
        <v>oz</v>
      </c>
      <c r="D34" s="116">
        <f>'Chem&amp;FertInputs&amp;CInsurance'!E46</f>
        <v>19.158999999999999</v>
      </c>
      <c r="E34" s="133">
        <f>'Chem&amp;FertInputs&amp;CInsurance'!K46</f>
        <v>0</v>
      </c>
      <c r="F34" s="117" t="str">
        <f t="shared" si="0"/>
        <v>0</v>
      </c>
      <c r="G34" s="165">
        <f t="shared" si="4"/>
        <v>0</v>
      </c>
    </row>
    <row r="35" spans="1:7" ht="20">
      <c r="A35" s="15"/>
      <c r="B35" s="85" t="str">
        <f>'Chem&amp;FertInputs&amp;CInsurance'!C47</f>
        <v>Finesse</v>
      </c>
      <c r="C35" s="23" t="str">
        <f>'Chem&amp;FertInputs&amp;CInsurance'!D47</f>
        <v>oz</v>
      </c>
      <c r="D35" s="116">
        <f>'Chem&amp;FertInputs&amp;CInsurance'!E47</f>
        <v>19.940999999999999</v>
      </c>
      <c r="E35" s="133">
        <f>'Chem&amp;FertInputs&amp;CInsurance'!K47</f>
        <v>0</v>
      </c>
      <c r="F35" s="117" t="str">
        <f t="shared" si="0"/>
        <v>0</v>
      </c>
      <c r="G35" s="165">
        <f t="shared" si="4"/>
        <v>0</v>
      </c>
    </row>
    <row r="36" spans="1:7" ht="20">
      <c r="A36" s="15"/>
      <c r="B36" s="85" t="str">
        <f>'Chem&amp;FertInputs&amp;CInsurance'!C48</f>
        <v>Glyphosate</v>
      </c>
      <c r="C36" s="23" t="str">
        <f>'Chem&amp;FertInputs&amp;CInsurance'!D48</f>
        <v>oz</v>
      </c>
      <c r="D36" s="116">
        <f>'Chem&amp;FertInputs&amp;CInsurance'!E48</f>
        <v>0.14949999999999999</v>
      </c>
      <c r="E36" s="133">
        <f>'Chem&amp;FertInputs&amp;CInsurance'!K48</f>
        <v>0</v>
      </c>
      <c r="F36" s="117" t="str">
        <f t="shared" si="0"/>
        <v>0</v>
      </c>
      <c r="G36" s="165">
        <f t="shared" si="4"/>
        <v>0</v>
      </c>
    </row>
    <row r="37" spans="1:7" ht="20">
      <c r="A37" s="15"/>
      <c r="B37" s="85" t="str">
        <f>'Chem&amp;FertInputs&amp;CInsurance'!C49</f>
        <v>Huskie</v>
      </c>
      <c r="C37" s="23" t="str">
        <f>'Chem&amp;FertInputs&amp;CInsurance'!D49</f>
        <v>oz</v>
      </c>
      <c r="D37" s="116">
        <f>'Chem&amp;FertInputs&amp;CInsurance'!E49</f>
        <v>0.88549999999999995</v>
      </c>
      <c r="E37" s="133">
        <f>'Chem&amp;FertInputs&amp;CInsurance'!K49</f>
        <v>0</v>
      </c>
      <c r="F37" s="117" t="str">
        <f t="shared" si="0"/>
        <v>0</v>
      </c>
      <c r="G37" s="165">
        <f t="shared" si="4"/>
        <v>0</v>
      </c>
    </row>
    <row r="38" spans="1:7" ht="20">
      <c r="A38" s="15"/>
      <c r="B38" s="85" t="str">
        <f>'Chem&amp;FertInputs&amp;CInsurance'!C50</f>
        <v>Imidan 70</v>
      </c>
      <c r="C38" s="23" t="str">
        <f>'Chem&amp;FertInputs&amp;CInsurance'!D50</f>
        <v>lb</v>
      </c>
      <c r="D38" s="116">
        <f>'Chem&amp;FertInputs&amp;CInsurance'!E50</f>
        <v>17.295999999999999</v>
      </c>
      <c r="E38" s="133">
        <f>'Chem&amp;FertInputs&amp;CInsurance'!K50</f>
        <v>0</v>
      </c>
      <c r="F38" s="117" t="str">
        <f t="shared" si="0"/>
        <v>0</v>
      </c>
      <c r="G38" s="165">
        <f>E38/16</f>
        <v>0</v>
      </c>
    </row>
    <row r="39" spans="1:7" ht="20">
      <c r="A39" s="15"/>
      <c r="B39" s="85" t="str">
        <f>'Chem&amp;FertInputs&amp;CInsurance'!C51</f>
        <v xml:space="preserve">Maverick </v>
      </c>
      <c r="C39" s="23" t="str">
        <f>'Chem&amp;FertInputs&amp;CInsurance'!D51</f>
        <v>oz</v>
      </c>
      <c r="D39" s="116">
        <f>'Chem&amp;FertInputs&amp;CInsurance'!E51</f>
        <v>23.885499999999997</v>
      </c>
      <c r="E39" s="133">
        <f>'Chem&amp;FertInputs&amp;CInsurance'!K51</f>
        <v>0</v>
      </c>
      <c r="F39" s="117" t="str">
        <f t="shared" si="0"/>
        <v>0</v>
      </c>
      <c r="G39" s="165">
        <f t="shared" ref="G39:G51" si="5">E39/128</f>
        <v>0</v>
      </c>
    </row>
    <row r="40" spans="1:7" ht="20">
      <c r="A40" s="15"/>
      <c r="B40" s="85" t="str">
        <f>'Chem&amp;FertInputs&amp;CInsurance'!C52</f>
        <v>Osprey</v>
      </c>
      <c r="C40" s="23" t="str">
        <f>'Chem&amp;FertInputs&amp;CInsurance'!D52</f>
        <v>oz</v>
      </c>
      <c r="D40" s="116">
        <f>'Chem&amp;FertInputs&amp;CInsurance'!E52</f>
        <v>5.0484999999999989</v>
      </c>
      <c r="E40" s="133">
        <f>'Chem&amp;FertInputs&amp;CInsurance'!K52</f>
        <v>0</v>
      </c>
      <c r="F40" s="117" t="str">
        <f t="shared" si="0"/>
        <v>0</v>
      </c>
      <c r="G40" s="165">
        <f t="shared" si="5"/>
        <v>0</v>
      </c>
    </row>
    <row r="41" spans="1:7" ht="20">
      <c r="A41" s="15"/>
      <c r="B41" s="85" t="str">
        <f>'Chem&amp;FertInputs&amp;CInsurance'!C53</f>
        <v>Poast</v>
      </c>
      <c r="C41" s="23" t="str">
        <f>'Chem&amp;FertInputs&amp;CInsurance'!D53</f>
        <v>oz</v>
      </c>
      <c r="D41" s="116">
        <f>'Chem&amp;FertInputs&amp;CInsurance'!E53</f>
        <v>19.285499999999999</v>
      </c>
      <c r="E41" s="133">
        <f>'Chem&amp;FertInputs&amp;CInsurance'!K53</f>
        <v>0</v>
      </c>
      <c r="F41" s="117" t="str">
        <f t="shared" ref="F41" si="6">IF(D41*E41=0,"0",D41*E41)</f>
        <v>0</v>
      </c>
      <c r="G41" s="165">
        <f t="shared" si="5"/>
        <v>0</v>
      </c>
    </row>
    <row r="42" spans="1:7" ht="20">
      <c r="A42" s="15"/>
      <c r="B42" s="85" t="str">
        <f>'Chem&amp;FertInputs&amp;CInsurance'!C54</f>
        <v>Power Flex</v>
      </c>
      <c r="C42" s="23" t="str">
        <f>'Chem&amp;FertInputs&amp;CInsurance'!D54</f>
        <v>oz</v>
      </c>
      <c r="D42" s="116">
        <f>'Chem&amp;FertInputs&amp;CInsurance'!E54</f>
        <v>8.9124999999999996</v>
      </c>
      <c r="E42" s="133">
        <f>'Chem&amp;FertInputs&amp;CInsurance'!K54</f>
        <v>0</v>
      </c>
      <c r="F42" s="117" t="str">
        <f t="shared" si="0"/>
        <v>0</v>
      </c>
      <c r="G42" s="165">
        <f t="shared" si="5"/>
        <v>0</v>
      </c>
    </row>
    <row r="43" spans="1:7" ht="20">
      <c r="A43" s="15"/>
      <c r="B43" s="85" t="str">
        <f>'Chem&amp;FertInputs&amp;CInsurance'!C55</f>
        <v>Priaxor</v>
      </c>
      <c r="C43" s="23" t="str">
        <f>'Chem&amp;FertInputs&amp;CInsurance'!D55</f>
        <v>oz</v>
      </c>
      <c r="D43" s="116">
        <f>'Chem&amp;FertInputs&amp;CInsurance'!E55</f>
        <v>3.4269999999999996</v>
      </c>
      <c r="E43" s="133">
        <f>'Chem&amp;FertInputs&amp;CInsurance'!K55</f>
        <v>0</v>
      </c>
      <c r="F43" s="117" t="str">
        <f t="shared" si="0"/>
        <v>0</v>
      </c>
      <c r="G43" s="165">
        <f t="shared" si="5"/>
        <v>0</v>
      </c>
    </row>
    <row r="44" spans="1:7" ht="20">
      <c r="A44" s="15"/>
      <c r="B44" s="85" t="str">
        <f>'Chem&amp;FertInputs&amp;CInsurance'!C56</f>
        <v>Prowl</v>
      </c>
      <c r="C44" s="23" t="str">
        <f>'Chem&amp;FertInputs&amp;CInsurance'!D56</f>
        <v>oz</v>
      </c>
      <c r="D44" s="116">
        <f>'Chem&amp;FertInputs&amp;CInsurance'!E56</f>
        <v>0.51749999999999996</v>
      </c>
      <c r="E44" s="133">
        <f>'Chem&amp;FertInputs&amp;CInsurance'!K56</f>
        <v>0</v>
      </c>
      <c r="F44" s="117" t="str">
        <f t="shared" si="0"/>
        <v>0</v>
      </c>
      <c r="G44" s="165">
        <f t="shared" si="5"/>
        <v>0</v>
      </c>
    </row>
    <row r="45" spans="1:7" ht="20">
      <c r="A45" s="15"/>
      <c r="B45" s="85" t="str">
        <f>'Chem&amp;FertInputs&amp;CInsurance'!C57</f>
        <v>Pursuit</v>
      </c>
      <c r="C45" s="23" t="str">
        <f>'Chem&amp;FertInputs&amp;CInsurance'!D57</f>
        <v>oz</v>
      </c>
      <c r="D45" s="116">
        <f>'Chem&amp;FertInputs&amp;CInsurance'!E57</f>
        <v>4.0594999999999999</v>
      </c>
      <c r="E45" s="133">
        <f>'Chem&amp;FertInputs&amp;CInsurance'!K57</f>
        <v>0</v>
      </c>
      <c r="F45" s="117" t="str">
        <f t="shared" si="0"/>
        <v>0</v>
      </c>
      <c r="G45" s="165">
        <f t="shared" si="5"/>
        <v>0</v>
      </c>
    </row>
    <row r="46" spans="1:7" ht="20">
      <c r="A46" s="15"/>
      <c r="B46" s="85" t="str">
        <f>'Chem&amp;FertInputs&amp;CInsurance'!C58</f>
        <v xml:space="preserve">Quadris </v>
      </c>
      <c r="C46" s="23" t="str">
        <f>'Chem&amp;FertInputs&amp;CInsurance'!D58</f>
        <v>oz</v>
      </c>
      <c r="D46" s="116">
        <f>'Chem&amp;FertInputs&amp;CInsurance'!E58</f>
        <v>1.127</v>
      </c>
      <c r="E46" s="133">
        <f>'Chem&amp;FertInputs&amp;CInsurance'!K58</f>
        <v>0</v>
      </c>
      <c r="F46" s="117" t="str">
        <f t="shared" si="0"/>
        <v>0</v>
      </c>
      <c r="G46" s="165">
        <f t="shared" si="5"/>
        <v>0</v>
      </c>
    </row>
    <row r="47" spans="1:7" ht="20">
      <c r="A47" s="15"/>
      <c r="B47" s="85" t="str">
        <f>'Chem&amp;FertInputs&amp;CInsurance'!C59</f>
        <v>Quilt</v>
      </c>
      <c r="C47" s="23" t="str">
        <f>'Chem&amp;FertInputs&amp;CInsurance'!D59</f>
        <v>oz</v>
      </c>
      <c r="D47" s="116">
        <f>'Chem&amp;FertInputs&amp;CInsurance'!E59</f>
        <v>1.4834999999999998</v>
      </c>
      <c r="E47" s="133">
        <f>'Chem&amp;FertInputs&amp;CInsurance'!K59</f>
        <v>0</v>
      </c>
      <c r="F47" s="117" t="str">
        <f t="shared" si="0"/>
        <v>0</v>
      </c>
      <c r="G47" s="165">
        <f t="shared" si="5"/>
        <v>0</v>
      </c>
    </row>
    <row r="48" spans="1:7" ht="20">
      <c r="A48" s="15"/>
      <c r="B48" s="85" t="str">
        <f>'Chem&amp;FertInputs&amp;CInsurance'!C60</f>
        <v>R11</v>
      </c>
      <c r="C48" s="23" t="str">
        <f>'Chem&amp;FertInputs&amp;CInsurance'!D60</f>
        <v>oz</v>
      </c>
      <c r="D48" s="116">
        <f>'Chem&amp;FertInputs&amp;CInsurance'!E60</f>
        <v>0.26450000000000001</v>
      </c>
      <c r="E48" s="133">
        <f>'Chem&amp;FertInputs&amp;CInsurance'!K60</f>
        <v>0</v>
      </c>
      <c r="F48" s="117" t="str">
        <f t="shared" si="0"/>
        <v>0</v>
      </c>
      <c r="G48" s="165">
        <f t="shared" si="5"/>
        <v>0</v>
      </c>
    </row>
    <row r="49" spans="1:7" ht="20">
      <c r="A49" s="15"/>
      <c r="B49" s="85" t="str">
        <f>'Chem&amp;FertInputs&amp;CInsurance'!C61</f>
        <v>Starane</v>
      </c>
      <c r="C49" s="23" t="str">
        <f>'Chem&amp;FertInputs&amp;CInsurance'!D61</f>
        <v>oz</v>
      </c>
      <c r="D49" s="116">
        <f>'Chem&amp;FertInputs&amp;CInsurance'!E61</f>
        <v>0.77049999999999996</v>
      </c>
      <c r="E49" s="133">
        <f>'Chem&amp;FertInputs&amp;CInsurance'!K61</f>
        <v>0</v>
      </c>
      <c r="F49" s="117" t="str">
        <f t="shared" si="0"/>
        <v>0</v>
      </c>
      <c r="G49" s="165">
        <f t="shared" si="5"/>
        <v>0</v>
      </c>
    </row>
    <row r="50" spans="1:7" ht="20">
      <c r="A50" s="15"/>
      <c r="B50" s="85" t="str">
        <f>'Chem&amp;FertInputs&amp;CInsurance'!C62</f>
        <v>Starane + Salvo</v>
      </c>
      <c r="C50" s="23" t="str">
        <f>'Chem&amp;FertInputs&amp;CInsurance'!D62</f>
        <v>oz</v>
      </c>
      <c r="D50" s="116">
        <f>'Chem&amp;FertInputs&amp;CInsurance'!E62</f>
        <v>0.77049999999999996</v>
      </c>
      <c r="E50" s="133">
        <f>'Chem&amp;FertInputs&amp;CInsurance'!K62</f>
        <v>0</v>
      </c>
      <c r="F50" s="117" t="str">
        <f t="shared" si="0"/>
        <v>0</v>
      </c>
      <c r="G50" s="165">
        <f t="shared" si="5"/>
        <v>0</v>
      </c>
    </row>
    <row r="51" spans="1:7" ht="20">
      <c r="A51" s="15"/>
      <c r="B51" s="85" t="str">
        <f>'Chem&amp;FertInputs&amp;CInsurance'!C63</f>
        <v xml:space="preserve">Starane + Sword </v>
      </c>
      <c r="C51" s="23" t="str">
        <f>'Chem&amp;FertInputs&amp;CInsurance'!D63</f>
        <v>oz</v>
      </c>
      <c r="D51" s="116">
        <f>'Chem&amp;FertInputs&amp;CInsurance'!E63</f>
        <v>0.77049999999999996</v>
      </c>
      <c r="E51" s="133">
        <f>'Chem&amp;FertInputs&amp;CInsurance'!K63</f>
        <v>0</v>
      </c>
      <c r="F51" s="117" t="str">
        <f t="shared" si="0"/>
        <v>0</v>
      </c>
      <c r="G51" s="165">
        <f t="shared" si="5"/>
        <v>0</v>
      </c>
    </row>
    <row r="52" spans="1:7" ht="20">
      <c r="A52" s="15"/>
      <c r="B52" s="85" t="str">
        <f>'Chem&amp;FertInputs&amp;CInsurance'!C64</f>
        <v xml:space="preserve"> Tilt</v>
      </c>
      <c r="C52" s="23" t="str">
        <f>'Chem&amp;FertInputs&amp;CInsurance'!D64</f>
        <v>oz</v>
      </c>
      <c r="D52" s="116">
        <f>'Chem&amp;FertInputs&amp;CInsurance'!E64</f>
        <v>0.88549999999999995</v>
      </c>
      <c r="E52" s="133">
        <f>'Chem&amp;FertInputs&amp;CInsurance'!K64</f>
        <v>0</v>
      </c>
      <c r="F52" s="117" t="str">
        <f t="shared" ref="F52:F53" si="7">IF(D52*E52=0,"0",D52*E52)</f>
        <v>0</v>
      </c>
      <c r="G52" s="165">
        <f t="shared" ref="G52:G53" si="8">E52/128</f>
        <v>0</v>
      </c>
    </row>
    <row r="53" spans="1:7" ht="20">
      <c r="A53" s="15"/>
      <c r="B53" s="85" t="str">
        <f>'Chem&amp;FertInputs&amp;CInsurance'!C65</f>
        <v xml:space="preserve">Wildcard </v>
      </c>
      <c r="C53" s="23" t="str">
        <f>'Chem&amp;FertInputs&amp;CInsurance'!D65</f>
        <v>oz</v>
      </c>
      <c r="D53" s="116">
        <f>'Chem&amp;FertInputs&amp;CInsurance'!E65</f>
        <v>0.35649999999999998</v>
      </c>
      <c r="E53" s="133">
        <f>'Chem&amp;FertInputs&amp;CInsurance'!K65</f>
        <v>0</v>
      </c>
      <c r="F53" s="117" t="str">
        <f t="shared" si="7"/>
        <v>0</v>
      </c>
      <c r="G53" s="165">
        <f t="shared" si="8"/>
        <v>0</v>
      </c>
    </row>
    <row r="54" spans="1:7" ht="20">
      <c r="A54" s="15"/>
      <c r="B54" s="85" t="str">
        <f>'Chem&amp;FertInputs&amp;CInsurance'!C66</f>
        <v>Sharpen</v>
      </c>
      <c r="C54" s="23" t="str">
        <f>'Chem&amp;FertInputs&amp;CInsurance'!D66</f>
        <v>oz</v>
      </c>
      <c r="D54" s="116">
        <f>'Chem&amp;FertInputs&amp;CInsurance'!E66</f>
        <v>6.3134999999999994</v>
      </c>
      <c r="E54" s="133">
        <f>'Chem&amp;FertInputs&amp;CInsurance'!K66</f>
        <v>2</v>
      </c>
      <c r="F54" s="117">
        <f t="shared" si="0"/>
        <v>12.626999999999999</v>
      </c>
      <c r="G54" s="165">
        <f>E54/128</f>
        <v>1.5625E-2</v>
      </c>
    </row>
    <row r="55" spans="1:7" ht="20">
      <c r="A55" s="15"/>
      <c r="B55" s="85" t="str">
        <f>'Chem&amp;FertInputs&amp;CInsurance'!C67</f>
        <v>Sencor</v>
      </c>
      <c r="C55" s="23" t="str">
        <f>'Chem&amp;FertInputs&amp;CInsurance'!D67</f>
        <v>oz</v>
      </c>
      <c r="D55" s="116">
        <f>'Chem&amp;FertInputs&amp;CInsurance'!E67</f>
        <v>0.45999999999999996</v>
      </c>
      <c r="E55" s="133">
        <f>'Chem&amp;FertInputs&amp;CInsurance'!K67</f>
        <v>4</v>
      </c>
      <c r="F55" s="117">
        <f t="shared" si="0"/>
        <v>1.8399999999999999</v>
      </c>
      <c r="G55" s="165">
        <f>E55/128</f>
        <v>3.125E-2</v>
      </c>
    </row>
    <row r="56" spans="1:7" ht="20">
      <c r="A56" s="15"/>
      <c r="B56" s="85" t="str">
        <f>'Chem&amp;FertInputs&amp;CInsurance'!C68</f>
        <v>Warrior</v>
      </c>
      <c r="C56" s="23" t="str">
        <f>'Chem&amp;FertInputs&amp;CInsurance'!D68</f>
        <v>acre</v>
      </c>
      <c r="D56" s="116">
        <f>'Chem&amp;FertInputs&amp;CInsurance'!E68</f>
        <v>3.4499999999999997</v>
      </c>
      <c r="E56" s="133">
        <f>'Chem&amp;FertInputs&amp;CInsurance'!K68</f>
        <v>1</v>
      </c>
      <c r="F56" s="117">
        <f t="shared" si="0"/>
        <v>3.4499999999999997</v>
      </c>
      <c r="G56" s="165">
        <f>E56/128</f>
        <v>7.8125E-3</v>
      </c>
    </row>
    <row r="57" spans="1:7" ht="20">
      <c r="A57" s="15"/>
      <c r="B57" s="85" t="str">
        <f>'Chem&amp;FertInputs&amp;CInsurance'!C69</f>
        <v xml:space="preserve"> Lorox</v>
      </c>
      <c r="C57" s="23" t="str">
        <f>'Chem&amp;FertInputs&amp;CInsurance'!D69</f>
        <v>lb</v>
      </c>
      <c r="D57" s="116">
        <f>'Chem&amp;FertInputs&amp;CInsurance'!E69</f>
        <v>26.565000000000001</v>
      </c>
      <c r="E57" s="133">
        <f>'Chem&amp;FertInputs&amp;CInsurance'!K69</f>
        <v>0</v>
      </c>
      <c r="F57" s="117" t="str">
        <f t="shared" si="0"/>
        <v>0</v>
      </c>
      <c r="G57" s="165">
        <f>E57/128</f>
        <v>0</v>
      </c>
    </row>
    <row r="58" spans="1:7" ht="20">
      <c r="A58" s="15"/>
      <c r="B58" s="85" t="str">
        <f>'Chem&amp;FertInputs&amp;CInsurance'!C70</f>
        <v xml:space="preserve"> Valor</v>
      </c>
      <c r="C58" s="23" t="str">
        <f>'Chem&amp;FertInputs&amp;CInsurance'!D70</f>
        <v>oz</v>
      </c>
      <c r="D58" s="116">
        <f>'Chem&amp;FertInputs&amp;CInsurance'!E70</f>
        <v>6.6124999999999998</v>
      </c>
      <c r="E58" s="133">
        <f>'Chem&amp;FertInputs&amp;CInsurance'!K70</f>
        <v>0</v>
      </c>
      <c r="F58" s="117" t="str">
        <f t="shared" ref="F58:F59" si="9">IF(D58*E58=0,"0",D58*E58)</f>
        <v>0</v>
      </c>
      <c r="G58" s="165">
        <f t="shared" ref="G58:G59" si="10">E58/128</f>
        <v>0</v>
      </c>
    </row>
    <row r="59" spans="1:7" ht="20">
      <c r="A59" s="15"/>
      <c r="B59" s="85" t="str">
        <f>'Chem&amp;FertInputs&amp;CInsurance'!C71</f>
        <v xml:space="preserve"> Diagon</v>
      </c>
      <c r="C59" s="23" t="str">
        <f>'Chem&amp;FertInputs&amp;CInsurance'!D71</f>
        <v>oz</v>
      </c>
      <c r="D59" s="116">
        <f>'Chem&amp;FertInputs&amp;CInsurance'!E71</f>
        <v>0.43699999999999994</v>
      </c>
      <c r="E59" s="133">
        <f>'Chem&amp;FertInputs&amp;CInsurance'!K71</f>
        <v>0</v>
      </c>
      <c r="F59" s="117" t="str">
        <f t="shared" si="9"/>
        <v>0</v>
      </c>
      <c r="G59" s="165">
        <f t="shared" si="10"/>
        <v>0</v>
      </c>
    </row>
    <row r="60" spans="1:7" ht="20">
      <c r="A60" s="15"/>
      <c r="B60" s="85" t="str">
        <f>'Chem&amp;FertInputs&amp;CInsurance'!C72</f>
        <v xml:space="preserve">Spartan </v>
      </c>
      <c r="C60" s="23" t="str">
        <f>'Chem&amp;FertInputs&amp;CInsurance'!D72</f>
        <v>oz</v>
      </c>
      <c r="D60" s="116">
        <f>'Chem&amp;FertInputs&amp;CInsurance'!E72</f>
        <v>2.0469999999999997</v>
      </c>
      <c r="E60" s="133">
        <f>'Chem&amp;FertInputs&amp;CInsurance'!K72</f>
        <v>0</v>
      </c>
      <c r="F60" s="117" t="str">
        <f t="shared" si="0"/>
        <v>0</v>
      </c>
      <c r="G60" s="165">
        <f>E60/128</f>
        <v>0</v>
      </c>
    </row>
    <row r="61" spans="1:7" ht="23">
      <c r="A61" s="15"/>
      <c r="B61" s="85" t="str">
        <f>'Chem&amp;FertInputs&amp;CInsurance'!C32</f>
        <v xml:space="preserve">Round Up </v>
      </c>
      <c r="C61" s="23" t="str">
        <f>'Chem&amp;FertInputs&amp;CInsurance'!D32</f>
        <v>oz</v>
      </c>
      <c r="D61" s="116">
        <f>'Chem&amp;FertInputs&amp;CInsurance'!E32</f>
        <v>0.14949999999999999</v>
      </c>
      <c r="E61" s="133">
        <f>'Chem&amp;FertInputs&amp;CInsurance'!K32</f>
        <v>18</v>
      </c>
      <c r="F61" s="117">
        <f t="shared" si="0"/>
        <v>2.6909999999999998</v>
      </c>
      <c r="G61" s="225">
        <f>E61/128</f>
        <v>0.140625</v>
      </c>
    </row>
    <row r="62" spans="1:7" ht="20">
      <c r="A62" s="15"/>
      <c r="B62" s="139" t="s">
        <v>86</v>
      </c>
      <c r="C62" s="23"/>
      <c r="D62" s="116"/>
      <c r="E62" s="133"/>
      <c r="F62" s="117"/>
      <c r="G62" s="165">
        <f>SUM(G14:G61)</f>
        <v>0.37656250000000002</v>
      </c>
    </row>
    <row r="63" spans="1:7" ht="20">
      <c r="A63" s="15"/>
      <c r="B63" s="125" t="str">
        <f>CustomRates!B5</f>
        <v>Aerial (Custom)</v>
      </c>
      <c r="C63" s="41" t="str">
        <f>CustomRates!C5</f>
        <v>acre</v>
      </c>
      <c r="D63" s="116">
        <f>CustomRates!I5</f>
        <v>8.9499999999999993</v>
      </c>
      <c r="E63" s="87">
        <f>CustomRates!I6</f>
        <v>1</v>
      </c>
      <c r="F63" s="117">
        <f t="shared" ref="F63:F70" si="11">IF(D63*E63=0,"0",D63*E63)</f>
        <v>8.9499999999999993</v>
      </c>
    </row>
    <row r="64" spans="1:7" ht="20">
      <c r="A64" s="15"/>
      <c r="B64" s="125" t="str">
        <f>CustomRates!B7</f>
        <v>Sprayer (Rental 90')</v>
      </c>
      <c r="C64" s="41" t="str">
        <f>CustomRates!C7</f>
        <v>acre</v>
      </c>
      <c r="D64" s="116">
        <f>CustomRates!I7</f>
        <v>8</v>
      </c>
      <c r="E64" s="87">
        <f>CustomRates!I8</f>
        <v>0</v>
      </c>
      <c r="F64" s="117" t="str">
        <f t="shared" si="11"/>
        <v>0</v>
      </c>
    </row>
    <row r="65" spans="1:9" ht="20">
      <c r="A65" s="15"/>
      <c r="B65" s="125" t="str">
        <f>CustomRates!B9</f>
        <v>Fertilizer - Anhydrous Applicator (Rent)</v>
      </c>
      <c r="C65" s="41" t="str">
        <f>CustomRates!C9</f>
        <v>acre</v>
      </c>
      <c r="D65" s="116">
        <f>CustomRates!I9</f>
        <v>7</v>
      </c>
      <c r="E65" s="87">
        <f>CustomRates!I10</f>
        <v>0</v>
      </c>
      <c r="F65" s="117" t="str">
        <f t="shared" si="11"/>
        <v>0</v>
      </c>
    </row>
    <row r="66" spans="1:9" ht="20">
      <c r="A66" s="15"/>
      <c r="B66" s="125" t="str">
        <f>CustomRates!B11</f>
        <v>Fertilizer Applicator</v>
      </c>
      <c r="C66" s="41" t="str">
        <f>CustomRates!C11</f>
        <v>acre</v>
      </c>
      <c r="D66" s="116">
        <f>CustomRates!I11</f>
        <v>2</v>
      </c>
      <c r="E66" s="87">
        <f>CustomRates!I12</f>
        <v>0</v>
      </c>
      <c r="F66" s="117" t="str">
        <f t="shared" si="11"/>
        <v>0</v>
      </c>
    </row>
    <row r="67" spans="1:9" ht="20">
      <c r="A67" s="15"/>
      <c r="B67" s="125" t="str">
        <f>CustomRates!B13</f>
        <v>26' Rental Shredder</v>
      </c>
      <c r="C67" s="41" t="str">
        <f>CustomRates!C13</f>
        <v>acre</v>
      </c>
      <c r="D67" s="116">
        <f>CustomRates!I13</f>
        <v>10</v>
      </c>
      <c r="E67" s="87">
        <f>CustomRates!I14</f>
        <v>0</v>
      </c>
      <c r="F67" s="117" t="str">
        <f t="shared" si="11"/>
        <v>0</v>
      </c>
    </row>
    <row r="68" spans="1:9" ht="20">
      <c r="A68" s="15"/>
      <c r="B68" s="125" t="str">
        <f>CustomRates!B15</f>
        <v>36' Ripper Shooter</v>
      </c>
      <c r="C68" s="41" t="str">
        <f>CustomRates!C15</f>
        <v>acre</v>
      </c>
      <c r="D68" s="116">
        <f>CustomRates!I15</f>
        <v>2.5</v>
      </c>
      <c r="E68" s="87">
        <f>CustomRates!I16</f>
        <v>0</v>
      </c>
      <c r="F68" s="117" t="str">
        <f t="shared" si="11"/>
        <v>0</v>
      </c>
    </row>
    <row r="69" spans="1:9" ht="20">
      <c r="A69" s="15"/>
      <c r="B69" s="125" t="str">
        <f>CustomRates!B17</f>
        <v>Custom self-propelled sprayer</v>
      </c>
      <c r="C69" s="41" t="str">
        <f>CustomRates!C17</f>
        <v>acre</v>
      </c>
      <c r="D69" s="116">
        <f>CustomRates!I17</f>
        <v>8</v>
      </c>
      <c r="E69" s="87">
        <f>CustomRates!I18</f>
        <v>0</v>
      </c>
      <c r="F69" s="117" t="str">
        <f t="shared" si="11"/>
        <v>0</v>
      </c>
    </row>
    <row r="70" spans="1:9" ht="20">
      <c r="A70" s="15"/>
      <c r="B70" s="125" t="str">
        <f>CustomRates!B19</f>
        <v>Additional Operation #8 (Custom)</v>
      </c>
      <c r="C70" s="41" t="str">
        <f>CustomRates!C19</f>
        <v>acre</v>
      </c>
      <c r="D70" s="116">
        <f>CustomRates!I19</f>
        <v>0</v>
      </c>
      <c r="E70" s="87">
        <f>CustomRates!I20</f>
        <v>0</v>
      </c>
      <c r="F70" s="117" t="str">
        <f t="shared" si="11"/>
        <v>0</v>
      </c>
    </row>
    <row r="71" spans="1:9" ht="20">
      <c r="A71" s="15"/>
      <c r="B71" s="139" t="s">
        <v>87</v>
      </c>
      <c r="C71" s="41"/>
      <c r="D71" s="116"/>
      <c r="E71" s="116"/>
      <c r="F71" s="117"/>
      <c r="H71" s="1" t="s">
        <v>204</v>
      </c>
      <c r="I71" s="1" t="s">
        <v>135</v>
      </c>
    </row>
    <row r="72" spans="1:9" ht="20">
      <c r="A72" s="15"/>
      <c r="B72" s="85" t="str">
        <f>MachineAssumptions!B7&amp;" - Labor"</f>
        <v>Shredder - Labor</v>
      </c>
      <c r="C72" s="41" t="s">
        <v>246</v>
      </c>
      <c r="D72" s="116">
        <f>MachineAssumptions!$R$7</f>
        <v>1.4996591683708247</v>
      </c>
      <c r="E72" s="87">
        <f>FieldApplications!$H$6</f>
        <v>0</v>
      </c>
      <c r="F72" s="117" t="str">
        <f t="shared" ref="F72:F113" si="12">IF(D72*E72=0,"0",D72*E72)</f>
        <v>0</v>
      </c>
      <c r="H72" s="246">
        <f>MachineAssumptions!$R$28*E72</f>
        <v>0</v>
      </c>
      <c r="I72" s="166">
        <f>MachineAssumptions!$R$48*E72</f>
        <v>0</v>
      </c>
    </row>
    <row r="73" spans="1:9" ht="20">
      <c r="A73" s="15"/>
      <c r="B73" s="85" t="str">
        <f>MachineAssumptions!B7&amp;" - Fuel, Lube"</f>
        <v>Shredder - Fuel, Lube</v>
      </c>
      <c r="C73" s="41" t="s">
        <v>246</v>
      </c>
      <c r="D73" s="116">
        <f>MachineAssumptions!$S$7</f>
        <v>5.7486934787548281</v>
      </c>
      <c r="E73" s="87">
        <f>FieldApplications!$H$6</f>
        <v>0</v>
      </c>
      <c r="F73" s="117" t="str">
        <f t="shared" si="12"/>
        <v>0</v>
      </c>
      <c r="H73" s="246">
        <f>MachineAssumptions!$S$28*E73</f>
        <v>0</v>
      </c>
      <c r="I73" s="166">
        <f>MachineAssumptions!$S$48*E73</f>
        <v>0</v>
      </c>
    </row>
    <row r="74" spans="1:9" ht="20">
      <c r="A74" s="15"/>
      <c r="B74" s="85" t="str">
        <f>MachineAssumptions!B7&amp;" - Repairs"</f>
        <v>Shredder - Repairs</v>
      </c>
      <c r="C74" s="41" t="s">
        <v>246</v>
      </c>
      <c r="D74" s="116">
        <f>MachineAssumptions!$T$7</f>
        <v>0.46726721181997538</v>
      </c>
      <c r="E74" s="87">
        <f>FieldApplications!$H$6</f>
        <v>0</v>
      </c>
      <c r="F74" s="117" t="str">
        <f t="shared" si="12"/>
        <v>0</v>
      </c>
      <c r="H74" s="246">
        <f>MachineAssumptions!$T$28*E74</f>
        <v>0</v>
      </c>
      <c r="I74" s="166">
        <f>MachineAssumptions!$T$48*E74</f>
        <v>0</v>
      </c>
    </row>
    <row r="75" spans="1:9" ht="20">
      <c r="A75" s="15"/>
      <c r="B75" s="85" t="str">
        <f>MachineAssumptions!B8&amp;" - Labor"</f>
        <v>Harrow - Labor</v>
      </c>
      <c r="C75" s="41" t="s">
        <v>246</v>
      </c>
      <c r="D75" s="116">
        <f>MachineAssumptions!$R$8</f>
        <v>0.59412746734753996</v>
      </c>
      <c r="E75" s="87">
        <f>FieldApplications!$H$7</f>
        <v>0</v>
      </c>
      <c r="F75" s="117" t="str">
        <f t="shared" si="12"/>
        <v>0</v>
      </c>
      <c r="H75" s="246">
        <f>MachineAssumptions!$R$29*E75</f>
        <v>0</v>
      </c>
      <c r="I75" s="166">
        <f>MachineAssumptions!$R$49*E75</f>
        <v>0</v>
      </c>
    </row>
    <row r="76" spans="1:9" ht="20">
      <c r="A76" s="15"/>
      <c r="B76" s="85" t="str">
        <f>MachineAssumptions!B8&amp;" - Fuel, Lube"</f>
        <v>Harrow - Fuel, Lube</v>
      </c>
      <c r="C76" s="41" t="s">
        <v>246</v>
      </c>
      <c r="D76" s="116">
        <f>MachineAssumptions!$S$8</f>
        <v>2.4845330452715308</v>
      </c>
      <c r="E76" s="87">
        <f>FieldApplications!$H$7</f>
        <v>0</v>
      </c>
      <c r="F76" s="117" t="str">
        <f t="shared" si="12"/>
        <v>0</v>
      </c>
      <c r="H76" s="246">
        <f>MachineAssumptions!$S$29*E76</f>
        <v>0</v>
      </c>
      <c r="I76" s="166">
        <f>MachineAssumptions!$S$49*E76</f>
        <v>0</v>
      </c>
    </row>
    <row r="77" spans="1:9" ht="20">
      <c r="A77" s="15"/>
      <c r="B77" s="85" t="str">
        <f>MachineAssumptions!B8&amp;" - Repairs"</f>
        <v>Harrow - Repairs</v>
      </c>
      <c r="C77" s="41" t="s">
        <v>246</v>
      </c>
      <c r="D77" s="116">
        <f>MachineAssumptions!$T$8</f>
        <v>0.14755184964846621</v>
      </c>
      <c r="E77" s="87">
        <f>FieldApplications!$H$7</f>
        <v>0</v>
      </c>
      <c r="F77" s="117" t="str">
        <f t="shared" si="12"/>
        <v>0</v>
      </c>
      <c r="H77" s="246">
        <f>MachineAssumptions!$T$29*E77</f>
        <v>0</v>
      </c>
      <c r="I77" s="166">
        <f>MachineAssumptions!$T$49*E77</f>
        <v>0</v>
      </c>
    </row>
    <row r="78" spans="1:9" ht="20">
      <c r="A78" s="15"/>
      <c r="B78" s="85" t="str">
        <f>MachineAssumptions!B9&amp;" - Labor"</f>
        <v>Chisel plow - Labor</v>
      </c>
      <c r="C78" s="41" t="s">
        <v>246</v>
      </c>
      <c r="D78" s="116">
        <f>MachineAssumptions!$R$9</f>
        <v>0</v>
      </c>
      <c r="E78" s="87">
        <f>FieldApplications!$H$8</f>
        <v>0</v>
      </c>
      <c r="F78" s="117" t="str">
        <f t="shared" si="12"/>
        <v>0</v>
      </c>
      <c r="H78" s="246">
        <f>MachineAssumptions!$R$30*E78</f>
        <v>0</v>
      </c>
      <c r="I78" s="166">
        <f>MachineAssumptions!$R$50*E78</f>
        <v>0</v>
      </c>
    </row>
    <row r="79" spans="1:9" ht="20">
      <c r="A79" s="15"/>
      <c r="B79" s="85" t="str">
        <f>MachineAssumptions!B9&amp;" - Fuel, Lube"</f>
        <v>Chisel plow - Fuel, Lube</v>
      </c>
      <c r="C79" s="41" t="s">
        <v>246</v>
      </c>
      <c r="D79" s="116">
        <f>MachineAssumptions!$S$9</f>
        <v>0</v>
      </c>
      <c r="E79" s="87">
        <f>FieldApplications!$H$8</f>
        <v>0</v>
      </c>
      <c r="F79" s="117" t="str">
        <f t="shared" si="12"/>
        <v>0</v>
      </c>
      <c r="H79" s="246">
        <f>MachineAssumptions!$R$30*E79</f>
        <v>0</v>
      </c>
      <c r="I79" s="166">
        <f>MachineAssumptions!$S$50*E79</f>
        <v>0</v>
      </c>
    </row>
    <row r="80" spans="1:9" ht="20">
      <c r="A80" s="15"/>
      <c r="B80" s="85" t="str">
        <f>MachineAssumptions!B9&amp;" - Repairs"</f>
        <v>Chisel plow - Repairs</v>
      </c>
      <c r="C80" s="41" t="s">
        <v>246</v>
      </c>
      <c r="D80" s="116">
        <f>MachineAssumptions!$T$9</f>
        <v>0</v>
      </c>
      <c r="E80" s="87">
        <f>FieldApplications!$H$8</f>
        <v>0</v>
      </c>
      <c r="F80" s="117" t="str">
        <f t="shared" si="12"/>
        <v>0</v>
      </c>
      <c r="H80" s="246">
        <f>MachineAssumptions!$T$30*E80</f>
        <v>0</v>
      </c>
      <c r="I80" s="166">
        <f>MachineAssumptions!$T$50*E80</f>
        <v>0</v>
      </c>
    </row>
    <row r="81" spans="1:9" ht="20">
      <c r="A81" s="15"/>
      <c r="B81" s="85" t="str">
        <f>MachineAssumptions!B10&amp;" - Labor"</f>
        <v>Moldboard plow - Labor</v>
      </c>
      <c r="C81" s="41" t="s">
        <v>246</v>
      </c>
      <c r="D81" s="116">
        <f>MachineAssumptions!$R$10</f>
        <v>0</v>
      </c>
      <c r="E81" s="87">
        <f>FieldApplications!$H$9</f>
        <v>0</v>
      </c>
      <c r="F81" s="117" t="str">
        <f t="shared" si="12"/>
        <v>0</v>
      </c>
      <c r="H81" s="246">
        <f>MachineAssumptions!$R$31*E81</f>
        <v>0</v>
      </c>
      <c r="I81" s="166">
        <f>MachineAssumptions!$R$51*E81</f>
        <v>0</v>
      </c>
    </row>
    <row r="82" spans="1:9" ht="20">
      <c r="A82" s="15"/>
      <c r="B82" s="85" t="str">
        <f>MachineAssumptions!B10&amp;" - Fuel, Lube"</f>
        <v>Moldboard plow - Fuel, Lube</v>
      </c>
      <c r="C82" s="41" t="s">
        <v>246</v>
      </c>
      <c r="D82" s="116">
        <f>MachineAssumptions!$S$10</f>
        <v>0</v>
      </c>
      <c r="E82" s="87">
        <f>FieldApplications!$H$9</f>
        <v>0</v>
      </c>
      <c r="F82" s="117" t="str">
        <f t="shared" si="12"/>
        <v>0</v>
      </c>
      <c r="H82" s="246">
        <f>MachineAssumptions!$S$31*E82</f>
        <v>0</v>
      </c>
      <c r="I82" s="166">
        <f>MachineAssumptions!$S$51*E82</f>
        <v>0</v>
      </c>
    </row>
    <row r="83" spans="1:9" ht="20">
      <c r="A83" s="15"/>
      <c r="B83" s="85" t="str">
        <f>MachineAssumptions!B10&amp;" - Repairs"</f>
        <v>Moldboard plow - Repairs</v>
      </c>
      <c r="C83" s="41" t="s">
        <v>246</v>
      </c>
      <c r="D83" s="116">
        <f>MachineAssumptions!$T$10</f>
        <v>0</v>
      </c>
      <c r="E83" s="87">
        <f>FieldApplications!$H$9</f>
        <v>0</v>
      </c>
      <c r="F83" s="117" t="str">
        <f t="shared" si="12"/>
        <v>0</v>
      </c>
      <c r="H83" s="246">
        <f>MachineAssumptions!$T$31*E83</f>
        <v>0</v>
      </c>
      <c r="I83" s="166">
        <f>MachineAssumptions!$T$51*E83</f>
        <v>0</v>
      </c>
    </row>
    <row r="84" spans="1:9" ht="20">
      <c r="A84" s="15"/>
      <c r="B84" s="85" t="str">
        <f>MachineAssumptions!B11&amp;" - Labor"</f>
        <v>Cultivator - Labor</v>
      </c>
      <c r="C84" s="41" t="s">
        <v>246</v>
      </c>
      <c r="D84" s="116">
        <f>MachineAssumptions!$R$11</f>
        <v>0</v>
      </c>
      <c r="E84" s="87">
        <f>FieldApplications!$H$10</f>
        <v>0</v>
      </c>
      <c r="F84" s="117" t="str">
        <f t="shared" si="12"/>
        <v>0</v>
      </c>
      <c r="H84" s="246">
        <f>MachineAssumptions!$R$32*E84</f>
        <v>0</v>
      </c>
      <c r="I84" s="166">
        <f>MachineAssumptions!$R$52*E84</f>
        <v>0</v>
      </c>
    </row>
    <row r="85" spans="1:9" ht="20">
      <c r="A85" s="15"/>
      <c r="B85" s="85" t="str">
        <f>MachineAssumptions!B11&amp;" - Fuel, Lube"</f>
        <v>Cultivator - Fuel, Lube</v>
      </c>
      <c r="C85" s="41" t="s">
        <v>246</v>
      </c>
      <c r="D85" s="116">
        <f>MachineAssumptions!$S$11</f>
        <v>0</v>
      </c>
      <c r="E85" s="87">
        <f>FieldApplications!$H$10</f>
        <v>0</v>
      </c>
      <c r="F85" s="117" t="str">
        <f t="shared" si="12"/>
        <v>0</v>
      </c>
      <c r="H85" s="246">
        <f>MachineAssumptions!$S$32*E85</f>
        <v>0</v>
      </c>
      <c r="I85" s="166">
        <f>MachineAssumptions!$S$52*E85</f>
        <v>0</v>
      </c>
    </row>
    <row r="86" spans="1:9" ht="20">
      <c r="A86" s="15"/>
      <c r="B86" s="85" t="str">
        <f>MachineAssumptions!B11&amp;" - Repairs"</f>
        <v>Cultivator - Repairs</v>
      </c>
      <c r="C86" s="41" t="s">
        <v>246</v>
      </c>
      <c r="D86" s="116">
        <f>MachineAssumptions!$T$11</f>
        <v>0</v>
      </c>
      <c r="E86" s="87">
        <f>FieldApplications!$H$10</f>
        <v>0</v>
      </c>
      <c r="F86" s="117" t="str">
        <f t="shared" si="12"/>
        <v>0</v>
      </c>
      <c r="H86" s="246">
        <f>MachineAssumptions!$T$32*E86</f>
        <v>0</v>
      </c>
      <c r="I86" s="166">
        <f>MachineAssumptions!$T$52*E86</f>
        <v>0</v>
      </c>
    </row>
    <row r="87" spans="1:9" ht="20">
      <c r="A87" s="15"/>
      <c r="B87" s="85" t="str">
        <f>MachineAssumptions!B12&amp;" - Labor"</f>
        <v>Cultiweeder - Labor</v>
      </c>
      <c r="C87" s="41" t="s">
        <v>246</v>
      </c>
      <c r="D87" s="116">
        <f>MachineAssumptions!$R$12</f>
        <v>0</v>
      </c>
      <c r="E87" s="87">
        <f>FieldApplications!$H$11</f>
        <v>0</v>
      </c>
      <c r="F87" s="117" t="str">
        <f t="shared" si="12"/>
        <v>0</v>
      </c>
      <c r="H87" s="246">
        <f>MachineAssumptions!$R$33*E87</f>
        <v>0</v>
      </c>
      <c r="I87" s="166">
        <f>MachineAssumptions!$R$53*E87</f>
        <v>0</v>
      </c>
    </row>
    <row r="88" spans="1:9" ht="20">
      <c r="A88" s="15"/>
      <c r="B88" s="85" t="str">
        <f>MachineAssumptions!B12&amp;" - Fuel, Lube"</f>
        <v>Cultiweeder - Fuel, Lube</v>
      </c>
      <c r="C88" s="41" t="s">
        <v>246</v>
      </c>
      <c r="D88" s="116">
        <f>MachineAssumptions!$S$12</f>
        <v>0</v>
      </c>
      <c r="E88" s="87">
        <f>FieldApplications!$H$11</f>
        <v>0</v>
      </c>
      <c r="F88" s="117" t="str">
        <f t="shared" si="12"/>
        <v>0</v>
      </c>
      <c r="H88" s="246">
        <f>MachineAssumptions!$S$33*E88</f>
        <v>0</v>
      </c>
      <c r="I88" s="166">
        <f>MachineAssumptions!$S$53*E88</f>
        <v>0</v>
      </c>
    </row>
    <row r="89" spans="1:9" ht="20">
      <c r="A89" s="15"/>
      <c r="B89" s="85" t="str">
        <f>MachineAssumptions!B12&amp;" - Repairs"</f>
        <v>Cultiweeder - Repairs</v>
      </c>
      <c r="C89" s="41" t="s">
        <v>246</v>
      </c>
      <c r="D89" s="116">
        <f>MachineAssumptions!$T$12</f>
        <v>0</v>
      </c>
      <c r="E89" s="87">
        <f>FieldApplications!$H$11</f>
        <v>0</v>
      </c>
      <c r="F89" s="117" t="str">
        <f t="shared" si="12"/>
        <v>0</v>
      </c>
      <c r="H89" s="246">
        <f>MachineAssumptions!$T$33*E89</f>
        <v>0</v>
      </c>
      <c r="I89" s="166">
        <f>MachineAssumptions!$T$53*E89</f>
        <v>0</v>
      </c>
    </row>
    <row r="90" spans="1:9" ht="20">
      <c r="A90" s="15"/>
      <c r="B90" s="85" t="str">
        <f>MachineAssumptions!B13&amp;" - Labor"</f>
        <v>Drill - Labor</v>
      </c>
      <c r="C90" s="41" t="s">
        <v>246</v>
      </c>
      <c r="D90" s="116">
        <f>MachineAssumptions!$R$13</f>
        <v>1.6703109815354713</v>
      </c>
      <c r="E90" s="87">
        <f>FieldApplications!$H$12</f>
        <v>1</v>
      </c>
      <c r="F90" s="117">
        <f t="shared" si="12"/>
        <v>1.6703109815354713</v>
      </c>
      <c r="H90" s="246">
        <f>MachineAssumptions!$R$34*E90</f>
        <v>1.6703109815354713</v>
      </c>
      <c r="I90" s="166">
        <f>MachineAssumptions!$R$54*E90</f>
        <v>1.6703109815354713</v>
      </c>
    </row>
    <row r="91" spans="1:9" ht="20">
      <c r="A91" s="15"/>
      <c r="B91" s="85" t="str">
        <f>MachineAssumptions!B13&amp;" - Fuel, Lube"</f>
        <v>Drill - Fuel, Lube</v>
      </c>
      <c r="C91" s="41" t="s">
        <v>246</v>
      </c>
      <c r="D91" s="116">
        <f>MachineAssumptions!$S$13</f>
        <v>6.146744412050535</v>
      </c>
      <c r="E91" s="87">
        <f>FieldApplications!$H$12</f>
        <v>1</v>
      </c>
      <c r="F91" s="117">
        <f t="shared" si="12"/>
        <v>6.146744412050535</v>
      </c>
      <c r="H91" s="246">
        <f>MachineAssumptions!$S$34*E91</f>
        <v>6.146744412050535</v>
      </c>
      <c r="I91" s="166">
        <f>MachineAssumptions!$S$54*E91</f>
        <v>6.146744412050535</v>
      </c>
    </row>
    <row r="92" spans="1:9" ht="20">
      <c r="A92" s="15"/>
      <c r="B92" s="85" t="str">
        <f>MachineAssumptions!B13&amp;" - Repairs"</f>
        <v>Drill - Repairs</v>
      </c>
      <c r="C92" s="41" t="s">
        <v>246</v>
      </c>
      <c r="D92" s="116">
        <f>MachineAssumptions!$T$13</f>
        <v>5.740409656342587</v>
      </c>
      <c r="E92" s="87">
        <f>FieldApplications!$H$12</f>
        <v>1</v>
      </c>
      <c r="F92" s="117">
        <f t="shared" si="12"/>
        <v>5.740409656342587</v>
      </c>
      <c r="H92" s="246">
        <f>MachineAssumptions!$T$34*E92</f>
        <v>5.740409656342587</v>
      </c>
      <c r="I92" s="166">
        <f>MachineAssumptions!$T$54*E92</f>
        <v>5.740409656342587</v>
      </c>
    </row>
    <row r="93" spans="1:9" ht="20">
      <c r="A93" s="15"/>
      <c r="B93" s="85" t="str">
        <f>MachineAssumptions!B14&amp;" - Labor"</f>
        <v>Combine w/ 36' header - Labor</v>
      </c>
      <c r="C93" s="41" t="s">
        <v>246</v>
      </c>
      <c r="D93" s="116">
        <f>MachineAssumptions!$R$14</f>
        <v>1.9161092530657748</v>
      </c>
      <c r="E93" s="87">
        <f>FieldApplications!$H$13</f>
        <v>1</v>
      </c>
      <c r="F93" s="117">
        <f t="shared" si="12"/>
        <v>1.9161092530657748</v>
      </c>
      <c r="H93" s="246">
        <f>MachineAssumptions!$R$35*E93</f>
        <v>1.9161092530657748</v>
      </c>
      <c r="I93" s="166">
        <f>MachineAssumptions!$R$55*E93</f>
        <v>1.9161092530657748</v>
      </c>
    </row>
    <row r="94" spans="1:9" ht="20">
      <c r="A94" s="15"/>
      <c r="B94" s="85" t="str">
        <f>MachineAssumptions!B14&amp;" - Fuel, Lube"</f>
        <v>Combine w/ 36' header - Fuel, Lube</v>
      </c>
      <c r="C94" s="41" t="s">
        <v>246</v>
      </c>
      <c r="D94" s="116">
        <f>MachineAssumptions!$S$14</f>
        <v>7.0512820512820511</v>
      </c>
      <c r="E94" s="87">
        <f>FieldApplications!$H$13</f>
        <v>1</v>
      </c>
      <c r="F94" s="117">
        <f t="shared" si="12"/>
        <v>7.0512820512820511</v>
      </c>
      <c r="H94" s="246">
        <f>MachineAssumptions!$S$35*E94</f>
        <v>7.0512820512820511</v>
      </c>
      <c r="I94" s="166">
        <f>MachineAssumptions!$S$55*E94</f>
        <v>7.0512820512820511</v>
      </c>
    </row>
    <row r="95" spans="1:9" ht="20">
      <c r="A95" s="15"/>
      <c r="B95" s="85" t="str">
        <f>MachineAssumptions!B14&amp;" - Repairs"</f>
        <v>Combine w/ 36' header - Repairs</v>
      </c>
      <c r="C95" s="41" t="s">
        <v>246</v>
      </c>
      <c r="D95" s="116">
        <f>MachineAssumptions!$T$14</f>
        <v>6.4258281801385913</v>
      </c>
      <c r="E95" s="87">
        <f>FieldApplications!$H$13</f>
        <v>1</v>
      </c>
      <c r="F95" s="117">
        <f t="shared" si="12"/>
        <v>6.4258281801385913</v>
      </c>
      <c r="H95" s="246">
        <f>MachineAssumptions!$T$35*E95</f>
        <v>6.4258281801385913</v>
      </c>
      <c r="I95" s="166">
        <f>MachineAssumptions!$T$55*E95</f>
        <v>4.0416300769413871</v>
      </c>
    </row>
    <row r="96" spans="1:9" ht="20">
      <c r="A96" s="15"/>
      <c r="B96" s="85" t="str">
        <f>MachineAssumptions!B16&amp;" - Labor"</f>
        <v>Fertilizer Spreader - Labor</v>
      </c>
      <c r="C96" s="41" t="s">
        <v>246</v>
      </c>
      <c r="D96" s="116">
        <f>MachineAssumptions!$R$16</f>
        <v>0</v>
      </c>
      <c r="E96" s="87">
        <f>FieldApplications!$H$14</f>
        <v>0</v>
      </c>
      <c r="F96" s="117" t="str">
        <f t="shared" si="12"/>
        <v>0</v>
      </c>
      <c r="H96" s="246">
        <f>MachineAssumptions!$R$36*E96</f>
        <v>0</v>
      </c>
      <c r="I96" s="166">
        <f>MachineAssumptions!$R$56*E96</f>
        <v>0</v>
      </c>
    </row>
    <row r="97" spans="1:9" ht="20">
      <c r="A97" s="15"/>
      <c r="B97" s="85" t="str">
        <f>MachineAssumptions!B16&amp;" - Fuel, Lube"</f>
        <v>Fertilizer Spreader - Fuel, Lube</v>
      </c>
      <c r="C97" s="41" t="s">
        <v>246</v>
      </c>
      <c r="D97" s="116">
        <f>MachineAssumptions!$S$16</f>
        <v>0</v>
      </c>
      <c r="E97" s="87">
        <f>FieldApplications!$H$14</f>
        <v>0</v>
      </c>
      <c r="F97" s="117" t="str">
        <f t="shared" si="12"/>
        <v>0</v>
      </c>
      <c r="H97" s="246">
        <f>MachineAssumptions!$S$36*E97</f>
        <v>0</v>
      </c>
      <c r="I97" s="166">
        <f>MachineAssumptions!$S$56*E97</f>
        <v>0</v>
      </c>
    </row>
    <row r="98" spans="1:9" ht="20">
      <c r="A98" s="15"/>
      <c r="B98" s="85" t="str">
        <f>MachineAssumptions!B16&amp;" - Repairs"</f>
        <v>Fertilizer Spreader - Repairs</v>
      </c>
      <c r="C98" s="41" t="s">
        <v>246</v>
      </c>
      <c r="D98" s="116">
        <f>MachineAssumptions!$T$16</f>
        <v>0</v>
      </c>
      <c r="E98" s="87">
        <f>FieldApplications!$H$14</f>
        <v>0</v>
      </c>
      <c r="F98" s="117" t="str">
        <f t="shared" si="12"/>
        <v>0</v>
      </c>
      <c r="H98" s="246">
        <f>MachineAssumptions!$T$36*E98</f>
        <v>0</v>
      </c>
      <c r="I98" s="166">
        <f>MachineAssumptions!$T$56*E98</f>
        <v>0</v>
      </c>
    </row>
    <row r="99" spans="1:9" ht="20">
      <c r="A99" s="15"/>
      <c r="B99" s="85" t="str">
        <f>MachineAssumptions!B17&amp;" - Labor"</f>
        <v>Fertilizer tanks and pump - Labor</v>
      </c>
      <c r="C99" s="41" t="s">
        <v>246</v>
      </c>
      <c r="D99" s="116">
        <f>MachineAssumptions!$R$17</f>
        <v>2.2448979591836737</v>
      </c>
      <c r="E99" s="87">
        <f>FieldApplications!$H$15</f>
        <v>1</v>
      </c>
      <c r="F99" s="117">
        <f t="shared" si="12"/>
        <v>2.2448979591836737</v>
      </c>
      <c r="H99" s="246">
        <f>MachineAssumptions!$R$37*E99</f>
        <v>2.2448979591836737</v>
      </c>
      <c r="I99" s="166">
        <f>MachineAssumptions!$R$57*E99</f>
        <v>2.2448979591836737</v>
      </c>
    </row>
    <row r="100" spans="1:9" ht="20">
      <c r="A100" s="15"/>
      <c r="B100" s="85" t="str">
        <f>MachineAssumptions!B17&amp;" - Fuel, Lube"</f>
        <v>Fertilizer tanks and pump - Fuel, Lube</v>
      </c>
      <c r="C100" s="41" t="s">
        <v>246</v>
      </c>
      <c r="D100" s="116">
        <f>MachineAssumptions!$S$17</f>
        <v>9.387755102040817</v>
      </c>
      <c r="E100" s="87">
        <f>FieldApplications!$H$15</f>
        <v>1</v>
      </c>
      <c r="F100" s="117">
        <f t="shared" si="12"/>
        <v>9.387755102040817</v>
      </c>
      <c r="H100" s="246">
        <f>MachineAssumptions!$S$37*E100</f>
        <v>9.387755102040817</v>
      </c>
      <c r="I100" s="166">
        <f>MachineAssumptions!$S$57*E100</f>
        <v>9.387755102040817</v>
      </c>
    </row>
    <row r="101" spans="1:9" ht="20">
      <c r="A101" s="15"/>
      <c r="B101" s="85" t="str">
        <f>MachineAssumptions!B17&amp;" - Repairs"</f>
        <v>Fertilizer tanks and pump - Repairs</v>
      </c>
      <c r="C101" s="41" t="s">
        <v>246</v>
      </c>
      <c r="D101" s="116">
        <f>MachineAssumptions!$T$17</f>
        <v>0</v>
      </c>
      <c r="E101" s="87">
        <f>FieldApplications!$H$15</f>
        <v>1</v>
      </c>
      <c r="F101" s="117" t="str">
        <f t="shared" si="12"/>
        <v>0</v>
      </c>
      <c r="H101" s="246">
        <f>MachineAssumptions!$T$37*E101</f>
        <v>0</v>
      </c>
      <c r="I101" s="166">
        <f>MachineAssumptions!$T$57*E101</f>
        <v>0</v>
      </c>
    </row>
    <row r="102" spans="1:9" ht="20">
      <c r="A102" s="15"/>
      <c r="B102" s="85" t="str">
        <f>MachineAssumptions!B18&amp;" - Labor"</f>
        <v>Boom sprayer - Labor</v>
      </c>
      <c r="C102" s="41" t="s">
        <v>246</v>
      </c>
      <c r="D102" s="116">
        <f>MachineAssumptions!$R$18</f>
        <v>0.4708120318630365</v>
      </c>
      <c r="E102" s="87">
        <f>FieldApplications!$H$16</f>
        <v>2</v>
      </c>
      <c r="F102" s="117">
        <f t="shared" si="12"/>
        <v>0.94162406372607299</v>
      </c>
      <c r="H102" s="246">
        <f>MachineAssumptions!$R$38*E102</f>
        <v>0.94162406372607299</v>
      </c>
      <c r="I102" s="166">
        <f>MachineAssumptions!$R$58*E102</f>
        <v>0.94162406372607299</v>
      </c>
    </row>
    <row r="103" spans="1:9" ht="20">
      <c r="A103" s="15"/>
      <c r="B103" s="85" t="str">
        <f>MachineAssumptions!B18&amp;" - Fuel, Lube"</f>
        <v>Boom sprayer - Fuel, Lube</v>
      </c>
      <c r="C103" s="41" t="s">
        <v>246</v>
      </c>
      <c r="D103" s="116">
        <f>MachineAssumptions!$S$18</f>
        <v>1.8047794554749732</v>
      </c>
      <c r="E103" s="87">
        <f>FieldApplications!$H$16</f>
        <v>2</v>
      </c>
      <c r="F103" s="117">
        <f t="shared" si="12"/>
        <v>3.6095589109499464</v>
      </c>
      <c r="H103" s="246">
        <f>MachineAssumptions!$S$38*E103</f>
        <v>3.6095589109499464</v>
      </c>
      <c r="I103" s="166">
        <f>MachineAssumptions!$S$58*E103</f>
        <v>3.6095589109499464</v>
      </c>
    </row>
    <row r="104" spans="1:9" ht="20">
      <c r="A104" s="15"/>
      <c r="B104" s="85" t="str">
        <f>MachineAssumptions!B18&amp;" - Repairs"</f>
        <v>Boom sprayer - Repairs</v>
      </c>
      <c r="C104" s="41" t="s">
        <v>246</v>
      </c>
      <c r="D104" s="116">
        <f>MachineAssumptions!$T$18</f>
        <v>0.49795949063219769</v>
      </c>
      <c r="E104" s="87">
        <f>FieldApplications!$H$16</f>
        <v>2</v>
      </c>
      <c r="F104" s="117">
        <f t="shared" si="12"/>
        <v>0.99591898126439538</v>
      </c>
      <c r="H104" s="246">
        <f>MachineAssumptions!$T$38*E104</f>
        <v>1.0056003712769741</v>
      </c>
      <c r="I104" s="166">
        <f>MachineAssumptions!$T$58*E104</f>
        <v>0.9021656572032456</v>
      </c>
    </row>
    <row r="105" spans="1:9" ht="20">
      <c r="A105" s="15"/>
      <c r="B105" s="85" t="str">
        <f>MachineAssumptions!B15&amp;" - Labor"</f>
        <v>Bankout Wagon - Labor</v>
      </c>
      <c r="C105" s="41" t="s">
        <v>246</v>
      </c>
      <c r="D105" s="116">
        <f>MachineAssumptions!$R$15</f>
        <v>1.6861761426978819</v>
      </c>
      <c r="E105" s="87">
        <f t="shared" ref="E105:E113" si="13">IF($E$93&gt;0,1,0)</f>
        <v>1</v>
      </c>
      <c r="F105" s="117">
        <f t="shared" si="12"/>
        <v>1.6861761426978819</v>
      </c>
      <c r="H105" s="246">
        <f>MachineAssumptions!$R$39*E105</f>
        <v>1.6861761426978819</v>
      </c>
      <c r="I105" s="166">
        <f>MachineAssumptions!$R$59*E105</f>
        <v>1.6861761426978819</v>
      </c>
    </row>
    <row r="106" spans="1:9" ht="20">
      <c r="A106" s="15"/>
      <c r="B106" s="85" t="str">
        <f>MachineAssumptions!B15&amp;" - Fuel, Lube"</f>
        <v>Bankout Wagon - Fuel, Lube</v>
      </c>
      <c r="C106" s="41" t="s">
        <v>246</v>
      </c>
      <c r="D106" s="116">
        <f>MachineAssumptions!$S$15</f>
        <v>7.0512820512820511</v>
      </c>
      <c r="E106" s="87">
        <f t="shared" si="13"/>
        <v>1</v>
      </c>
      <c r="F106" s="117">
        <f t="shared" si="12"/>
        <v>7.0512820512820511</v>
      </c>
      <c r="H106" s="246">
        <f>MachineAssumptions!$S$39*E106</f>
        <v>7.0512820512820511</v>
      </c>
      <c r="I106" s="166">
        <f>MachineAssumptions!$S$59*E106</f>
        <v>7.0512820512820511</v>
      </c>
    </row>
    <row r="107" spans="1:9" ht="20">
      <c r="A107" s="15"/>
      <c r="B107" s="85" t="str">
        <f>MachineAssumptions!B15&amp;" - Repairs"</f>
        <v>Bankout Wagon - Repairs</v>
      </c>
      <c r="C107" s="41" t="s">
        <v>246</v>
      </c>
      <c r="D107" s="116">
        <f>MachineAssumptions!$T$15</f>
        <v>0.5058930256896228</v>
      </c>
      <c r="E107" s="87">
        <f t="shared" si="13"/>
        <v>1</v>
      </c>
      <c r="F107" s="117">
        <f t="shared" si="12"/>
        <v>0.5058930256896228</v>
      </c>
      <c r="H107" s="246">
        <f>MachineAssumptions!$T$39*E107</f>
        <v>0.5058930256896228</v>
      </c>
      <c r="I107" s="166">
        <f>MachineAssumptions!$T$59*E107</f>
        <v>0.43525361955195507</v>
      </c>
    </row>
    <row r="108" spans="1:9" ht="20">
      <c r="A108" s="15"/>
      <c r="B108" s="85" t="str">
        <f>MachineAssumptions!B19&amp;" - Labor"</f>
        <v>Tandem Axle Truck  - Labor</v>
      </c>
      <c r="C108" s="41" t="s">
        <v>246</v>
      </c>
      <c r="D108" s="116">
        <f>MachineAssumptions!$R$19</f>
        <v>3.6</v>
      </c>
      <c r="E108" s="87">
        <f t="shared" si="13"/>
        <v>1</v>
      </c>
      <c r="F108" s="117">
        <f t="shared" si="12"/>
        <v>3.6</v>
      </c>
      <c r="H108" s="246">
        <f>MachineAssumptions!$R$40*E108</f>
        <v>3.6</v>
      </c>
      <c r="I108" s="166">
        <f>MachineAssumptions!$R$60*E108</f>
        <v>3.6</v>
      </c>
    </row>
    <row r="109" spans="1:9" ht="20">
      <c r="A109" s="15"/>
      <c r="B109" s="85" t="str">
        <f>MachineAssumptions!B19&amp;" - Fuel, Lube"</f>
        <v>Tandem Axle Truck  - Fuel, Lube</v>
      </c>
      <c r="C109" s="41" t="s">
        <v>246</v>
      </c>
      <c r="D109" s="116">
        <f>MachineAssumptions!$S$19</f>
        <v>1.1499999999999999</v>
      </c>
      <c r="E109" s="87">
        <f t="shared" si="13"/>
        <v>1</v>
      </c>
      <c r="F109" s="117">
        <f t="shared" si="12"/>
        <v>1.1499999999999999</v>
      </c>
      <c r="H109" s="246">
        <f>MachineAssumptions!$S$40*E109</f>
        <v>1.1499999999999999</v>
      </c>
      <c r="I109" s="166">
        <f>MachineAssumptions!$S$60*E109</f>
        <v>1.1499999999999999</v>
      </c>
    </row>
    <row r="110" spans="1:9" ht="20">
      <c r="A110" s="15"/>
      <c r="B110" s="85" t="str">
        <f>MachineAssumptions!B19&amp;" - Repairs"</f>
        <v>Tandem Axle Truck  - Repairs</v>
      </c>
      <c r="C110" s="41" t="s">
        <v>246</v>
      </c>
      <c r="D110" s="116">
        <f>MachineAssumptions!$T$19</f>
        <v>0.8</v>
      </c>
      <c r="E110" s="87">
        <f t="shared" si="13"/>
        <v>1</v>
      </c>
      <c r="F110" s="117">
        <f t="shared" si="12"/>
        <v>0.8</v>
      </c>
      <c r="H110" s="246">
        <f>MachineAssumptions!$T$40*E110</f>
        <v>0.8</v>
      </c>
      <c r="I110" s="166">
        <f>MachineAssumptions!$T$60*E110</f>
        <v>0.8</v>
      </c>
    </row>
    <row r="111" spans="1:9" ht="20">
      <c r="A111" s="15"/>
      <c r="B111" s="85" t="str">
        <f>MachineAssumptions!B20&amp;" - Labor"</f>
        <v>Tandem Axle Truck  - Labor</v>
      </c>
      <c r="C111" s="41" t="s">
        <v>246</v>
      </c>
      <c r="D111" s="116">
        <f>MachineAssumptions!$R$20</f>
        <v>3.6</v>
      </c>
      <c r="E111" s="87">
        <f t="shared" si="13"/>
        <v>1</v>
      </c>
      <c r="F111" s="117">
        <f t="shared" si="12"/>
        <v>3.6</v>
      </c>
      <c r="H111" s="416">
        <f>MachineAssumptions!$R$41*E111</f>
        <v>3.6</v>
      </c>
      <c r="I111" s="369">
        <f>MachineAssumptions!$R$61*E111</f>
        <v>3.6</v>
      </c>
    </row>
    <row r="112" spans="1:9" ht="20">
      <c r="A112" s="15"/>
      <c r="B112" s="85" t="str">
        <f>MachineAssumptions!B20&amp;" - Fuel, Lube"</f>
        <v>Tandem Axle Truck  - Fuel, Lube</v>
      </c>
      <c r="C112" s="41" t="s">
        <v>246</v>
      </c>
      <c r="D112" s="116">
        <f>MachineAssumptions!$S$20</f>
        <v>1.72</v>
      </c>
      <c r="E112" s="87">
        <f t="shared" si="13"/>
        <v>1</v>
      </c>
      <c r="F112" s="117">
        <f t="shared" si="12"/>
        <v>1.72</v>
      </c>
      <c r="H112" s="416">
        <f>MachineAssumptions!$S$41*E112</f>
        <v>1.72</v>
      </c>
      <c r="I112" s="369">
        <f>MachineAssumptions!$S$61*E112</f>
        <v>1.72</v>
      </c>
    </row>
    <row r="113" spans="1:13" ht="23">
      <c r="A113" s="15"/>
      <c r="B113" s="85" t="str">
        <f>MachineAssumptions!B20&amp;" - Repairs"</f>
        <v>Tandem Axle Truck  - Repairs</v>
      </c>
      <c r="C113" s="41" t="s">
        <v>246</v>
      </c>
      <c r="D113" s="116">
        <f>MachineAssumptions!$T$20</f>
        <v>0.8</v>
      </c>
      <c r="E113" s="87">
        <f t="shared" si="13"/>
        <v>1</v>
      </c>
      <c r="F113" s="117">
        <f t="shared" si="12"/>
        <v>0.8</v>
      </c>
      <c r="H113" s="248">
        <f>MachineAssumptions!$T$41*E113</f>
        <v>0.8</v>
      </c>
      <c r="I113" s="247">
        <f>MachineAssumptions!$T$61*E113</f>
        <v>0.8</v>
      </c>
    </row>
    <row r="114" spans="1:13" ht="21">
      <c r="A114" s="15"/>
      <c r="B114" s="139" t="s">
        <v>88</v>
      </c>
      <c r="C114" s="41"/>
      <c r="D114" s="116"/>
      <c r="E114" s="87"/>
      <c r="F114" s="117"/>
      <c r="H114" s="249">
        <f>SUM(H74:H113)</f>
        <v>67.05347216126205</v>
      </c>
      <c r="I114" s="249">
        <f>SUM(I74:I113)</f>
        <v>64.495199937853457</v>
      </c>
    </row>
    <row r="115" spans="1:13" ht="20">
      <c r="A115" s="15"/>
      <c r="B115" s="85" t="str">
        <f>'Chem&amp;FertInputs&amp;CInsurance'!B73</f>
        <v>Crop Insurance</v>
      </c>
      <c r="C115" s="23" t="str">
        <f>'Chem&amp;FertInputs&amp;CInsurance'!D73</f>
        <v>acre</v>
      </c>
      <c r="D115" s="116">
        <f>'Chem&amp;FertInputs&amp;CInsurance'!K73</f>
        <v>18</v>
      </c>
      <c r="E115" s="87">
        <v>1</v>
      </c>
      <c r="F115" s="117">
        <f>IF(D115*E115=0,"0",D115*E115)</f>
        <v>18</v>
      </c>
      <c r="H115" s="1" t="s">
        <v>181</v>
      </c>
      <c r="I115" s="1" t="s">
        <v>181</v>
      </c>
    </row>
    <row r="116" spans="1:13" ht="20">
      <c r="A116" s="15"/>
      <c r="B116" s="85" t="s">
        <v>72</v>
      </c>
      <c r="C116" s="41" t="s">
        <v>83</v>
      </c>
      <c r="D116" s="111">
        <f>MachineAssumptions!D25</f>
        <v>0.05</v>
      </c>
      <c r="E116" s="87"/>
      <c r="F116" s="86">
        <f>SUM(F8:F115)*D116</f>
        <v>9.7460395385624743</v>
      </c>
      <c r="G116" s="1" t="s">
        <v>111</v>
      </c>
      <c r="H116" s="49">
        <f>(SUM($F8:$F70)+$F115+SUM(H72:H113))*$D116</f>
        <v>9.7465236080631037</v>
      </c>
      <c r="I116" s="49">
        <f>(SUM($F8:$F70)+$F115+SUM(I72:I113))*$D116</f>
        <v>9.6186099968926726</v>
      </c>
      <c r="J116" s="49">
        <f>F72+F75+F78+F81+F84+F87+F90+F93+F96+F99+F102+F105+F108+F111</f>
        <v>15.659118400208875</v>
      </c>
      <c r="K116" s="1" t="s">
        <v>111</v>
      </c>
    </row>
    <row r="117" spans="1:13" ht="20">
      <c r="A117" s="15"/>
      <c r="B117" s="85" t="s">
        <v>84</v>
      </c>
      <c r="C117" s="41" t="s">
        <v>83</v>
      </c>
      <c r="D117" s="111">
        <f>MachineAssumptions!D26</f>
        <v>6.7500000000000004E-2</v>
      </c>
      <c r="E117" s="112"/>
      <c r="F117" s="140">
        <f>SUM(F7:F116)*(D117/12*MachineAssumptions!D27)</f>
        <v>10.36125828443423</v>
      </c>
      <c r="G117" s="1" t="s">
        <v>4</v>
      </c>
      <c r="H117" s="49">
        <f>(SUM(F8:F70)+(F115+F116+H114))*((D117/12)*MachineAssumptions!D27)</f>
        <v>10.361748404803617</v>
      </c>
      <c r="I117" s="49">
        <f>(SUM(F8:F70)+(F115+F116+I114))*((D117/12)*MachineAssumptions!D27)</f>
        <v>10.232235873493558</v>
      </c>
      <c r="J117" s="49">
        <f>F73+F76+F79+F82+F85+F88+F91+F94+F97+F100+F103+F106+F109+F112</f>
        <v>36.116622527605394</v>
      </c>
      <c r="K117" s="1" t="s">
        <v>4</v>
      </c>
    </row>
    <row r="118" spans="1:13" ht="20">
      <c r="A118" s="15"/>
      <c r="B118" s="14" t="s">
        <v>85</v>
      </c>
      <c r="C118" s="29"/>
      <c r="D118" s="141"/>
      <c r="E118" s="142"/>
      <c r="F118" s="143">
        <f>SUM(F8:F117)</f>
        <v>215.02808859424619</v>
      </c>
      <c r="G118" s="1" t="s">
        <v>112</v>
      </c>
      <c r="J118" s="49">
        <f>F74+F77+F80+F83+F86+F89+F92+F95+F98+F101+F104+F107+F110+F113</f>
        <v>15.268049843435199</v>
      </c>
      <c r="K118" s="1" t="s">
        <v>112</v>
      </c>
      <c r="L118" s="49">
        <f>H74+H77+H80+H83+H86+H89+H92+H95+H98+H101+H104+H107+H110+H113</f>
        <v>15.277731233447778</v>
      </c>
      <c r="M118" s="49">
        <f>I74+I77+I80+I83+I86+I89+I92+I95+I98+I101+I104+I107+I110+I113</f>
        <v>12.719459010039175</v>
      </c>
    </row>
    <row r="119" spans="1:13">
      <c r="A119" s="15"/>
      <c r="B119" s="113"/>
      <c r="C119" s="113"/>
      <c r="D119" s="113"/>
      <c r="E119" s="114"/>
      <c r="F119" s="115"/>
      <c r="H119" s="115"/>
      <c r="J119" s="49">
        <f>SUM(J116:J118)</f>
        <v>67.043790771249462</v>
      </c>
      <c r="K119" s="115"/>
      <c r="L119" s="1">
        <f>(L118-J118)/J118</f>
        <v>6.3409473455065238E-4</v>
      </c>
    </row>
    <row r="120" spans="1:13" ht="20">
      <c r="A120" s="15"/>
      <c r="B120" s="132" t="s">
        <v>89</v>
      </c>
      <c r="C120" s="19" t="s">
        <v>2</v>
      </c>
      <c r="D120" s="20" t="s">
        <v>12</v>
      </c>
      <c r="E120" s="21" t="s">
        <v>13</v>
      </c>
      <c r="F120" s="45" t="s">
        <v>0</v>
      </c>
      <c r="H120" s="1" t="s">
        <v>136</v>
      </c>
      <c r="I120" s="1" t="s">
        <v>139</v>
      </c>
    </row>
    <row r="121" spans="1:13" ht="20">
      <c r="A121" s="15"/>
      <c r="B121" s="18" t="str">
        <f>MachineAssumptions!B7&amp;" - Replacement Costs"</f>
        <v>Shredder - Replacement Costs</v>
      </c>
      <c r="C121" s="41" t="str">
        <f>C72</f>
        <v>acre</v>
      </c>
      <c r="D121" s="34">
        <f>MachineAssumptions!U7</f>
        <v>4.3329737628911431</v>
      </c>
      <c r="E121" s="145">
        <f>E72</f>
        <v>0</v>
      </c>
      <c r="F121" s="42" t="str">
        <f t="shared" ref="F121:F134" si="14">IF(D121*E121=0,"0",D121*E121)</f>
        <v>0</v>
      </c>
      <c r="H121" s="166">
        <f>MachineAssumptions!U28*E121</f>
        <v>0</v>
      </c>
      <c r="I121" s="166">
        <f>MachineAssumptions!U48*E121</f>
        <v>0</v>
      </c>
    </row>
    <row r="122" spans="1:13" ht="20">
      <c r="A122" s="15"/>
      <c r="B122" s="18" t="str">
        <f>MachineAssumptions!B8&amp;" - Replacement Costs"</f>
        <v>Harrow - Replacement Costs</v>
      </c>
      <c r="C122" s="41" t="str">
        <f>C75</f>
        <v>acre</v>
      </c>
      <c r="D122" s="34">
        <f>MachineAssumptions!U8</f>
        <v>1.1988479209967022</v>
      </c>
      <c r="E122" s="145">
        <f>E75</f>
        <v>0</v>
      </c>
      <c r="F122" s="42" t="str">
        <f t="shared" si="14"/>
        <v>0</v>
      </c>
      <c r="H122" s="166">
        <f>MachineAssumptions!U29*E122</f>
        <v>0</v>
      </c>
      <c r="I122" s="166">
        <f>MachineAssumptions!U49*E122</f>
        <v>0</v>
      </c>
    </row>
    <row r="123" spans="1:13" ht="20">
      <c r="A123" s="15"/>
      <c r="B123" s="18" t="str">
        <f>MachineAssumptions!B9&amp;" - Replacement Costs"</f>
        <v>Chisel plow - Replacement Costs</v>
      </c>
      <c r="C123" s="41" t="str">
        <f>C78</f>
        <v>acre</v>
      </c>
      <c r="D123" s="34">
        <f>MachineAssumptions!U9</f>
        <v>0</v>
      </c>
      <c r="E123" s="145">
        <f>E78</f>
        <v>0</v>
      </c>
      <c r="F123" s="42" t="str">
        <f t="shared" si="14"/>
        <v>0</v>
      </c>
      <c r="H123" s="166">
        <f>MachineAssumptions!U30*E123</f>
        <v>0</v>
      </c>
      <c r="I123" s="166">
        <f>MachineAssumptions!U50*E123</f>
        <v>0</v>
      </c>
    </row>
    <row r="124" spans="1:13" ht="20">
      <c r="A124" s="15"/>
      <c r="B124" s="18" t="str">
        <f>MachineAssumptions!B10&amp;" - Replacement Costs"</f>
        <v>Moldboard plow - Replacement Costs</v>
      </c>
      <c r="C124" s="41" t="str">
        <f>C81</f>
        <v>acre</v>
      </c>
      <c r="D124" s="34">
        <f>MachineAssumptions!U10</f>
        <v>0</v>
      </c>
      <c r="E124" s="145">
        <f>E81</f>
        <v>0</v>
      </c>
      <c r="F124" s="42" t="str">
        <f t="shared" si="14"/>
        <v>0</v>
      </c>
      <c r="H124" s="166">
        <f>MachineAssumptions!U31*E124</f>
        <v>0</v>
      </c>
      <c r="I124" s="166">
        <f>MachineAssumptions!U51*E124</f>
        <v>0</v>
      </c>
    </row>
    <row r="125" spans="1:13" ht="20">
      <c r="A125" s="15"/>
      <c r="B125" s="18" t="str">
        <f>MachineAssumptions!B11&amp;" - Replacement Costs"</f>
        <v>Cultivator - Replacement Costs</v>
      </c>
      <c r="C125" s="41" t="str">
        <f t="shared" ref="C125:C126" si="15">C82</f>
        <v>acre</v>
      </c>
      <c r="D125" s="34">
        <f>MachineAssumptions!U11</f>
        <v>0</v>
      </c>
      <c r="E125" s="145">
        <f>E84</f>
        <v>0</v>
      </c>
      <c r="F125" s="42" t="str">
        <f t="shared" si="14"/>
        <v>0</v>
      </c>
      <c r="H125" s="166">
        <f>MachineAssumptions!U32*E125</f>
        <v>0</v>
      </c>
      <c r="I125" s="166">
        <f>MachineAssumptions!U52*E125</f>
        <v>0</v>
      </c>
    </row>
    <row r="126" spans="1:13" ht="20">
      <c r="A126" s="15"/>
      <c r="B126" s="18" t="str">
        <f>MachineAssumptions!B12&amp;" - Replacement Costs"</f>
        <v>Cultiweeder - Replacement Costs</v>
      </c>
      <c r="C126" s="41" t="str">
        <f t="shared" si="15"/>
        <v>acre</v>
      </c>
      <c r="D126" s="34">
        <f>MachineAssumptions!U12</f>
        <v>0</v>
      </c>
      <c r="E126" s="145">
        <f>E87</f>
        <v>0</v>
      </c>
      <c r="F126" s="42" t="str">
        <f t="shared" si="14"/>
        <v>0</v>
      </c>
      <c r="H126" s="166">
        <f>MachineAssumptions!U33*E126</f>
        <v>0</v>
      </c>
      <c r="I126" s="166">
        <f>MachineAssumptions!U53*E126</f>
        <v>0</v>
      </c>
    </row>
    <row r="127" spans="1:13" ht="20">
      <c r="A127" s="15"/>
      <c r="B127" s="18" t="str">
        <f>MachineAssumptions!B13&amp;" - Replacement Costs"</f>
        <v>Drill - Replacement Costs</v>
      </c>
      <c r="C127" s="41" t="str">
        <f>C90</f>
        <v>acre</v>
      </c>
      <c r="D127" s="34">
        <f>MachineAssumptions!U13</f>
        <v>7.2419265221735989</v>
      </c>
      <c r="E127" s="145">
        <f>E90</f>
        <v>1</v>
      </c>
      <c r="F127" s="42">
        <f t="shared" si="14"/>
        <v>7.2419265221735989</v>
      </c>
      <c r="H127" s="166">
        <f>MachineAssumptions!U34*E127</f>
        <v>7.2419265221735989</v>
      </c>
      <c r="I127" s="166">
        <f>MachineAssumptions!U54*E127</f>
        <v>7.2419265221735989</v>
      </c>
    </row>
    <row r="128" spans="1:13" ht="20">
      <c r="A128" s="15"/>
      <c r="B128" s="18" t="str">
        <f>MachineAssumptions!B14&amp;" - Replacement Costs"</f>
        <v>Combine w/ 36' header - Replacement Costs</v>
      </c>
      <c r="C128" s="41" t="str">
        <f>C93</f>
        <v>acre</v>
      </c>
      <c r="D128" s="34">
        <f>MachineAssumptions!U14</f>
        <v>9.7031999999999989</v>
      </c>
      <c r="E128" s="145">
        <f>E93</f>
        <v>1</v>
      </c>
      <c r="F128" s="42">
        <f t="shared" si="14"/>
        <v>9.7031999999999989</v>
      </c>
      <c r="H128" s="166">
        <f>MachineAssumptions!U35*E128</f>
        <v>9.7031999999999989</v>
      </c>
      <c r="I128" s="166">
        <f>MachineAssumptions!U55*E128</f>
        <v>9.7032000000000007</v>
      </c>
    </row>
    <row r="129" spans="1:13" ht="20">
      <c r="A129" s="15"/>
      <c r="B129" s="18" t="str">
        <f>MachineAssumptions!B16&amp;" - Replacement Costs"</f>
        <v>Fertilizer Spreader - Replacement Costs</v>
      </c>
      <c r="C129" s="41" t="str">
        <f>C96</f>
        <v>acre</v>
      </c>
      <c r="D129" s="34">
        <f>MachineAssumptions!U16</f>
        <v>0</v>
      </c>
      <c r="E129" s="145">
        <f>E96</f>
        <v>0</v>
      </c>
      <c r="F129" s="42" t="str">
        <f t="shared" si="14"/>
        <v>0</v>
      </c>
      <c r="H129" s="166">
        <f>MachineAssumptions!U36*E129</f>
        <v>0</v>
      </c>
      <c r="I129" s="166">
        <f>MachineAssumptions!U56*E129</f>
        <v>0</v>
      </c>
    </row>
    <row r="130" spans="1:13" ht="20">
      <c r="A130" s="15"/>
      <c r="B130" s="18" t="str">
        <f>MachineAssumptions!B17&amp;" - Replacement Costs"</f>
        <v>Fertilizer tanks and pump - Replacement Costs</v>
      </c>
      <c r="C130" s="41" t="str">
        <f>C99</f>
        <v>acre</v>
      </c>
      <c r="D130" s="34">
        <f>MachineAssumptions!U17</f>
        <v>0.6</v>
      </c>
      <c r="E130" s="145">
        <f>E99</f>
        <v>1</v>
      </c>
      <c r="F130" s="42">
        <f t="shared" si="14"/>
        <v>0.6</v>
      </c>
      <c r="H130" s="166">
        <f>MachineAssumptions!U37*E130</f>
        <v>0.6</v>
      </c>
      <c r="I130" s="166">
        <f>MachineAssumptions!U57*E130</f>
        <v>0.6</v>
      </c>
    </row>
    <row r="131" spans="1:13" ht="20">
      <c r="A131" s="15"/>
      <c r="B131" s="18" t="str">
        <f>MachineAssumptions!B18&amp;" - Replacement Costs"</f>
        <v>Boom sprayer - Replacement Costs</v>
      </c>
      <c r="C131" s="41" t="str">
        <f>C102</f>
        <v>acre</v>
      </c>
      <c r="D131" s="34">
        <f>MachineAssumptions!U18</f>
        <v>0.80913316225248511</v>
      </c>
      <c r="E131" s="145">
        <f>E102</f>
        <v>2</v>
      </c>
      <c r="F131" s="42">
        <f t="shared" si="14"/>
        <v>1.6182663245049702</v>
      </c>
      <c r="H131" s="166">
        <f>MachineAssumptions!U38*E131</f>
        <v>1.6180237561339832</v>
      </c>
      <c r="I131" s="166">
        <f>MachineAssumptions!U58*E131</f>
        <v>1.6182663245049702</v>
      </c>
    </row>
    <row r="132" spans="1:13" ht="20">
      <c r="A132" s="15"/>
      <c r="B132" s="18" t="str">
        <f>MachineAssumptions!B15&amp;" - Replacement Costs"</f>
        <v>Bankout Wagon - Replacement Costs</v>
      </c>
      <c r="C132" s="41" t="str">
        <f>C105</f>
        <v>acre</v>
      </c>
      <c r="D132" s="34">
        <f>MachineAssumptions!U15</f>
        <v>2.9461434675395459</v>
      </c>
      <c r="E132" s="145">
        <f>E105</f>
        <v>1</v>
      </c>
      <c r="F132" s="42">
        <f t="shared" si="14"/>
        <v>2.9461434675395459</v>
      </c>
      <c r="H132" s="166">
        <f>MachineAssumptions!U39*E132</f>
        <v>2.9461434675395459</v>
      </c>
      <c r="I132" s="166">
        <f>MachineAssumptions!U59*E132</f>
        <v>2.9461434675395459</v>
      </c>
    </row>
    <row r="133" spans="1:13" ht="20">
      <c r="A133" s="15"/>
      <c r="B133" s="18" t="str">
        <f>MachineAssumptions!B19&amp;" - Replacement Costs"</f>
        <v>Tandem Axle Truck  - Replacement Costs</v>
      </c>
      <c r="C133" s="41" t="str">
        <f>C108</f>
        <v>acre</v>
      </c>
      <c r="D133" s="34">
        <f>MachineAssumptions!U19</f>
        <v>0.64</v>
      </c>
      <c r="E133" s="145">
        <f>E108</f>
        <v>1</v>
      </c>
      <c r="F133" s="42">
        <f t="shared" si="14"/>
        <v>0.64</v>
      </c>
      <c r="H133" s="166">
        <f>MachineAssumptions!U40*E133</f>
        <v>0.64</v>
      </c>
      <c r="I133" s="166">
        <f>MachineAssumptions!U60*E133</f>
        <v>0.64</v>
      </c>
    </row>
    <row r="134" spans="1:13" ht="23">
      <c r="A134" s="15"/>
      <c r="B134" s="18" t="str">
        <f>MachineAssumptions!B20&amp;" - Replacement Costs"</f>
        <v>Tandem Axle Truck  - Replacement Costs</v>
      </c>
      <c r="C134" s="41" t="str">
        <f t="shared" ref="C134" si="16">C111</f>
        <v>acre</v>
      </c>
      <c r="D134" s="34">
        <f>MachineAssumptions!U20</f>
        <v>0.64</v>
      </c>
      <c r="E134" s="145">
        <f t="shared" ref="E134" si="17">E111</f>
        <v>1</v>
      </c>
      <c r="F134" s="43">
        <f t="shared" si="14"/>
        <v>0.64</v>
      </c>
      <c r="H134" s="247">
        <f>MachineAssumptions!U41*E134</f>
        <v>0.64</v>
      </c>
      <c r="I134" s="247">
        <f>MachineAssumptions!U61*E134</f>
        <v>0.64</v>
      </c>
    </row>
    <row r="135" spans="1:13" ht="20">
      <c r="A135" s="15"/>
      <c r="B135" s="144" t="s">
        <v>38</v>
      </c>
      <c r="C135" s="29"/>
      <c r="D135" s="30"/>
      <c r="E135" s="29"/>
      <c r="F135" s="46">
        <f>SUM(F121:F134)</f>
        <v>23.389536314218116</v>
      </c>
      <c r="H135" s="46">
        <f t="shared" ref="H135:I135" si="18">SUM(H121:H134)</f>
        <v>23.38929374584713</v>
      </c>
      <c r="I135" s="46">
        <f t="shared" si="18"/>
        <v>23.389536314218116</v>
      </c>
      <c r="L135" s="1">
        <f>(H135-F135)/F135</f>
        <v>-1.0370807173225314E-5</v>
      </c>
      <c r="M135" s="1">
        <f>(I135-F135)/F135</f>
        <v>0</v>
      </c>
    </row>
    <row r="136" spans="1:13" ht="20">
      <c r="A136" s="15"/>
      <c r="B136" s="16"/>
      <c r="C136" s="16"/>
      <c r="D136" s="17"/>
      <c r="E136" s="16"/>
      <c r="F136" s="113"/>
    </row>
    <row r="137" spans="1:13" ht="20">
      <c r="A137" s="15"/>
      <c r="B137" s="14" t="s">
        <v>31</v>
      </c>
      <c r="C137" s="29"/>
      <c r="D137" s="30"/>
      <c r="E137" s="29"/>
      <c r="F137" s="47">
        <f>F118+F135</f>
        <v>238.41762490846429</v>
      </c>
      <c r="H137" s="47">
        <f>SUM(F16:F70)+H114+F115+H116+H117+H135+F8+(H9*D9)+(H10*D10)+(H11*D11)+(H12*D12)+(H13*D13)+(H14*D14)+(H15*D15)</f>
        <v>238.42803791997594</v>
      </c>
      <c r="I137" s="47">
        <f>SUM(F16:F70)+I114+F115+I116+I117+I135+F8+(I9*D9)+(I10*D10)+(I11*D11)+(I12*D12)+(I13*D13)+(I14*D14)+(I15*D15)</f>
        <v>235.61258212245778</v>
      </c>
    </row>
    <row r="138" spans="1:13" ht="21">
      <c r="A138" s="15"/>
      <c r="B138" s="31" t="s">
        <v>32</v>
      </c>
      <c r="C138" s="32"/>
      <c r="D138" s="33"/>
      <c r="E138" s="32"/>
      <c r="F138" s="48">
        <f>F5-F137</f>
        <v>-14.41762490846429</v>
      </c>
      <c r="H138" s="250">
        <f>H5-H137</f>
        <v>-14.428037919975935</v>
      </c>
      <c r="I138" s="250">
        <f>I5-I137</f>
        <v>-11.612582122457781</v>
      </c>
    </row>
  </sheetData>
  <mergeCells count="1">
    <mergeCell ref="B2:F2"/>
  </mergeCells>
  <pageMargins left="0.7" right="0.7" top="0.75" bottom="0.75" header="0.3" footer="0.3"/>
  <pageSetup scale="62" orientation="portrait" horizontalDpi="0" verticalDpi="0"/>
  <ignoredErrors>
    <ignoredError sqref="B135:F138 B114:F114 B60:D60 B90:B113 B116:F116 B115:D115 B127:C134 E127:G134 E121:F123 E124:G124 B121:C124 B84:B89 B125:F126 C13:D13 B62:E62 C14:D14 B118:F120 B117:E117 C9:D9 C10:D10 C11:D11 C12:D12 F14 B61:D61 E4:F4 B5:F7 B3:F3 B4:D4 C8:F8 B71:E71 B63:C63 B64:C64 B65:C65 B66:C66 B67:C67 B68:C68 B69:C69 B70:C70 D63:E70 B2 B73:B83 B72 D72:E72 D90:E113 D84:F89 D73:E83 B57:D57 B56:D56 B55:D55 B54:D54 B51:D51 B50:D50 B49:D49 B48:D48 B47:D47 B46:D46 B45:D45 B44:D44 B43:D43 B42:D42 B40:D40 B39:D39 B38:D38 B37:D37 B36:D36 B35:D35 B34:D34 B33:D33 B31:D31 B30:D30 B29:D29 B28:D28 B27:D27 B26:D26 B25:D25 B24:D24 B23:D23 B22:D22 B21:D21 B16:G20 B32:G32 E21:G21 E22:G22 E23:G23 E24:G24 E25:G25 E26:G26 E27:G27 E28:G28 E29:G29 E30:G30 E31:G31 B41:G41 E33:G33 E34:G34 E35:G35 E36:G36 E37:G37 E38:G38 E39:G39 E40:G40 B52:G53 E42:G42 E43:G43 E44:G44 E45:G45 E46:G46 E47:G47 E48:G48 E49:G49 E50:G50 E51:G51 B58:G59 E54:G54 E55:G55 E56:G56 E57:G57 E115 C15:G15 B9:B15" unlockedFormula="1"/>
    <ignoredError sqref="D127:D134 D121:D124" formula="1" unlockedFormula="1"/>
  </ignoredErrors>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67186-915E-334F-AE5A-0F64A1C0D1E8}">
  <sheetPr codeName="Sheet32">
    <pageSetUpPr fitToPage="1"/>
  </sheetPr>
  <dimension ref="A1:S138"/>
  <sheetViews>
    <sheetView zoomScale="120" zoomScaleNormal="120" workbookViewId="0">
      <selection activeCell="B2" sqref="B2:F2"/>
    </sheetView>
  </sheetViews>
  <sheetFormatPr baseColWidth="10" defaultColWidth="11.5" defaultRowHeight="15"/>
  <cols>
    <col min="1" max="1" width="4.83203125" style="1" customWidth="1"/>
    <col min="2" max="2" width="57.83203125" style="1" customWidth="1"/>
    <col min="3" max="6" width="12.83203125" style="1" customWidth="1"/>
    <col min="7" max="16" width="11.5" style="1" hidden="1" customWidth="1"/>
    <col min="17" max="17" width="0" style="1" hidden="1" customWidth="1"/>
    <col min="18" max="16384" width="11.5" style="1"/>
  </cols>
  <sheetData>
    <row r="1" spans="1:19" ht="20">
      <c r="A1" s="352" t="s">
        <v>8</v>
      </c>
      <c r="B1" s="27"/>
      <c r="C1" s="16"/>
      <c r="D1" s="17"/>
      <c r="E1" s="16"/>
      <c r="F1" s="16"/>
    </row>
    <row r="2" spans="1:19" ht="20">
      <c r="A2" s="15"/>
      <c r="B2" s="807" t="str">
        <f>'Prices_Yields&amp;SeedInputs'!B11&amp;", Cash Costs and Returns of Producing, $/acre."</f>
        <v>Chickpea after Cereal, Cash Costs and Returns of Producing, $/acre.</v>
      </c>
      <c r="C2" s="807"/>
      <c r="D2" s="807"/>
      <c r="E2" s="807"/>
      <c r="F2" s="807"/>
    </row>
    <row r="3" spans="1:19" ht="20">
      <c r="A3" s="15"/>
      <c r="B3" s="131" t="s">
        <v>11</v>
      </c>
      <c r="C3" s="24" t="s">
        <v>2</v>
      </c>
      <c r="D3" s="25" t="s">
        <v>12</v>
      </c>
      <c r="E3" s="26" t="s">
        <v>13</v>
      </c>
      <c r="F3" s="26" t="s">
        <v>0</v>
      </c>
      <c r="H3" s="1" t="str">
        <f>'Prices_Yields&amp;SeedInputs'!F3</f>
        <v>Incremental Rotation</v>
      </c>
      <c r="I3" s="1" t="str">
        <f>'Prices_Yields&amp;SeedInputs'!G3</f>
        <v>Aspirational Rotation</v>
      </c>
      <c r="R3" s="674"/>
      <c r="S3" s="674"/>
    </row>
    <row r="4" spans="1:19" ht="20">
      <c r="A4" s="15"/>
      <c r="B4" s="127" t="str">
        <f>'Prices_Yields&amp;SeedInputs'!B11</f>
        <v>Chickpea after Cereal</v>
      </c>
      <c r="C4" s="22" t="str">
        <f>'Prices_Yields&amp;SeedInputs'!C11</f>
        <v>lb</v>
      </c>
      <c r="D4" s="17">
        <f>'Prices_Yields&amp;SeedInputs'!D11</f>
        <v>0.16</v>
      </c>
      <c r="E4" s="90">
        <f>'Prices_Yields&amp;SeedInputs'!E11</f>
        <v>1400</v>
      </c>
      <c r="F4" s="35">
        <f>D4*E4</f>
        <v>224</v>
      </c>
      <c r="R4" s="674"/>
      <c r="S4" s="674"/>
    </row>
    <row r="5" spans="1:19" ht="20">
      <c r="A5" s="15"/>
      <c r="B5" s="14" t="s">
        <v>14</v>
      </c>
      <c r="C5" s="29"/>
      <c r="D5" s="30"/>
      <c r="E5" s="29"/>
      <c r="F5" s="46">
        <f>SUM(F4:F4)</f>
        <v>224</v>
      </c>
      <c r="H5" s="1">
        <f>D4*'Prices_Yields&amp;SeedInputs'!F11</f>
        <v>224</v>
      </c>
      <c r="I5" s="1">
        <f>D4*'Prices_Yields&amp;SeedInputs'!G11</f>
        <v>224</v>
      </c>
      <c r="R5" s="674"/>
      <c r="S5" s="674"/>
    </row>
    <row r="6" spans="1:19" ht="20">
      <c r="A6" s="15"/>
      <c r="B6" s="16"/>
      <c r="C6" s="16"/>
      <c r="D6" s="17"/>
      <c r="E6" s="16"/>
      <c r="F6" s="44"/>
    </row>
    <row r="7" spans="1:19" ht="20">
      <c r="A7" s="15"/>
      <c r="B7" s="132" t="s">
        <v>37</v>
      </c>
      <c r="C7" s="19" t="s">
        <v>2</v>
      </c>
      <c r="D7" s="20" t="s">
        <v>12</v>
      </c>
      <c r="E7" s="21" t="s">
        <v>13</v>
      </c>
      <c r="F7" s="45" t="s">
        <v>0</v>
      </c>
    </row>
    <row r="8" spans="1:19" ht="20">
      <c r="A8" s="15"/>
      <c r="B8" s="126" t="s">
        <v>169</v>
      </c>
      <c r="C8" s="119" t="str">
        <f>'Prices_Yields&amp;SeedInputs'!H11</f>
        <v>pound</v>
      </c>
      <c r="D8" s="120">
        <f>'Prices_Yields&amp;SeedInputs'!I11</f>
        <v>0.53</v>
      </c>
      <c r="E8" s="121">
        <f>'Prices_Yields&amp;SeedInputs'!J11</f>
        <v>130</v>
      </c>
      <c r="F8" s="117">
        <f t="shared" ref="F8:F61" si="0">IF(D8*E8=0,"0",D8*E8)</f>
        <v>68.900000000000006</v>
      </c>
    </row>
    <row r="9" spans="1:19" ht="20">
      <c r="A9" s="15"/>
      <c r="B9" s="85" t="str">
        <f>'Chem&amp;FertInputs&amp;CInsurance'!B6</f>
        <v>Fertilizer - Nitrogen-</v>
      </c>
      <c r="C9" s="23" t="str">
        <f>'Chem&amp;FertInputs&amp;CInsurance'!D6</f>
        <v>pound</v>
      </c>
      <c r="D9" s="116">
        <f>'Chem&amp;FertInputs&amp;CInsurance'!E6</f>
        <v>0.48749999999999999</v>
      </c>
      <c r="E9" s="133">
        <f>'Chem&amp;FertInputs&amp;CInsurance'!L6</f>
        <v>0</v>
      </c>
      <c r="F9" s="117" t="str">
        <f t="shared" si="0"/>
        <v>0</v>
      </c>
      <c r="H9" s="1">
        <f>'Chem&amp;FertInputs&amp;CInsurance'!L7</f>
        <v>0</v>
      </c>
      <c r="I9" s="1">
        <f>'Chem&amp;FertInputs&amp;CInsurance'!L8</f>
        <v>0</v>
      </c>
    </row>
    <row r="10" spans="1:19" ht="20">
      <c r="A10" s="15"/>
      <c r="B10" s="85" t="str">
        <f>'Chem&amp;FertInputs&amp;CInsurance'!B9</f>
        <v>Fertilizer - Anhydrous Ammonia-</v>
      </c>
      <c r="C10" s="23" t="str">
        <f>'Chem&amp;FertInputs&amp;CInsurance'!D9</f>
        <v>pound</v>
      </c>
      <c r="D10" s="116">
        <f>'Chem&amp;FertInputs&amp;CInsurance'!E9</f>
        <v>0.75770000000000004</v>
      </c>
      <c r="E10" s="133">
        <f>'Chem&amp;FertInputs&amp;CInsurance'!L9</f>
        <v>0</v>
      </c>
      <c r="F10" s="117" t="str">
        <f t="shared" si="0"/>
        <v>0</v>
      </c>
      <c r="H10" s="1">
        <f>'Chem&amp;FertInputs&amp;CInsurance'!L10</f>
        <v>0</v>
      </c>
      <c r="I10" s="1">
        <f>'Chem&amp;FertInputs&amp;CInsurance'!L11</f>
        <v>0</v>
      </c>
    </row>
    <row r="11" spans="1:19" ht="20">
      <c r="A11" s="15"/>
      <c r="B11" s="85" t="str">
        <f>'Chem&amp;FertInputs&amp;CInsurance'!B12</f>
        <v xml:space="preserve">Fertilizer - Phosphorus- </v>
      </c>
      <c r="C11" s="23" t="str">
        <f>'Chem&amp;FertInputs&amp;CInsurance'!D12</f>
        <v>pound</v>
      </c>
      <c r="D11" s="116">
        <f>'Chem&amp;FertInputs&amp;CInsurance'!E12</f>
        <v>0.47499999999999998</v>
      </c>
      <c r="E11" s="133">
        <f>'Chem&amp;FertInputs&amp;CInsurance'!L12</f>
        <v>0</v>
      </c>
      <c r="F11" s="117" t="str">
        <f t="shared" si="0"/>
        <v>0</v>
      </c>
      <c r="H11" s="1">
        <f>'Chem&amp;FertInputs&amp;CInsurance'!L13</f>
        <v>0</v>
      </c>
      <c r="I11" s="1">
        <f>'Chem&amp;FertInputs&amp;CInsurance'!L14</f>
        <v>0</v>
      </c>
    </row>
    <row r="12" spans="1:19" ht="20">
      <c r="A12" s="15"/>
      <c r="B12" s="85" t="str">
        <f>'Chem&amp;FertInputs&amp;CInsurance'!B15</f>
        <v>Fertilizer - Potassium-</v>
      </c>
      <c r="C12" s="23" t="str">
        <f>'Chem&amp;FertInputs&amp;CInsurance'!D15</f>
        <v>pound</v>
      </c>
      <c r="D12" s="116">
        <f>'Chem&amp;FertInputs&amp;CInsurance'!E15</f>
        <v>0.441</v>
      </c>
      <c r="E12" s="133">
        <f>'Chem&amp;FertInputs&amp;CInsurance'!L15</f>
        <v>0</v>
      </c>
      <c r="F12" s="117" t="str">
        <f t="shared" si="0"/>
        <v>0</v>
      </c>
      <c r="H12" s="1">
        <f>'Chem&amp;FertInputs&amp;CInsurance'!L16</f>
        <v>0</v>
      </c>
      <c r="I12" s="1">
        <f>'Chem&amp;FertInputs&amp;CInsurance'!L17</f>
        <v>0</v>
      </c>
    </row>
    <row r="13" spans="1:19" ht="20">
      <c r="A13" s="15"/>
      <c r="B13" s="85" t="str">
        <f>'Chem&amp;FertInputs&amp;CInsurance'!B18</f>
        <v>Fertilizer - Sulfur-</v>
      </c>
      <c r="C13" s="23" t="str">
        <f>'Chem&amp;FertInputs&amp;CInsurance'!D18</f>
        <v>pound</v>
      </c>
      <c r="D13" s="116">
        <f>'Chem&amp;FertInputs&amp;CInsurance'!E18</f>
        <v>0.2555</v>
      </c>
      <c r="E13" s="133">
        <f>'Chem&amp;FertInputs&amp;CInsurance'!L18</f>
        <v>0</v>
      </c>
      <c r="F13" s="117" t="str">
        <f t="shared" si="0"/>
        <v>0</v>
      </c>
      <c r="H13" s="1">
        <f>'Chem&amp;FertInputs&amp;CInsurance'!L19</f>
        <v>0</v>
      </c>
      <c r="I13" s="1">
        <f>'Chem&amp;FertInputs&amp;CInsurance'!L20</f>
        <v>0</v>
      </c>
    </row>
    <row r="14" spans="1:19" ht="20">
      <c r="A14" s="15"/>
      <c r="B14" s="85" t="str">
        <f>'Chem&amp;FertInputs&amp;CInsurance'!B21</f>
        <v>Adjuvant - Ammonium Sulfate liquid-</v>
      </c>
      <c r="C14" s="23" t="str">
        <f>'Chem&amp;FertInputs&amp;CInsurance'!D21</f>
        <v>oz</v>
      </c>
      <c r="D14" s="116">
        <f>'Chem&amp;FertInputs&amp;CInsurance'!E21</f>
        <v>0.48</v>
      </c>
      <c r="E14" s="133">
        <f>'Chem&amp;FertInputs&amp;CInsurance'!L21</f>
        <v>3.4</v>
      </c>
      <c r="F14" s="117">
        <f t="shared" ref="F14:F20" si="1">IF(D14*E14=0,"0",D14*E14)</f>
        <v>1.6319999999999999</v>
      </c>
      <c r="G14" s="165">
        <f>E14/128</f>
        <v>2.6562499999999999E-2</v>
      </c>
      <c r="H14" s="1">
        <f>'Chem&amp;FertInputs&amp;CInsurance'!L22</f>
        <v>3.4</v>
      </c>
      <c r="I14" s="1">
        <f>'Chem&amp;FertInputs&amp;CInsurance'!L23</f>
        <v>3.4</v>
      </c>
    </row>
    <row r="15" spans="1:19" ht="20">
      <c r="A15" s="15"/>
      <c r="B15" s="85" t="str">
        <f>'Chem&amp;FertInputs&amp;CInsurance'!B24</f>
        <v>Adjuvant - Ammonium Sulfate  (other)-</v>
      </c>
      <c r="C15" s="23" t="str">
        <f>'Chem&amp;FertInputs&amp;CInsurance'!D24</f>
        <v>pound</v>
      </c>
      <c r="D15" s="116">
        <f>'Chem&amp;FertInputs&amp;CInsurance'!E24</f>
        <v>0.71</v>
      </c>
      <c r="E15" s="133">
        <f>'Chem&amp;FertInputs&amp;CInsurance'!L24</f>
        <v>0</v>
      </c>
      <c r="F15" s="117" t="str">
        <f t="shared" si="1"/>
        <v>0</v>
      </c>
      <c r="G15" s="165">
        <f>E15/16</f>
        <v>0</v>
      </c>
      <c r="H15" s="1">
        <f>'Chem&amp;FertInputs&amp;CInsurance'!L25</f>
        <v>0</v>
      </c>
      <c r="I15" s="1">
        <f>'Chem&amp;FertInputs&amp;CInsurance'!L26</f>
        <v>0</v>
      </c>
    </row>
    <row r="16" spans="1:19" ht="20">
      <c r="A16" s="15"/>
      <c r="B16" s="85" t="str">
        <f>'Chem&amp;FertInputs&amp;CInsurance'!C27</f>
        <v xml:space="preserve">crop oil concentrate </v>
      </c>
      <c r="C16" s="23" t="str">
        <f>'Chem&amp;FertInputs&amp;CInsurance'!D27</f>
        <v>pint</v>
      </c>
      <c r="D16" s="116">
        <f>'Chem&amp;FertInputs&amp;CInsurance'!E27</f>
        <v>1.6559999999999999</v>
      </c>
      <c r="E16" s="133">
        <f>'Chem&amp;FertInputs&amp;CInsurance'!L27</f>
        <v>0</v>
      </c>
      <c r="F16" s="117" t="str">
        <f t="shared" si="1"/>
        <v>0</v>
      </c>
      <c r="G16" s="165">
        <f>E16/8</f>
        <v>0</v>
      </c>
    </row>
    <row r="17" spans="1:7" ht="20">
      <c r="A17" s="15"/>
      <c r="B17" s="85" t="str">
        <f>'Chem&amp;FertInputs&amp;CInsurance'!C28</f>
        <v>In-place</v>
      </c>
      <c r="C17" s="23" t="str">
        <f>'Chem&amp;FertInputs&amp;CInsurance'!D28</f>
        <v>oz</v>
      </c>
      <c r="D17" s="116">
        <f>'Chem&amp;FertInputs&amp;CInsurance'!E28</f>
        <v>0.35649999999999998</v>
      </c>
      <c r="E17" s="133">
        <f>'Chem&amp;FertInputs&amp;CInsurance'!L28</f>
        <v>0</v>
      </c>
      <c r="F17" s="117" t="str">
        <f t="shared" si="1"/>
        <v>0</v>
      </c>
      <c r="G17" s="165">
        <f>E17/128</f>
        <v>0</v>
      </c>
    </row>
    <row r="18" spans="1:7" ht="20">
      <c r="A18" s="15"/>
      <c r="B18" s="85" t="str">
        <f>'Chem&amp;FertInputs&amp;CInsurance'!C29</f>
        <v xml:space="preserve">M90 </v>
      </c>
      <c r="C18" s="23" t="str">
        <f>'Chem&amp;FertInputs&amp;CInsurance'!D29</f>
        <v>oz</v>
      </c>
      <c r="D18" s="116">
        <f>'Chem&amp;FertInputs&amp;CInsurance'!E29</f>
        <v>0.253</v>
      </c>
      <c r="E18" s="133">
        <f>'Chem&amp;FertInputs&amp;CInsurance'!L29</f>
        <v>3</v>
      </c>
      <c r="F18" s="117">
        <f t="shared" si="1"/>
        <v>0.75900000000000001</v>
      </c>
      <c r="G18" s="165">
        <f>E18/128</f>
        <v>2.34375E-2</v>
      </c>
    </row>
    <row r="19" spans="1:7" ht="20">
      <c r="A19" s="15"/>
      <c r="B19" s="85" t="str">
        <f>'Chem&amp;FertInputs&amp;CInsurance'!C30</f>
        <v>Surfactant</v>
      </c>
      <c r="C19" s="23" t="str">
        <f>'Chem&amp;FertInputs&amp;CInsurance'!D30</f>
        <v>oz</v>
      </c>
      <c r="D19" s="116">
        <f>'Chem&amp;FertInputs&amp;CInsurance'!E30</f>
        <v>0.26450000000000001</v>
      </c>
      <c r="E19" s="133">
        <f>'Chem&amp;FertInputs&amp;CInsurance'!L30</f>
        <v>0</v>
      </c>
      <c r="F19" s="117" t="str">
        <f t="shared" si="1"/>
        <v>0</v>
      </c>
      <c r="G19" s="165">
        <f>E19/128</f>
        <v>0</v>
      </c>
    </row>
    <row r="20" spans="1:7" ht="20">
      <c r="A20" s="15"/>
      <c r="B20" s="85" t="str">
        <f>'Chem&amp;FertInputs&amp;CInsurance'!C31</f>
        <v>Syltac sticker</v>
      </c>
      <c r="C20" s="23" t="str">
        <f>'Chem&amp;FertInputs&amp;CInsurance'!D31</f>
        <v>pint</v>
      </c>
      <c r="D20" s="116">
        <f>'Chem&amp;FertInputs&amp;CInsurance'!E31</f>
        <v>7.1874999999999991</v>
      </c>
      <c r="E20" s="133">
        <f>'Chem&amp;FertInputs&amp;CInsurance'!L31</f>
        <v>0</v>
      </c>
      <c r="F20" s="117" t="str">
        <f t="shared" si="1"/>
        <v>0</v>
      </c>
      <c r="G20" s="165">
        <f>E20/8</f>
        <v>0</v>
      </c>
    </row>
    <row r="21" spans="1:7" ht="20">
      <c r="A21" s="15"/>
      <c r="B21" s="85" t="str">
        <f>'Chem&amp;FertInputs&amp;CInsurance'!C33</f>
        <v>2,4 - D</v>
      </c>
      <c r="C21" s="23" t="str">
        <f>'Chem&amp;FertInputs&amp;CInsurance'!D33</f>
        <v>oz</v>
      </c>
      <c r="D21" s="116">
        <f>'Chem&amp;FertInputs&amp;CInsurance'!E33</f>
        <v>0.33349999999999996</v>
      </c>
      <c r="E21" s="133">
        <f>'Chem&amp;FertInputs&amp;CInsurance'!L33</f>
        <v>0</v>
      </c>
      <c r="F21" s="117" t="str">
        <f t="shared" si="0"/>
        <v>0</v>
      </c>
      <c r="G21" s="165">
        <f t="shared" ref="G21:G30" si="2">E21/128</f>
        <v>0</v>
      </c>
    </row>
    <row r="22" spans="1:7" ht="20">
      <c r="A22" s="15"/>
      <c r="B22" s="85" t="str">
        <f>'Chem&amp;FertInputs&amp;CInsurance'!C34</f>
        <v>Achieve SC</v>
      </c>
      <c r="C22" s="23" t="str">
        <f>'Chem&amp;FertInputs&amp;CInsurance'!D34</f>
        <v>oz</v>
      </c>
      <c r="D22" s="116">
        <f>'Chem&amp;FertInputs&amp;CInsurance'!E34</f>
        <v>1.3454999999999999</v>
      </c>
      <c r="E22" s="133">
        <f>'Chem&amp;FertInputs&amp;CInsurance'!L34</f>
        <v>0</v>
      </c>
      <c r="F22" s="117" t="str">
        <f t="shared" si="0"/>
        <v>0</v>
      </c>
      <c r="G22" s="165">
        <f t="shared" si="2"/>
        <v>0</v>
      </c>
    </row>
    <row r="23" spans="1:7" ht="20">
      <c r="A23" s="15"/>
      <c r="B23" s="85" t="str">
        <f>'Chem&amp;FertInputs&amp;CInsurance'!C35</f>
        <v>Affintity TankMix</v>
      </c>
      <c r="C23" s="23" t="str">
        <f>'Chem&amp;FertInputs&amp;CInsurance'!D35</f>
        <v>oz</v>
      </c>
      <c r="D23" s="116">
        <f>'Chem&amp;FertInputs&amp;CInsurance'!E35</f>
        <v>8.9699999999999989</v>
      </c>
      <c r="E23" s="133">
        <f>'Chem&amp;FertInputs&amp;CInsurance'!L35</f>
        <v>0</v>
      </c>
      <c r="F23" s="117" t="str">
        <f t="shared" si="0"/>
        <v>0</v>
      </c>
      <c r="G23" s="165">
        <f t="shared" si="2"/>
        <v>0</v>
      </c>
    </row>
    <row r="24" spans="1:7" ht="20">
      <c r="A24" s="15"/>
      <c r="B24" s="85" t="str">
        <f>'Chem&amp;FertInputs&amp;CInsurance'!C36</f>
        <v xml:space="preserve">Ally </v>
      </c>
      <c r="C24" s="23" t="str">
        <f>'Chem&amp;FertInputs&amp;CInsurance'!D36</f>
        <v>oz</v>
      </c>
      <c r="D24" s="116">
        <f>'Chem&amp;FertInputs&amp;CInsurance'!E36</f>
        <v>1.7249999999999999</v>
      </c>
      <c r="E24" s="133">
        <f>'Chem&amp;FertInputs&amp;CInsurance'!L36</f>
        <v>0</v>
      </c>
      <c r="F24" s="117" t="str">
        <f t="shared" si="0"/>
        <v>0</v>
      </c>
      <c r="G24" s="165">
        <f t="shared" si="2"/>
        <v>0</v>
      </c>
    </row>
    <row r="25" spans="1:7" ht="20">
      <c r="A25" s="15"/>
      <c r="B25" s="85" t="str">
        <f>'Chem&amp;FertInputs&amp;CInsurance'!C37</f>
        <v>Assure</v>
      </c>
      <c r="C25" s="23" t="str">
        <f>'Chem&amp;FertInputs&amp;CInsurance'!D37</f>
        <v>oz</v>
      </c>
      <c r="D25" s="116">
        <f>'Chem&amp;FertInputs&amp;CInsurance'!E37</f>
        <v>0.98899999999999988</v>
      </c>
      <c r="E25" s="133">
        <f>'Chem&amp;FertInputs&amp;CInsurance'!L37</f>
        <v>0</v>
      </c>
      <c r="F25" s="117" t="str">
        <f t="shared" si="0"/>
        <v>0</v>
      </c>
      <c r="G25" s="165">
        <f t="shared" si="2"/>
        <v>0</v>
      </c>
    </row>
    <row r="26" spans="1:7" ht="20">
      <c r="A26" s="15"/>
      <c r="B26" s="85" t="str">
        <f>'Chem&amp;FertInputs&amp;CInsurance'!C38</f>
        <v>Axial Star</v>
      </c>
      <c r="C26" s="23" t="str">
        <f>'Chem&amp;FertInputs&amp;CInsurance'!D38</f>
        <v>oz</v>
      </c>
      <c r="D26" s="116">
        <f>'Chem&amp;FertInputs&amp;CInsurance'!E38</f>
        <v>1.3224999999999998</v>
      </c>
      <c r="E26" s="133">
        <f>'Chem&amp;FertInputs&amp;CInsurance'!L38</f>
        <v>0</v>
      </c>
      <c r="F26" s="117" t="str">
        <f t="shared" si="0"/>
        <v>0</v>
      </c>
      <c r="G26" s="165">
        <f t="shared" si="2"/>
        <v>0</v>
      </c>
    </row>
    <row r="27" spans="1:7" ht="20">
      <c r="A27" s="15"/>
      <c r="B27" s="85" t="str">
        <f>'Chem&amp;FertInputs&amp;CInsurance'!C39</f>
        <v>Axial Bold</v>
      </c>
      <c r="C27" s="23" t="str">
        <f>'Chem&amp;FertInputs&amp;CInsurance'!D39</f>
        <v>oz</v>
      </c>
      <c r="D27" s="116">
        <f>'Chem&amp;FertInputs&amp;CInsurance'!E39</f>
        <v>1.0924999999999998</v>
      </c>
      <c r="E27" s="133">
        <f>'Chem&amp;FertInputs&amp;CInsurance'!L39</f>
        <v>0</v>
      </c>
      <c r="F27" s="117" t="str">
        <f t="shared" si="0"/>
        <v>0</v>
      </c>
      <c r="G27" s="165">
        <f t="shared" si="2"/>
        <v>0</v>
      </c>
    </row>
    <row r="28" spans="1:7" ht="20">
      <c r="A28" s="15"/>
      <c r="B28" s="85" t="str">
        <f>'Chem&amp;FertInputs&amp;CInsurance'!C40</f>
        <v>Bronate</v>
      </c>
      <c r="C28" s="23" t="str">
        <f>'Chem&amp;FertInputs&amp;CInsurance'!D40</f>
        <v>oz</v>
      </c>
      <c r="D28" s="116">
        <f>'Chem&amp;FertInputs&amp;CInsurance'!E40</f>
        <v>7.911999999999999</v>
      </c>
      <c r="E28" s="133">
        <f>'Chem&amp;FertInputs&amp;CInsurance'!L40</f>
        <v>0</v>
      </c>
      <c r="F28" s="117" t="str">
        <f t="shared" si="0"/>
        <v>0</v>
      </c>
      <c r="G28" s="165">
        <f t="shared" si="2"/>
        <v>0</v>
      </c>
    </row>
    <row r="29" spans="1:7" ht="20">
      <c r="A29" s="15"/>
      <c r="B29" s="85" t="str">
        <f>'Chem&amp;FertInputs&amp;CInsurance'!C41</f>
        <v xml:space="preserve">Brox M </v>
      </c>
      <c r="C29" s="23" t="str">
        <f>'Chem&amp;FertInputs&amp;CInsurance'!D41</f>
        <v>oz</v>
      </c>
      <c r="D29" s="116">
        <f>'Chem&amp;FertInputs&amp;CInsurance'!E41</f>
        <v>0.42549999999999999</v>
      </c>
      <c r="E29" s="133">
        <f>'Chem&amp;FertInputs&amp;CInsurance'!L41</f>
        <v>0</v>
      </c>
      <c r="F29" s="117" t="str">
        <f t="shared" si="0"/>
        <v>0</v>
      </c>
      <c r="G29" s="165">
        <f t="shared" si="2"/>
        <v>0</v>
      </c>
    </row>
    <row r="30" spans="1:7" ht="20">
      <c r="A30" s="15"/>
      <c r="B30" s="85" t="str">
        <f>'Chem&amp;FertInputs&amp;CInsurance'!C42</f>
        <v>Capture</v>
      </c>
      <c r="C30" s="23" t="str">
        <f>'Chem&amp;FertInputs&amp;CInsurance'!D42</f>
        <v>oz</v>
      </c>
      <c r="D30" s="116">
        <f>'Chem&amp;FertInputs&amp;CInsurance'!E42</f>
        <v>2.7024999999999997</v>
      </c>
      <c r="E30" s="133">
        <f>'Chem&amp;FertInputs&amp;CInsurance'!L42</f>
        <v>0</v>
      </c>
      <c r="F30" s="117" t="str">
        <f t="shared" si="0"/>
        <v>0</v>
      </c>
      <c r="G30" s="165">
        <f t="shared" si="2"/>
        <v>0</v>
      </c>
    </row>
    <row r="31" spans="1:7" ht="20">
      <c r="A31" s="15"/>
      <c r="B31" s="85" t="str">
        <f>'Chem&amp;FertInputs&amp;CInsurance'!C43</f>
        <v xml:space="preserve">Dimethoate </v>
      </c>
      <c r="C31" s="23" t="str">
        <f>'Chem&amp;FertInputs&amp;CInsurance'!D43</f>
        <v>pint</v>
      </c>
      <c r="D31" s="116">
        <f>'Chem&amp;FertInputs&amp;CInsurance'!E43</f>
        <v>7.1874999999999991</v>
      </c>
      <c r="E31" s="133">
        <f>'Chem&amp;FertInputs&amp;CInsurance'!L43</f>
        <v>0</v>
      </c>
      <c r="F31" s="117" t="str">
        <f t="shared" si="0"/>
        <v>0</v>
      </c>
      <c r="G31" s="165">
        <f>E31/8</f>
        <v>0</v>
      </c>
    </row>
    <row r="32" spans="1:7" ht="20">
      <c r="A32" s="15"/>
      <c r="B32" s="85" t="str">
        <f>'Chem&amp;FertInputs&amp;CInsurance'!C44</f>
        <v>Clethodim</v>
      </c>
      <c r="C32" s="23" t="str">
        <f>'Chem&amp;FertInputs&amp;CInsurance'!D44</f>
        <v>oz</v>
      </c>
      <c r="D32" s="116">
        <f>'Chem&amp;FertInputs&amp;CInsurance'!E44</f>
        <v>0.75900000000000001</v>
      </c>
      <c r="E32" s="133">
        <f>'Chem&amp;FertInputs&amp;CInsurance'!L44</f>
        <v>4</v>
      </c>
      <c r="F32" s="117">
        <f t="shared" ref="F32" si="3">IF(D32*E32=0,"0",D32*E32)</f>
        <v>3.036</v>
      </c>
      <c r="G32" s="165">
        <f t="shared" ref="G32:G37" si="4">E32/128</f>
        <v>3.125E-2</v>
      </c>
    </row>
    <row r="33" spans="1:7" ht="20">
      <c r="A33" s="15"/>
      <c r="B33" s="85" t="str">
        <f>'Chem&amp;FertInputs&amp;CInsurance'!C45</f>
        <v>Discover</v>
      </c>
      <c r="C33" s="23" t="str">
        <f>'Chem&amp;FertInputs&amp;CInsurance'!D45</f>
        <v>oz</v>
      </c>
      <c r="D33" s="116">
        <f>'Chem&amp;FertInputs&amp;CInsurance'!E45</f>
        <v>1.6904999999999999</v>
      </c>
      <c r="E33" s="133">
        <f>'Chem&amp;FertInputs&amp;CInsurance'!L45</f>
        <v>0</v>
      </c>
      <c r="F33" s="117" t="str">
        <f t="shared" si="0"/>
        <v>0</v>
      </c>
      <c r="G33" s="165">
        <f t="shared" si="4"/>
        <v>0</v>
      </c>
    </row>
    <row r="34" spans="1:7" ht="20">
      <c r="A34" s="15"/>
      <c r="B34" s="85" t="str">
        <f>'Chem&amp;FertInputs&amp;CInsurance'!C46</f>
        <v>FarGO</v>
      </c>
      <c r="C34" s="23" t="str">
        <f>'Chem&amp;FertInputs&amp;CInsurance'!D46</f>
        <v>oz</v>
      </c>
      <c r="D34" s="116">
        <f>'Chem&amp;FertInputs&amp;CInsurance'!E46</f>
        <v>19.158999999999999</v>
      </c>
      <c r="E34" s="133">
        <f>'Chem&amp;FertInputs&amp;CInsurance'!L46</f>
        <v>0</v>
      </c>
      <c r="F34" s="117" t="str">
        <f t="shared" si="0"/>
        <v>0</v>
      </c>
      <c r="G34" s="165">
        <f t="shared" si="4"/>
        <v>0</v>
      </c>
    </row>
    <row r="35" spans="1:7" ht="20">
      <c r="A35" s="15"/>
      <c r="B35" s="85" t="str">
        <f>'Chem&amp;FertInputs&amp;CInsurance'!C47</f>
        <v>Finesse</v>
      </c>
      <c r="C35" s="23" t="str">
        <f>'Chem&amp;FertInputs&amp;CInsurance'!D47</f>
        <v>oz</v>
      </c>
      <c r="D35" s="116">
        <f>'Chem&amp;FertInputs&amp;CInsurance'!E47</f>
        <v>19.940999999999999</v>
      </c>
      <c r="E35" s="133">
        <f>'Chem&amp;FertInputs&amp;CInsurance'!L47</f>
        <v>0</v>
      </c>
      <c r="F35" s="117" t="str">
        <f t="shared" si="0"/>
        <v>0</v>
      </c>
      <c r="G35" s="165">
        <f t="shared" si="4"/>
        <v>0</v>
      </c>
    </row>
    <row r="36" spans="1:7" ht="20">
      <c r="A36" s="15"/>
      <c r="B36" s="85" t="str">
        <f>'Chem&amp;FertInputs&amp;CInsurance'!C48</f>
        <v>Glyphosate</v>
      </c>
      <c r="C36" s="23" t="str">
        <f>'Chem&amp;FertInputs&amp;CInsurance'!D48</f>
        <v>oz</v>
      </c>
      <c r="D36" s="116">
        <f>'Chem&amp;FertInputs&amp;CInsurance'!E48</f>
        <v>0.14949999999999999</v>
      </c>
      <c r="E36" s="133">
        <f>'Chem&amp;FertInputs&amp;CInsurance'!L48</f>
        <v>0</v>
      </c>
      <c r="F36" s="117" t="str">
        <f t="shared" si="0"/>
        <v>0</v>
      </c>
      <c r="G36" s="165">
        <f t="shared" si="4"/>
        <v>0</v>
      </c>
    </row>
    <row r="37" spans="1:7" ht="20">
      <c r="A37" s="15"/>
      <c r="B37" s="85" t="str">
        <f>'Chem&amp;FertInputs&amp;CInsurance'!C49</f>
        <v>Huskie</v>
      </c>
      <c r="C37" s="23" t="str">
        <f>'Chem&amp;FertInputs&amp;CInsurance'!D49</f>
        <v>oz</v>
      </c>
      <c r="D37" s="116">
        <f>'Chem&amp;FertInputs&amp;CInsurance'!E49</f>
        <v>0.88549999999999995</v>
      </c>
      <c r="E37" s="133">
        <f>'Chem&amp;FertInputs&amp;CInsurance'!L49</f>
        <v>0</v>
      </c>
      <c r="F37" s="117" t="str">
        <f t="shared" si="0"/>
        <v>0</v>
      </c>
      <c r="G37" s="165">
        <f t="shared" si="4"/>
        <v>0</v>
      </c>
    </row>
    <row r="38" spans="1:7" ht="20">
      <c r="A38" s="15"/>
      <c r="B38" s="85" t="str">
        <f>'Chem&amp;FertInputs&amp;CInsurance'!C50</f>
        <v>Imidan 70</v>
      </c>
      <c r="C38" s="23" t="str">
        <f>'Chem&amp;FertInputs&amp;CInsurance'!D50</f>
        <v>lb</v>
      </c>
      <c r="D38" s="116">
        <f>'Chem&amp;FertInputs&amp;CInsurance'!E50</f>
        <v>17.295999999999999</v>
      </c>
      <c r="E38" s="133">
        <f>'Chem&amp;FertInputs&amp;CInsurance'!L50</f>
        <v>0</v>
      </c>
      <c r="F38" s="117" t="str">
        <f t="shared" si="0"/>
        <v>0</v>
      </c>
      <c r="G38" s="165">
        <f>E38/16</f>
        <v>0</v>
      </c>
    </row>
    <row r="39" spans="1:7" ht="20">
      <c r="A39" s="15"/>
      <c r="B39" s="85" t="str">
        <f>'Chem&amp;FertInputs&amp;CInsurance'!C51</f>
        <v xml:space="preserve">Maverick </v>
      </c>
      <c r="C39" s="23" t="str">
        <f>'Chem&amp;FertInputs&amp;CInsurance'!D51</f>
        <v>oz</v>
      </c>
      <c r="D39" s="116">
        <f>'Chem&amp;FertInputs&amp;CInsurance'!E51</f>
        <v>23.885499999999997</v>
      </c>
      <c r="E39" s="133">
        <f>'Chem&amp;FertInputs&amp;CInsurance'!L51</f>
        <v>0</v>
      </c>
      <c r="F39" s="117" t="str">
        <f t="shared" si="0"/>
        <v>0</v>
      </c>
      <c r="G39" s="165">
        <f t="shared" ref="G39:G51" si="5">E39/128</f>
        <v>0</v>
      </c>
    </row>
    <row r="40" spans="1:7" ht="20">
      <c r="A40" s="15"/>
      <c r="B40" s="85" t="str">
        <f>'Chem&amp;FertInputs&amp;CInsurance'!C52</f>
        <v>Osprey</v>
      </c>
      <c r="C40" s="23" t="str">
        <f>'Chem&amp;FertInputs&amp;CInsurance'!D52</f>
        <v>oz</v>
      </c>
      <c r="D40" s="116">
        <f>'Chem&amp;FertInputs&amp;CInsurance'!E52</f>
        <v>5.0484999999999989</v>
      </c>
      <c r="E40" s="133">
        <f>'Chem&amp;FertInputs&amp;CInsurance'!L52</f>
        <v>0</v>
      </c>
      <c r="F40" s="117" t="str">
        <f t="shared" si="0"/>
        <v>0</v>
      </c>
      <c r="G40" s="165">
        <f t="shared" si="5"/>
        <v>0</v>
      </c>
    </row>
    <row r="41" spans="1:7" ht="20">
      <c r="A41" s="15"/>
      <c r="B41" s="85" t="str">
        <f>'Chem&amp;FertInputs&amp;CInsurance'!C53</f>
        <v>Poast</v>
      </c>
      <c r="C41" s="23" t="str">
        <f>'Chem&amp;FertInputs&amp;CInsurance'!D53</f>
        <v>oz</v>
      </c>
      <c r="D41" s="116">
        <f>'Chem&amp;FertInputs&amp;CInsurance'!E53</f>
        <v>19.285499999999999</v>
      </c>
      <c r="E41" s="133">
        <f>'Chem&amp;FertInputs&amp;CInsurance'!L53</f>
        <v>0</v>
      </c>
      <c r="F41" s="117" t="str">
        <f t="shared" ref="F41" si="6">IF(D41*E41=0,"0",D41*E41)</f>
        <v>0</v>
      </c>
      <c r="G41" s="165">
        <f t="shared" si="5"/>
        <v>0</v>
      </c>
    </row>
    <row r="42" spans="1:7" ht="20">
      <c r="A42" s="15"/>
      <c r="B42" s="85" t="str">
        <f>'Chem&amp;FertInputs&amp;CInsurance'!C54</f>
        <v>Power Flex</v>
      </c>
      <c r="C42" s="23" t="str">
        <f>'Chem&amp;FertInputs&amp;CInsurance'!D54</f>
        <v>oz</v>
      </c>
      <c r="D42" s="116">
        <f>'Chem&amp;FertInputs&amp;CInsurance'!E54</f>
        <v>8.9124999999999996</v>
      </c>
      <c r="E42" s="133">
        <f>'Chem&amp;FertInputs&amp;CInsurance'!L54</f>
        <v>0</v>
      </c>
      <c r="F42" s="117" t="str">
        <f t="shared" si="0"/>
        <v>0</v>
      </c>
      <c r="G42" s="165">
        <f t="shared" si="5"/>
        <v>0</v>
      </c>
    </row>
    <row r="43" spans="1:7" ht="20">
      <c r="A43" s="15"/>
      <c r="B43" s="85" t="str">
        <f>'Chem&amp;FertInputs&amp;CInsurance'!C55</f>
        <v>Priaxor</v>
      </c>
      <c r="C43" s="23" t="str">
        <f>'Chem&amp;FertInputs&amp;CInsurance'!D55</f>
        <v>oz</v>
      </c>
      <c r="D43" s="116">
        <f>'Chem&amp;FertInputs&amp;CInsurance'!E55</f>
        <v>3.4269999999999996</v>
      </c>
      <c r="E43" s="133">
        <f>'Chem&amp;FertInputs&amp;CInsurance'!L55</f>
        <v>4</v>
      </c>
      <c r="F43" s="117">
        <f t="shared" si="0"/>
        <v>13.707999999999998</v>
      </c>
      <c r="G43" s="165">
        <f t="shared" si="5"/>
        <v>3.125E-2</v>
      </c>
    </row>
    <row r="44" spans="1:7" ht="20">
      <c r="A44" s="15"/>
      <c r="B44" s="85" t="str">
        <f>'Chem&amp;FertInputs&amp;CInsurance'!C56</f>
        <v>Prowl</v>
      </c>
      <c r="C44" s="23" t="str">
        <f>'Chem&amp;FertInputs&amp;CInsurance'!D56</f>
        <v>oz</v>
      </c>
      <c r="D44" s="116">
        <f>'Chem&amp;FertInputs&amp;CInsurance'!E56</f>
        <v>0.51749999999999996</v>
      </c>
      <c r="E44" s="133">
        <f>'Chem&amp;FertInputs&amp;CInsurance'!L56</f>
        <v>0</v>
      </c>
      <c r="F44" s="117" t="str">
        <f t="shared" si="0"/>
        <v>0</v>
      </c>
      <c r="G44" s="165">
        <f t="shared" si="5"/>
        <v>0</v>
      </c>
    </row>
    <row r="45" spans="1:7" ht="20">
      <c r="A45" s="15"/>
      <c r="B45" s="85" t="str">
        <f>'Chem&amp;FertInputs&amp;CInsurance'!C57</f>
        <v>Pursuit</v>
      </c>
      <c r="C45" s="23" t="str">
        <f>'Chem&amp;FertInputs&amp;CInsurance'!D57</f>
        <v>oz</v>
      </c>
      <c r="D45" s="116">
        <f>'Chem&amp;FertInputs&amp;CInsurance'!E57</f>
        <v>4.0594999999999999</v>
      </c>
      <c r="E45" s="133">
        <f>'Chem&amp;FertInputs&amp;CInsurance'!L57</f>
        <v>0</v>
      </c>
      <c r="F45" s="117" t="str">
        <f t="shared" si="0"/>
        <v>0</v>
      </c>
      <c r="G45" s="165">
        <f t="shared" si="5"/>
        <v>0</v>
      </c>
    </row>
    <row r="46" spans="1:7" ht="20">
      <c r="A46" s="15"/>
      <c r="B46" s="85" t="str">
        <f>'Chem&amp;FertInputs&amp;CInsurance'!C58</f>
        <v xml:space="preserve">Quadris </v>
      </c>
      <c r="C46" s="23" t="str">
        <f>'Chem&amp;FertInputs&amp;CInsurance'!D58</f>
        <v>oz</v>
      </c>
      <c r="D46" s="116">
        <f>'Chem&amp;FertInputs&amp;CInsurance'!E58</f>
        <v>1.127</v>
      </c>
      <c r="E46" s="133">
        <f>'Chem&amp;FertInputs&amp;CInsurance'!L58</f>
        <v>0</v>
      </c>
      <c r="F46" s="117" t="str">
        <f t="shared" si="0"/>
        <v>0</v>
      </c>
      <c r="G46" s="165">
        <f t="shared" si="5"/>
        <v>0</v>
      </c>
    </row>
    <row r="47" spans="1:7" ht="20">
      <c r="A47" s="15"/>
      <c r="B47" s="85" t="str">
        <f>'Chem&amp;FertInputs&amp;CInsurance'!C59</f>
        <v>Quilt</v>
      </c>
      <c r="C47" s="23" t="str">
        <f>'Chem&amp;FertInputs&amp;CInsurance'!D59</f>
        <v>oz</v>
      </c>
      <c r="D47" s="116">
        <f>'Chem&amp;FertInputs&amp;CInsurance'!E59</f>
        <v>1.4834999999999998</v>
      </c>
      <c r="E47" s="133">
        <f>'Chem&amp;FertInputs&amp;CInsurance'!L59</f>
        <v>0</v>
      </c>
      <c r="F47" s="117" t="str">
        <f t="shared" si="0"/>
        <v>0</v>
      </c>
      <c r="G47" s="165">
        <f t="shared" si="5"/>
        <v>0</v>
      </c>
    </row>
    <row r="48" spans="1:7" ht="20">
      <c r="A48" s="15"/>
      <c r="B48" s="85" t="str">
        <f>'Chem&amp;FertInputs&amp;CInsurance'!C60</f>
        <v>R11</v>
      </c>
      <c r="C48" s="23" t="str">
        <f>'Chem&amp;FertInputs&amp;CInsurance'!D60</f>
        <v>oz</v>
      </c>
      <c r="D48" s="116">
        <f>'Chem&amp;FertInputs&amp;CInsurance'!E60</f>
        <v>0.26450000000000001</v>
      </c>
      <c r="E48" s="133">
        <f>'Chem&amp;FertInputs&amp;CInsurance'!L60</f>
        <v>0</v>
      </c>
      <c r="F48" s="117" t="str">
        <f t="shared" si="0"/>
        <v>0</v>
      </c>
      <c r="G48" s="165">
        <f t="shared" si="5"/>
        <v>0</v>
      </c>
    </row>
    <row r="49" spans="1:7" ht="20">
      <c r="A49" s="15"/>
      <c r="B49" s="85" t="str">
        <f>'Chem&amp;FertInputs&amp;CInsurance'!C61</f>
        <v>Starane</v>
      </c>
      <c r="C49" s="23" t="str">
        <f>'Chem&amp;FertInputs&amp;CInsurance'!D61</f>
        <v>oz</v>
      </c>
      <c r="D49" s="116">
        <f>'Chem&amp;FertInputs&amp;CInsurance'!E61</f>
        <v>0.77049999999999996</v>
      </c>
      <c r="E49" s="133">
        <f>'Chem&amp;FertInputs&amp;CInsurance'!L61</f>
        <v>0</v>
      </c>
      <c r="F49" s="117" t="str">
        <f t="shared" si="0"/>
        <v>0</v>
      </c>
      <c r="G49" s="165">
        <f t="shared" si="5"/>
        <v>0</v>
      </c>
    </row>
    <row r="50" spans="1:7" ht="20">
      <c r="A50" s="15"/>
      <c r="B50" s="85" t="str">
        <f>'Chem&amp;FertInputs&amp;CInsurance'!C62</f>
        <v>Starane + Salvo</v>
      </c>
      <c r="C50" s="23" t="str">
        <f>'Chem&amp;FertInputs&amp;CInsurance'!D62</f>
        <v>oz</v>
      </c>
      <c r="D50" s="116">
        <f>'Chem&amp;FertInputs&amp;CInsurance'!E62</f>
        <v>0.77049999999999996</v>
      </c>
      <c r="E50" s="133">
        <f>'Chem&amp;FertInputs&amp;CInsurance'!L62</f>
        <v>0</v>
      </c>
      <c r="F50" s="117" t="str">
        <f t="shared" si="0"/>
        <v>0</v>
      </c>
      <c r="G50" s="165">
        <f t="shared" si="5"/>
        <v>0</v>
      </c>
    </row>
    <row r="51" spans="1:7" ht="20">
      <c r="A51" s="15"/>
      <c r="B51" s="85" t="str">
        <f>'Chem&amp;FertInputs&amp;CInsurance'!C63</f>
        <v xml:space="preserve">Starane + Sword </v>
      </c>
      <c r="C51" s="23" t="str">
        <f>'Chem&amp;FertInputs&amp;CInsurance'!D63</f>
        <v>oz</v>
      </c>
      <c r="D51" s="116">
        <f>'Chem&amp;FertInputs&amp;CInsurance'!E63</f>
        <v>0.77049999999999996</v>
      </c>
      <c r="E51" s="133">
        <f>'Chem&amp;FertInputs&amp;CInsurance'!L63</f>
        <v>0</v>
      </c>
      <c r="F51" s="117" t="str">
        <f t="shared" si="0"/>
        <v>0</v>
      </c>
      <c r="G51" s="165">
        <f t="shared" si="5"/>
        <v>0</v>
      </c>
    </row>
    <row r="52" spans="1:7" ht="20">
      <c r="A52" s="15"/>
      <c r="B52" s="85" t="str">
        <f>'Chem&amp;FertInputs&amp;CInsurance'!C64</f>
        <v xml:space="preserve"> Tilt</v>
      </c>
      <c r="C52" s="23" t="str">
        <f>'Chem&amp;FertInputs&amp;CInsurance'!D64</f>
        <v>oz</v>
      </c>
      <c r="D52" s="116">
        <f>'Chem&amp;FertInputs&amp;CInsurance'!E64</f>
        <v>0.88549999999999995</v>
      </c>
      <c r="E52" s="133">
        <f>'Chem&amp;FertInputs&amp;CInsurance'!L64</f>
        <v>0</v>
      </c>
      <c r="F52" s="117" t="str">
        <f t="shared" ref="F52:F53" si="7">IF(D52*E52=0,"0",D52*E52)</f>
        <v>0</v>
      </c>
      <c r="G52" s="165">
        <f t="shared" ref="G52:G53" si="8">E52/128</f>
        <v>0</v>
      </c>
    </row>
    <row r="53" spans="1:7" ht="20">
      <c r="A53" s="15"/>
      <c r="B53" s="85" t="str">
        <f>'Chem&amp;FertInputs&amp;CInsurance'!C65</f>
        <v xml:space="preserve">Wildcard </v>
      </c>
      <c r="C53" s="23" t="str">
        <f>'Chem&amp;FertInputs&amp;CInsurance'!D65</f>
        <v>oz</v>
      </c>
      <c r="D53" s="116">
        <f>'Chem&amp;FertInputs&amp;CInsurance'!E65</f>
        <v>0.35649999999999998</v>
      </c>
      <c r="E53" s="133">
        <f>'Chem&amp;FertInputs&amp;CInsurance'!L65</f>
        <v>0</v>
      </c>
      <c r="F53" s="117" t="str">
        <f t="shared" si="7"/>
        <v>0</v>
      </c>
      <c r="G53" s="165">
        <f t="shared" si="8"/>
        <v>0</v>
      </c>
    </row>
    <row r="54" spans="1:7" ht="20">
      <c r="A54" s="15"/>
      <c r="B54" s="85" t="str">
        <f>'Chem&amp;FertInputs&amp;CInsurance'!C66</f>
        <v>Sharpen</v>
      </c>
      <c r="C54" s="23" t="str">
        <f>'Chem&amp;FertInputs&amp;CInsurance'!D66</f>
        <v>oz</v>
      </c>
      <c r="D54" s="116">
        <f>'Chem&amp;FertInputs&amp;CInsurance'!E66</f>
        <v>6.3134999999999994</v>
      </c>
      <c r="E54" s="133">
        <f>'Chem&amp;FertInputs&amp;CInsurance'!L66</f>
        <v>2</v>
      </c>
      <c r="F54" s="117">
        <f t="shared" si="0"/>
        <v>12.626999999999999</v>
      </c>
      <c r="G54" s="165">
        <f>E54/128</f>
        <v>1.5625E-2</v>
      </c>
    </row>
    <row r="55" spans="1:7" ht="20">
      <c r="A55" s="15"/>
      <c r="B55" s="85" t="str">
        <f>'Chem&amp;FertInputs&amp;CInsurance'!C67</f>
        <v>Sencor</v>
      </c>
      <c r="C55" s="23" t="str">
        <f>'Chem&amp;FertInputs&amp;CInsurance'!D67</f>
        <v>oz</v>
      </c>
      <c r="D55" s="116">
        <f>'Chem&amp;FertInputs&amp;CInsurance'!E67</f>
        <v>0.45999999999999996</v>
      </c>
      <c r="E55" s="133">
        <f>'Chem&amp;FertInputs&amp;CInsurance'!L67</f>
        <v>0</v>
      </c>
      <c r="F55" s="117" t="str">
        <f t="shared" si="0"/>
        <v>0</v>
      </c>
      <c r="G55" s="165">
        <f>E55/128</f>
        <v>0</v>
      </c>
    </row>
    <row r="56" spans="1:7" ht="20">
      <c r="A56" s="15"/>
      <c r="B56" s="85" t="str">
        <f>'Chem&amp;FertInputs&amp;CInsurance'!C68</f>
        <v>Warrior</v>
      </c>
      <c r="C56" s="23" t="str">
        <f>'Chem&amp;FertInputs&amp;CInsurance'!D68</f>
        <v>acre</v>
      </c>
      <c r="D56" s="116">
        <f>'Chem&amp;FertInputs&amp;CInsurance'!E68</f>
        <v>3.4499999999999997</v>
      </c>
      <c r="E56" s="133">
        <f>'Chem&amp;FertInputs&amp;CInsurance'!L68</f>
        <v>0</v>
      </c>
      <c r="F56" s="117" t="str">
        <f t="shared" si="0"/>
        <v>0</v>
      </c>
      <c r="G56" s="165">
        <f>E56/128</f>
        <v>0</v>
      </c>
    </row>
    <row r="57" spans="1:7" ht="20">
      <c r="A57" s="15"/>
      <c r="B57" s="85" t="str">
        <f>'Chem&amp;FertInputs&amp;CInsurance'!C69</f>
        <v xml:space="preserve"> Lorox</v>
      </c>
      <c r="C57" s="23" t="str">
        <f>'Chem&amp;FertInputs&amp;CInsurance'!D69</f>
        <v>lb</v>
      </c>
      <c r="D57" s="116">
        <f>'Chem&amp;FertInputs&amp;CInsurance'!E69</f>
        <v>26.565000000000001</v>
      </c>
      <c r="E57" s="133">
        <f>'Chem&amp;FertInputs&amp;CInsurance'!L69</f>
        <v>0</v>
      </c>
      <c r="F57" s="117" t="str">
        <f t="shared" si="0"/>
        <v>0</v>
      </c>
      <c r="G57" s="165">
        <f>E57/128</f>
        <v>0</v>
      </c>
    </row>
    <row r="58" spans="1:7" ht="20">
      <c r="A58" s="15"/>
      <c r="B58" s="85" t="str">
        <f>'Chem&amp;FertInputs&amp;CInsurance'!C70</f>
        <v xml:space="preserve"> Valor</v>
      </c>
      <c r="C58" s="23" t="str">
        <f>'Chem&amp;FertInputs&amp;CInsurance'!D70</f>
        <v>oz</v>
      </c>
      <c r="D58" s="116">
        <f>'Chem&amp;FertInputs&amp;CInsurance'!E70</f>
        <v>6.6124999999999998</v>
      </c>
      <c r="E58" s="133">
        <f>'Chem&amp;FertInputs&amp;CInsurance'!L70</f>
        <v>1</v>
      </c>
      <c r="F58" s="117">
        <f t="shared" ref="F58:F59" si="9">IF(D58*E58=0,"0",D58*E58)</f>
        <v>6.6124999999999998</v>
      </c>
      <c r="G58" s="165">
        <f t="shared" ref="G58:G59" si="10">E58/128</f>
        <v>7.8125E-3</v>
      </c>
    </row>
    <row r="59" spans="1:7" ht="20">
      <c r="A59" s="15"/>
      <c r="B59" s="85" t="str">
        <f>'Chem&amp;FertInputs&amp;CInsurance'!C71</f>
        <v xml:space="preserve"> Diagon</v>
      </c>
      <c r="C59" s="23" t="str">
        <f>'Chem&amp;FertInputs&amp;CInsurance'!D71</f>
        <v>oz</v>
      </c>
      <c r="D59" s="116">
        <f>'Chem&amp;FertInputs&amp;CInsurance'!E71</f>
        <v>0.43699999999999994</v>
      </c>
      <c r="E59" s="133">
        <f>'Chem&amp;FertInputs&amp;CInsurance'!L71</f>
        <v>0</v>
      </c>
      <c r="F59" s="117" t="str">
        <f t="shared" si="9"/>
        <v>0</v>
      </c>
      <c r="G59" s="165">
        <f t="shared" si="10"/>
        <v>0</v>
      </c>
    </row>
    <row r="60" spans="1:7" ht="20">
      <c r="A60" s="15"/>
      <c r="B60" s="85" t="str">
        <f>'Chem&amp;FertInputs&amp;CInsurance'!C72</f>
        <v xml:space="preserve">Spartan </v>
      </c>
      <c r="C60" s="23" t="str">
        <f>'Chem&amp;FertInputs&amp;CInsurance'!D72</f>
        <v>oz</v>
      </c>
      <c r="D60" s="116">
        <f>'Chem&amp;FertInputs&amp;CInsurance'!E72</f>
        <v>2.0469999999999997</v>
      </c>
      <c r="E60" s="133">
        <f>'Chem&amp;FertInputs&amp;CInsurance'!L72</f>
        <v>0</v>
      </c>
      <c r="F60" s="117" t="str">
        <f t="shared" si="0"/>
        <v>0</v>
      </c>
      <c r="G60" s="165">
        <f>E60/128</f>
        <v>0</v>
      </c>
    </row>
    <row r="61" spans="1:7" ht="23">
      <c r="A61" s="15"/>
      <c r="B61" s="85" t="str">
        <f>'Chem&amp;FertInputs&amp;CInsurance'!C32</f>
        <v xml:space="preserve">Round Up </v>
      </c>
      <c r="C61" s="23" t="str">
        <f>'Chem&amp;FertInputs&amp;CInsurance'!D32</f>
        <v>oz</v>
      </c>
      <c r="D61" s="116">
        <f>'Chem&amp;FertInputs&amp;CInsurance'!E32</f>
        <v>0.14949999999999999</v>
      </c>
      <c r="E61" s="133">
        <f>'Chem&amp;FertInputs&amp;CInsurance'!L32</f>
        <v>36</v>
      </c>
      <c r="F61" s="117">
        <f t="shared" si="0"/>
        <v>5.3819999999999997</v>
      </c>
      <c r="G61" s="225">
        <f>E61/128</f>
        <v>0.28125</v>
      </c>
    </row>
    <row r="62" spans="1:7" ht="20">
      <c r="A62" s="15"/>
      <c r="B62" s="139" t="s">
        <v>86</v>
      </c>
      <c r="C62" s="23"/>
      <c r="D62" s="116"/>
      <c r="E62" s="133"/>
      <c r="F62" s="117"/>
      <c r="G62" s="165">
        <f>SUM(G14:G61)</f>
        <v>0.41718749999999999</v>
      </c>
    </row>
    <row r="63" spans="1:7" ht="20">
      <c r="A63" s="15"/>
      <c r="B63" s="125" t="str">
        <f>CustomRates!B5</f>
        <v>Aerial (Custom)</v>
      </c>
      <c r="C63" s="41" t="str">
        <f>CustomRates!C5</f>
        <v>acre</v>
      </c>
      <c r="D63" s="116">
        <f>CustomRates!J5</f>
        <v>8.9499999999999993</v>
      </c>
      <c r="E63" s="87">
        <f>CustomRates!J6</f>
        <v>0</v>
      </c>
      <c r="F63" s="117" t="str">
        <f t="shared" ref="F63:F70" si="11">IF(D63*E63=0,"0",D63*E63)</f>
        <v>0</v>
      </c>
    </row>
    <row r="64" spans="1:7" ht="20">
      <c r="A64" s="15"/>
      <c r="B64" s="125" t="str">
        <f>CustomRates!B7</f>
        <v>Sprayer (Rental 90')</v>
      </c>
      <c r="C64" s="41" t="str">
        <f>CustomRates!C7</f>
        <v>acre</v>
      </c>
      <c r="D64" s="116">
        <f>CustomRates!J7</f>
        <v>8</v>
      </c>
      <c r="E64" s="87">
        <f>CustomRates!J8</f>
        <v>1</v>
      </c>
      <c r="F64" s="117">
        <f t="shared" si="11"/>
        <v>8</v>
      </c>
    </row>
    <row r="65" spans="1:9" ht="20">
      <c r="A65" s="15"/>
      <c r="B65" s="125" t="str">
        <f>CustomRates!B9</f>
        <v>Fertilizer - Anhydrous Applicator (Rent)</v>
      </c>
      <c r="C65" s="41" t="str">
        <f>CustomRates!C9</f>
        <v>acre</v>
      </c>
      <c r="D65" s="116">
        <f>CustomRates!J9</f>
        <v>7</v>
      </c>
      <c r="E65" s="87">
        <f>CustomRates!J10</f>
        <v>0</v>
      </c>
      <c r="F65" s="117" t="str">
        <f t="shared" si="11"/>
        <v>0</v>
      </c>
    </row>
    <row r="66" spans="1:9" ht="20">
      <c r="A66" s="15"/>
      <c r="B66" s="125" t="str">
        <f>CustomRates!B11</f>
        <v>Fertilizer Applicator</v>
      </c>
      <c r="C66" s="41" t="str">
        <f>CustomRates!C11</f>
        <v>acre</v>
      </c>
      <c r="D66" s="116">
        <f>CustomRates!J11</f>
        <v>2</v>
      </c>
      <c r="E66" s="87">
        <f>CustomRates!J12</f>
        <v>0</v>
      </c>
      <c r="F66" s="117" t="str">
        <f t="shared" si="11"/>
        <v>0</v>
      </c>
    </row>
    <row r="67" spans="1:9" ht="20">
      <c r="A67" s="15"/>
      <c r="B67" s="125" t="str">
        <f>CustomRates!B13</f>
        <v>26' Rental Shredder</v>
      </c>
      <c r="C67" s="41" t="str">
        <f>CustomRates!C13</f>
        <v>acre</v>
      </c>
      <c r="D67" s="116">
        <f>CustomRates!J13</f>
        <v>10</v>
      </c>
      <c r="E67" s="87">
        <f>CustomRates!J14</f>
        <v>0</v>
      </c>
      <c r="F67" s="117" t="str">
        <f t="shared" si="11"/>
        <v>0</v>
      </c>
    </row>
    <row r="68" spans="1:9" ht="20">
      <c r="A68" s="15"/>
      <c r="B68" s="125" t="str">
        <f>CustomRates!B15</f>
        <v>36' Ripper Shooter</v>
      </c>
      <c r="C68" s="41" t="str">
        <f>CustomRates!C15</f>
        <v>acre</v>
      </c>
      <c r="D68" s="116">
        <f>CustomRates!J15</f>
        <v>2.5</v>
      </c>
      <c r="E68" s="87">
        <f>CustomRates!J16</f>
        <v>0</v>
      </c>
      <c r="F68" s="117" t="str">
        <f t="shared" si="11"/>
        <v>0</v>
      </c>
    </row>
    <row r="69" spans="1:9" ht="20">
      <c r="A69" s="15"/>
      <c r="B69" s="125" t="str">
        <f>CustomRates!B17</f>
        <v>Custom self-propelled sprayer</v>
      </c>
      <c r="C69" s="41" t="str">
        <f>CustomRates!C17</f>
        <v>acre</v>
      </c>
      <c r="D69" s="116">
        <f>CustomRates!J17</f>
        <v>8</v>
      </c>
      <c r="E69" s="87">
        <f>CustomRates!J18</f>
        <v>0</v>
      </c>
      <c r="F69" s="117" t="str">
        <f t="shared" si="11"/>
        <v>0</v>
      </c>
    </row>
    <row r="70" spans="1:9" ht="20">
      <c r="A70" s="15"/>
      <c r="B70" s="125" t="str">
        <f>CustomRates!B19</f>
        <v>Additional Operation #8 (Custom)</v>
      </c>
      <c r="C70" s="41" t="str">
        <f>CustomRates!C19</f>
        <v>acre</v>
      </c>
      <c r="D70" s="116">
        <f>CustomRates!J19</f>
        <v>0</v>
      </c>
      <c r="E70" s="87">
        <f>CustomRates!J20</f>
        <v>0</v>
      </c>
      <c r="F70" s="117" t="str">
        <f t="shared" si="11"/>
        <v>0</v>
      </c>
    </row>
    <row r="71" spans="1:9" ht="20">
      <c r="A71" s="15"/>
      <c r="B71" s="139" t="s">
        <v>87</v>
      </c>
      <c r="C71" s="41"/>
      <c r="D71" s="116"/>
      <c r="E71" s="116"/>
      <c r="F71" s="117"/>
      <c r="H71" s="1" t="s">
        <v>204</v>
      </c>
      <c r="I71" s="1" t="s">
        <v>135</v>
      </c>
    </row>
    <row r="72" spans="1:9" ht="20">
      <c r="A72" s="15"/>
      <c r="B72" s="85" t="str">
        <f>MachineAssumptions!B7&amp;" - Labor"</f>
        <v>Shredder - Labor</v>
      </c>
      <c r="C72" s="41" t="s">
        <v>246</v>
      </c>
      <c r="D72" s="116">
        <f>MachineAssumptions!$R$7</f>
        <v>1.4996591683708247</v>
      </c>
      <c r="E72" s="87">
        <f>FieldApplications!$I$6</f>
        <v>0</v>
      </c>
      <c r="F72" s="117" t="str">
        <f t="shared" ref="F72:F113" si="12">IF(D72*E72=0,"0",D72*E72)</f>
        <v>0</v>
      </c>
      <c r="H72" s="246">
        <f>MachineAssumptions!$R$28*E72</f>
        <v>0</v>
      </c>
      <c r="I72" s="166">
        <f>MachineAssumptions!$R$48*E72</f>
        <v>0</v>
      </c>
    </row>
    <row r="73" spans="1:9" ht="20">
      <c r="A73" s="15"/>
      <c r="B73" s="85" t="str">
        <f>MachineAssumptions!B7&amp;" - Fuel, Lube"</f>
        <v>Shredder - Fuel, Lube</v>
      </c>
      <c r="C73" s="41" t="s">
        <v>246</v>
      </c>
      <c r="D73" s="116">
        <f>MachineAssumptions!$S$7</f>
        <v>5.7486934787548281</v>
      </c>
      <c r="E73" s="87">
        <f>FieldApplications!$I$6</f>
        <v>0</v>
      </c>
      <c r="F73" s="117" t="str">
        <f t="shared" si="12"/>
        <v>0</v>
      </c>
      <c r="H73" s="246">
        <f>MachineAssumptions!$S$28*E73</f>
        <v>0</v>
      </c>
      <c r="I73" s="166">
        <f>MachineAssumptions!$S$48*E73</f>
        <v>0</v>
      </c>
    </row>
    <row r="74" spans="1:9" ht="20">
      <c r="A74" s="15"/>
      <c r="B74" s="85" t="str">
        <f>MachineAssumptions!B7&amp;" - Repairs"</f>
        <v>Shredder - Repairs</v>
      </c>
      <c r="C74" s="41" t="s">
        <v>246</v>
      </c>
      <c r="D74" s="116">
        <f>MachineAssumptions!$T$7</f>
        <v>0.46726721181997538</v>
      </c>
      <c r="E74" s="87">
        <f>FieldApplications!$I$6</f>
        <v>0</v>
      </c>
      <c r="F74" s="117" t="str">
        <f t="shared" si="12"/>
        <v>0</v>
      </c>
      <c r="H74" s="246">
        <f>MachineAssumptions!$T$28*E74</f>
        <v>0</v>
      </c>
      <c r="I74" s="166">
        <f>MachineAssumptions!$T$48*E74</f>
        <v>0</v>
      </c>
    </row>
    <row r="75" spans="1:9" ht="20">
      <c r="A75" s="15"/>
      <c r="B75" s="85" t="str">
        <f>MachineAssumptions!B8&amp;" - Labor"</f>
        <v>Harrow - Labor</v>
      </c>
      <c r="C75" s="41" t="s">
        <v>246</v>
      </c>
      <c r="D75" s="116">
        <f>MachineAssumptions!$R$8</f>
        <v>0.59412746734753996</v>
      </c>
      <c r="E75" s="87">
        <f>FieldApplications!$I$7</f>
        <v>0</v>
      </c>
      <c r="F75" s="117" t="str">
        <f t="shared" si="12"/>
        <v>0</v>
      </c>
      <c r="H75" s="246">
        <f>MachineAssumptions!$R$29*E75</f>
        <v>0</v>
      </c>
      <c r="I75" s="166">
        <f>MachineAssumptions!$R$49*E75</f>
        <v>0</v>
      </c>
    </row>
    <row r="76" spans="1:9" ht="20">
      <c r="A76" s="15"/>
      <c r="B76" s="85" t="str">
        <f>MachineAssumptions!B8&amp;" - Fuel, Lube"</f>
        <v>Harrow - Fuel, Lube</v>
      </c>
      <c r="C76" s="41" t="s">
        <v>246</v>
      </c>
      <c r="D76" s="116">
        <f>MachineAssumptions!$S$8</f>
        <v>2.4845330452715308</v>
      </c>
      <c r="E76" s="87">
        <f>FieldApplications!$I$7</f>
        <v>0</v>
      </c>
      <c r="F76" s="117" t="str">
        <f t="shared" si="12"/>
        <v>0</v>
      </c>
      <c r="H76" s="246">
        <f>MachineAssumptions!$S$29*E76</f>
        <v>0</v>
      </c>
      <c r="I76" s="166">
        <f>MachineAssumptions!$S$49*E76</f>
        <v>0</v>
      </c>
    </row>
    <row r="77" spans="1:9" ht="20">
      <c r="A77" s="15"/>
      <c r="B77" s="85" t="str">
        <f>MachineAssumptions!B8&amp;" - Repairs"</f>
        <v>Harrow - Repairs</v>
      </c>
      <c r="C77" s="41" t="s">
        <v>246</v>
      </c>
      <c r="D77" s="116">
        <f>MachineAssumptions!$T$8</f>
        <v>0.14755184964846621</v>
      </c>
      <c r="E77" s="87">
        <f>FieldApplications!$I$7</f>
        <v>0</v>
      </c>
      <c r="F77" s="117" t="str">
        <f t="shared" si="12"/>
        <v>0</v>
      </c>
      <c r="H77" s="246">
        <f>MachineAssumptions!$T$29*E77</f>
        <v>0</v>
      </c>
      <c r="I77" s="166">
        <f>MachineAssumptions!$T$49*E77</f>
        <v>0</v>
      </c>
    </row>
    <row r="78" spans="1:9" ht="20">
      <c r="A78" s="15"/>
      <c r="B78" s="85" t="str">
        <f>MachineAssumptions!B9&amp;" - Labor"</f>
        <v>Chisel plow - Labor</v>
      </c>
      <c r="C78" s="41" t="s">
        <v>246</v>
      </c>
      <c r="D78" s="116">
        <f>MachineAssumptions!$R$9</f>
        <v>0</v>
      </c>
      <c r="E78" s="87">
        <f>FieldApplications!$I$8</f>
        <v>0</v>
      </c>
      <c r="F78" s="117" t="str">
        <f t="shared" si="12"/>
        <v>0</v>
      </c>
      <c r="H78" s="246">
        <f>MachineAssumptions!$R$30*E78</f>
        <v>0</v>
      </c>
      <c r="I78" s="166">
        <f>MachineAssumptions!$R$50*E78</f>
        <v>0</v>
      </c>
    </row>
    <row r="79" spans="1:9" ht="20">
      <c r="A79" s="15"/>
      <c r="B79" s="85" t="str">
        <f>MachineAssumptions!B9&amp;" - Fuel, Lube"</f>
        <v>Chisel plow - Fuel, Lube</v>
      </c>
      <c r="C79" s="41" t="s">
        <v>246</v>
      </c>
      <c r="D79" s="116">
        <f>MachineAssumptions!$S$9</f>
        <v>0</v>
      </c>
      <c r="E79" s="87">
        <f>FieldApplications!$I$8</f>
        <v>0</v>
      </c>
      <c r="F79" s="117" t="str">
        <f t="shared" si="12"/>
        <v>0</v>
      </c>
      <c r="H79" s="246">
        <f>MachineAssumptions!$R$30*E79</f>
        <v>0</v>
      </c>
      <c r="I79" s="166">
        <f>MachineAssumptions!$S$50*E79</f>
        <v>0</v>
      </c>
    </row>
    <row r="80" spans="1:9" ht="20">
      <c r="A80" s="15"/>
      <c r="B80" s="85" t="str">
        <f>MachineAssumptions!B9&amp;" - Repairs"</f>
        <v>Chisel plow - Repairs</v>
      </c>
      <c r="C80" s="41" t="s">
        <v>246</v>
      </c>
      <c r="D80" s="116">
        <f>MachineAssumptions!$T$9</f>
        <v>0</v>
      </c>
      <c r="E80" s="87">
        <f>FieldApplications!$I$8</f>
        <v>0</v>
      </c>
      <c r="F80" s="117" t="str">
        <f t="shared" si="12"/>
        <v>0</v>
      </c>
      <c r="H80" s="246">
        <f>MachineAssumptions!$T$30*E80</f>
        <v>0</v>
      </c>
      <c r="I80" s="166">
        <f>MachineAssumptions!$T$50*E80</f>
        <v>0</v>
      </c>
    </row>
    <row r="81" spans="1:9" ht="20">
      <c r="A81" s="15"/>
      <c r="B81" s="85" t="str">
        <f>MachineAssumptions!B10&amp;" - Labor"</f>
        <v>Moldboard plow - Labor</v>
      </c>
      <c r="C81" s="41" t="s">
        <v>246</v>
      </c>
      <c r="D81" s="116">
        <f>MachineAssumptions!$R$10</f>
        <v>0</v>
      </c>
      <c r="E81" s="87">
        <f>FieldApplications!$I$9</f>
        <v>0</v>
      </c>
      <c r="F81" s="117" t="str">
        <f t="shared" si="12"/>
        <v>0</v>
      </c>
      <c r="H81" s="246">
        <f>MachineAssumptions!$R$31*E81</f>
        <v>0</v>
      </c>
      <c r="I81" s="166">
        <f>MachineAssumptions!$R$51*E81</f>
        <v>0</v>
      </c>
    </row>
    <row r="82" spans="1:9" ht="20">
      <c r="A82" s="15"/>
      <c r="B82" s="85" t="str">
        <f>MachineAssumptions!B10&amp;" - Fuel, Lube"</f>
        <v>Moldboard plow - Fuel, Lube</v>
      </c>
      <c r="C82" s="41" t="s">
        <v>246</v>
      </c>
      <c r="D82" s="116">
        <f>MachineAssumptions!$S$10</f>
        <v>0</v>
      </c>
      <c r="E82" s="87">
        <f>FieldApplications!$I$9</f>
        <v>0</v>
      </c>
      <c r="F82" s="117" t="str">
        <f t="shared" si="12"/>
        <v>0</v>
      </c>
      <c r="H82" s="246">
        <f>MachineAssumptions!$S$31*E82</f>
        <v>0</v>
      </c>
      <c r="I82" s="166">
        <f>MachineAssumptions!$S$51*E82</f>
        <v>0</v>
      </c>
    </row>
    <row r="83" spans="1:9" ht="20">
      <c r="A83" s="15"/>
      <c r="B83" s="85" t="str">
        <f>MachineAssumptions!B10&amp;" - Repairs"</f>
        <v>Moldboard plow - Repairs</v>
      </c>
      <c r="C83" s="41" t="s">
        <v>246</v>
      </c>
      <c r="D83" s="116">
        <f>MachineAssumptions!$T$10</f>
        <v>0</v>
      </c>
      <c r="E83" s="87">
        <f>FieldApplications!$I$9</f>
        <v>0</v>
      </c>
      <c r="F83" s="117" t="str">
        <f t="shared" si="12"/>
        <v>0</v>
      </c>
      <c r="H83" s="246">
        <f>MachineAssumptions!$T$31*E83</f>
        <v>0</v>
      </c>
      <c r="I83" s="166">
        <f>MachineAssumptions!$T$51*E83</f>
        <v>0</v>
      </c>
    </row>
    <row r="84" spans="1:9" ht="20">
      <c r="A84" s="15"/>
      <c r="B84" s="85" t="str">
        <f>MachineAssumptions!B11&amp;" - Labor"</f>
        <v>Cultivator - Labor</v>
      </c>
      <c r="C84" s="41" t="s">
        <v>246</v>
      </c>
      <c r="D84" s="116">
        <f>MachineAssumptions!$R$11</f>
        <v>0</v>
      </c>
      <c r="E84" s="87">
        <f>FieldApplications!$I$10</f>
        <v>0</v>
      </c>
      <c r="F84" s="117" t="str">
        <f t="shared" si="12"/>
        <v>0</v>
      </c>
      <c r="H84" s="246">
        <f>MachineAssumptions!$R$32*E84</f>
        <v>0</v>
      </c>
      <c r="I84" s="166">
        <f>MachineAssumptions!$R$52*E84</f>
        <v>0</v>
      </c>
    </row>
    <row r="85" spans="1:9" ht="20">
      <c r="A85" s="15"/>
      <c r="B85" s="85" t="str">
        <f>MachineAssumptions!B11&amp;" - Fuel, Lube"</f>
        <v>Cultivator - Fuel, Lube</v>
      </c>
      <c r="C85" s="41" t="s">
        <v>246</v>
      </c>
      <c r="D85" s="116">
        <f>MachineAssumptions!$S$11</f>
        <v>0</v>
      </c>
      <c r="E85" s="87">
        <f>FieldApplications!$I$10</f>
        <v>0</v>
      </c>
      <c r="F85" s="117" t="str">
        <f t="shared" si="12"/>
        <v>0</v>
      </c>
      <c r="H85" s="246">
        <f>MachineAssumptions!$S$32*E85</f>
        <v>0</v>
      </c>
      <c r="I85" s="166">
        <f>MachineAssumptions!$S$52*E85</f>
        <v>0</v>
      </c>
    </row>
    <row r="86" spans="1:9" ht="20">
      <c r="A86" s="15"/>
      <c r="B86" s="85" t="str">
        <f>MachineAssumptions!B11&amp;" - Repairs"</f>
        <v>Cultivator - Repairs</v>
      </c>
      <c r="C86" s="41" t="s">
        <v>246</v>
      </c>
      <c r="D86" s="116">
        <f>MachineAssumptions!$T$11</f>
        <v>0</v>
      </c>
      <c r="E86" s="87">
        <f>FieldApplications!$I$10</f>
        <v>0</v>
      </c>
      <c r="F86" s="117" t="str">
        <f t="shared" si="12"/>
        <v>0</v>
      </c>
      <c r="H86" s="246">
        <f>MachineAssumptions!$T$32*E86</f>
        <v>0</v>
      </c>
      <c r="I86" s="166">
        <f>MachineAssumptions!$T$52*E86</f>
        <v>0</v>
      </c>
    </row>
    <row r="87" spans="1:9" ht="20">
      <c r="A87" s="15"/>
      <c r="B87" s="85" t="str">
        <f>MachineAssumptions!B12&amp;" - Labor"</f>
        <v>Cultiweeder - Labor</v>
      </c>
      <c r="C87" s="41" t="s">
        <v>246</v>
      </c>
      <c r="D87" s="116">
        <f>MachineAssumptions!$R$12</f>
        <v>0</v>
      </c>
      <c r="E87" s="87">
        <f>FieldApplications!$I$11</f>
        <v>0</v>
      </c>
      <c r="F87" s="117" t="str">
        <f t="shared" si="12"/>
        <v>0</v>
      </c>
      <c r="H87" s="246">
        <f>MachineAssumptions!$R$33*E87</f>
        <v>0</v>
      </c>
      <c r="I87" s="166">
        <f>MachineAssumptions!$R$53*E87</f>
        <v>0</v>
      </c>
    </row>
    <row r="88" spans="1:9" ht="20">
      <c r="A88" s="15"/>
      <c r="B88" s="85" t="str">
        <f>MachineAssumptions!B12&amp;" - Fuel, Lube"</f>
        <v>Cultiweeder - Fuel, Lube</v>
      </c>
      <c r="C88" s="41" t="s">
        <v>246</v>
      </c>
      <c r="D88" s="116">
        <f>MachineAssumptions!$S$12</f>
        <v>0</v>
      </c>
      <c r="E88" s="87">
        <f>FieldApplications!$I$11</f>
        <v>0</v>
      </c>
      <c r="F88" s="117" t="str">
        <f t="shared" si="12"/>
        <v>0</v>
      </c>
      <c r="H88" s="246">
        <f>MachineAssumptions!$S$33*E88</f>
        <v>0</v>
      </c>
      <c r="I88" s="166">
        <f>MachineAssumptions!$S$53*E88</f>
        <v>0</v>
      </c>
    </row>
    <row r="89" spans="1:9" ht="20">
      <c r="A89" s="15"/>
      <c r="B89" s="85" t="str">
        <f>MachineAssumptions!B12&amp;" - Repairs"</f>
        <v>Cultiweeder - Repairs</v>
      </c>
      <c r="C89" s="41" t="s">
        <v>246</v>
      </c>
      <c r="D89" s="116">
        <f>MachineAssumptions!$T$12</f>
        <v>0</v>
      </c>
      <c r="E89" s="87">
        <f>FieldApplications!$I$11</f>
        <v>0</v>
      </c>
      <c r="F89" s="117" t="str">
        <f t="shared" si="12"/>
        <v>0</v>
      </c>
      <c r="H89" s="246">
        <f>MachineAssumptions!$T$33*E89</f>
        <v>0</v>
      </c>
      <c r="I89" s="166">
        <f>MachineAssumptions!$T$53*E89</f>
        <v>0</v>
      </c>
    </row>
    <row r="90" spans="1:9" ht="20">
      <c r="A90" s="15"/>
      <c r="B90" s="85" t="str">
        <f>MachineAssumptions!B13&amp;" - Labor"</f>
        <v>Drill - Labor</v>
      </c>
      <c r="C90" s="41" t="s">
        <v>246</v>
      </c>
      <c r="D90" s="116">
        <f>MachineAssumptions!$R$13</f>
        <v>1.6703109815354713</v>
      </c>
      <c r="E90" s="87">
        <f>FieldApplications!$I$12</f>
        <v>1</v>
      </c>
      <c r="F90" s="117">
        <f t="shared" si="12"/>
        <v>1.6703109815354713</v>
      </c>
      <c r="H90" s="246">
        <f>MachineAssumptions!$R$34*E90</f>
        <v>1.6703109815354713</v>
      </c>
      <c r="I90" s="166">
        <f>MachineAssumptions!$R$54*E90</f>
        <v>1.6703109815354713</v>
      </c>
    </row>
    <row r="91" spans="1:9" ht="20">
      <c r="A91" s="15"/>
      <c r="B91" s="85" t="str">
        <f>MachineAssumptions!B13&amp;" - Fuel, Lube"</f>
        <v>Drill - Fuel, Lube</v>
      </c>
      <c r="C91" s="41" t="s">
        <v>246</v>
      </c>
      <c r="D91" s="116">
        <f>MachineAssumptions!$S$13</f>
        <v>6.146744412050535</v>
      </c>
      <c r="E91" s="87">
        <f>FieldApplications!$I$12</f>
        <v>1</v>
      </c>
      <c r="F91" s="117">
        <f t="shared" si="12"/>
        <v>6.146744412050535</v>
      </c>
      <c r="H91" s="246">
        <f>MachineAssumptions!$S$34*E91</f>
        <v>6.146744412050535</v>
      </c>
      <c r="I91" s="166">
        <f>MachineAssumptions!$S$54*E91</f>
        <v>6.146744412050535</v>
      </c>
    </row>
    <row r="92" spans="1:9" ht="20">
      <c r="A92" s="15"/>
      <c r="B92" s="85" t="str">
        <f>MachineAssumptions!B13&amp;" - Repairs"</f>
        <v>Drill - Repairs</v>
      </c>
      <c r="C92" s="41" t="s">
        <v>246</v>
      </c>
      <c r="D92" s="116">
        <f>MachineAssumptions!$T$13</f>
        <v>5.740409656342587</v>
      </c>
      <c r="E92" s="87">
        <f>FieldApplications!$I$12</f>
        <v>1</v>
      </c>
      <c r="F92" s="117">
        <f t="shared" si="12"/>
        <v>5.740409656342587</v>
      </c>
      <c r="H92" s="246">
        <f>MachineAssumptions!$T$34*E92</f>
        <v>5.740409656342587</v>
      </c>
      <c r="I92" s="166">
        <f>MachineAssumptions!$T$54*E92</f>
        <v>5.740409656342587</v>
      </c>
    </row>
    <row r="93" spans="1:9" ht="20">
      <c r="A93" s="15"/>
      <c r="B93" s="85" t="str">
        <f>MachineAssumptions!B14&amp;" - Labor"</f>
        <v>Combine w/ 36' header - Labor</v>
      </c>
      <c r="C93" s="41" t="s">
        <v>246</v>
      </c>
      <c r="D93" s="116">
        <f>MachineAssumptions!$R$14</f>
        <v>1.9161092530657748</v>
      </c>
      <c r="E93" s="87">
        <f>FieldApplications!$I$13</f>
        <v>1</v>
      </c>
      <c r="F93" s="117">
        <f t="shared" si="12"/>
        <v>1.9161092530657748</v>
      </c>
      <c r="H93" s="246">
        <f>MachineAssumptions!$R$35*E93</f>
        <v>1.9161092530657748</v>
      </c>
      <c r="I93" s="166">
        <f>MachineAssumptions!$R$55*E93</f>
        <v>1.9161092530657748</v>
      </c>
    </row>
    <row r="94" spans="1:9" ht="20">
      <c r="A94" s="15"/>
      <c r="B94" s="85" t="str">
        <f>MachineAssumptions!B14&amp;" - Fuel, Lube"</f>
        <v>Combine w/ 36' header - Fuel, Lube</v>
      </c>
      <c r="C94" s="41" t="s">
        <v>246</v>
      </c>
      <c r="D94" s="116">
        <f>MachineAssumptions!$S$14</f>
        <v>7.0512820512820511</v>
      </c>
      <c r="E94" s="87">
        <f>FieldApplications!$I$13</f>
        <v>1</v>
      </c>
      <c r="F94" s="117">
        <f t="shared" si="12"/>
        <v>7.0512820512820511</v>
      </c>
      <c r="H94" s="246">
        <f>MachineAssumptions!$S$35*E94</f>
        <v>7.0512820512820511</v>
      </c>
      <c r="I94" s="166">
        <f>MachineAssumptions!$S$55*E94</f>
        <v>7.0512820512820511</v>
      </c>
    </row>
    <row r="95" spans="1:9" ht="20">
      <c r="A95" s="15"/>
      <c r="B95" s="85" t="str">
        <f>MachineAssumptions!B14&amp;" - Repairs"</f>
        <v>Combine w/ 36' header - Repairs</v>
      </c>
      <c r="C95" s="41" t="s">
        <v>246</v>
      </c>
      <c r="D95" s="116">
        <f>MachineAssumptions!$T$14</f>
        <v>6.4258281801385913</v>
      </c>
      <c r="E95" s="87">
        <f>FieldApplications!$I$13</f>
        <v>1</v>
      </c>
      <c r="F95" s="117">
        <f t="shared" si="12"/>
        <v>6.4258281801385913</v>
      </c>
      <c r="H95" s="246">
        <f>MachineAssumptions!$T$35*E95</f>
        <v>6.4258281801385913</v>
      </c>
      <c r="I95" s="166">
        <f>MachineAssumptions!$T$55*E95</f>
        <v>4.0416300769413871</v>
      </c>
    </row>
    <row r="96" spans="1:9" ht="20">
      <c r="A96" s="15"/>
      <c r="B96" s="85" t="str">
        <f>MachineAssumptions!B16&amp;" - Labor"</f>
        <v>Fertilizer Spreader - Labor</v>
      </c>
      <c r="C96" s="41" t="s">
        <v>246</v>
      </c>
      <c r="D96" s="116">
        <f>MachineAssumptions!$R$16</f>
        <v>0</v>
      </c>
      <c r="E96" s="87">
        <f>FieldApplications!$I$14</f>
        <v>0</v>
      </c>
      <c r="F96" s="117" t="str">
        <f t="shared" si="12"/>
        <v>0</v>
      </c>
      <c r="H96" s="246">
        <f>MachineAssumptions!$R$36*E96</f>
        <v>0</v>
      </c>
      <c r="I96" s="166">
        <f>MachineAssumptions!$R$56*E96</f>
        <v>0</v>
      </c>
    </row>
    <row r="97" spans="1:9" ht="20">
      <c r="A97" s="15"/>
      <c r="B97" s="85" t="str">
        <f>MachineAssumptions!B16&amp;" - Fuel, Lube"</f>
        <v>Fertilizer Spreader - Fuel, Lube</v>
      </c>
      <c r="C97" s="41" t="s">
        <v>246</v>
      </c>
      <c r="D97" s="116">
        <f>MachineAssumptions!$S$16</f>
        <v>0</v>
      </c>
      <c r="E97" s="87">
        <f>FieldApplications!$I$14</f>
        <v>0</v>
      </c>
      <c r="F97" s="117" t="str">
        <f t="shared" si="12"/>
        <v>0</v>
      </c>
      <c r="H97" s="246">
        <f>MachineAssumptions!$S$36*E97</f>
        <v>0</v>
      </c>
      <c r="I97" s="166">
        <f>MachineAssumptions!$S$56*E97</f>
        <v>0</v>
      </c>
    </row>
    <row r="98" spans="1:9" ht="20">
      <c r="A98" s="15"/>
      <c r="B98" s="85" t="str">
        <f>MachineAssumptions!B16&amp;" - Repairs"</f>
        <v>Fertilizer Spreader - Repairs</v>
      </c>
      <c r="C98" s="41" t="s">
        <v>246</v>
      </c>
      <c r="D98" s="116">
        <f>MachineAssumptions!$T$16</f>
        <v>0</v>
      </c>
      <c r="E98" s="87">
        <f>FieldApplications!$I$14</f>
        <v>0</v>
      </c>
      <c r="F98" s="117" t="str">
        <f t="shared" si="12"/>
        <v>0</v>
      </c>
      <c r="H98" s="246">
        <f>MachineAssumptions!$T$36*E98</f>
        <v>0</v>
      </c>
      <c r="I98" s="166">
        <f>MachineAssumptions!$T$56*E98</f>
        <v>0</v>
      </c>
    </row>
    <row r="99" spans="1:9" ht="20">
      <c r="A99" s="15"/>
      <c r="B99" s="85" t="str">
        <f>MachineAssumptions!B17&amp;" - Labor"</f>
        <v>Fertilizer tanks and pump - Labor</v>
      </c>
      <c r="C99" s="41" t="s">
        <v>246</v>
      </c>
      <c r="D99" s="116">
        <f>MachineAssumptions!$R$17</f>
        <v>2.2448979591836737</v>
      </c>
      <c r="E99" s="87">
        <f>FieldApplications!$I$15</f>
        <v>1</v>
      </c>
      <c r="F99" s="117">
        <f t="shared" si="12"/>
        <v>2.2448979591836737</v>
      </c>
      <c r="H99" s="246">
        <f>MachineAssumptions!$R$37*E99</f>
        <v>2.2448979591836737</v>
      </c>
      <c r="I99" s="166">
        <f>MachineAssumptions!$R$57*E99</f>
        <v>2.2448979591836737</v>
      </c>
    </row>
    <row r="100" spans="1:9" ht="20">
      <c r="A100" s="15"/>
      <c r="B100" s="85" t="str">
        <f>MachineAssumptions!B17&amp;" - Fuel, Lube"</f>
        <v>Fertilizer tanks and pump - Fuel, Lube</v>
      </c>
      <c r="C100" s="41" t="s">
        <v>246</v>
      </c>
      <c r="D100" s="116">
        <f>MachineAssumptions!$S$17</f>
        <v>9.387755102040817</v>
      </c>
      <c r="E100" s="87">
        <f>FieldApplications!$I$15</f>
        <v>1</v>
      </c>
      <c r="F100" s="117">
        <f t="shared" si="12"/>
        <v>9.387755102040817</v>
      </c>
      <c r="H100" s="246">
        <f>MachineAssumptions!$S$37*E100</f>
        <v>9.387755102040817</v>
      </c>
      <c r="I100" s="166">
        <f>MachineAssumptions!$S$57*E100</f>
        <v>9.387755102040817</v>
      </c>
    </row>
    <row r="101" spans="1:9" ht="20">
      <c r="A101" s="15"/>
      <c r="B101" s="85" t="str">
        <f>MachineAssumptions!B17&amp;" - Repairs"</f>
        <v>Fertilizer tanks and pump - Repairs</v>
      </c>
      <c r="C101" s="41" t="s">
        <v>246</v>
      </c>
      <c r="D101" s="116">
        <f>MachineAssumptions!$T$17</f>
        <v>0</v>
      </c>
      <c r="E101" s="87">
        <f>FieldApplications!$I$15</f>
        <v>1</v>
      </c>
      <c r="F101" s="117" t="str">
        <f t="shared" si="12"/>
        <v>0</v>
      </c>
      <c r="H101" s="246">
        <f>MachineAssumptions!$T$37*E101</f>
        <v>0</v>
      </c>
      <c r="I101" s="166">
        <f>MachineAssumptions!$T$57*E101</f>
        <v>0</v>
      </c>
    </row>
    <row r="102" spans="1:9" ht="20">
      <c r="A102" s="15"/>
      <c r="B102" s="85" t="str">
        <f>MachineAssumptions!B18&amp;" - Labor"</f>
        <v>Boom sprayer - Labor</v>
      </c>
      <c r="C102" s="41" t="s">
        <v>246</v>
      </c>
      <c r="D102" s="116">
        <f>MachineAssumptions!$R$18</f>
        <v>0.4708120318630365</v>
      </c>
      <c r="E102" s="87">
        <f>FieldApplications!$I$16</f>
        <v>2</v>
      </c>
      <c r="F102" s="117">
        <f t="shared" si="12"/>
        <v>0.94162406372607299</v>
      </c>
      <c r="H102" s="246">
        <f>MachineAssumptions!$R$38*E102</f>
        <v>0.94162406372607299</v>
      </c>
      <c r="I102" s="166">
        <f>MachineAssumptions!$R$58*E102</f>
        <v>0.94162406372607299</v>
      </c>
    </row>
    <row r="103" spans="1:9" ht="20">
      <c r="A103" s="15"/>
      <c r="B103" s="85" t="str">
        <f>MachineAssumptions!B18&amp;" - Fuel, Lube"</f>
        <v>Boom sprayer - Fuel, Lube</v>
      </c>
      <c r="C103" s="41" t="s">
        <v>246</v>
      </c>
      <c r="D103" s="116">
        <f>MachineAssumptions!$S$18</f>
        <v>1.8047794554749732</v>
      </c>
      <c r="E103" s="87">
        <f>FieldApplications!$I$16</f>
        <v>2</v>
      </c>
      <c r="F103" s="117">
        <f t="shared" si="12"/>
        <v>3.6095589109499464</v>
      </c>
      <c r="H103" s="246">
        <f>MachineAssumptions!$S$38*E103</f>
        <v>3.6095589109499464</v>
      </c>
      <c r="I103" s="166">
        <f>MachineAssumptions!$S$58*E103</f>
        <v>3.6095589109499464</v>
      </c>
    </row>
    <row r="104" spans="1:9" ht="20">
      <c r="A104" s="15"/>
      <c r="B104" s="85" t="str">
        <f>MachineAssumptions!B18&amp;" - Repairs"</f>
        <v>Boom sprayer - Repairs</v>
      </c>
      <c r="C104" s="41" t="s">
        <v>246</v>
      </c>
      <c r="D104" s="116">
        <f>MachineAssumptions!$T$18</f>
        <v>0.49795949063219769</v>
      </c>
      <c r="E104" s="87">
        <f>FieldApplications!$I$16</f>
        <v>2</v>
      </c>
      <c r="F104" s="117">
        <f t="shared" si="12"/>
        <v>0.99591898126439538</v>
      </c>
      <c r="H104" s="246">
        <f>MachineAssumptions!$T$38*E104</f>
        <v>1.0056003712769741</v>
      </c>
      <c r="I104" s="166">
        <f>MachineAssumptions!$T$58*E104</f>
        <v>0.9021656572032456</v>
      </c>
    </row>
    <row r="105" spans="1:9" ht="20">
      <c r="A105" s="15"/>
      <c r="B105" s="85" t="str">
        <f>MachineAssumptions!B15&amp;" - Labor"</f>
        <v>Bankout Wagon - Labor</v>
      </c>
      <c r="C105" s="41" t="s">
        <v>246</v>
      </c>
      <c r="D105" s="116">
        <f>MachineAssumptions!$R$15</f>
        <v>1.6861761426978819</v>
      </c>
      <c r="E105" s="87">
        <f t="shared" ref="E105:E113" si="13">IF($E$93&gt;0,1,0)</f>
        <v>1</v>
      </c>
      <c r="F105" s="117">
        <f t="shared" si="12"/>
        <v>1.6861761426978819</v>
      </c>
      <c r="H105" s="246">
        <f>MachineAssumptions!$R$39*E105</f>
        <v>1.6861761426978819</v>
      </c>
      <c r="I105" s="166">
        <f>MachineAssumptions!$R$59*E105</f>
        <v>1.6861761426978819</v>
      </c>
    </row>
    <row r="106" spans="1:9" ht="20">
      <c r="A106" s="15"/>
      <c r="B106" s="85" t="str">
        <f>MachineAssumptions!B15&amp;" - Fuel, Lube"</f>
        <v>Bankout Wagon - Fuel, Lube</v>
      </c>
      <c r="C106" s="41" t="s">
        <v>246</v>
      </c>
      <c r="D106" s="116">
        <f>MachineAssumptions!$S$15</f>
        <v>7.0512820512820511</v>
      </c>
      <c r="E106" s="87">
        <f t="shared" si="13"/>
        <v>1</v>
      </c>
      <c r="F106" s="117">
        <f t="shared" si="12"/>
        <v>7.0512820512820511</v>
      </c>
      <c r="H106" s="246">
        <f>MachineAssumptions!$S$39*E106</f>
        <v>7.0512820512820511</v>
      </c>
      <c r="I106" s="166">
        <f>MachineAssumptions!$S$59*E106</f>
        <v>7.0512820512820511</v>
      </c>
    </row>
    <row r="107" spans="1:9" ht="20">
      <c r="A107" s="15"/>
      <c r="B107" s="85" t="str">
        <f>MachineAssumptions!B15&amp;" - Repairs"</f>
        <v>Bankout Wagon - Repairs</v>
      </c>
      <c r="C107" s="41" t="s">
        <v>246</v>
      </c>
      <c r="D107" s="116">
        <f>MachineAssumptions!$T$15</f>
        <v>0.5058930256896228</v>
      </c>
      <c r="E107" s="87">
        <f t="shared" si="13"/>
        <v>1</v>
      </c>
      <c r="F107" s="117">
        <f t="shared" si="12"/>
        <v>0.5058930256896228</v>
      </c>
      <c r="H107" s="246">
        <f>MachineAssumptions!$T$39*E107</f>
        <v>0.5058930256896228</v>
      </c>
      <c r="I107" s="166">
        <f>MachineAssumptions!$T$59*E107</f>
        <v>0.43525361955195507</v>
      </c>
    </row>
    <row r="108" spans="1:9" ht="20">
      <c r="A108" s="15"/>
      <c r="B108" s="85" t="str">
        <f>MachineAssumptions!B19&amp;" - Labor"</f>
        <v>Tandem Axle Truck  - Labor</v>
      </c>
      <c r="C108" s="41" t="s">
        <v>246</v>
      </c>
      <c r="D108" s="116">
        <f>MachineAssumptions!$R$19</f>
        <v>3.6</v>
      </c>
      <c r="E108" s="87">
        <f t="shared" si="13"/>
        <v>1</v>
      </c>
      <c r="F108" s="117">
        <f t="shared" si="12"/>
        <v>3.6</v>
      </c>
      <c r="H108" s="246">
        <f>MachineAssumptions!$R$40*E108</f>
        <v>3.6</v>
      </c>
      <c r="I108" s="166">
        <f>MachineAssumptions!$R$60*E108</f>
        <v>3.6</v>
      </c>
    </row>
    <row r="109" spans="1:9" ht="20">
      <c r="A109" s="15"/>
      <c r="B109" s="85" t="str">
        <f>MachineAssumptions!B19&amp;" - Fuel, Lube"</f>
        <v>Tandem Axle Truck  - Fuel, Lube</v>
      </c>
      <c r="C109" s="41" t="s">
        <v>246</v>
      </c>
      <c r="D109" s="116">
        <f>MachineAssumptions!$S$19</f>
        <v>1.1499999999999999</v>
      </c>
      <c r="E109" s="87">
        <f t="shared" si="13"/>
        <v>1</v>
      </c>
      <c r="F109" s="117">
        <f t="shared" si="12"/>
        <v>1.1499999999999999</v>
      </c>
      <c r="H109" s="246">
        <f>MachineAssumptions!$S$40*E109</f>
        <v>1.1499999999999999</v>
      </c>
      <c r="I109" s="166">
        <f>MachineAssumptions!$S$60*E109</f>
        <v>1.1499999999999999</v>
      </c>
    </row>
    <row r="110" spans="1:9" ht="20">
      <c r="A110" s="15"/>
      <c r="B110" s="85" t="str">
        <f>MachineAssumptions!B19&amp;" - Repairs"</f>
        <v>Tandem Axle Truck  - Repairs</v>
      </c>
      <c r="C110" s="41" t="s">
        <v>246</v>
      </c>
      <c r="D110" s="116">
        <f>MachineAssumptions!$T$19</f>
        <v>0.8</v>
      </c>
      <c r="E110" s="87">
        <f t="shared" si="13"/>
        <v>1</v>
      </c>
      <c r="F110" s="117">
        <f t="shared" si="12"/>
        <v>0.8</v>
      </c>
      <c r="H110" s="246">
        <f>MachineAssumptions!$T$40*E110</f>
        <v>0.8</v>
      </c>
      <c r="I110" s="166">
        <f>MachineAssumptions!$T$60*E110</f>
        <v>0.8</v>
      </c>
    </row>
    <row r="111" spans="1:9" ht="20">
      <c r="A111" s="15"/>
      <c r="B111" s="85" t="str">
        <f>MachineAssumptions!B20&amp;" - Labor"</f>
        <v>Tandem Axle Truck  - Labor</v>
      </c>
      <c r="C111" s="41" t="s">
        <v>246</v>
      </c>
      <c r="D111" s="116">
        <f>MachineAssumptions!$R$20</f>
        <v>3.6</v>
      </c>
      <c r="E111" s="87">
        <f t="shared" si="13"/>
        <v>1</v>
      </c>
      <c r="F111" s="117">
        <f t="shared" si="12"/>
        <v>3.6</v>
      </c>
      <c r="H111" s="416">
        <f>MachineAssumptions!$R$41*E111</f>
        <v>3.6</v>
      </c>
      <c r="I111" s="369">
        <f>MachineAssumptions!$R$61*E111</f>
        <v>3.6</v>
      </c>
    </row>
    <row r="112" spans="1:9" ht="20">
      <c r="A112" s="15"/>
      <c r="B112" s="85" t="str">
        <f>MachineAssumptions!B20&amp;" - Fuel, Lube"</f>
        <v>Tandem Axle Truck  - Fuel, Lube</v>
      </c>
      <c r="C112" s="41" t="s">
        <v>246</v>
      </c>
      <c r="D112" s="116">
        <f>MachineAssumptions!$S$20</f>
        <v>1.72</v>
      </c>
      <c r="E112" s="87">
        <f t="shared" si="13"/>
        <v>1</v>
      </c>
      <c r="F112" s="117">
        <f t="shared" si="12"/>
        <v>1.72</v>
      </c>
      <c r="H112" s="416">
        <f>MachineAssumptions!$S$41*E112</f>
        <v>1.72</v>
      </c>
      <c r="I112" s="369">
        <f>MachineAssumptions!$S$61*E112</f>
        <v>1.72</v>
      </c>
    </row>
    <row r="113" spans="1:13" ht="23">
      <c r="A113" s="15"/>
      <c r="B113" s="85" t="str">
        <f>MachineAssumptions!B20&amp;" - Repairs"</f>
        <v>Tandem Axle Truck  - Repairs</v>
      </c>
      <c r="C113" s="41" t="s">
        <v>246</v>
      </c>
      <c r="D113" s="116">
        <f>MachineAssumptions!$T$20</f>
        <v>0.8</v>
      </c>
      <c r="E113" s="87">
        <f t="shared" si="13"/>
        <v>1</v>
      </c>
      <c r="F113" s="117">
        <f t="shared" si="12"/>
        <v>0.8</v>
      </c>
      <c r="H113" s="248">
        <f>MachineAssumptions!$T$41*E113</f>
        <v>0.8</v>
      </c>
      <c r="I113" s="247">
        <f>MachineAssumptions!$T$61*E113</f>
        <v>0.8</v>
      </c>
    </row>
    <row r="114" spans="1:13" ht="21">
      <c r="A114" s="15"/>
      <c r="B114" s="139" t="s">
        <v>88</v>
      </c>
      <c r="C114" s="41"/>
      <c r="D114" s="116"/>
      <c r="E114" s="87"/>
      <c r="F114" s="117"/>
      <c r="H114" s="249">
        <f>SUM(H74:H113)</f>
        <v>67.05347216126205</v>
      </c>
      <c r="I114" s="249">
        <f>SUM(I74:I113)</f>
        <v>64.495199937853457</v>
      </c>
    </row>
    <row r="115" spans="1:13" ht="20">
      <c r="A115" s="15"/>
      <c r="B115" s="85" t="str">
        <f>'Chem&amp;FertInputs&amp;CInsurance'!B73</f>
        <v>Crop Insurance</v>
      </c>
      <c r="C115" s="23" t="str">
        <f>'Chem&amp;FertInputs&amp;CInsurance'!D73</f>
        <v>acre</v>
      </c>
      <c r="D115" s="116">
        <f>'Chem&amp;FertInputs&amp;CInsurance'!L73</f>
        <v>22</v>
      </c>
      <c r="E115" s="87">
        <v>1</v>
      </c>
      <c r="F115" s="117">
        <f>IF(D115*E115=0,"0",D115*E115)</f>
        <v>22</v>
      </c>
      <c r="H115" s="1" t="s">
        <v>181</v>
      </c>
      <c r="I115" s="1" t="s">
        <v>181</v>
      </c>
    </row>
    <row r="116" spans="1:13" ht="20">
      <c r="A116" s="15"/>
      <c r="B116" s="85" t="s">
        <v>72</v>
      </c>
      <c r="C116" s="41" t="s">
        <v>83</v>
      </c>
      <c r="D116" s="111">
        <f>MachineAssumptions!D25</f>
        <v>0.05</v>
      </c>
      <c r="E116" s="87"/>
      <c r="F116" s="86">
        <f>SUM(F8:F115)*D116</f>
        <v>10.485014538562474</v>
      </c>
      <c r="H116" s="49">
        <f>(SUM($F8:$F70)+$F115+SUM(H72:H113))*$D116</f>
        <v>10.485498608063104</v>
      </c>
      <c r="I116" s="49">
        <f>(SUM($F8:$F70)+$F115+SUM(I72:I113))*$D116</f>
        <v>10.357584996892673</v>
      </c>
      <c r="J116" s="49">
        <f>F72+F75+F78+F81+F84+F87+F90+F93+F96+F99+F102+F105+F108+F111</f>
        <v>15.659118400208875</v>
      </c>
      <c r="K116" s="1" t="s">
        <v>111</v>
      </c>
    </row>
    <row r="117" spans="1:13" ht="20">
      <c r="A117" s="15"/>
      <c r="B117" s="85" t="s">
        <v>84</v>
      </c>
      <c r="C117" s="41" t="s">
        <v>83</v>
      </c>
      <c r="D117" s="111">
        <f>MachineAssumptions!D26</f>
        <v>6.7500000000000004E-2</v>
      </c>
      <c r="E117" s="112"/>
      <c r="F117" s="140">
        <f>SUM(F7:F116)*(D117/12*MachineAssumptions!D27)</f>
        <v>11.14688108130923</v>
      </c>
      <c r="H117" s="49">
        <f>(SUM(F8:F70)+(F115+F116+H114))*((D117/12)*MachineAssumptions!D27)</f>
        <v>11.147371201678618</v>
      </c>
      <c r="I117" s="49">
        <f>(SUM(F8:F70)+(F115+F116+I114))*((D117/12)*MachineAssumptions!D27)</f>
        <v>11.017858670368557</v>
      </c>
      <c r="J117" s="49">
        <f>F73+F76+F79+F82+F85+F88+F91+F94+F97+F100+F103+F106+F109+F112</f>
        <v>36.116622527605394</v>
      </c>
      <c r="K117" s="1" t="s">
        <v>4</v>
      </c>
    </row>
    <row r="118" spans="1:13" ht="20">
      <c r="A118" s="15"/>
      <c r="B118" s="14" t="s">
        <v>85</v>
      </c>
      <c r="C118" s="29"/>
      <c r="D118" s="141"/>
      <c r="E118" s="142"/>
      <c r="F118" s="143">
        <f>SUM(F8:F117)</f>
        <v>231.33218639112116</v>
      </c>
      <c r="J118" s="49">
        <f>F74+F77+F80+F83+F86+F89+F92+F95+F98+F101+F104+F107+F110+F113</f>
        <v>15.268049843435199</v>
      </c>
      <c r="K118" s="1" t="s">
        <v>112</v>
      </c>
      <c r="L118" s="49">
        <f>H74+H77+H80+H83+H86+H89+H92+H95+H98+H101+H104+H107+H110+H113</f>
        <v>15.277731233447778</v>
      </c>
      <c r="M118" s="49">
        <f>I74+I77+I80+I83+I86+I89+I92+I95+I98+I101+I104+I107+I110+I113</f>
        <v>12.719459010039175</v>
      </c>
    </row>
    <row r="119" spans="1:13">
      <c r="A119" s="15"/>
      <c r="B119" s="113"/>
      <c r="C119" s="113"/>
      <c r="D119" s="113"/>
      <c r="E119" s="114"/>
      <c r="F119" s="115"/>
      <c r="H119" s="115"/>
      <c r="J119" s="49">
        <f>SUM(J116:J118)</f>
        <v>67.043790771249462</v>
      </c>
      <c r="K119" s="115"/>
      <c r="L119" s="1">
        <f>(L118-J118)/J118</f>
        <v>6.3409473455065238E-4</v>
      </c>
    </row>
    <row r="120" spans="1:13" ht="20">
      <c r="A120" s="15"/>
      <c r="B120" s="132" t="s">
        <v>89</v>
      </c>
      <c r="C120" s="19" t="s">
        <v>2</v>
      </c>
      <c r="D120" s="20" t="s">
        <v>12</v>
      </c>
      <c r="E120" s="21" t="s">
        <v>13</v>
      </c>
      <c r="F120" s="45" t="s">
        <v>0</v>
      </c>
      <c r="H120" s="1" t="s">
        <v>136</v>
      </c>
      <c r="I120" s="1" t="s">
        <v>139</v>
      </c>
    </row>
    <row r="121" spans="1:13" ht="20">
      <c r="A121" s="15"/>
      <c r="B121" s="18" t="str">
        <f>MachineAssumptions!B7&amp;" - Replacement Costs"</f>
        <v>Shredder - Replacement Costs</v>
      </c>
      <c r="C121" s="41" t="str">
        <f>C72</f>
        <v>acre</v>
      </c>
      <c r="D121" s="34">
        <f>MachineAssumptions!U7</f>
        <v>4.3329737628911431</v>
      </c>
      <c r="E121" s="145">
        <f>E72</f>
        <v>0</v>
      </c>
      <c r="F121" s="42" t="str">
        <f t="shared" ref="F121:F134" si="14">IF(D121*E121=0,"0",D121*E121)</f>
        <v>0</v>
      </c>
      <c r="G121" s="1" t="s">
        <v>111</v>
      </c>
      <c r="H121" s="166">
        <f>MachineAssumptions!U28*E121</f>
        <v>0</v>
      </c>
      <c r="I121" s="166">
        <f>MachineAssumptions!U48*E121</f>
        <v>0</v>
      </c>
    </row>
    <row r="122" spans="1:13" ht="20">
      <c r="A122" s="15"/>
      <c r="B122" s="18" t="str">
        <f>MachineAssumptions!B8&amp;" - Replacement Costs"</f>
        <v>Harrow - Replacement Costs</v>
      </c>
      <c r="C122" s="41" t="str">
        <f>C75</f>
        <v>acre</v>
      </c>
      <c r="D122" s="34">
        <f>MachineAssumptions!U8</f>
        <v>1.1988479209967022</v>
      </c>
      <c r="E122" s="145">
        <f>E75</f>
        <v>0</v>
      </c>
      <c r="F122" s="42" t="str">
        <f t="shared" si="14"/>
        <v>0</v>
      </c>
      <c r="G122" s="1" t="s">
        <v>4</v>
      </c>
      <c r="H122" s="166">
        <f>MachineAssumptions!U29*E122</f>
        <v>0</v>
      </c>
      <c r="I122" s="166">
        <f>MachineAssumptions!U49*E122</f>
        <v>0</v>
      </c>
    </row>
    <row r="123" spans="1:13" ht="20">
      <c r="A123" s="15"/>
      <c r="B123" s="18" t="str">
        <f>MachineAssumptions!B9&amp;" - Replacement Costs"</f>
        <v>Chisel plow - Replacement Costs</v>
      </c>
      <c r="C123" s="41" t="str">
        <f>C78</f>
        <v>acre</v>
      </c>
      <c r="D123" s="34">
        <f>MachineAssumptions!U9</f>
        <v>0</v>
      </c>
      <c r="E123" s="145">
        <f>E78</f>
        <v>0</v>
      </c>
      <c r="F123" s="42" t="str">
        <f t="shared" si="14"/>
        <v>0</v>
      </c>
      <c r="G123" s="1" t="s">
        <v>112</v>
      </c>
      <c r="H123" s="166">
        <f>MachineAssumptions!U30*E123</f>
        <v>0</v>
      </c>
      <c r="I123" s="166">
        <f>MachineAssumptions!U50*E123</f>
        <v>0</v>
      </c>
    </row>
    <row r="124" spans="1:13" ht="20">
      <c r="A124" s="15"/>
      <c r="B124" s="18" t="str">
        <f>MachineAssumptions!B10&amp;" - Replacement Costs"</f>
        <v>Moldboard plow - Replacement Costs</v>
      </c>
      <c r="C124" s="41" t="str">
        <f>C81</f>
        <v>acre</v>
      </c>
      <c r="D124" s="34">
        <f>MachineAssumptions!U10</f>
        <v>0</v>
      </c>
      <c r="E124" s="145">
        <f>E81</f>
        <v>0</v>
      </c>
      <c r="F124" s="42" t="str">
        <f t="shared" si="14"/>
        <v>0</v>
      </c>
      <c r="H124" s="166">
        <f>MachineAssumptions!U31*E124</f>
        <v>0</v>
      </c>
      <c r="I124" s="166">
        <f>MachineAssumptions!U51*E124</f>
        <v>0</v>
      </c>
    </row>
    <row r="125" spans="1:13" ht="20">
      <c r="A125" s="15"/>
      <c r="B125" s="18" t="str">
        <f>MachineAssumptions!B11&amp;" - Replacement Costs"</f>
        <v>Cultivator - Replacement Costs</v>
      </c>
      <c r="C125" s="41" t="str">
        <f t="shared" ref="C125:C126" si="15">C82</f>
        <v>acre</v>
      </c>
      <c r="D125" s="34">
        <f>MachineAssumptions!U11</f>
        <v>0</v>
      </c>
      <c r="E125" s="145">
        <f>E84</f>
        <v>0</v>
      </c>
      <c r="F125" s="42" t="str">
        <f t="shared" si="14"/>
        <v>0</v>
      </c>
      <c r="H125" s="166">
        <f>MachineAssumptions!U32*E125</f>
        <v>0</v>
      </c>
      <c r="I125" s="166">
        <f>MachineAssumptions!U52*E125</f>
        <v>0</v>
      </c>
    </row>
    <row r="126" spans="1:13" ht="20">
      <c r="A126" s="15"/>
      <c r="B126" s="18" t="str">
        <f>MachineAssumptions!B12&amp;" - Replacement Costs"</f>
        <v>Cultiweeder - Replacement Costs</v>
      </c>
      <c r="C126" s="41" t="str">
        <f t="shared" si="15"/>
        <v>acre</v>
      </c>
      <c r="D126" s="34">
        <f>MachineAssumptions!U12</f>
        <v>0</v>
      </c>
      <c r="E126" s="145">
        <f>E87</f>
        <v>0</v>
      </c>
      <c r="F126" s="42" t="str">
        <f t="shared" si="14"/>
        <v>0</v>
      </c>
      <c r="H126" s="166">
        <f>MachineAssumptions!U33*E126</f>
        <v>0</v>
      </c>
      <c r="I126" s="166">
        <f>MachineAssumptions!U53*E126</f>
        <v>0</v>
      </c>
    </row>
    <row r="127" spans="1:13" ht="20">
      <c r="A127" s="15"/>
      <c r="B127" s="18" t="str">
        <f>MachineAssumptions!B13&amp;" - Replacement Costs"</f>
        <v>Drill - Replacement Costs</v>
      </c>
      <c r="C127" s="41" t="str">
        <f>C90</f>
        <v>acre</v>
      </c>
      <c r="D127" s="34">
        <f>MachineAssumptions!U13</f>
        <v>7.2419265221735989</v>
      </c>
      <c r="E127" s="145">
        <f>E90</f>
        <v>1</v>
      </c>
      <c r="F127" s="42">
        <f t="shared" si="14"/>
        <v>7.2419265221735989</v>
      </c>
      <c r="H127" s="166">
        <f>MachineAssumptions!U34*E127</f>
        <v>7.2419265221735989</v>
      </c>
      <c r="I127" s="166">
        <f>MachineAssumptions!U54*E127</f>
        <v>7.2419265221735989</v>
      </c>
    </row>
    <row r="128" spans="1:13" ht="20">
      <c r="A128" s="15"/>
      <c r="B128" s="18" t="str">
        <f>MachineAssumptions!B14&amp;" - Replacement Costs"</f>
        <v>Combine w/ 36' header - Replacement Costs</v>
      </c>
      <c r="C128" s="41" t="str">
        <f>C93</f>
        <v>acre</v>
      </c>
      <c r="D128" s="34">
        <f>MachineAssumptions!U14</f>
        <v>9.7031999999999989</v>
      </c>
      <c r="E128" s="145">
        <f>E93</f>
        <v>1</v>
      </c>
      <c r="F128" s="42">
        <f t="shared" si="14"/>
        <v>9.7031999999999989</v>
      </c>
      <c r="H128" s="166">
        <f>MachineAssumptions!U35*E128</f>
        <v>9.7031999999999989</v>
      </c>
      <c r="I128" s="166">
        <f>MachineAssumptions!U55*E128</f>
        <v>9.7032000000000007</v>
      </c>
    </row>
    <row r="129" spans="1:13" ht="20">
      <c r="A129" s="15"/>
      <c r="B129" s="18" t="str">
        <f>MachineAssumptions!B16&amp;" - Replacement Costs"</f>
        <v>Fertilizer Spreader - Replacement Costs</v>
      </c>
      <c r="C129" s="41" t="str">
        <f>C96</f>
        <v>acre</v>
      </c>
      <c r="D129" s="34">
        <f>MachineAssumptions!U16</f>
        <v>0</v>
      </c>
      <c r="E129" s="145">
        <f>E96</f>
        <v>0</v>
      </c>
      <c r="F129" s="42" t="str">
        <f t="shared" si="14"/>
        <v>0</v>
      </c>
      <c r="H129" s="166">
        <f>MachineAssumptions!U36*E129</f>
        <v>0</v>
      </c>
      <c r="I129" s="166">
        <f>MachineAssumptions!U56*E129</f>
        <v>0</v>
      </c>
    </row>
    <row r="130" spans="1:13" ht="20">
      <c r="A130" s="15"/>
      <c r="B130" s="18" t="str">
        <f>MachineAssumptions!B17&amp;" - Replacement Costs"</f>
        <v>Fertilizer tanks and pump - Replacement Costs</v>
      </c>
      <c r="C130" s="41" t="str">
        <f>C99</f>
        <v>acre</v>
      </c>
      <c r="D130" s="34">
        <f>MachineAssumptions!U17</f>
        <v>0.6</v>
      </c>
      <c r="E130" s="145">
        <f>E99</f>
        <v>1</v>
      </c>
      <c r="F130" s="42">
        <f t="shared" si="14"/>
        <v>0.6</v>
      </c>
      <c r="H130" s="166">
        <f>MachineAssumptions!U37*E130</f>
        <v>0.6</v>
      </c>
      <c r="I130" s="166">
        <f>MachineAssumptions!U57*E130</f>
        <v>0.6</v>
      </c>
    </row>
    <row r="131" spans="1:13" ht="20">
      <c r="A131" s="15"/>
      <c r="B131" s="18" t="str">
        <f>MachineAssumptions!B18&amp;" - Replacement Costs"</f>
        <v>Boom sprayer - Replacement Costs</v>
      </c>
      <c r="C131" s="41" t="str">
        <f>C102</f>
        <v>acre</v>
      </c>
      <c r="D131" s="34">
        <f>MachineAssumptions!U18</f>
        <v>0.80913316225248511</v>
      </c>
      <c r="E131" s="145">
        <f>E102</f>
        <v>2</v>
      </c>
      <c r="F131" s="42">
        <f t="shared" si="14"/>
        <v>1.6182663245049702</v>
      </c>
      <c r="H131" s="166">
        <f>MachineAssumptions!U38*E131</f>
        <v>1.6180237561339832</v>
      </c>
      <c r="I131" s="166">
        <f>MachineAssumptions!U58*E131</f>
        <v>1.6182663245049702</v>
      </c>
    </row>
    <row r="132" spans="1:13" ht="20">
      <c r="A132" s="15"/>
      <c r="B132" s="18" t="str">
        <f>MachineAssumptions!B15&amp;" - Replacement Costs"</f>
        <v>Bankout Wagon - Replacement Costs</v>
      </c>
      <c r="C132" s="41" t="str">
        <f>C105</f>
        <v>acre</v>
      </c>
      <c r="D132" s="34">
        <f>MachineAssumptions!U15</f>
        <v>2.9461434675395459</v>
      </c>
      <c r="E132" s="145">
        <f>E105</f>
        <v>1</v>
      </c>
      <c r="F132" s="42">
        <f t="shared" si="14"/>
        <v>2.9461434675395459</v>
      </c>
      <c r="H132" s="166">
        <f>MachineAssumptions!U39*E132</f>
        <v>2.9461434675395459</v>
      </c>
      <c r="I132" s="166">
        <f>MachineAssumptions!U59*E132</f>
        <v>2.9461434675395459</v>
      </c>
    </row>
    <row r="133" spans="1:13" ht="20">
      <c r="A133" s="15"/>
      <c r="B133" s="18" t="str">
        <f>MachineAssumptions!B19&amp;" - Replacement Costs"</f>
        <v>Tandem Axle Truck  - Replacement Costs</v>
      </c>
      <c r="C133" s="41" t="str">
        <f>C108</f>
        <v>acre</v>
      </c>
      <c r="D133" s="34">
        <f>MachineAssumptions!U19</f>
        <v>0.64</v>
      </c>
      <c r="E133" s="145">
        <f>E108</f>
        <v>1</v>
      </c>
      <c r="F133" s="42">
        <f t="shared" si="14"/>
        <v>0.64</v>
      </c>
      <c r="H133" s="166">
        <f>MachineAssumptions!U40*E133</f>
        <v>0.64</v>
      </c>
      <c r="I133" s="166">
        <f>MachineAssumptions!U60*E133</f>
        <v>0.64</v>
      </c>
    </row>
    <row r="134" spans="1:13" ht="23">
      <c r="A134" s="15"/>
      <c r="B134" s="18" t="str">
        <f>MachineAssumptions!B20&amp;" - Replacement Costs"</f>
        <v>Tandem Axle Truck  - Replacement Costs</v>
      </c>
      <c r="C134" s="41" t="str">
        <f t="shared" ref="C134" si="16">C111</f>
        <v>acre</v>
      </c>
      <c r="D134" s="34">
        <f>MachineAssumptions!U20</f>
        <v>0.64</v>
      </c>
      <c r="E134" s="145">
        <f t="shared" ref="E134" si="17">E111</f>
        <v>1</v>
      </c>
      <c r="F134" s="43">
        <f t="shared" si="14"/>
        <v>0.64</v>
      </c>
      <c r="H134" s="247">
        <f>MachineAssumptions!U41*E134</f>
        <v>0.64</v>
      </c>
      <c r="I134" s="247">
        <f>MachineAssumptions!U61*E134</f>
        <v>0.64</v>
      </c>
    </row>
    <row r="135" spans="1:13" ht="20">
      <c r="A135" s="15"/>
      <c r="B135" s="144" t="s">
        <v>38</v>
      </c>
      <c r="C135" s="29"/>
      <c r="D135" s="30"/>
      <c r="E135" s="29"/>
      <c r="F135" s="46">
        <f>SUM(F121:F134)</f>
        <v>23.389536314218116</v>
      </c>
      <c r="H135" s="46">
        <f t="shared" ref="H135" si="18">SUM(H121:H134)</f>
        <v>23.38929374584713</v>
      </c>
      <c r="I135" s="46">
        <f>SUM(I121:I134)</f>
        <v>23.389536314218116</v>
      </c>
      <c r="L135" s="1">
        <f>(H135-F135)/F135</f>
        <v>-1.0370807173225314E-5</v>
      </c>
      <c r="M135" s="1">
        <f>(I135-F135)/F135</f>
        <v>0</v>
      </c>
    </row>
    <row r="136" spans="1:13" ht="20">
      <c r="A136" s="15"/>
      <c r="B136" s="16"/>
      <c r="C136" s="16"/>
      <c r="D136" s="17"/>
      <c r="E136" s="16"/>
      <c r="F136" s="113"/>
    </row>
    <row r="137" spans="1:13" ht="20">
      <c r="A137" s="15"/>
      <c r="B137" s="14" t="s">
        <v>31</v>
      </c>
      <c r="C137" s="29"/>
      <c r="D137" s="30"/>
      <c r="E137" s="29"/>
      <c r="F137" s="47">
        <f>F118+F135</f>
        <v>254.72172270533926</v>
      </c>
      <c r="H137" s="47">
        <f>SUM(F16:F70)+H114+F115+H116+H117+H135+F8+(H9*D9)+(H10*D10)+(H11*D11)+(H12*D12)+(H13*D13)+(H14*D14)+(H15*D15)</f>
        <v>254.73213571685093</v>
      </c>
      <c r="I137" s="47">
        <f>SUM(F16:F70)+I114+F115+I116+I117+I135+F8+(I9*D9)+(I10*D10)+(I11*D11)+(I12*D12)+(I13*D13)+(I14*D14)+(I15*D15)</f>
        <v>251.91667991933281</v>
      </c>
    </row>
    <row r="138" spans="1:13" ht="21">
      <c r="A138" s="15"/>
      <c r="B138" s="31" t="s">
        <v>32</v>
      </c>
      <c r="C138" s="32"/>
      <c r="D138" s="33"/>
      <c r="E138" s="32"/>
      <c r="F138" s="48">
        <f>F5-F137</f>
        <v>-30.721722705339261</v>
      </c>
      <c r="H138" s="250">
        <f>H5-H137</f>
        <v>-30.732135716850934</v>
      </c>
      <c r="I138" s="250">
        <f>I5-I137</f>
        <v>-27.916679919332807</v>
      </c>
    </row>
  </sheetData>
  <mergeCells count="1">
    <mergeCell ref="B2:F2"/>
  </mergeCells>
  <pageMargins left="0.7" right="0.7" top="0.75" bottom="0.75" header="0.3" footer="0.3"/>
  <pageSetup scale="57" orientation="portrait" horizontalDpi="0" verticalDpi="0"/>
  <ignoredErrors>
    <ignoredError sqref="B114:F114 B90:B113 B116:F116 B115:D115 B135:G137 D117 B127:C134 E127:G134 B60:D60 E124:G124 B121:C124 B84:B89 B125:F126 B62:E62 C14:D14 E121:G123 C13:D13 C9:D9 C10:D10 C11:D11 C12:D12 F14 B61:D61 E4:F4 B5:F7 B3:F3 B8:F8 B4:D4 B71:E71 B63:C63 B64:C64 B65:C65 B66:C66 B67:C67 B68:C68 B69:C69 B70:C70 D63:E70 B2 B73:B83 B72 D72:E72 D90:E113 D84:F89 D73:E83 B57:D57 B56:D56 B55:D55 B54:D54 B51:D51 B50:D50 B49:D49 B48:D48 B47:D47 B46:D46 B45:D45 B44:D44 B43:D43 B42:D42 B40:D40 B39:D39 B38:D38 B37:D37 B36:D36 B35:D35 B34:D34 B33:D33 B31:D31 B30:D30 B29:D29 B28:D28 B27:D27 B26:D26 B25:D25 B24:D24 B23:D23 B22:D22 B21:D21 B16:G20 B32:G32 E21:G21 E22:G22 E23:G23 E24:G24 E25:G25 E26:G26 E27:G27 E28:G28 E29:G29 E30:G30 E31:G31 B41:G41 E33:G33 E34:G34 E35:G35 E36:G36 E37:G37 E38:G38 E39:G39 E40:G40 B52:G53 E42:G42 E43:G43 E44:G44 E45:G45 E46:G46 E47:G47 E48:G48 E49:G49 E50:G50 E51:G51 B58:G59 E54:G54 E55:G55 E56:G56 E57:G57 E115 C15:G15 B9:B15" unlockedFormula="1"/>
    <ignoredError sqref="D127:D134 D121:D124" formula="1" unlockedFormula="1"/>
  </ignoredErrors>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D2EAC-4A9A-3E48-AAED-3DCA76951960}">
  <sheetPr codeName="Sheet44">
    <pageSetUpPr fitToPage="1"/>
  </sheetPr>
  <dimension ref="A1:R138"/>
  <sheetViews>
    <sheetView zoomScale="120" zoomScaleNormal="120" workbookViewId="0">
      <selection activeCell="B2" sqref="B2:F2"/>
    </sheetView>
  </sheetViews>
  <sheetFormatPr baseColWidth="10" defaultColWidth="11.5" defaultRowHeight="15"/>
  <cols>
    <col min="1" max="1" width="4.83203125" style="1" customWidth="1"/>
    <col min="2" max="2" width="57.83203125" style="1" customWidth="1"/>
    <col min="3" max="6" width="12.83203125" style="1" customWidth="1"/>
    <col min="7" max="15" width="11.5" style="1" hidden="1" customWidth="1"/>
    <col min="16" max="16" width="0" style="1" hidden="1" customWidth="1"/>
    <col min="17" max="16384" width="11.5" style="1"/>
  </cols>
  <sheetData>
    <row r="1" spans="1:18" ht="20">
      <c r="A1" s="352" t="s">
        <v>8</v>
      </c>
      <c r="B1" s="27"/>
      <c r="C1" s="16"/>
      <c r="D1" s="17"/>
      <c r="E1" s="16"/>
      <c r="F1" s="16"/>
    </row>
    <row r="2" spans="1:18" ht="20">
      <c r="A2" s="15"/>
      <c r="B2" s="807" t="str">
        <f>'Prices_Yields&amp;SeedInputs'!B12&amp;", Cash Costs and Returns of Producing, $/acre."</f>
        <v>Spring Pea after Cereal, Cash Costs and Returns of Producing, $/acre.</v>
      </c>
      <c r="C2" s="807"/>
      <c r="D2" s="807"/>
      <c r="E2" s="807"/>
      <c r="F2" s="807"/>
    </row>
    <row r="3" spans="1:18" ht="20">
      <c r="A3" s="15"/>
      <c r="B3" s="131" t="s">
        <v>11</v>
      </c>
      <c r="C3" s="24" t="s">
        <v>2</v>
      </c>
      <c r="D3" s="25" t="s">
        <v>12</v>
      </c>
      <c r="E3" s="26" t="s">
        <v>13</v>
      </c>
      <c r="F3" s="26" t="s">
        <v>0</v>
      </c>
      <c r="H3" s="1" t="str">
        <f>'Prices_Yields&amp;SeedInputs'!F3</f>
        <v>Incremental Rotation</v>
      </c>
      <c r="I3" s="1" t="str">
        <f>'Prices_Yields&amp;SeedInputs'!G3</f>
        <v>Aspirational Rotation</v>
      </c>
      <c r="Q3" s="674"/>
      <c r="R3" s="674"/>
    </row>
    <row r="4" spans="1:18" ht="20">
      <c r="A4" s="15"/>
      <c r="B4" s="127" t="str">
        <f>'Prices_Yields&amp;SeedInputs'!B12</f>
        <v>Spring Pea after Cereal</v>
      </c>
      <c r="C4" s="22" t="str">
        <f>'Prices_Yields&amp;SeedInputs'!C12</f>
        <v>lb</v>
      </c>
      <c r="D4" s="17">
        <f>'Prices_Yields&amp;SeedInputs'!D12</f>
        <v>0.12</v>
      </c>
      <c r="E4" s="90">
        <f>'Prices_Yields&amp;SeedInputs'!E12</f>
        <v>2000</v>
      </c>
      <c r="F4" s="35">
        <f>D4*E4</f>
        <v>240</v>
      </c>
      <c r="Q4" s="674"/>
      <c r="R4" s="674"/>
    </row>
    <row r="5" spans="1:18" ht="20">
      <c r="A5" s="15"/>
      <c r="B5" s="14" t="s">
        <v>14</v>
      </c>
      <c r="C5" s="29"/>
      <c r="D5" s="30"/>
      <c r="E5" s="29"/>
      <c r="F5" s="46">
        <f>SUM(F4:F4)</f>
        <v>240</v>
      </c>
      <c r="H5" s="1">
        <f>D4*'Prices_Yields&amp;SeedInputs'!F12</f>
        <v>240</v>
      </c>
      <c r="I5" s="1">
        <f>D4*'Prices_Yields&amp;SeedInputs'!G12</f>
        <v>240</v>
      </c>
      <c r="Q5" s="674"/>
      <c r="R5" s="674"/>
    </row>
    <row r="6" spans="1:18" ht="20">
      <c r="A6" s="15"/>
      <c r="B6" s="16"/>
      <c r="C6" s="16"/>
      <c r="D6" s="17"/>
      <c r="E6" s="16"/>
      <c r="F6" s="44"/>
    </row>
    <row r="7" spans="1:18" ht="20">
      <c r="A7" s="15"/>
      <c r="B7" s="132" t="s">
        <v>37</v>
      </c>
      <c r="C7" s="19" t="s">
        <v>2</v>
      </c>
      <c r="D7" s="20" t="s">
        <v>12</v>
      </c>
      <c r="E7" s="21" t="s">
        <v>13</v>
      </c>
      <c r="F7" s="45" t="s">
        <v>0</v>
      </c>
    </row>
    <row r="8" spans="1:18" ht="20">
      <c r="A8" s="15"/>
      <c r="B8" s="272" t="s">
        <v>169</v>
      </c>
      <c r="C8" s="119" t="str">
        <f>'Prices_Yields&amp;SeedInputs'!H12</f>
        <v>pound</v>
      </c>
      <c r="D8" s="120">
        <f>'Prices_Yields&amp;SeedInputs'!I12</f>
        <v>0.34</v>
      </c>
      <c r="E8" s="121">
        <f>'Prices_Yields&amp;SeedInputs'!J12</f>
        <v>200</v>
      </c>
      <c r="F8" s="117">
        <f t="shared" ref="F8:F61" si="0">IF(D8*E8=0,"0",D8*E8)</f>
        <v>68</v>
      </c>
    </row>
    <row r="9" spans="1:18" ht="20">
      <c r="A9" s="15"/>
      <c r="B9" s="85" t="str">
        <f>'Chem&amp;FertInputs&amp;CInsurance'!B6</f>
        <v>Fertilizer - Nitrogen-</v>
      </c>
      <c r="C9" s="23" t="str">
        <f>'Chem&amp;FertInputs&amp;CInsurance'!D6</f>
        <v>pound</v>
      </c>
      <c r="D9" s="116">
        <f>'Chem&amp;FertInputs&amp;CInsurance'!E6</f>
        <v>0.48749999999999999</v>
      </c>
      <c r="E9" s="133">
        <f>'Chem&amp;FertInputs&amp;CInsurance'!M6</f>
        <v>0</v>
      </c>
      <c r="F9" s="117" t="str">
        <f t="shared" si="0"/>
        <v>0</v>
      </c>
      <c r="H9" s="1">
        <f>'Chem&amp;FertInputs&amp;CInsurance'!M7</f>
        <v>0</v>
      </c>
      <c r="I9" s="1">
        <f>'Chem&amp;FertInputs&amp;CInsurance'!M8</f>
        <v>0</v>
      </c>
    </row>
    <row r="10" spans="1:18" ht="20">
      <c r="A10" s="15"/>
      <c r="B10" s="85" t="str">
        <f>'Chem&amp;FertInputs&amp;CInsurance'!B9</f>
        <v>Fertilizer - Anhydrous Ammonia-</v>
      </c>
      <c r="C10" s="23" t="str">
        <f>'Chem&amp;FertInputs&amp;CInsurance'!D9</f>
        <v>pound</v>
      </c>
      <c r="D10" s="116">
        <f>'Chem&amp;FertInputs&amp;CInsurance'!E9</f>
        <v>0.75770000000000004</v>
      </c>
      <c r="E10" s="133">
        <f>'Chem&amp;FertInputs&amp;CInsurance'!M9</f>
        <v>0</v>
      </c>
      <c r="F10" s="117" t="str">
        <f t="shared" si="0"/>
        <v>0</v>
      </c>
      <c r="H10" s="1">
        <f>'Chem&amp;FertInputs&amp;CInsurance'!M10</f>
        <v>0</v>
      </c>
      <c r="I10" s="1">
        <f>'Chem&amp;FertInputs&amp;CInsurance'!M11</f>
        <v>0</v>
      </c>
    </row>
    <row r="11" spans="1:18" ht="20">
      <c r="A11" s="15"/>
      <c r="B11" s="85" t="str">
        <f>'Chem&amp;FertInputs&amp;CInsurance'!B12</f>
        <v xml:space="preserve">Fertilizer - Phosphorus- </v>
      </c>
      <c r="C11" s="23" t="str">
        <f>'Chem&amp;FertInputs&amp;CInsurance'!D12</f>
        <v>pound</v>
      </c>
      <c r="D11" s="116">
        <f>'Chem&amp;FertInputs&amp;CInsurance'!E12</f>
        <v>0.47499999999999998</v>
      </c>
      <c r="E11" s="133">
        <f>'Chem&amp;FertInputs&amp;CInsurance'!M12</f>
        <v>0</v>
      </c>
      <c r="F11" s="117" t="str">
        <f t="shared" si="0"/>
        <v>0</v>
      </c>
      <c r="H11" s="1">
        <f>'Chem&amp;FertInputs&amp;CInsurance'!M13</f>
        <v>0</v>
      </c>
      <c r="I11" s="1">
        <f>'Chem&amp;FertInputs&amp;CInsurance'!M14</f>
        <v>0</v>
      </c>
    </row>
    <row r="12" spans="1:18" ht="20">
      <c r="A12" s="15"/>
      <c r="B12" s="85" t="str">
        <f>'Chem&amp;FertInputs&amp;CInsurance'!B15</f>
        <v>Fertilizer - Potassium-</v>
      </c>
      <c r="C12" s="23" t="str">
        <f>'Chem&amp;FertInputs&amp;CInsurance'!D15</f>
        <v>pound</v>
      </c>
      <c r="D12" s="116">
        <f>'Chem&amp;FertInputs&amp;CInsurance'!E15</f>
        <v>0.441</v>
      </c>
      <c r="E12" s="133">
        <f>'Chem&amp;FertInputs&amp;CInsurance'!M15</f>
        <v>0</v>
      </c>
      <c r="F12" s="117" t="str">
        <f t="shared" si="0"/>
        <v>0</v>
      </c>
      <c r="H12" s="1">
        <f>'Chem&amp;FertInputs&amp;CInsurance'!M16</f>
        <v>0</v>
      </c>
      <c r="I12" s="1">
        <f>'Chem&amp;FertInputs&amp;CInsurance'!M17</f>
        <v>0</v>
      </c>
    </row>
    <row r="13" spans="1:18" ht="20">
      <c r="A13" s="15"/>
      <c r="B13" s="85" t="str">
        <f>'Chem&amp;FertInputs&amp;CInsurance'!B18</f>
        <v>Fertilizer - Sulfur-</v>
      </c>
      <c r="C13" s="23" t="str">
        <f>'Chem&amp;FertInputs&amp;CInsurance'!D18</f>
        <v>pound</v>
      </c>
      <c r="D13" s="116">
        <f>'Chem&amp;FertInputs&amp;CInsurance'!E18</f>
        <v>0.2555</v>
      </c>
      <c r="E13" s="133">
        <f>'Chem&amp;FertInputs&amp;CInsurance'!M18</f>
        <v>0</v>
      </c>
      <c r="F13" s="117" t="str">
        <f t="shared" si="0"/>
        <v>0</v>
      </c>
      <c r="H13" s="1">
        <f>'Chem&amp;FertInputs&amp;CInsurance'!M19</f>
        <v>0</v>
      </c>
      <c r="I13" s="1">
        <f>'Chem&amp;FertInputs&amp;CInsurance'!M20</f>
        <v>0</v>
      </c>
    </row>
    <row r="14" spans="1:18" ht="20">
      <c r="A14" s="15"/>
      <c r="B14" s="85" t="str">
        <f>'Chem&amp;FertInputs&amp;CInsurance'!B21</f>
        <v>Adjuvant - Ammonium Sulfate liquid-</v>
      </c>
      <c r="C14" s="23" t="str">
        <f>'Chem&amp;FertInputs&amp;CInsurance'!D21</f>
        <v>oz</v>
      </c>
      <c r="D14" s="116">
        <f>'Chem&amp;FertInputs&amp;CInsurance'!E21</f>
        <v>0.48</v>
      </c>
      <c r="E14" s="133">
        <f>'Chem&amp;FertInputs&amp;CInsurance'!M21</f>
        <v>1.7</v>
      </c>
      <c r="F14" s="117">
        <f t="shared" ref="F14:F20" si="1">IF(D14*E14=0,"0",D14*E14)</f>
        <v>0.81599999999999995</v>
      </c>
      <c r="G14" s="165">
        <f>E14/128</f>
        <v>1.328125E-2</v>
      </c>
      <c r="H14" s="1">
        <f>'Chem&amp;FertInputs&amp;CInsurance'!M22</f>
        <v>1.7</v>
      </c>
      <c r="I14" s="1">
        <f>'Chem&amp;FertInputs&amp;CInsurance'!M23</f>
        <v>1.7</v>
      </c>
    </row>
    <row r="15" spans="1:18" ht="20">
      <c r="A15" s="15"/>
      <c r="B15" s="85" t="str">
        <f>'Chem&amp;FertInputs&amp;CInsurance'!B24</f>
        <v>Adjuvant - Ammonium Sulfate  (other)-</v>
      </c>
      <c r="C15" s="23" t="str">
        <f>'Chem&amp;FertInputs&amp;CInsurance'!D24</f>
        <v>pound</v>
      </c>
      <c r="D15" s="116">
        <f>'Chem&amp;FertInputs&amp;CInsurance'!E24</f>
        <v>0.71</v>
      </c>
      <c r="E15" s="133">
        <f>'Chem&amp;FertInputs&amp;CInsurance'!M24</f>
        <v>0</v>
      </c>
      <c r="F15" s="117" t="str">
        <f t="shared" si="1"/>
        <v>0</v>
      </c>
      <c r="G15" s="165">
        <f>E15/16</f>
        <v>0</v>
      </c>
      <c r="H15" s="1">
        <f>'Chem&amp;FertInputs&amp;CInsurance'!M25</f>
        <v>0</v>
      </c>
      <c r="I15" s="1">
        <f>'Chem&amp;FertInputs&amp;CInsurance'!M26</f>
        <v>0</v>
      </c>
    </row>
    <row r="16" spans="1:18" ht="20">
      <c r="A16" s="15"/>
      <c r="B16" s="85" t="str">
        <f>'Chem&amp;FertInputs&amp;CInsurance'!C27</f>
        <v xml:space="preserve">crop oil concentrate </v>
      </c>
      <c r="C16" s="23" t="str">
        <f>'Chem&amp;FertInputs&amp;CInsurance'!D27</f>
        <v>pint</v>
      </c>
      <c r="D16" s="116">
        <f>'Chem&amp;FertInputs&amp;CInsurance'!E27</f>
        <v>1.6559999999999999</v>
      </c>
      <c r="E16" s="133">
        <f>'Chem&amp;FertInputs&amp;CInsurance'!M27</f>
        <v>0</v>
      </c>
      <c r="F16" s="117" t="str">
        <f t="shared" si="1"/>
        <v>0</v>
      </c>
      <c r="G16" s="165">
        <f>E16/8</f>
        <v>0</v>
      </c>
    </row>
    <row r="17" spans="1:7" ht="20">
      <c r="A17" s="15"/>
      <c r="B17" s="85" t="str">
        <f>'Chem&amp;FertInputs&amp;CInsurance'!C28</f>
        <v>In-place</v>
      </c>
      <c r="C17" s="23" t="str">
        <f>'Chem&amp;FertInputs&amp;CInsurance'!D28</f>
        <v>oz</v>
      </c>
      <c r="D17" s="116">
        <f>'Chem&amp;FertInputs&amp;CInsurance'!E28</f>
        <v>0.35649999999999998</v>
      </c>
      <c r="E17" s="133">
        <f>'Chem&amp;FertInputs&amp;CInsurance'!M28</f>
        <v>0</v>
      </c>
      <c r="F17" s="117" t="str">
        <f t="shared" si="1"/>
        <v>0</v>
      </c>
      <c r="G17" s="165">
        <f>E17/128</f>
        <v>0</v>
      </c>
    </row>
    <row r="18" spans="1:7" ht="20">
      <c r="A18" s="15"/>
      <c r="B18" s="85" t="str">
        <f>'Chem&amp;FertInputs&amp;CInsurance'!C29</f>
        <v xml:space="preserve">M90 </v>
      </c>
      <c r="C18" s="23" t="str">
        <f>'Chem&amp;FertInputs&amp;CInsurance'!D29</f>
        <v>oz</v>
      </c>
      <c r="D18" s="116">
        <f>'Chem&amp;FertInputs&amp;CInsurance'!E29</f>
        <v>0.253</v>
      </c>
      <c r="E18" s="133">
        <f>'Chem&amp;FertInputs&amp;CInsurance'!M29</f>
        <v>1.5</v>
      </c>
      <c r="F18" s="117">
        <f t="shared" si="1"/>
        <v>0.3795</v>
      </c>
      <c r="G18" s="165">
        <f>E18/128</f>
        <v>1.171875E-2</v>
      </c>
    </row>
    <row r="19" spans="1:7" ht="20">
      <c r="A19" s="15"/>
      <c r="B19" s="85" t="str">
        <f>'Chem&amp;FertInputs&amp;CInsurance'!C30</f>
        <v>Surfactant</v>
      </c>
      <c r="C19" s="23" t="str">
        <f>'Chem&amp;FertInputs&amp;CInsurance'!D30</f>
        <v>oz</v>
      </c>
      <c r="D19" s="116">
        <f>'Chem&amp;FertInputs&amp;CInsurance'!E30</f>
        <v>0.26450000000000001</v>
      </c>
      <c r="E19" s="133">
        <f>'Chem&amp;FertInputs&amp;CInsurance'!M30</f>
        <v>0</v>
      </c>
      <c r="F19" s="117" t="str">
        <f t="shared" si="1"/>
        <v>0</v>
      </c>
      <c r="G19" s="165">
        <f>E19/128</f>
        <v>0</v>
      </c>
    </row>
    <row r="20" spans="1:7" ht="20">
      <c r="A20" s="15"/>
      <c r="B20" s="85" t="str">
        <f>'Chem&amp;FertInputs&amp;CInsurance'!C31</f>
        <v>Syltac sticker</v>
      </c>
      <c r="C20" s="23" t="str">
        <f>'Chem&amp;FertInputs&amp;CInsurance'!D31</f>
        <v>pint</v>
      </c>
      <c r="D20" s="116">
        <f>'Chem&amp;FertInputs&amp;CInsurance'!E31</f>
        <v>7.1874999999999991</v>
      </c>
      <c r="E20" s="133">
        <f>'Chem&amp;FertInputs&amp;CInsurance'!M31</f>
        <v>0</v>
      </c>
      <c r="F20" s="117" t="str">
        <f t="shared" si="1"/>
        <v>0</v>
      </c>
      <c r="G20" s="165">
        <f>E20/8</f>
        <v>0</v>
      </c>
    </row>
    <row r="21" spans="1:7" ht="20">
      <c r="A21" s="15"/>
      <c r="B21" s="85" t="str">
        <f>'Chem&amp;FertInputs&amp;CInsurance'!C33</f>
        <v>2,4 - D</v>
      </c>
      <c r="C21" s="23" t="str">
        <f>'Chem&amp;FertInputs&amp;CInsurance'!D33</f>
        <v>oz</v>
      </c>
      <c r="D21" s="116">
        <f>'Chem&amp;FertInputs&amp;CInsurance'!E33</f>
        <v>0.33349999999999996</v>
      </c>
      <c r="E21" s="133">
        <f>'Chem&amp;FertInputs&amp;CInsurance'!M33</f>
        <v>0</v>
      </c>
      <c r="F21" s="117" t="str">
        <f t="shared" si="0"/>
        <v>0</v>
      </c>
      <c r="G21" s="165">
        <f t="shared" ref="G21:G30" si="2">E21/128</f>
        <v>0</v>
      </c>
    </row>
    <row r="22" spans="1:7" ht="20">
      <c r="A22" s="15"/>
      <c r="B22" s="85" t="str">
        <f>'Chem&amp;FertInputs&amp;CInsurance'!C34</f>
        <v>Achieve SC</v>
      </c>
      <c r="C22" s="23" t="str">
        <f>'Chem&amp;FertInputs&amp;CInsurance'!D34</f>
        <v>oz</v>
      </c>
      <c r="D22" s="116">
        <f>'Chem&amp;FertInputs&amp;CInsurance'!E34</f>
        <v>1.3454999999999999</v>
      </c>
      <c r="E22" s="133">
        <f>'Chem&amp;FertInputs&amp;CInsurance'!M34</f>
        <v>0</v>
      </c>
      <c r="F22" s="117" t="str">
        <f t="shared" si="0"/>
        <v>0</v>
      </c>
      <c r="G22" s="165">
        <f t="shared" si="2"/>
        <v>0</v>
      </c>
    </row>
    <row r="23" spans="1:7" ht="20">
      <c r="A23" s="15"/>
      <c r="B23" s="85" t="str">
        <f>'Chem&amp;FertInputs&amp;CInsurance'!C35</f>
        <v>Affintity TankMix</v>
      </c>
      <c r="C23" s="23" t="str">
        <f>'Chem&amp;FertInputs&amp;CInsurance'!D35</f>
        <v>oz</v>
      </c>
      <c r="D23" s="116">
        <f>'Chem&amp;FertInputs&amp;CInsurance'!E35</f>
        <v>8.9699999999999989</v>
      </c>
      <c r="E23" s="133">
        <f>'Chem&amp;FertInputs&amp;CInsurance'!M35</f>
        <v>0</v>
      </c>
      <c r="F23" s="117" t="str">
        <f t="shared" si="0"/>
        <v>0</v>
      </c>
      <c r="G23" s="165">
        <f t="shared" si="2"/>
        <v>0</v>
      </c>
    </row>
    <row r="24" spans="1:7" ht="20">
      <c r="A24" s="15"/>
      <c r="B24" s="85" t="str">
        <f>'Chem&amp;FertInputs&amp;CInsurance'!C36</f>
        <v xml:space="preserve">Ally </v>
      </c>
      <c r="C24" s="23" t="str">
        <f>'Chem&amp;FertInputs&amp;CInsurance'!D36</f>
        <v>oz</v>
      </c>
      <c r="D24" s="116">
        <f>'Chem&amp;FertInputs&amp;CInsurance'!E36</f>
        <v>1.7249999999999999</v>
      </c>
      <c r="E24" s="133">
        <f>'Chem&amp;FertInputs&amp;CInsurance'!M36</f>
        <v>0</v>
      </c>
      <c r="F24" s="117" t="str">
        <f t="shared" si="0"/>
        <v>0</v>
      </c>
      <c r="G24" s="165">
        <f t="shared" si="2"/>
        <v>0</v>
      </c>
    </row>
    <row r="25" spans="1:7" ht="20">
      <c r="A25" s="15"/>
      <c r="B25" s="85" t="str">
        <f>'Chem&amp;FertInputs&amp;CInsurance'!C37</f>
        <v>Assure</v>
      </c>
      <c r="C25" s="23" t="str">
        <f>'Chem&amp;FertInputs&amp;CInsurance'!D37</f>
        <v>oz</v>
      </c>
      <c r="D25" s="116">
        <f>'Chem&amp;FertInputs&amp;CInsurance'!E37</f>
        <v>0.98899999999999988</v>
      </c>
      <c r="E25" s="133">
        <f>'Chem&amp;FertInputs&amp;CInsurance'!M37</f>
        <v>0</v>
      </c>
      <c r="F25" s="117" t="str">
        <f t="shared" si="0"/>
        <v>0</v>
      </c>
      <c r="G25" s="165">
        <f t="shared" si="2"/>
        <v>0</v>
      </c>
    </row>
    <row r="26" spans="1:7" ht="20">
      <c r="A26" s="15"/>
      <c r="B26" s="85" t="str">
        <f>'Chem&amp;FertInputs&amp;CInsurance'!C38</f>
        <v>Axial Star</v>
      </c>
      <c r="C26" s="23" t="str">
        <f>'Chem&amp;FertInputs&amp;CInsurance'!D38</f>
        <v>oz</v>
      </c>
      <c r="D26" s="116">
        <f>'Chem&amp;FertInputs&amp;CInsurance'!E38</f>
        <v>1.3224999999999998</v>
      </c>
      <c r="E26" s="133">
        <f>'Chem&amp;FertInputs&amp;CInsurance'!M38</f>
        <v>0</v>
      </c>
      <c r="F26" s="117" t="str">
        <f t="shared" si="0"/>
        <v>0</v>
      </c>
      <c r="G26" s="165">
        <f t="shared" si="2"/>
        <v>0</v>
      </c>
    </row>
    <row r="27" spans="1:7" ht="20">
      <c r="A27" s="15"/>
      <c r="B27" s="85" t="str">
        <f>'Chem&amp;FertInputs&amp;CInsurance'!C39</f>
        <v>Axial Bold</v>
      </c>
      <c r="C27" s="23" t="str">
        <f>'Chem&amp;FertInputs&amp;CInsurance'!D39</f>
        <v>oz</v>
      </c>
      <c r="D27" s="116">
        <f>'Chem&amp;FertInputs&amp;CInsurance'!E39</f>
        <v>1.0924999999999998</v>
      </c>
      <c r="E27" s="133">
        <f>'Chem&amp;FertInputs&amp;CInsurance'!M39</f>
        <v>0</v>
      </c>
      <c r="F27" s="117" t="str">
        <f t="shared" si="0"/>
        <v>0</v>
      </c>
      <c r="G27" s="165">
        <f t="shared" si="2"/>
        <v>0</v>
      </c>
    </row>
    <row r="28" spans="1:7" ht="20">
      <c r="A28" s="15"/>
      <c r="B28" s="85" t="str">
        <f>'Chem&amp;FertInputs&amp;CInsurance'!C40</f>
        <v>Bronate</v>
      </c>
      <c r="C28" s="23" t="str">
        <f>'Chem&amp;FertInputs&amp;CInsurance'!D40</f>
        <v>oz</v>
      </c>
      <c r="D28" s="116">
        <f>'Chem&amp;FertInputs&amp;CInsurance'!E40</f>
        <v>7.911999999999999</v>
      </c>
      <c r="E28" s="133">
        <f>'Chem&amp;FertInputs&amp;CInsurance'!M40</f>
        <v>0</v>
      </c>
      <c r="F28" s="117" t="str">
        <f t="shared" si="0"/>
        <v>0</v>
      </c>
      <c r="G28" s="165">
        <f t="shared" si="2"/>
        <v>0</v>
      </c>
    </row>
    <row r="29" spans="1:7" ht="20">
      <c r="A29" s="15"/>
      <c r="B29" s="85" t="str">
        <f>'Chem&amp;FertInputs&amp;CInsurance'!C41</f>
        <v xml:space="preserve">Brox M </v>
      </c>
      <c r="C29" s="23" t="str">
        <f>'Chem&amp;FertInputs&amp;CInsurance'!D41</f>
        <v>oz</v>
      </c>
      <c r="D29" s="116">
        <f>'Chem&amp;FertInputs&amp;CInsurance'!E41</f>
        <v>0.42549999999999999</v>
      </c>
      <c r="E29" s="133">
        <f>'Chem&amp;FertInputs&amp;CInsurance'!M41</f>
        <v>0</v>
      </c>
      <c r="F29" s="117" t="str">
        <f t="shared" si="0"/>
        <v>0</v>
      </c>
      <c r="G29" s="165">
        <f t="shared" si="2"/>
        <v>0</v>
      </c>
    </row>
    <row r="30" spans="1:7" ht="20">
      <c r="A30" s="15"/>
      <c r="B30" s="85" t="str">
        <f>'Chem&amp;FertInputs&amp;CInsurance'!C42</f>
        <v>Capture</v>
      </c>
      <c r="C30" s="23" t="str">
        <f>'Chem&amp;FertInputs&amp;CInsurance'!D42</f>
        <v>oz</v>
      </c>
      <c r="D30" s="116">
        <f>'Chem&amp;FertInputs&amp;CInsurance'!E42</f>
        <v>2.7024999999999997</v>
      </c>
      <c r="E30" s="133">
        <f>'Chem&amp;FertInputs&amp;CInsurance'!M42</f>
        <v>0</v>
      </c>
      <c r="F30" s="117" t="str">
        <f t="shared" si="0"/>
        <v>0</v>
      </c>
      <c r="G30" s="165">
        <f t="shared" si="2"/>
        <v>0</v>
      </c>
    </row>
    <row r="31" spans="1:7" ht="20">
      <c r="A31" s="15"/>
      <c r="B31" s="85" t="str">
        <f>'Chem&amp;FertInputs&amp;CInsurance'!C43</f>
        <v xml:space="preserve">Dimethoate </v>
      </c>
      <c r="C31" s="23" t="str">
        <f>'Chem&amp;FertInputs&amp;CInsurance'!D43</f>
        <v>pint</v>
      </c>
      <c r="D31" s="116">
        <f>'Chem&amp;FertInputs&amp;CInsurance'!E43</f>
        <v>7.1874999999999991</v>
      </c>
      <c r="E31" s="133">
        <f>'Chem&amp;FertInputs&amp;CInsurance'!M43</f>
        <v>1</v>
      </c>
      <c r="F31" s="117">
        <f t="shared" si="0"/>
        <v>7.1874999999999991</v>
      </c>
      <c r="G31" s="165">
        <f>E31/8</f>
        <v>0.125</v>
      </c>
    </row>
    <row r="32" spans="1:7" ht="20">
      <c r="A32" s="15"/>
      <c r="B32" s="85" t="str">
        <f>'Chem&amp;FertInputs&amp;CInsurance'!C44</f>
        <v>Clethodim</v>
      </c>
      <c r="C32" s="23" t="str">
        <f>'Chem&amp;FertInputs&amp;CInsurance'!D44</f>
        <v>oz</v>
      </c>
      <c r="D32" s="116">
        <f>'Chem&amp;FertInputs&amp;CInsurance'!E44</f>
        <v>0.75900000000000001</v>
      </c>
      <c r="E32" s="133">
        <f>'Chem&amp;FertInputs&amp;CInsurance'!M44</f>
        <v>4</v>
      </c>
      <c r="F32" s="117">
        <f t="shared" ref="F32" si="3">IF(D32*E32=0,"0",D32*E32)</f>
        <v>3.036</v>
      </c>
      <c r="G32" s="165">
        <f t="shared" ref="G32:G37" si="4">E32/128</f>
        <v>3.125E-2</v>
      </c>
    </row>
    <row r="33" spans="1:7" ht="20">
      <c r="A33" s="15"/>
      <c r="B33" s="85" t="str">
        <f>'Chem&amp;FertInputs&amp;CInsurance'!C45</f>
        <v>Discover</v>
      </c>
      <c r="C33" s="23" t="str">
        <f>'Chem&amp;FertInputs&amp;CInsurance'!D45</f>
        <v>oz</v>
      </c>
      <c r="D33" s="116">
        <f>'Chem&amp;FertInputs&amp;CInsurance'!E45</f>
        <v>1.6904999999999999</v>
      </c>
      <c r="E33" s="133">
        <f>'Chem&amp;FertInputs&amp;CInsurance'!M45</f>
        <v>0</v>
      </c>
      <c r="F33" s="117" t="str">
        <f t="shared" si="0"/>
        <v>0</v>
      </c>
      <c r="G33" s="165">
        <f t="shared" si="4"/>
        <v>0</v>
      </c>
    </row>
    <row r="34" spans="1:7" ht="20">
      <c r="A34" s="15"/>
      <c r="B34" s="85" t="str">
        <f>'Chem&amp;FertInputs&amp;CInsurance'!C46</f>
        <v>FarGO</v>
      </c>
      <c r="C34" s="23" t="str">
        <f>'Chem&amp;FertInputs&amp;CInsurance'!D46</f>
        <v>oz</v>
      </c>
      <c r="D34" s="116">
        <f>'Chem&amp;FertInputs&amp;CInsurance'!E46</f>
        <v>19.158999999999999</v>
      </c>
      <c r="E34" s="133">
        <f>'Chem&amp;FertInputs&amp;CInsurance'!M46</f>
        <v>0</v>
      </c>
      <c r="F34" s="117" t="str">
        <f t="shared" si="0"/>
        <v>0</v>
      </c>
      <c r="G34" s="165">
        <f t="shared" si="4"/>
        <v>0</v>
      </c>
    </row>
    <row r="35" spans="1:7" ht="20">
      <c r="A35" s="15"/>
      <c r="B35" s="85" t="str">
        <f>'Chem&amp;FertInputs&amp;CInsurance'!C47</f>
        <v>Finesse</v>
      </c>
      <c r="C35" s="23" t="str">
        <f>'Chem&amp;FertInputs&amp;CInsurance'!D47</f>
        <v>oz</v>
      </c>
      <c r="D35" s="116">
        <f>'Chem&amp;FertInputs&amp;CInsurance'!E47</f>
        <v>19.940999999999999</v>
      </c>
      <c r="E35" s="133">
        <f>'Chem&amp;FertInputs&amp;CInsurance'!M47</f>
        <v>0</v>
      </c>
      <c r="F35" s="117" t="str">
        <f t="shared" si="0"/>
        <v>0</v>
      </c>
      <c r="G35" s="165">
        <f t="shared" si="4"/>
        <v>0</v>
      </c>
    </row>
    <row r="36" spans="1:7" ht="20">
      <c r="A36" s="15"/>
      <c r="B36" s="85" t="str">
        <f>'Chem&amp;FertInputs&amp;CInsurance'!C48</f>
        <v>Glyphosate</v>
      </c>
      <c r="C36" s="23" t="str">
        <f>'Chem&amp;FertInputs&amp;CInsurance'!D48</f>
        <v>oz</v>
      </c>
      <c r="D36" s="116">
        <f>'Chem&amp;FertInputs&amp;CInsurance'!E48</f>
        <v>0.14949999999999999</v>
      </c>
      <c r="E36" s="133">
        <f>'Chem&amp;FertInputs&amp;CInsurance'!M48</f>
        <v>0</v>
      </c>
      <c r="F36" s="117" t="str">
        <f t="shared" si="0"/>
        <v>0</v>
      </c>
      <c r="G36" s="165">
        <f t="shared" si="4"/>
        <v>0</v>
      </c>
    </row>
    <row r="37" spans="1:7" ht="20">
      <c r="A37" s="15"/>
      <c r="B37" s="85" t="str">
        <f>'Chem&amp;FertInputs&amp;CInsurance'!C49</f>
        <v>Huskie</v>
      </c>
      <c r="C37" s="23" t="str">
        <f>'Chem&amp;FertInputs&amp;CInsurance'!D49</f>
        <v>oz</v>
      </c>
      <c r="D37" s="116">
        <f>'Chem&amp;FertInputs&amp;CInsurance'!E49</f>
        <v>0.88549999999999995</v>
      </c>
      <c r="E37" s="133">
        <f>'Chem&amp;FertInputs&amp;CInsurance'!M49</f>
        <v>0</v>
      </c>
      <c r="F37" s="117" t="str">
        <f t="shared" si="0"/>
        <v>0</v>
      </c>
      <c r="G37" s="165">
        <f t="shared" si="4"/>
        <v>0</v>
      </c>
    </row>
    <row r="38" spans="1:7" ht="20">
      <c r="A38" s="15"/>
      <c r="B38" s="85" t="str">
        <f>'Chem&amp;FertInputs&amp;CInsurance'!C50</f>
        <v>Imidan 70</v>
      </c>
      <c r="C38" s="23" t="str">
        <f>'Chem&amp;FertInputs&amp;CInsurance'!D50</f>
        <v>lb</v>
      </c>
      <c r="D38" s="116">
        <f>'Chem&amp;FertInputs&amp;CInsurance'!E50</f>
        <v>17.295999999999999</v>
      </c>
      <c r="E38" s="133">
        <f>'Chem&amp;FertInputs&amp;CInsurance'!M50</f>
        <v>0</v>
      </c>
      <c r="F38" s="117" t="str">
        <f t="shared" si="0"/>
        <v>0</v>
      </c>
      <c r="G38" s="165">
        <f>E38/16</f>
        <v>0</v>
      </c>
    </row>
    <row r="39" spans="1:7" ht="20">
      <c r="A39" s="15"/>
      <c r="B39" s="85" t="str">
        <f>'Chem&amp;FertInputs&amp;CInsurance'!C51</f>
        <v xml:space="preserve">Maverick </v>
      </c>
      <c r="C39" s="23" t="str">
        <f>'Chem&amp;FertInputs&amp;CInsurance'!D51</f>
        <v>oz</v>
      </c>
      <c r="D39" s="116">
        <f>'Chem&amp;FertInputs&amp;CInsurance'!E51</f>
        <v>23.885499999999997</v>
      </c>
      <c r="E39" s="133">
        <f>'Chem&amp;FertInputs&amp;CInsurance'!M51</f>
        <v>0</v>
      </c>
      <c r="F39" s="117" t="str">
        <f t="shared" si="0"/>
        <v>0</v>
      </c>
      <c r="G39" s="165">
        <f t="shared" ref="G39:G51" si="5">E39/128</f>
        <v>0</v>
      </c>
    </row>
    <row r="40" spans="1:7" ht="20">
      <c r="A40" s="15"/>
      <c r="B40" s="85" t="str">
        <f>'Chem&amp;FertInputs&amp;CInsurance'!C52</f>
        <v>Osprey</v>
      </c>
      <c r="C40" s="23" t="str">
        <f>'Chem&amp;FertInputs&amp;CInsurance'!D52</f>
        <v>oz</v>
      </c>
      <c r="D40" s="116">
        <f>'Chem&amp;FertInputs&amp;CInsurance'!E52</f>
        <v>5.0484999999999989</v>
      </c>
      <c r="E40" s="133">
        <f>'Chem&amp;FertInputs&amp;CInsurance'!M52</f>
        <v>0</v>
      </c>
      <c r="F40" s="117" t="str">
        <f t="shared" si="0"/>
        <v>0</v>
      </c>
      <c r="G40" s="165">
        <f t="shared" si="5"/>
        <v>0</v>
      </c>
    </row>
    <row r="41" spans="1:7" ht="20">
      <c r="A41" s="15"/>
      <c r="B41" s="85" t="str">
        <f>'Chem&amp;FertInputs&amp;CInsurance'!C53</f>
        <v>Poast</v>
      </c>
      <c r="C41" s="23" t="str">
        <f>'Chem&amp;FertInputs&amp;CInsurance'!D53</f>
        <v>oz</v>
      </c>
      <c r="D41" s="116">
        <f>'Chem&amp;FertInputs&amp;CInsurance'!E53</f>
        <v>19.285499999999999</v>
      </c>
      <c r="E41" s="133">
        <f>'Chem&amp;FertInputs&amp;CInsurance'!M53</f>
        <v>0</v>
      </c>
      <c r="F41" s="117" t="str">
        <f t="shared" ref="F41" si="6">IF(D41*E41=0,"0",D41*E41)</f>
        <v>0</v>
      </c>
      <c r="G41" s="165">
        <f t="shared" si="5"/>
        <v>0</v>
      </c>
    </row>
    <row r="42" spans="1:7" ht="20">
      <c r="A42" s="15"/>
      <c r="B42" s="85" t="str">
        <f>'Chem&amp;FertInputs&amp;CInsurance'!C54</f>
        <v>Power Flex</v>
      </c>
      <c r="C42" s="23" t="str">
        <f>'Chem&amp;FertInputs&amp;CInsurance'!D54</f>
        <v>oz</v>
      </c>
      <c r="D42" s="116">
        <f>'Chem&amp;FertInputs&amp;CInsurance'!E54</f>
        <v>8.9124999999999996</v>
      </c>
      <c r="E42" s="133">
        <f>'Chem&amp;FertInputs&amp;CInsurance'!M54</f>
        <v>0</v>
      </c>
      <c r="F42" s="117" t="str">
        <f t="shared" si="0"/>
        <v>0</v>
      </c>
      <c r="G42" s="165">
        <f t="shared" si="5"/>
        <v>0</v>
      </c>
    </row>
    <row r="43" spans="1:7" ht="20">
      <c r="A43" s="15"/>
      <c r="B43" s="85" t="str">
        <f>'Chem&amp;FertInputs&amp;CInsurance'!C55</f>
        <v>Priaxor</v>
      </c>
      <c r="C43" s="23" t="str">
        <f>'Chem&amp;FertInputs&amp;CInsurance'!D55</f>
        <v>oz</v>
      </c>
      <c r="D43" s="116">
        <f>'Chem&amp;FertInputs&amp;CInsurance'!E55</f>
        <v>3.4269999999999996</v>
      </c>
      <c r="E43" s="133">
        <f>'Chem&amp;FertInputs&amp;CInsurance'!M55</f>
        <v>3.2</v>
      </c>
      <c r="F43" s="117">
        <f t="shared" si="0"/>
        <v>10.9664</v>
      </c>
      <c r="G43" s="165">
        <f t="shared" si="5"/>
        <v>2.5000000000000001E-2</v>
      </c>
    </row>
    <row r="44" spans="1:7" ht="20">
      <c r="A44" s="15"/>
      <c r="B44" s="85" t="str">
        <f>'Chem&amp;FertInputs&amp;CInsurance'!C56</f>
        <v>Prowl</v>
      </c>
      <c r="C44" s="23" t="str">
        <f>'Chem&amp;FertInputs&amp;CInsurance'!D56</f>
        <v>oz</v>
      </c>
      <c r="D44" s="116">
        <f>'Chem&amp;FertInputs&amp;CInsurance'!E56</f>
        <v>0.51749999999999996</v>
      </c>
      <c r="E44" s="133">
        <f>'Chem&amp;FertInputs&amp;CInsurance'!M56</f>
        <v>0</v>
      </c>
      <c r="F44" s="117" t="str">
        <f t="shared" si="0"/>
        <v>0</v>
      </c>
      <c r="G44" s="165">
        <f t="shared" si="5"/>
        <v>0</v>
      </c>
    </row>
    <row r="45" spans="1:7" ht="20">
      <c r="A45" s="15"/>
      <c r="B45" s="85" t="str">
        <f>'Chem&amp;FertInputs&amp;CInsurance'!C57</f>
        <v>Pursuit</v>
      </c>
      <c r="C45" s="23" t="str">
        <f>'Chem&amp;FertInputs&amp;CInsurance'!D57</f>
        <v>oz</v>
      </c>
      <c r="D45" s="116">
        <f>'Chem&amp;FertInputs&amp;CInsurance'!E57</f>
        <v>4.0594999999999999</v>
      </c>
      <c r="E45" s="133">
        <f>'Chem&amp;FertInputs&amp;CInsurance'!M57</f>
        <v>0</v>
      </c>
      <c r="F45" s="117" t="str">
        <f t="shared" si="0"/>
        <v>0</v>
      </c>
      <c r="G45" s="165">
        <f t="shared" si="5"/>
        <v>0</v>
      </c>
    </row>
    <row r="46" spans="1:7" ht="20">
      <c r="A46" s="15"/>
      <c r="B46" s="85" t="str">
        <f>'Chem&amp;FertInputs&amp;CInsurance'!C58</f>
        <v xml:space="preserve">Quadris </v>
      </c>
      <c r="C46" s="23" t="str">
        <f>'Chem&amp;FertInputs&amp;CInsurance'!D58</f>
        <v>oz</v>
      </c>
      <c r="D46" s="116">
        <f>'Chem&amp;FertInputs&amp;CInsurance'!E58</f>
        <v>1.127</v>
      </c>
      <c r="E46" s="133">
        <f>'Chem&amp;FertInputs&amp;CInsurance'!M58</f>
        <v>0</v>
      </c>
      <c r="F46" s="117" t="str">
        <f t="shared" si="0"/>
        <v>0</v>
      </c>
      <c r="G46" s="165">
        <f t="shared" si="5"/>
        <v>0</v>
      </c>
    </row>
    <row r="47" spans="1:7" ht="20">
      <c r="A47" s="15"/>
      <c r="B47" s="85" t="str">
        <f>'Chem&amp;FertInputs&amp;CInsurance'!C59</f>
        <v>Quilt</v>
      </c>
      <c r="C47" s="23" t="str">
        <f>'Chem&amp;FertInputs&amp;CInsurance'!D59</f>
        <v>oz</v>
      </c>
      <c r="D47" s="116">
        <f>'Chem&amp;FertInputs&amp;CInsurance'!E59</f>
        <v>1.4834999999999998</v>
      </c>
      <c r="E47" s="133">
        <f>'Chem&amp;FertInputs&amp;CInsurance'!M59</f>
        <v>0</v>
      </c>
      <c r="F47" s="117" t="str">
        <f t="shared" si="0"/>
        <v>0</v>
      </c>
      <c r="G47" s="165">
        <f t="shared" si="5"/>
        <v>0</v>
      </c>
    </row>
    <row r="48" spans="1:7" ht="20">
      <c r="A48" s="15"/>
      <c r="B48" s="85" t="str">
        <f>'Chem&amp;FertInputs&amp;CInsurance'!C60</f>
        <v>R11</v>
      </c>
      <c r="C48" s="23" t="str">
        <f>'Chem&amp;FertInputs&amp;CInsurance'!D60</f>
        <v>oz</v>
      </c>
      <c r="D48" s="116">
        <f>'Chem&amp;FertInputs&amp;CInsurance'!E60</f>
        <v>0.26450000000000001</v>
      </c>
      <c r="E48" s="133">
        <f>'Chem&amp;FertInputs&amp;CInsurance'!M60</f>
        <v>0</v>
      </c>
      <c r="F48" s="117" t="str">
        <f t="shared" si="0"/>
        <v>0</v>
      </c>
      <c r="G48" s="165">
        <f t="shared" si="5"/>
        <v>0</v>
      </c>
    </row>
    <row r="49" spans="1:7" ht="20">
      <c r="A49" s="15"/>
      <c r="B49" s="85" t="str">
        <f>'Chem&amp;FertInputs&amp;CInsurance'!C61</f>
        <v>Starane</v>
      </c>
      <c r="C49" s="23" t="str">
        <f>'Chem&amp;FertInputs&amp;CInsurance'!D61</f>
        <v>oz</v>
      </c>
      <c r="D49" s="116">
        <f>'Chem&amp;FertInputs&amp;CInsurance'!E61</f>
        <v>0.77049999999999996</v>
      </c>
      <c r="E49" s="133">
        <f>'Chem&amp;FertInputs&amp;CInsurance'!M61</f>
        <v>0</v>
      </c>
      <c r="F49" s="117" t="str">
        <f t="shared" si="0"/>
        <v>0</v>
      </c>
      <c r="G49" s="165">
        <f t="shared" si="5"/>
        <v>0</v>
      </c>
    </row>
    <row r="50" spans="1:7" ht="20">
      <c r="A50" s="15"/>
      <c r="B50" s="85" t="str">
        <f>'Chem&amp;FertInputs&amp;CInsurance'!C62</f>
        <v>Starane + Salvo</v>
      </c>
      <c r="C50" s="23" t="str">
        <f>'Chem&amp;FertInputs&amp;CInsurance'!D62</f>
        <v>oz</v>
      </c>
      <c r="D50" s="116">
        <f>'Chem&amp;FertInputs&amp;CInsurance'!E62</f>
        <v>0.77049999999999996</v>
      </c>
      <c r="E50" s="133">
        <f>'Chem&amp;FertInputs&amp;CInsurance'!M62</f>
        <v>0</v>
      </c>
      <c r="F50" s="117" t="str">
        <f t="shared" si="0"/>
        <v>0</v>
      </c>
      <c r="G50" s="165">
        <f t="shared" si="5"/>
        <v>0</v>
      </c>
    </row>
    <row r="51" spans="1:7" ht="20">
      <c r="A51" s="15"/>
      <c r="B51" s="85" t="str">
        <f>'Chem&amp;FertInputs&amp;CInsurance'!C63</f>
        <v xml:space="preserve">Starane + Sword </v>
      </c>
      <c r="C51" s="23" t="str">
        <f>'Chem&amp;FertInputs&amp;CInsurance'!D63</f>
        <v>oz</v>
      </c>
      <c r="D51" s="116">
        <f>'Chem&amp;FertInputs&amp;CInsurance'!E63</f>
        <v>0.77049999999999996</v>
      </c>
      <c r="E51" s="133">
        <f>'Chem&amp;FertInputs&amp;CInsurance'!M63</f>
        <v>0</v>
      </c>
      <c r="F51" s="117" t="str">
        <f t="shared" si="0"/>
        <v>0</v>
      </c>
      <c r="G51" s="165">
        <f t="shared" si="5"/>
        <v>0</v>
      </c>
    </row>
    <row r="52" spans="1:7" ht="20">
      <c r="A52" s="15"/>
      <c r="B52" s="85" t="str">
        <f>'Chem&amp;FertInputs&amp;CInsurance'!C64</f>
        <v xml:space="preserve"> Tilt</v>
      </c>
      <c r="C52" s="23" t="str">
        <f>'Chem&amp;FertInputs&amp;CInsurance'!D64</f>
        <v>oz</v>
      </c>
      <c r="D52" s="116">
        <f>'Chem&amp;FertInputs&amp;CInsurance'!E64</f>
        <v>0.88549999999999995</v>
      </c>
      <c r="E52" s="133">
        <f>'Chem&amp;FertInputs&amp;CInsurance'!M64</f>
        <v>0</v>
      </c>
      <c r="F52" s="117" t="str">
        <f t="shared" ref="F52:F53" si="7">IF(D52*E52=0,"0",D52*E52)</f>
        <v>0</v>
      </c>
      <c r="G52" s="165">
        <f t="shared" ref="G52:G53" si="8">E52/128</f>
        <v>0</v>
      </c>
    </row>
    <row r="53" spans="1:7" ht="20">
      <c r="A53" s="15"/>
      <c r="B53" s="85" t="str">
        <f>'Chem&amp;FertInputs&amp;CInsurance'!C65</f>
        <v xml:space="preserve">Wildcard </v>
      </c>
      <c r="C53" s="23" t="str">
        <f>'Chem&amp;FertInputs&amp;CInsurance'!D65</f>
        <v>oz</v>
      </c>
      <c r="D53" s="116">
        <f>'Chem&amp;FertInputs&amp;CInsurance'!E65</f>
        <v>0.35649999999999998</v>
      </c>
      <c r="E53" s="133">
        <f>'Chem&amp;FertInputs&amp;CInsurance'!M65</f>
        <v>0</v>
      </c>
      <c r="F53" s="117" t="str">
        <f t="shared" si="7"/>
        <v>0</v>
      </c>
      <c r="G53" s="165">
        <f t="shared" si="8"/>
        <v>0</v>
      </c>
    </row>
    <row r="54" spans="1:7" ht="20">
      <c r="A54" s="15"/>
      <c r="B54" s="85" t="str">
        <f>'Chem&amp;FertInputs&amp;CInsurance'!C66</f>
        <v>Sharpen</v>
      </c>
      <c r="C54" s="23" t="str">
        <f>'Chem&amp;FertInputs&amp;CInsurance'!D66</f>
        <v>oz</v>
      </c>
      <c r="D54" s="116">
        <f>'Chem&amp;FertInputs&amp;CInsurance'!E66</f>
        <v>6.3134999999999994</v>
      </c>
      <c r="E54" s="133">
        <f>'Chem&amp;FertInputs&amp;CInsurance'!M66</f>
        <v>2</v>
      </c>
      <c r="F54" s="117">
        <f t="shared" si="0"/>
        <v>12.626999999999999</v>
      </c>
      <c r="G54" s="165">
        <f>E54/128</f>
        <v>1.5625E-2</v>
      </c>
    </row>
    <row r="55" spans="1:7" ht="20">
      <c r="A55" s="15"/>
      <c r="B55" s="85" t="str">
        <f>'Chem&amp;FertInputs&amp;CInsurance'!C67</f>
        <v>Sencor</v>
      </c>
      <c r="C55" s="23" t="str">
        <f>'Chem&amp;FertInputs&amp;CInsurance'!D67</f>
        <v>oz</v>
      </c>
      <c r="D55" s="116">
        <f>'Chem&amp;FertInputs&amp;CInsurance'!E67</f>
        <v>0.45999999999999996</v>
      </c>
      <c r="E55" s="133">
        <f>'Chem&amp;FertInputs&amp;CInsurance'!M67</f>
        <v>4</v>
      </c>
      <c r="F55" s="117">
        <f t="shared" si="0"/>
        <v>1.8399999999999999</v>
      </c>
      <c r="G55" s="165">
        <f>E55/128</f>
        <v>3.125E-2</v>
      </c>
    </row>
    <row r="56" spans="1:7" ht="20">
      <c r="A56" s="15"/>
      <c r="B56" s="85" t="str">
        <f>'Chem&amp;FertInputs&amp;CInsurance'!C68</f>
        <v>Warrior</v>
      </c>
      <c r="C56" s="23" t="str">
        <f>'Chem&amp;FertInputs&amp;CInsurance'!D68</f>
        <v>acre</v>
      </c>
      <c r="D56" s="116">
        <f>'Chem&amp;FertInputs&amp;CInsurance'!E68</f>
        <v>3.4499999999999997</v>
      </c>
      <c r="E56" s="133">
        <f>'Chem&amp;FertInputs&amp;CInsurance'!M68</f>
        <v>1</v>
      </c>
      <c r="F56" s="117">
        <f t="shared" si="0"/>
        <v>3.4499999999999997</v>
      </c>
      <c r="G56" s="165">
        <f>E56/128</f>
        <v>7.8125E-3</v>
      </c>
    </row>
    <row r="57" spans="1:7" ht="20">
      <c r="A57" s="15"/>
      <c r="B57" s="85" t="str">
        <f>'Chem&amp;FertInputs&amp;CInsurance'!C69</f>
        <v xml:space="preserve"> Lorox</v>
      </c>
      <c r="C57" s="23" t="str">
        <f>'Chem&amp;FertInputs&amp;CInsurance'!D69</f>
        <v>lb</v>
      </c>
      <c r="D57" s="116">
        <f>'Chem&amp;FertInputs&amp;CInsurance'!E69</f>
        <v>26.565000000000001</v>
      </c>
      <c r="E57" s="133">
        <f>'Chem&amp;FertInputs&amp;CInsurance'!M69</f>
        <v>0</v>
      </c>
      <c r="F57" s="117" t="str">
        <f t="shared" si="0"/>
        <v>0</v>
      </c>
      <c r="G57" s="165">
        <f>E57/128</f>
        <v>0</v>
      </c>
    </row>
    <row r="58" spans="1:7" ht="20">
      <c r="A58" s="15"/>
      <c r="B58" s="85" t="str">
        <f>'Chem&amp;FertInputs&amp;CInsurance'!C70</f>
        <v xml:space="preserve"> Valor</v>
      </c>
      <c r="C58" s="23" t="str">
        <f>'Chem&amp;FertInputs&amp;CInsurance'!D70</f>
        <v>oz</v>
      </c>
      <c r="D58" s="116">
        <f>'Chem&amp;FertInputs&amp;CInsurance'!E70</f>
        <v>6.6124999999999998</v>
      </c>
      <c r="E58" s="133">
        <f>'Chem&amp;FertInputs&amp;CInsurance'!M70</f>
        <v>0</v>
      </c>
      <c r="F58" s="117" t="str">
        <f t="shared" ref="F58:F59" si="9">IF(D58*E58=0,"0",D58*E58)</f>
        <v>0</v>
      </c>
      <c r="G58" s="165">
        <f t="shared" ref="G58:G59" si="10">E58/128</f>
        <v>0</v>
      </c>
    </row>
    <row r="59" spans="1:7" ht="20">
      <c r="A59" s="15"/>
      <c r="B59" s="85" t="str">
        <f>'Chem&amp;FertInputs&amp;CInsurance'!C71</f>
        <v xml:space="preserve"> Diagon</v>
      </c>
      <c r="C59" s="23" t="str">
        <f>'Chem&amp;FertInputs&amp;CInsurance'!D71</f>
        <v>oz</v>
      </c>
      <c r="D59" s="116">
        <f>'Chem&amp;FertInputs&amp;CInsurance'!E71</f>
        <v>0.43699999999999994</v>
      </c>
      <c r="E59" s="133">
        <f>'Chem&amp;FertInputs&amp;CInsurance'!M71</f>
        <v>0</v>
      </c>
      <c r="F59" s="117" t="str">
        <f t="shared" si="9"/>
        <v>0</v>
      </c>
      <c r="G59" s="165">
        <f t="shared" si="10"/>
        <v>0</v>
      </c>
    </row>
    <row r="60" spans="1:7" ht="20">
      <c r="A60" s="15"/>
      <c r="B60" s="85" t="str">
        <f>'Chem&amp;FertInputs&amp;CInsurance'!C72</f>
        <v xml:space="preserve">Spartan </v>
      </c>
      <c r="C60" s="23" t="str">
        <f>'Chem&amp;FertInputs&amp;CInsurance'!D72</f>
        <v>oz</v>
      </c>
      <c r="D60" s="116">
        <f>'Chem&amp;FertInputs&amp;CInsurance'!E72</f>
        <v>2.0469999999999997</v>
      </c>
      <c r="E60" s="133">
        <f>'Chem&amp;FertInputs&amp;CInsurance'!M72</f>
        <v>0</v>
      </c>
      <c r="F60" s="117" t="str">
        <f t="shared" si="0"/>
        <v>0</v>
      </c>
      <c r="G60" s="165">
        <f>E60/128</f>
        <v>0</v>
      </c>
    </row>
    <row r="61" spans="1:7" ht="23">
      <c r="A61" s="15"/>
      <c r="B61" s="85" t="str">
        <f>'Chem&amp;FertInputs&amp;CInsurance'!C32</f>
        <v xml:space="preserve">Round Up </v>
      </c>
      <c r="C61" s="23" t="str">
        <f>'Chem&amp;FertInputs&amp;CInsurance'!D32</f>
        <v>oz</v>
      </c>
      <c r="D61" s="116">
        <f>'Chem&amp;FertInputs&amp;CInsurance'!E32</f>
        <v>0.14949999999999999</v>
      </c>
      <c r="E61" s="133">
        <f>'Chem&amp;FertInputs&amp;CInsurance'!M32</f>
        <v>18</v>
      </c>
      <c r="F61" s="117">
        <f t="shared" si="0"/>
        <v>2.6909999999999998</v>
      </c>
      <c r="G61" s="225">
        <f>E61/128</f>
        <v>0.140625</v>
      </c>
    </row>
    <row r="62" spans="1:7" ht="20">
      <c r="A62" s="15"/>
      <c r="B62" s="139" t="s">
        <v>86</v>
      </c>
      <c r="C62" s="23"/>
      <c r="D62" s="116"/>
      <c r="E62" s="133"/>
      <c r="F62" s="117"/>
      <c r="G62" s="165">
        <f>SUM(G14:G61)</f>
        <v>0.40156249999999999</v>
      </c>
    </row>
    <row r="63" spans="1:7" ht="20">
      <c r="A63" s="15"/>
      <c r="B63" s="125" t="str">
        <f>CustomRates!B5</f>
        <v>Aerial (Custom)</v>
      </c>
      <c r="C63" s="41" t="str">
        <f>CustomRates!C5</f>
        <v>acre</v>
      </c>
      <c r="D63" s="116">
        <f>CustomRates!K5</f>
        <v>8.9499999999999993</v>
      </c>
      <c r="E63" s="87">
        <f>CustomRates!K6</f>
        <v>1</v>
      </c>
      <c r="F63" s="117">
        <f t="shared" ref="F63:F70" si="11">IF(D63*E63=0,"0",D63*E63)</f>
        <v>8.9499999999999993</v>
      </c>
    </row>
    <row r="64" spans="1:7" ht="20">
      <c r="A64" s="15"/>
      <c r="B64" s="125" t="str">
        <f>CustomRates!B7</f>
        <v>Sprayer (Rental 90')</v>
      </c>
      <c r="C64" s="41" t="str">
        <f>CustomRates!C7</f>
        <v>acre</v>
      </c>
      <c r="D64" s="116">
        <f>CustomRates!K7</f>
        <v>8</v>
      </c>
      <c r="E64" s="87">
        <f>CustomRates!K8</f>
        <v>0</v>
      </c>
      <c r="F64" s="117" t="str">
        <f t="shared" si="11"/>
        <v>0</v>
      </c>
    </row>
    <row r="65" spans="1:9" ht="20">
      <c r="A65" s="15"/>
      <c r="B65" s="125" t="str">
        <f>CustomRates!B9</f>
        <v>Fertilizer - Anhydrous Applicator (Rent)</v>
      </c>
      <c r="C65" s="41" t="str">
        <f>CustomRates!C9</f>
        <v>acre</v>
      </c>
      <c r="D65" s="116">
        <f>CustomRates!K9</f>
        <v>7</v>
      </c>
      <c r="E65" s="87">
        <f>CustomRates!K10</f>
        <v>0</v>
      </c>
      <c r="F65" s="117" t="str">
        <f t="shared" si="11"/>
        <v>0</v>
      </c>
    </row>
    <row r="66" spans="1:9" ht="20">
      <c r="A66" s="15"/>
      <c r="B66" s="125" t="str">
        <f>CustomRates!B11</f>
        <v>Fertilizer Applicator</v>
      </c>
      <c r="C66" s="41" t="str">
        <f>CustomRates!C11</f>
        <v>acre</v>
      </c>
      <c r="D66" s="116">
        <f>CustomRates!K11</f>
        <v>2</v>
      </c>
      <c r="E66" s="87">
        <f>CustomRates!K12</f>
        <v>0</v>
      </c>
      <c r="F66" s="117" t="str">
        <f t="shared" si="11"/>
        <v>0</v>
      </c>
    </row>
    <row r="67" spans="1:9" ht="20">
      <c r="A67" s="15"/>
      <c r="B67" s="125" t="str">
        <f>CustomRates!B13</f>
        <v>26' Rental Shredder</v>
      </c>
      <c r="C67" s="41" t="str">
        <f>CustomRates!C13</f>
        <v>acre</v>
      </c>
      <c r="D67" s="116">
        <f>CustomRates!K13</f>
        <v>10</v>
      </c>
      <c r="E67" s="87">
        <f>CustomRates!K14</f>
        <v>0</v>
      </c>
      <c r="F67" s="117" t="str">
        <f t="shared" si="11"/>
        <v>0</v>
      </c>
    </row>
    <row r="68" spans="1:9" ht="20">
      <c r="A68" s="15"/>
      <c r="B68" s="125" t="str">
        <f>CustomRates!B15</f>
        <v>36' Ripper Shooter</v>
      </c>
      <c r="C68" s="41" t="str">
        <f>CustomRates!C15</f>
        <v>acre</v>
      </c>
      <c r="D68" s="116">
        <f>CustomRates!K15</f>
        <v>2.5</v>
      </c>
      <c r="E68" s="87">
        <f>CustomRates!K16</f>
        <v>0</v>
      </c>
      <c r="F68" s="117" t="str">
        <f t="shared" si="11"/>
        <v>0</v>
      </c>
    </row>
    <row r="69" spans="1:9" ht="20">
      <c r="A69" s="15"/>
      <c r="B69" s="125" t="str">
        <f>CustomRates!B17</f>
        <v>Custom self-propelled sprayer</v>
      </c>
      <c r="C69" s="41" t="str">
        <f>CustomRates!C17</f>
        <v>acre</v>
      </c>
      <c r="D69" s="116">
        <f>CustomRates!K17</f>
        <v>8</v>
      </c>
      <c r="E69" s="87">
        <f>CustomRates!K18</f>
        <v>0</v>
      </c>
      <c r="F69" s="117" t="str">
        <f t="shared" si="11"/>
        <v>0</v>
      </c>
    </row>
    <row r="70" spans="1:9" ht="20">
      <c r="A70" s="15"/>
      <c r="B70" s="125" t="str">
        <f>CustomRates!B19</f>
        <v>Additional Operation #8 (Custom)</v>
      </c>
      <c r="C70" s="41" t="str">
        <f>CustomRates!C19</f>
        <v>acre</v>
      </c>
      <c r="D70" s="116">
        <f>CustomRates!K19</f>
        <v>0</v>
      </c>
      <c r="E70" s="87">
        <f>CustomRates!K20</f>
        <v>0</v>
      </c>
      <c r="F70" s="117" t="str">
        <f t="shared" si="11"/>
        <v>0</v>
      </c>
    </row>
    <row r="71" spans="1:9" ht="20">
      <c r="A71" s="15"/>
      <c r="B71" s="139" t="s">
        <v>87</v>
      </c>
      <c r="C71" s="41"/>
      <c r="D71" s="116"/>
      <c r="E71" s="116"/>
      <c r="F71" s="117"/>
      <c r="H71" s="1" t="s">
        <v>204</v>
      </c>
      <c r="I71" s="1" t="s">
        <v>135</v>
      </c>
    </row>
    <row r="72" spans="1:9" ht="20">
      <c r="A72" s="15"/>
      <c r="B72" s="85" t="str">
        <f>MachineAssumptions!B7&amp;" - Labor"</f>
        <v>Shredder - Labor</v>
      </c>
      <c r="C72" s="41" t="s">
        <v>246</v>
      </c>
      <c r="D72" s="116">
        <f>MachineAssumptions!$R$7</f>
        <v>1.4996591683708247</v>
      </c>
      <c r="E72" s="87">
        <f>FieldApplications!$J$6</f>
        <v>0</v>
      </c>
      <c r="F72" s="117" t="str">
        <f t="shared" ref="F72:F113" si="12">IF(D72*E72=0,"0",D72*E72)</f>
        <v>0</v>
      </c>
      <c r="H72" s="246">
        <f>MachineAssumptions!$R$28*E72</f>
        <v>0</v>
      </c>
      <c r="I72" s="166">
        <f>MachineAssumptions!$R$48*E72</f>
        <v>0</v>
      </c>
    </row>
    <row r="73" spans="1:9" ht="20">
      <c r="A73" s="15"/>
      <c r="B73" s="85" t="str">
        <f>MachineAssumptions!B7&amp;" - Fuel, Lube"</f>
        <v>Shredder - Fuel, Lube</v>
      </c>
      <c r="C73" s="41" t="s">
        <v>246</v>
      </c>
      <c r="D73" s="116">
        <f>MachineAssumptions!$S$7</f>
        <v>5.7486934787548281</v>
      </c>
      <c r="E73" s="87">
        <f>FieldApplications!$J$6</f>
        <v>0</v>
      </c>
      <c r="F73" s="117" t="str">
        <f t="shared" si="12"/>
        <v>0</v>
      </c>
      <c r="H73" s="246">
        <f>MachineAssumptions!$S$28*E73</f>
        <v>0</v>
      </c>
      <c r="I73" s="166">
        <f>MachineAssumptions!$S$48*E73</f>
        <v>0</v>
      </c>
    </row>
    <row r="74" spans="1:9" ht="20">
      <c r="A74" s="15"/>
      <c r="B74" s="85" t="str">
        <f>MachineAssumptions!B7&amp;" - Repairs"</f>
        <v>Shredder - Repairs</v>
      </c>
      <c r="C74" s="41" t="s">
        <v>246</v>
      </c>
      <c r="D74" s="116">
        <f>MachineAssumptions!$T$7</f>
        <v>0.46726721181997538</v>
      </c>
      <c r="E74" s="87">
        <f>FieldApplications!$J$6</f>
        <v>0</v>
      </c>
      <c r="F74" s="117" t="str">
        <f t="shared" si="12"/>
        <v>0</v>
      </c>
      <c r="H74" s="246">
        <f>MachineAssumptions!$T$28*E74</f>
        <v>0</v>
      </c>
      <c r="I74" s="166">
        <f>MachineAssumptions!$T$48*E74</f>
        <v>0</v>
      </c>
    </row>
    <row r="75" spans="1:9" ht="20">
      <c r="A75" s="15"/>
      <c r="B75" s="85" t="str">
        <f>MachineAssumptions!B8&amp;" - Labor"</f>
        <v>Harrow - Labor</v>
      </c>
      <c r="C75" s="41" t="s">
        <v>246</v>
      </c>
      <c r="D75" s="116">
        <f>MachineAssumptions!$R$8</f>
        <v>0.59412746734753996</v>
      </c>
      <c r="E75" s="87">
        <f>FieldApplications!$J$7</f>
        <v>0</v>
      </c>
      <c r="F75" s="117" t="str">
        <f t="shared" si="12"/>
        <v>0</v>
      </c>
      <c r="H75" s="246">
        <f>MachineAssumptions!$R$29*E75</f>
        <v>0</v>
      </c>
      <c r="I75" s="166">
        <f>MachineAssumptions!$R$49*E75</f>
        <v>0</v>
      </c>
    </row>
    <row r="76" spans="1:9" ht="20">
      <c r="A76" s="15"/>
      <c r="B76" s="85" t="str">
        <f>MachineAssumptions!B8&amp;" - Fuel, Lube"</f>
        <v>Harrow - Fuel, Lube</v>
      </c>
      <c r="C76" s="41" t="s">
        <v>246</v>
      </c>
      <c r="D76" s="116">
        <f>MachineAssumptions!$S$8</f>
        <v>2.4845330452715308</v>
      </c>
      <c r="E76" s="87">
        <f>FieldApplications!$J$7</f>
        <v>0</v>
      </c>
      <c r="F76" s="117" t="str">
        <f t="shared" si="12"/>
        <v>0</v>
      </c>
      <c r="H76" s="246">
        <f>MachineAssumptions!$S$29*E76</f>
        <v>0</v>
      </c>
      <c r="I76" s="166">
        <f>MachineAssumptions!$S$49*E76</f>
        <v>0</v>
      </c>
    </row>
    <row r="77" spans="1:9" ht="20">
      <c r="A77" s="15"/>
      <c r="B77" s="85" t="str">
        <f>MachineAssumptions!B8&amp;" - Repairs"</f>
        <v>Harrow - Repairs</v>
      </c>
      <c r="C77" s="41" t="s">
        <v>246</v>
      </c>
      <c r="D77" s="116">
        <f>MachineAssumptions!$T$8</f>
        <v>0.14755184964846621</v>
      </c>
      <c r="E77" s="87">
        <f>FieldApplications!$J$7</f>
        <v>0</v>
      </c>
      <c r="F77" s="117" t="str">
        <f t="shared" si="12"/>
        <v>0</v>
      </c>
      <c r="H77" s="246">
        <f>MachineAssumptions!$T$29*E77</f>
        <v>0</v>
      </c>
      <c r="I77" s="166">
        <f>MachineAssumptions!$T$49*E77</f>
        <v>0</v>
      </c>
    </row>
    <row r="78" spans="1:9" ht="20">
      <c r="A78" s="15"/>
      <c r="B78" s="85" t="str">
        <f>MachineAssumptions!B9&amp;" - Labor"</f>
        <v>Chisel plow - Labor</v>
      </c>
      <c r="C78" s="41" t="s">
        <v>246</v>
      </c>
      <c r="D78" s="116">
        <f>MachineAssumptions!$R$9</f>
        <v>0</v>
      </c>
      <c r="E78" s="87">
        <f>FieldApplications!$J$8</f>
        <v>0</v>
      </c>
      <c r="F78" s="117" t="str">
        <f t="shared" si="12"/>
        <v>0</v>
      </c>
      <c r="H78" s="246">
        <f>MachineAssumptions!$R$30*E78</f>
        <v>0</v>
      </c>
      <c r="I78" s="166">
        <f>MachineAssumptions!$R$50*E78</f>
        <v>0</v>
      </c>
    </row>
    <row r="79" spans="1:9" ht="20">
      <c r="A79" s="15"/>
      <c r="B79" s="85" t="str">
        <f>MachineAssumptions!B9&amp;" - Fuel, Lube"</f>
        <v>Chisel plow - Fuel, Lube</v>
      </c>
      <c r="C79" s="41" t="s">
        <v>246</v>
      </c>
      <c r="D79" s="116">
        <f>MachineAssumptions!$S$9</f>
        <v>0</v>
      </c>
      <c r="E79" s="87">
        <f>FieldApplications!$J$8</f>
        <v>0</v>
      </c>
      <c r="F79" s="117" t="str">
        <f t="shared" si="12"/>
        <v>0</v>
      </c>
      <c r="H79" s="246">
        <f>MachineAssumptions!$R$30*E79</f>
        <v>0</v>
      </c>
      <c r="I79" s="166">
        <f>MachineAssumptions!$S$50*E79</f>
        <v>0</v>
      </c>
    </row>
    <row r="80" spans="1:9" ht="20">
      <c r="A80" s="15"/>
      <c r="B80" s="85" t="str">
        <f>MachineAssumptions!B9&amp;" - Repairs"</f>
        <v>Chisel plow - Repairs</v>
      </c>
      <c r="C80" s="41" t="s">
        <v>246</v>
      </c>
      <c r="D80" s="116">
        <f>MachineAssumptions!$T$9</f>
        <v>0</v>
      </c>
      <c r="E80" s="87">
        <f>FieldApplications!$J$8</f>
        <v>0</v>
      </c>
      <c r="F80" s="117" t="str">
        <f t="shared" si="12"/>
        <v>0</v>
      </c>
      <c r="H80" s="246">
        <f>MachineAssumptions!$T$30*E80</f>
        <v>0</v>
      </c>
      <c r="I80" s="166">
        <f>MachineAssumptions!$T$50*E80</f>
        <v>0</v>
      </c>
    </row>
    <row r="81" spans="1:9" ht="20">
      <c r="A81" s="15"/>
      <c r="B81" s="85" t="str">
        <f>MachineAssumptions!B10&amp;" - Labor"</f>
        <v>Moldboard plow - Labor</v>
      </c>
      <c r="C81" s="41" t="s">
        <v>246</v>
      </c>
      <c r="D81" s="116">
        <f>MachineAssumptions!$R$10</f>
        <v>0</v>
      </c>
      <c r="E81" s="87">
        <f>FieldApplications!$J$9</f>
        <v>0</v>
      </c>
      <c r="F81" s="117" t="str">
        <f t="shared" si="12"/>
        <v>0</v>
      </c>
      <c r="H81" s="246">
        <f>MachineAssumptions!$R$31*E81</f>
        <v>0</v>
      </c>
      <c r="I81" s="166">
        <f>MachineAssumptions!$R$51*E81</f>
        <v>0</v>
      </c>
    </row>
    <row r="82" spans="1:9" ht="20">
      <c r="A82" s="15"/>
      <c r="B82" s="85" t="str">
        <f>MachineAssumptions!B10&amp;" - Fuel, Lube"</f>
        <v>Moldboard plow - Fuel, Lube</v>
      </c>
      <c r="C82" s="41" t="s">
        <v>246</v>
      </c>
      <c r="D82" s="116">
        <f>MachineAssumptions!$S$10</f>
        <v>0</v>
      </c>
      <c r="E82" s="87">
        <f>FieldApplications!$J$9</f>
        <v>0</v>
      </c>
      <c r="F82" s="117" t="str">
        <f t="shared" si="12"/>
        <v>0</v>
      </c>
      <c r="H82" s="246">
        <f>MachineAssumptions!$S$31*E82</f>
        <v>0</v>
      </c>
      <c r="I82" s="166">
        <f>MachineAssumptions!$S$51*E82</f>
        <v>0</v>
      </c>
    </row>
    <row r="83" spans="1:9" ht="20">
      <c r="A83" s="15"/>
      <c r="B83" s="85" t="str">
        <f>MachineAssumptions!B10&amp;" - Repairs"</f>
        <v>Moldboard plow - Repairs</v>
      </c>
      <c r="C83" s="41" t="s">
        <v>246</v>
      </c>
      <c r="D83" s="116">
        <f>MachineAssumptions!$T$10</f>
        <v>0</v>
      </c>
      <c r="E83" s="87">
        <f>FieldApplications!$J$9</f>
        <v>0</v>
      </c>
      <c r="F83" s="117" t="str">
        <f t="shared" si="12"/>
        <v>0</v>
      </c>
      <c r="H83" s="246">
        <f>MachineAssumptions!$T$31*E83</f>
        <v>0</v>
      </c>
      <c r="I83" s="166">
        <f>MachineAssumptions!$T$51*E83</f>
        <v>0</v>
      </c>
    </row>
    <row r="84" spans="1:9" ht="20">
      <c r="A84" s="15"/>
      <c r="B84" s="85" t="str">
        <f>MachineAssumptions!B11&amp;" - Labor"</f>
        <v>Cultivator - Labor</v>
      </c>
      <c r="C84" s="41" t="s">
        <v>246</v>
      </c>
      <c r="D84" s="116">
        <f>MachineAssumptions!$R$11</f>
        <v>0</v>
      </c>
      <c r="E84" s="87">
        <f>FieldApplications!$J$10</f>
        <v>0</v>
      </c>
      <c r="F84" s="117" t="str">
        <f t="shared" si="12"/>
        <v>0</v>
      </c>
      <c r="H84" s="246">
        <f>MachineAssumptions!$R$32*E84</f>
        <v>0</v>
      </c>
      <c r="I84" s="166">
        <f>MachineAssumptions!$R$52*E84</f>
        <v>0</v>
      </c>
    </row>
    <row r="85" spans="1:9" ht="20">
      <c r="A85" s="15"/>
      <c r="B85" s="85" t="str">
        <f>MachineAssumptions!B11&amp;" - Fuel, Lube"</f>
        <v>Cultivator - Fuel, Lube</v>
      </c>
      <c r="C85" s="41" t="s">
        <v>246</v>
      </c>
      <c r="D85" s="116">
        <f>MachineAssumptions!$S$11</f>
        <v>0</v>
      </c>
      <c r="E85" s="87">
        <f>FieldApplications!$J$10</f>
        <v>0</v>
      </c>
      <c r="F85" s="117" t="str">
        <f t="shared" si="12"/>
        <v>0</v>
      </c>
      <c r="H85" s="246">
        <f>MachineAssumptions!$S$32*E85</f>
        <v>0</v>
      </c>
      <c r="I85" s="166">
        <f>MachineAssumptions!$S$52*E85</f>
        <v>0</v>
      </c>
    </row>
    <row r="86" spans="1:9" ht="20">
      <c r="A86" s="15"/>
      <c r="B86" s="85" t="str">
        <f>MachineAssumptions!B11&amp;" - Repairs"</f>
        <v>Cultivator - Repairs</v>
      </c>
      <c r="C86" s="41" t="s">
        <v>246</v>
      </c>
      <c r="D86" s="116">
        <f>MachineAssumptions!$T$11</f>
        <v>0</v>
      </c>
      <c r="E86" s="87">
        <f>FieldApplications!$J$10</f>
        <v>0</v>
      </c>
      <c r="F86" s="117" t="str">
        <f t="shared" si="12"/>
        <v>0</v>
      </c>
      <c r="H86" s="246">
        <f>MachineAssumptions!$T$32*E86</f>
        <v>0</v>
      </c>
      <c r="I86" s="166">
        <f>MachineAssumptions!$T$52*E86</f>
        <v>0</v>
      </c>
    </row>
    <row r="87" spans="1:9" ht="20">
      <c r="A87" s="15"/>
      <c r="B87" s="85" t="str">
        <f>MachineAssumptions!B12&amp;" - Labor"</f>
        <v>Cultiweeder - Labor</v>
      </c>
      <c r="C87" s="41" t="s">
        <v>246</v>
      </c>
      <c r="D87" s="116">
        <f>MachineAssumptions!$R$12</f>
        <v>0</v>
      </c>
      <c r="E87" s="87">
        <f>FieldApplications!$J$11</f>
        <v>0</v>
      </c>
      <c r="F87" s="117" t="str">
        <f t="shared" si="12"/>
        <v>0</v>
      </c>
      <c r="H87" s="246">
        <f>MachineAssumptions!$R$33*E87</f>
        <v>0</v>
      </c>
      <c r="I87" s="166">
        <f>MachineAssumptions!$R$53*E87</f>
        <v>0</v>
      </c>
    </row>
    <row r="88" spans="1:9" ht="20">
      <c r="A88" s="15"/>
      <c r="B88" s="85" t="str">
        <f>MachineAssumptions!B12&amp;" - Fuel, Lube"</f>
        <v>Cultiweeder - Fuel, Lube</v>
      </c>
      <c r="C88" s="41" t="s">
        <v>246</v>
      </c>
      <c r="D88" s="116">
        <f>MachineAssumptions!$S$12</f>
        <v>0</v>
      </c>
      <c r="E88" s="87">
        <f>FieldApplications!$J$11</f>
        <v>0</v>
      </c>
      <c r="F88" s="117" t="str">
        <f t="shared" si="12"/>
        <v>0</v>
      </c>
      <c r="H88" s="246">
        <f>MachineAssumptions!$S$33*E88</f>
        <v>0</v>
      </c>
      <c r="I88" s="166">
        <f>MachineAssumptions!$S$53*E88</f>
        <v>0</v>
      </c>
    </row>
    <row r="89" spans="1:9" ht="20">
      <c r="A89" s="15"/>
      <c r="B89" s="85" t="str">
        <f>MachineAssumptions!B12&amp;" - Repairs"</f>
        <v>Cultiweeder - Repairs</v>
      </c>
      <c r="C89" s="41" t="s">
        <v>246</v>
      </c>
      <c r="D89" s="116">
        <f>MachineAssumptions!$T$12</f>
        <v>0</v>
      </c>
      <c r="E89" s="87">
        <f>FieldApplications!$J$11</f>
        <v>0</v>
      </c>
      <c r="F89" s="117" t="str">
        <f t="shared" si="12"/>
        <v>0</v>
      </c>
      <c r="H89" s="246">
        <f>MachineAssumptions!$T$33*E89</f>
        <v>0</v>
      </c>
      <c r="I89" s="166">
        <f>MachineAssumptions!$T$53*E89</f>
        <v>0</v>
      </c>
    </row>
    <row r="90" spans="1:9" ht="20">
      <c r="A90" s="15"/>
      <c r="B90" s="85" t="str">
        <f>MachineAssumptions!B13&amp;" - Labor"</f>
        <v>Drill - Labor</v>
      </c>
      <c r="C90" s="41" t="s">
        <v>246</v>
      </c>
      <c r="D90" s="116">
        <f>MachineAssumptions!$R$13</f>
        <v>1.6703109815354713</v>
      </c>
      <c r="E90" s="87">
        <f>FieldApplications!$J$12</f>
        <v>1</v>
      </c>
      <c r="F90" s="117">
        <f t="shared" si="12"/>
        <v>1.6703109815354713</v>
      </c>
      <c r="H90" s="246">
        <f>MachineAssumptions!$R$34*E90</f>
        <v>1.6703109815354713</v>
      </c>
      <c r="I90" s="166">
        <f>MachineAssumptions!$R$54*E90</f>
        <v>1.6703109815354713</v>
      </c>
    </row>
    <row r="91" spans="1:9" ht="20">
      <c r="A91" s="15"/>
      <c r="B91" s="85" t="str">
        <f>MachineAssumptions!B13&amp;" - Fuel, Lube"</f>
        <v>Drill - Fuel, Lube</v>
      </c>
      <c r="C91" s="41" t="s">
        <v>246</v>
      </c>
      <c r="D91" s="116">
        <f>MachineAssumptions!$S$13</f>
        <v>6.146744412050535</v>
      </c>
      <c r="E91" s="87">
        <f>FieldApplications!$J$12</f>
        <v>1</v>
      </c>
      <c r="F91" s="117">
        <f t="shared" si="12"/>
        <v>6.146744412050535</v>
      </c>
      <c r="H91" s="246">
        <f>MachineAssumptions!$S$34*E91</f>
        <v>6.146744412050535</v>
      </c>
      <c r="I91" s="166">
        <f>MachineAssumptions!$S$54*E91</f>
        <v>6.146744412050535</v>
      </c>
    </row>
    <row r="92" spans="1:9" ht="20">
      <c r="A92" s="15"/>
      <c r="B92" s="85" t="str">
        <f>MachineAssumptions!B13&amp;" - Repairs"</f>
        <v>Drill - Repairs</v>
      </c>
      <c r="C92" s="41" t="s">
        <v>246</v>
      </c>
      <c r="D92" s="116">
        <f>MachineAssumptions!$T$13</f>
        <v>5.740409656342587</v>
      </c>
      <c r="E92" s="87">
        <f>FieldApplications!$J$12</f>
        <v>1</v>
      </c>
      <c r="F92" s="117">
        <f t="shared" si="12"/>
        <v>5.740409656342587</v>
      </c>
      <c r="H92" s="246">
        <f>MachineAssumptions!$T$34*E92</f>
        <v>5.740409656342587</v>
      </c>
      <c r="I92" s="166">
        <f>MachineAssumptions!$T$54*E92</f>
        <v>5.740409656342587</v>
      </c>
    </row>
    <row r="93" spans="1:9" ht="20">
      <c r="A93" s="15"/>
      <c r="B93" s="85" t="str">
        <f>MachineAssumptions!B14&amp;" - Labor"</f>
        <v>Combine w/ 36' header - Labor</v>
      </c>
      <c r="C93" s="41" t="s">
        <v>246</v>
      </c>
      <c r="D93" s="116">
        <f>MachineAssumptions!$R$14</f>
        <v>1.9161092530657748</v>
      </c>
      <c r="E93" s="87">
        <f>FieldApplications!$J$13</f>
        <v>1</v>
      </c>
      <c r="F93" s="117">
        <f t="shared" si="12"/>
        <v>1.9161092530657748</v>
      </c>
      <c r="H93" s="246">
        <f>MachineAssumptions!$R$35*E93</f>
        <v>1.9161092530657748</v>
      </c>
      <c r="I93" s="166">
        <f>MachineAssumptions!$R$55*E93</f>
        <v>1.9161092530657748</v>
      </c>
    </row>
    <row r="94" spans="1:9" ht="20">
      <c r="A94" s="15"/>
      <c r="B94" s="85" t="str">
        <f>MachineAssumptions!B14&amp;" - Fuel, Lube"</f>
        <v>Combine w/ 36' header - Fuel, Lube</v>
      </c>
      <c r="C94" s="41" t="s">
        <v>246</v>
      </c>
      <c r="D94" s="116">
        <f>MachineAssumptions!$S$14</f>
        <v>7.0512820512820511</v>
      </c>
      <c r="E94" s="87">
        <f>FieldApplications!$J$13</f>
        <v>1</v>
      </c>
      <c r="F94" s="117">
        <f t="shared" si="12"/>
        <v>7.0512820512820511</v>
      </c>
      <c r="H94" s="246">
        <f>MachineAssumptions!$S$35*E94</f>
        <v>7.0512820512820511</v>
      </c>
      <c r="I94" s="166">
        <f>MachineAssumptions!$S$55*E94</f>
        <v>7.0512820512820511</v>
      </c>
    </row>
    <row r="95" spans="1:9" ht="20">
      <c r="A95" s="15"/>
      <c r="B95" s="85" t="str">
        <f>MachineAssumptions!B14&amp;" - Repairs"</f>
        <v>Combine w/ 36' header - Repairs</v>
      </c>
      <c r="C95" s="41" t="s">
        <v>246</v>
      </c>
      <c r="D95" s="116">
        <f>MachineAssumptions!$T$14</f>
        <v>6.4258281801385913</v>
      </c>
      <c r="E95" s="87">
        <f>FieldApplications!$J$13</f>
        <v>1</v>
      </c>
      <c r="F95" s="117">
        <f t="shared" si="12"/>
        <v>6.4258281801385913</v>
      </c>
      <c r="H95" s="246">
        <f>MachineAssumptions!$T$35*E95</f>
        <v>6.4258281801385913</v>
      </c>
      <c r="I95" s="166">
        <f>MachineAssumptions!$T$55*E95</f>
        <v>4.0416300769413871</v>
      </c>
    </row>
    <row r="96" spans="1:9" ht="20">
      <c r="A96" s="15"/>
      <c r="B96" s="85" t="str">
        <f>MachineAssumptions!B16&amp;" - Labor"</f>
        <v>Fertilizer Spreader - Labor</v>
      </c>
      <c r="C96" s="41" t="s">
        <v>246</v>
      </c>
      <c r="D96" s="116">
        <f>MachineAssumptions!$R$16</f>
        <v>0</v>
      </c>
      <c r="E96" s="87">
        <f>FieldApplications!$J$14</f>
        <v>0</v>
      </c>
      <c r="F96" s="117" t="str">
        <f t="shared" si="12"/>
        <v>0</v>
      </c>
      <c r="H96" s="246">
        <f>MachineAssumptions!$R$36*E96</f>
        <v>0</v>
      </c>
      <c r="I96" s="166">
        <f>MachineAssumptions!$R$56*E96</f>
        <v>0</v>
      </c>
    </row>
    <row r="97" spans="1:9" ht="20">
      <c r="A97" s="15"/>
      <c r="B97" s="85" t="str">
        <f>MachineAssumptions!B16&amp;" - Fuel, Lube"</f>
        <v>Fertilizer Spreader - Fuel, Lube</v>
      </c>
      <c r="C97" s="41" t="s">
        <v>246</v>
      </c>
      <c r="D97" s="116">
        <f>MachineAssumptions!$S$16</f>
        <v>0</v>
      </c>
      <c r="E97" s="87">
        <f>FieldApplications!$J$14</f>
        <v>0</v>
      </c>
      <c r="F97" s="117" t="str">
        <f t="shared" si="12"/>
        <v>0</v>
      </c>
      <c r="H97" s="246">
        <f>MachineAssumptions!$S$36*E97</f>
        <v>0</v>
      </c>
      <c r="I97" s="166">
        <f>MachineAssumptions!$S$56*E97</f>
        <v>0</v>
      </c>
    </row>
    <row r="98" spans="1:9" ht="20">
      <c r="A98" s="15"/>
      <c r="B98" s="85" t="str">
        <f>MachineAssumptions!B16&amp;" - Repairs"</f>
        <v>Fertilizer Spreader - Repairs</v>
      </c>
      <c r="C98" s="41" t="s">
        <v>246</v>
      </c>
      <c r="D98" s="116">
        <f>MachineAssumptions!$T$16</f>
        <v>0</v>
      </c>
      <c r="E98" s="87">
        <f>FieldApplications!$J$14</f>
        <v>0</v>
      </c>
      <c r="F98" s="117" t="str">
        <f t="shared" si="12"/>
        <v>0</v>
      </c>
      <c r="H98" s="246">
        <f>MachineAssumptions!$T$36*E98</f>
        <v>0</v>
      </c>
      <c r="I98" s="166">
        <f>MachineAssumptions!$T$56*E98</f>
        <v>0</v>
      </c>
    </row>
    <row r="99" spans="1:9" ht="20">
      <c r="A99" s="15"/>
      <c r="B99" s="85" t="str">
        <f>MachineAssumptions!B17&amp;" - Labor"</f>
        <v>Fertilizer tanks and pump - Labor</v>
      </c>
      <c r="C99" s="41" t="s">
        <v>246</v>
      </c>
      <c r="D99" s="116">
        <f>MachineAssumptions!$R$17</f>
        <v>2.2448979591836737</v>
      </c>
      <c r="E99" s="87">
        <f>FieldApplications!$J$15</f>
        <v>1</v>
      </c>
      <c r="F99" s="117">
        <f t="shared" si="12"/>
        <v>2.2448979591836737</v>
      </c>
      <c r="H99" s="246">
        <f>MachineAssumptions!$R$37*E99</f>
        <v>2.2448979591836737</v>
      </c>
      <c r="I99" s="166">
        <f>MachineAssumptions!$R$57*E99</f>
        <v>2.2448979591836737</v>
      </c>
    </row>
    <row r="100" spans="1:9" ht="20">
      <c r="A100" s="15"/>
      <c r="B100" s="85" t="str">
        <f>MachineAssumptions!B17&amp;" - Fuel, Lube"</f>
        <v>Fertilizer tanks and pump - Fuel, Lube</v>
      </c>
      <c r="C100" s="41" t="s">
        <v>246</v>
      </c>
      <c r="D100" s="116">
        <f>MachineAssumptions!$S$17</f>
        <v>9.387755102040817</v>
      </c>
      <c r="E100" s="87">
        <f>FieldApplications!$J$15</f>
        <v>1</v>
      </c>
      <c r="F100" s="117">
        <f t="shared" si="12"/>
        <v>9.387755102040817</v>
      </c>
      <c r="H100" s="246">
        <f>MachineAssumptions!$S$37*E100</f>
        <v>9.387755102040817</v>
      </c>
      <c r="I100" s="166">
        <f>MachineAssumptions!$S$57*E100</f>
        <v>9.387755102040817</v>
      </c>
    </row>
    <row r="101" spans="1:9" ht="20">
      <c r="A101" s="15"/>
      <c r="B101" s="85" t="str">
        <f>MachineAssumptions!B17&amp;" - Repairs"</f>
        <v>Fertilizer tanks and pump - Repairs</v>
      </c>
      <c r="C101" s="41" t="s">
        <v>246</v>
      </c>
      <c r="D101" s="116">
        <f>MachineAssumptions!$T$17</f>
        <v>0</v>
      </c>
      <c r="E101" s="87">
        <f>FieldApplications!$J$15</f>
        <v>1</v>
      </c>
      <c r="F101" s="117" t="str">
        <f t="shared" si="12"/>
        <v>0</v>
      </c>
      <c r="H101" s="246">
        <f>MachineAssumptions!$T$37*E101</f>
        <v>0</v>
      </c>
      <c r="I101" s="166">
        <f>MachineAssumptions!$T$57*E101</f>
        <v>0</v>
      </c>
    </row>
    <row r="102" spans="1:9" ht="20">
      <c r="A102" s="15"/>
      <c r="B102" s="85" t="str">
        <f>MachineAssumptions!B18&amp;" - Labor"</f>
        <v>Boom sprayer - Labor</v>
      </c>
      <c r="C102" s="41" t="s">
        <v>246</v>
      </c>
      <c r="D102" s="116">
        <f>MachineAssumptions!$R$18</f>
        <v>0.4708120318630365</v>
      </c>
      <c r="E102" s="87">
        <f>FieldApplications!$J$16</f>
        <v>2</v>
      </c>
      <c r="F102" s="117">
        <f t="shared" si="12"/>
        <v>0.94162406372607299</v>
      </c>
      <c r="H102" s="246">
        <f>MachineAssumptions!$R$38*E102</f>
        <v>0.94162406372607299</v>
      </c>
      <c r="I102" s="166">
        <f>MachineAssumptions!$R$58*E102</f>
        <v>0.94162406372607299</v>
      </c>
    </row>
    <row r="103" spans="1:9" ht="20">
      <c r="A103" s="15"/>
      <c r="B103" s="85" t="str">
        <f>MachineAssumptions!B18&amp;" - Fuel, Lube"</f>
        <v>Boom sprayer - Fuel, Lube</v>
      </c>
      <c r="C103" s="41" t="s">
        <v>246</v>
      </c>
      <c r="D103" s="116">
        <f>MachineAssumptions!$S$18</f>
        <v>1.8047794554749732</v>
      </c>
      <c r="E103" s="87">
        <f>FieldApplications!$J$16</f>
        <v>2</v>
      </c>
      <c r="F103" s="117">
        <f t="shared" si="12"/>
        <v>3.6095589109499464</v>
      </c>
      <c r="H103" s="246">
        <f>MachineAssumptions!$S$38*E103</f>
        <v>3.6095589109499464</v>
      </c>
      <c r="I103" s="166">
        <f>MachineAssumptions!$S$58*E103</f>
        <v>3.6095589109499464</v>
      </c>
    </row>
    <row r="104" spans="1:9" ht="20">
      <c r="A104" s="15"/>
      <c r="B104" s="85" t="str">
        <f>MachineAssumptions!B18&amp;" - Repairs"</f>
        <v>Boom sprayer - Repairs</v>
      </c>
      <c r="C104" s="41" t="s">
        <v>246</v>
      </c>
      <c r="D104" s="116">
        <f>MachineAssumptions!$T$18</f>
        <v>0.49795949063219769</v>
      </c>
      <c r="E104" s="87">
        <f>FieldApplications!$J$16</f>
        <v>2</v>
      </c>
      <c r="F104" s="117">
        <f t="shared" si="12"/>
        <v>0.99591898126439538</v>
      </c>
      <c r="H104" s="246">
        <f>MachineAssumptions!$T$38*E104</f>
        <v>1.0056003712769741</v>
      </c>
      <c r="I104" s="166">
        <f>MachineAssumptions!$T$58*E104</f>
        <v>0.9021656572032456</v>
      </c>
    </row>
    <row r="105" spans="1:9" ht="20">
      <c r="A105" s="15"/>
      <c r="B105" s="85" t="str">
        <f>MachineAssumptions!B15&amp;" - Labor"</f>
        <v>Bankout Wagon - Labor</v>
      </c>
      <c r="C105" s="41" t="s">
        <v>246</v>
      </c>
      <c r="D105" s="116">
        <f>MachineAssumptions!$R$15</f>
        <v>1.6861761426978819</v>
      </c>
      <c r="E105" s="87">
        <f t="shared" ref="E105:E113" si="13">IF($E$93&gt;0,1,0)</f>
        <v>1</v>
      </c>
      <c r="F105" s="117">
        <f t="shared" si="12"/>
        <v>1.6861761426978819</v>
      </c>
      <c r="H105" s="246">
        <f>MachineAssumptions!$R$39*E105</f>
        <v>1.6861761426978819</v>
      </c>
      <c r="I105" s="166">
        <f>MachineAssumptions!$R$59*E105</f>
        <v>1.6861761426978819</v>
      </c>
    </row>
    <row r="106" spans="1:9" ht="20">
      <c r="A106" s="15"/>
      <c r="B106" s="85" t="str">
        <f>MachineAssumptions!B15&amp;" - Fuel, Lube"</f>
        <v>Bankout Wagon - Fuel, Lube</v>
      </c>
      <c r="C106" s="41" t="s">
        <v>246</v>
      </c>
      <c r="D106" s="116">
        <f>MachineAssumptions!$S$15</f>
        <v>7.0512820512820511</v>
      </c>
      <c r="E106" s="87">
        <f t="shared" si="13"/>
        <v>1</v>
      </c>
      <c r="F106" s="117">
        <f t="shared" si="12"/>
        <v>7.0512820512820511</v>
      </c>
      <c r="H106" s="246">
        <f>MachineAssumptions!$S$39*E106</f>
        <v>7.0512820512820511</v>
      </c>
      <c r="I106" s="166">
        <f>MachineAssumptions!$S$59*E106</f>
        <v>7.0512820512820511</v>
      </c>
    </row>
    <row r="107" spans="1:9" ht="20">
      <c r="A107" s="15"/>
      <c r="B107" s="85" t="str">
        <f>MachineAssumptions!B15&amp;" - Repairs"</f>
        <v>Bankout Wagon - Repairs</v>
      </c>
      <c r="C107" s="41" t="s">
        <v>246</v>
      </c>
      <c r="D107" s="116">
        <f>MachineAssumptions!$T$15</f>
        <v>0.5058930256896228</v>
      </c>
      <c r="E107" s="87">
        <f t="shared" si="13"/>
        <v>1</v>
      </c>
      <c r="F107" s="117">
        <f t="shared" si="12"/>
        <v>0.5058930256896228</v>
      </c>
      <c r="H107" s="246">
        <f>MachineAssumptions!$T$39*E107</f>
        <v>0.5058930256896228</v>
      </c>
      <c r="I107" s="166">
        <f>MachineAssumptions!$T$59*E107</f>
        <v>0.43525361955195507</v>
      </c>
    </row>
    <row r="108" spans="1:9" ht="20">
      <c r="A108" s="15"/>
      <c r="B108" s="85" t="str">
        <f>MachineAssumptions!B19&amp;" - Labor"</f>
        <v>Tandem Axle Truck  - Labor</v>
      </c>
      <c r="C108" s="41" t="s">
        <v>246</v>
      </c>
      <c r="D108" s="116">
        <f>MachineAssumptions!$R$19</f>
        <v>3.6</v>
      </c>
      <c r="E108" s="87">
        <f t="shared" si="13"/>
        <v>1</v>
      </c>
      <c r="F108" s="117">
        <f t="shared" si="12"/>
        <v>3.6</v>
      </c>
      <c r="H108" s="246">
        <f>MachineAssumptions!$R$40*E108</f>
        <v>3.6</v>
      </c>
      <c r="I108" s="166">
        <f>MachineAssumptions!$R$60*E108</f>
        <v>3.6</v>
      </c>
    </row>
    <row r="109" spans="1:9" ht="20">
      <c r="A109" s="15"/>
      <c r="B109" s="85" t="str">
        <f>MachineAssumptions!B19&amp;" - Fuel, Lube"</f>
        <v>Tandem Axle Truck  - Fuel, Lube</v>
      </c>
      <c r="C109" s="41" t="s">
        <v>246</v>
      </c>
      <c r="D109" s="116">
        <f>MachineAssumptions!$S$19</f>
        <v>1.1499999999999999</v>
      </c>
      <c r="E109" s="87">
        <f t="shared" si="13"/>
        <v>1</v>
      </c>
      <c r="F109" s="117">
        <f t="shared" si="12"/>
        <v>1.1499999999999999</v>
      </c>
      <c r="H109" s="246">
        <f>MachineAssumptions!$S$40*E109</f>
        <v>1.1499999999999999</v>
      </c>
      <c r="I109" s="166">
        <f>MachineAssumptions!$S$60*E109</f>
        <v>1.1499999999999999</v>
      </c>
    </row>
    <row r="110" spans="1:9" ht="20">
      <c r="A110" s="15"/>
      <c r="B110" s="85" t="str">
        <f>MachineAssumptions!B19&amp;" - Repairs"</f>
        <v>Tandem Axle Truck  - Repairs</v>
      </c>
      <c r="C110" s="41" t="s">
        <v>246</v>
      </c>
      <c r="D110" s="116">
        <f>MachineAssumptions!$T$19</f>
        <v>0.8</v>
      </c>
      <c r="E110" s="87">
        <f t="shared" si="13"/>
        <v>1</v>
      </c>
      <c r="F110" s="117">
        <f t="shared" si="12"/>
        <v>0.8</v>
      </c>
      <c r="H110" s="246">
        <f>MachineAssumptions!$T$40*E110</f>
        <v>0.8</v>
      </c>
      <c r="I110" s="166">
        <f>MachineAssumptions!$T$60*E110</f>
        <v>0.8</v>
      </c>
    </row>
    <row r="111" spans="1:9" ht="20">
      <c r="A111" s="15"/>
      <c r="B111" s="85" t="str">
        <f>MachineAssumptions!B20&amp;" - Labor"</f>
        <v>Tandem Axle Truck  - Labor</v>
      </c>
      <c r="C111" s="41" t="s">
        <v>246</v>
      </c>
      <c r="D111" s="116">
        <f>MachineAssumptions!$R$20</f>
        <v>3.6</v>
      </c>
      <c r="E111" s="87">
        <f t="shared" si="13"/>
        <v>1</v>
      </c>
      <c r="F111" s="117">
        <f t="shared" si="12"/>
        <v>3.6</v>
      </c>
      <c r="H111" s="416">
        <f>MachineAssumptions!$R$41*E111</f>
        <v>3.6</v>
      </c>
      <c r="I111" s="369">
        <f>MachineAssumptions!$R$61*E111</f>
        <v>3.6</v>
      </c>
    </row>
    <row r="112" spans="1:9" ht="20">
      <c r="A112" s="15"/>
      <c r="B112" s="85" t="str">
        <f>MachineAssumptions!B20&amp;" - Fuel, Lube"</f>
        <v>Tandem Axle Truck  - Fuel, Lube</v>
      </c>
      <c r="C112" s="41" t="s">
        <v>246</v>
      </c>
      <c r="D112" s="116">
        <f>MachineAssumptions!$S$20</f>
        <v>1.72</v>
      </c>
      <c r="E112" s="87">
        <f t="shared" si="13"/>
        <v>1</v>
      </c>
      <c r="F112" s="117">
        <f t="shared" si="12"/>
        <v>1.72</v>
      </c>
      <c r="H112" s="416">
        <f>MachineAssumptions!$S$41*E112</f>
        <v>1.72</v>
      </c>
      <c r="I112" s="369">
        <f>MachineAssumptions!$S$61*E112</f>
        <v>1.72</v>
      </c>
    </row>
    <row r="113" spans="1:13" ht="23">
      <c r="A113" s="15"/>
      <c r="B113" s="85" t="str">
        <f>MachineAssumptions!B20&amp;" - Repairs"</f>
        <v>Tandem Axle Truck  - Repairs</v>
      </c>
      <c r="C113" s="41" t="s">
        <v>246</v>
      </c>
      <c r="D113" s="116">
        <f>MachineAssumptions!$T$20</f>
        <v>0.8</v>
      </c>
      <c r="E113" s="87">
        <f t="shared" si="13"/>
        <v>1</v>
      </c>
      <c r="F113" s="117">
        <f t="shared" si="12"/>
        <v>0.8</v>
      </c>
      <c r="H113" s="248">
        <f>MachineAssumptions!$T$41*E113</f>
        <v>0.8</v>
      </c>
      <c r="I113" s="247">
        <f>MachineAssumptions!$T$61*E113</f>
        <v>0.8</v>
      </c>
    </row>
    <row r="114" spans="1:13" ht="21">
      <c r="A114" s="15"/>
      <c r="B114" s="139" t="s">
        <v>88</v>
      </c>
      <c r="C114" s="41"/>
      <c r="D114" s="116"/>
      <c r="E114" s="87"/>
      <c r="F114" s="117"/>
      <c r="H114" s="249">
        <f>SUM(H74:H113)</f>
        <v>67.05347216126205</v>
      </c>
      <c r="I114" s="249">
        <f>SUM(I74:I113)</f>
        <v>64.495199937853457</v>
      </c>
    </row>
    <row r="115" spans="1:13" ht="20">
      <c r="A115" s="15"/>
      <c r="B115" s="85" t="str">
        <f>'Chem&amp;FertInputs&amp;CInsurance'!B73</f>
        <v>Crop Insurance</v>
      </c>
      <c r="C115" s="23" t="str">
        <f>'Chem&amp;FertInputs&amp;CInsurance'!D73</f>
        <v>acre</v>
      </c>
      <c r="D115" s="116">
        <f>'Chem&amp;FertInputs&amp;CInsurance'!M73</f>
        <v>18</v>
      </c>
      <c r="E115" s="87">
        <v>1</v>
      </c>
      <c r="F115" s="117">
        <f>IF(D115*E115=0,"0",D115*E115)</f>
        <v>18</v>
      </c>
      <c r="H115" s="1" t="s">
        <v>181</v>
      </c>
      <c r="I115" s="1" t="s">
        <v>181</v>
      </c>
    </row>
    <row r="116" spans="1:13" ht="20">
      <c r="A116" s="15"/>
      <c r="B116" s="85" t="s">
        <v>72</v>
      </c>
      <c r="C116" s="41" t="s">
        <v>83</v>
      </c>
      <c r="D116" s="111">
        <f>MachineAssumptions!D25</f>
        <v>0.05</v>
      </c>
      <c r="E116" s="87"/>
      <c r="F116" s="86">
        <f>SUM(F8:F115)*D116</f>
        <v>10.249359538562473</v>
      </c>
      <c r="G116" s="1" t="s">
        <v>111</v>
      </c>
      <c r="H116" s="49">
        <f>(SUM($F8:$F70)+$F115+SUM(H72:H113))*$D116</f>
        <v>10.249843608063102</v>
      </c>
      <c r="I116" s="49">
        <f>(SUM($F8:$F70)+$F115+SUM(I72:I113))*$D116</f>
        <v>10.121929996892673</v>
      </c>
      <c r="J116" s="49">
        <f>F72+F75+F78+F81+F84+F87+F90+F93+F96+F99+F102+F105+F108+F111</f>
        <v>15.659118400208875</v>
      </c>
      <c r="K116" s="1" t="s">
        <v>111</v>
      </c>
    </row>
    <row r="117" spans="1:13" ht="20">
      <c r="A117" s="15"/>
      <c r="B117" s="85" t="s">
        <v>84</v>
      </c>
      <c r="C117" s="41" t="s">
        <v>83</v>
      </c>
      <c r="D117" s="111">
        <f>MachineAssumptions!D26</f>
        <v>6.7500000000000004E-2</v>
      </c>
      <c r="E117" s="112"/>
      <c r="F117" s="140">
        <f>SUM(F7:F116)*(D117/12*MachineAssumptions!D27)</f>
        <v>10.89635035943423</v>
      </c>
      <c r="G117" s="1" t="s">
        <v>4</v>
      </c>
      <c r="H117" s="49">
        <f>(SUM(F8:F70)+(F115+F116+H114))*((D117/12)*MachineAssumptions!D27)</f>
        <v>10.896840479803618</v>
      </c>
      <c r="I117" s="49">
        <f>(SUM(F8:F70)+(F115+F116+I114))*((D117/12)*MachineAssumptions!D27)</f>
        <v>10.767327948493557</v>
      </c>
      <c r="J117" s="49">
        <f>F73+F76+F79+F82+F85+F88+F91+F94+F97+F100+F103+F106+F109+F112</f>
        <v>36.116622527605394</v>
      </c>
      <c r="K117" s="1" t="s">
        <v>4</v>
      </c>
    </row>
    <row r="118" spans="1:13" ht="20">
      <c r="A118" s="15"/>
      <c r="B118" s="14" t="s">
        <v>85</v>
      </c>
      <c r="C118" s="29"/>
      <c r="D118" s="141"/>
      <c r="E118" s="142"/>
      <c r="F118" s="143">
        <f>SUM(F8:F117)</f>
        <v>226.13290066924617</v>
      </c>
      <c r="G118" s="1" t="s">
        <v>112</v>
      </c>
      <c r="J118" s="49">
        <f>F74+F77+F80+F83+F86+F89+F92+F95+F98+F101+F104+F107+F110+F113</f>
        <v>15.268049843435199</v>
      </c>
      <c r="K118" s="1" t="s">
        <v>112</v>
      </c>
      <c r="L118" s="49">
        <f>H74+H77+H80+H83+H86+H89+H92+H95+H98+H101+H104+H107+H110+H113</f>
        <v>15.277731233447778</v>
      </c>
      <c r="M118" s="49">
        <f>I74+I77+I80+I83+I86+I89+I92+I95+I98+I101+I104+I107+I110+I113</f>
        <v>12.719459010039175</v>
      </c>
    </row>
    <row r="119" spans="1:13">
      <c r="A119" s="15"/>
      <c r="B119" s="113"/>
      <c r="C119" s="113"/>
      <c r="D119" s="113"/>
      <c r="E119" s="114"/>
      <c r="F119" s="115"/>
      <c r="H119" s="115"/>
      <c r="J119" s="49">
        <f>SUM(J116:J118)</f>
        <v>67.043790771249462</v>
      </c>
      <c r="K119" s="115"/>
    </row>
    <row r="120" spans="1:13" ht="20">
      <c r="A120" s="15"/>
      <c r="B120" s="132" t="s">
        <v>89</v>
      </c>
      <c r="C120" s="19" t="s">
        <v>2</v>
      </c>
      <c r="D120" s="20" t="s">
        <v>12</v>
      </c>
      <c r="E120" s="21" t="s">
        <v>13</v>
      </c>
      <c r="F120" s="45" t="s">
        <v>0</v>
      </c>
      <c r="H120" s="1" t="s">
        <v>136</v>
      </c>
      <c r="I120" s="1" t="s">
        <v>139</v>
      </c>
    </row>
    <row r="121" spans="1:13" ht="20">
      <c r="A121" s="15"/>
      <c r="B121" s="18" t="str">
        <f>MachineAssumptions!B7&amp;" - Replacement Costs"</f>
        <v>Shredder - Replacement Costs</v>
      </c>
      <c r="C121" s="41" t="str">
        <f>C72</f>
        <v>acre</v>
      </c>
      <c r="D121" s="34">
        <f>MachineAssumptions!U7</f>
        <v>4.3329737628911431</v>
      </c>
      <c r="E121" s="145">
        <f>E72</f>
        <v>0</v>
      </c>
      <c r="F121" s="42" t="str">
        <f t="shared" ref="F121:F134" si="14">IF(D121*E121=0,"0",D121*E121)</f>
        <v>0</v>
      </c>
      <c r="H121" s="166">
        <f>MachineAssumptions!U28*E121</f>
        <v>0</v>
      </c>
      <c r="I121" s="166">
        <f>MachineAssumptions!U48*E121</f>
        <v>0</v>
      </c>
    </row>
    <row r="122" spans="1:13" ht="20">
      <c r="A122" s="15"/>
      <c r="B122" s="18" t="str">
        <f>MachineAssumptions!B8&amp;" - Replacement Costs"</f>
        <v>Harrow - Replacement Costs</v>
      </c>
      <c r="C122" s="41" t="str">
        <f>C75</f>
        <v>acre</v>
      </c>
      <c r="D122" s="34">
        <f>MachineAssumptions!U8</f>
        <v>1.1988479209967022</v>
      </c>
      <c r="E122" s="145">
        <f>E75</f>
        <v>0</v>
      </c>
      <c r="F122" s="42" t="str">
        <f t="shared" si="14"/>
        <v>0</v>
      </c>
      <c r="H122" s="166">
        <f>MachineAssumptions!U29*E122</f>
        <v>0</v>
      </c>
      <c r="I122" s="166">
        <f>MachineAssumptions!U49*E122</f>
        <v>0</v>
      </c>
    </row>
    <row r="123" spans="1:13" ht="20">
      <c r="A123" s="15"/>
      <c r="B123" s="18" t="str">
        <f>MachineAssumptions!B9&amp;" - Replacement Costs"</f>
        <v>Chisel plow - Replacement Costs</v>
      </c>
      <c r="C123" s="41" t="str">
        <f>C78</f>
        <v>acre</v>
      </c>
      <c r="D123" s="34">
        <f>MachineAssumptions!U9</f>
        <v>0</v>
      </c>
      <c r="E123" s="145">
        <f>E78</f>
        <v>0</v>
      </c>
      <c r="F123" s="42" t="str">
        <f t="shared" si="14"/>
        <v>0</v>
      </c>
      <c r="H123" s="166">
        <f>MachineAssumptions!U30*E123</f>
        <v>0</v>
      </c>
      <c r="I123" s="166">
        <f>MachineAssumptions!U50*E123</f>
        <v>0</v>
      </c>
    </row>
    <row r="124" spans="1:13" ht="20">
      <c r="A124" s="15"/>
      <c r="B124" s="18" t="str">
        <f>MachineAssumptions!B10&amp;" - Replacement Costs"</f>
        <v>Moldboard plow - Replacement Costs</v>
      </c>
      <c r="C124" s="41" t="str">
        <f>C81</f>
        <v>acre</v>
      </c>
      <c r="D124" s="34">
        <f>MachineAssumptions!U10</f>
        <v>0</v>
      </c>
      <c r="E124" s="145">
        <f>E81</f>
        <v>0</v>
      </c>
      <c r="F124" s="42" t="str">
        <f t="shared" si="14"/>
        <v>0</v>
      </c>
      <c r="H124" s="166">
        <f>MachineAssumptions!U31*E124</f>
        <v>0</v>
      </c>
      <c r="I124" s="166">
        <f>MachineAssumptions!U51*E124</f>
        <v>0</v>
      </c>
    </row>
    <row r="125" spans="1:13" ht="20">
      <c r="A125" s="15"/>
      <c r="B125" s="18" t="str">
        <f>MachineAssumptions!B11&amp;" - Replacement Costs"</f>
        <v>Cultivator - Replacement Costs</v>
      </c>
      <c r="C125" s="41" t="str">
        <f t="shared" ref="C125:C126" si="15">C82</f>
        <v>acre</v>
      </c>
      <c r="D125" s="34">
        <f>MachineAssumptions!U11</f>
        <v>0</v>
      </c>
      <c r="E125" s="145">
        <f>E84</f>
        <v>0</v>
      </c>
      <c r="F125" s="42" t="str">
        <f t="shared" si="14"/>
        <v>0</v>
      </c>
      <c r="H125" s="166">
        <f>MachineAssumptions!U32*E125</f>
        <v>0</v>
      </c>
      <c r="I125" s="166">
        <f>MachineAssumptions!U52*E125</f>
        <v>0</v>
      </c>
    </row>
    <row r="126" spans="1:13" ht="20">
      <c r="A126" s="15"/>
      <c r="B126" s="18" t="str">
        <f>MachineAssumptions!B12&amp;" - Replacement Costs"</f>
        <v>Cultiweeder - Replacement Costs</v>
      </c>
      <c r="C126" s="41" t="str">
        <f t="shared" si="15"/>
        <v>acre</v>
      </c>
      <c r="D126" s="34">
        <f>MachineAssumptions!U12</f>
        <v>0</v>
      </c>
      <c r="E126" s="145">
        <f>E87</f>
        <v>0</v>
      </c>
      <c r="F126" s="42" t="str">
        <f t="shared" si="14"/>
        <v>0</v>
      </c>
      <c r="H126" s="166">
        <f>MachineAssumptions!U33*E126</f>
        <v>0</v>
      </c>
      <c r="I126" s="166">
        <f>MachineAssumptions!U53*E126</f>
        <v>0</v>
      </c>
    </row>
    <row r="127" spans="1:13" ht="20">
      <c r="A127" s="15"/>
      <c r="B127" s="18" t="str">
        <f>MachineAssumptions!B13&amp;" - Replacement Costs"</f>
        <v>Drill - Replacement Costs</v>
      </c>
      <c r="C127" s="41" t="str">
        <f>C90</f>
        <v>acre</v>
      </c>
      <c r="D127" s="34">
        <f>MachineAssumptions!U13</f>
        <v>7.2419265221735989</v>
      </c>
      <c r="E127" s="145">
        <f>E90</f>
        <v>1</v>
      </c>
      <c r="F127" s="42">
        <f t="shared" si="14"/>
        <v>7.2419265221735989</v>
      </c>
      <c r="H127" s="166">
        <f>MachineAssumptions!U34*E127</f>
        <v>7.2419265221735989</v>
      </c>
      <c r="I127" s="166">
        <f>MachineAssumptions!U54*E127</f>
        <v>7.2419265221735989</v>
      </c>
    </row>
    <row r="128" spans="1:13" ht="20">
      <c r="A128" s="15"/>
      <c r="B128" s="18" t="str">
        <f>MachineAssumptions!B14&amp;" - Replacement Costs"</f>
        <v>Combine w/ 36' header - Replacement Costs</v>
      </c>
      <c r="C128" s="41" t="str">
        <f>C93</f>
        <v>acre</v>
      </c>
      <c r="D128" s="34">
        <f>MachineAssumptions!U14</f>
        <v>9.7031999999999989</v>
      </c>
      <c r="E128" s="145">
        <f>E93</f>
        <v>1</v>
      </c>
      <c r="F128" s="42">
        <f t="shared" si="14"/>
        <v>9.7031999999999989</v>
      </c>
      <c r="H128" s="166">
        <f>MachineAssumptions!U35*E128</f>
        <v>9.7031999999999989</v>
      </c>
      <c r="I128" s="166">
        <f>MachineAssumptions!U55*E128</f>
        <v>9.7032000000000007</v>
      </c>
    </row>
    <row r="129" spans="1:9" ht="20">
      <c r="A129" s="15"/>
      <c r="B129" s="18" t="str">
        <f>MachineAssumptions!B16&amp;" - Replacement Costs"</f>
        <v>Fertilizer Spreader - Replacement Costs</v>
      </c>
      <c r="C129" s="41" t="str">
        <f>C96</f>
        <v>acre</v>
      </c>
      <c r="D129" s="34">
        <f>MachineAssumptions!U16</f>
        <v>0</v>
      </c>
      <c r="E129" s="145">
        <f>E96</f>
        <v>0</v>
      </c>
      <c r="F129" s="42" t="str">
        <f t="shared" si="14"/>
        <v>0</v>
      </c>
      <c r="H129" s="166">
        <f>MachineAssumptions!U36*E129</f>
        <v>0</v>
      </c>
      <c r="I129" s="166">
        <f>MachineAssumptions!U56*E129</f>
        <v>0</v>
      </c>
    </row>
    <row r="130" spans="1:9" ht="20">
      <c r="A130" s="15"/>
      <c r="B130" s="18" t="str">
        <f>MachineAssumptions!B17&amp;" - Replacement Costs"</f>
        <v>Fertilizer tanks and pump - Replacement Costs</v>
      </c>
      <c r="C130" s="41" t="str">
        <f>C99</f>
        <v>acre</v>
      </c>
      <c r="D130" s="34">
        <f>MachineAssumptions!U17</f>
        <v>0.6</v>
      </c>
      <c r="E130" s="145">
        <f>E99</f>
        <v>1</v>
      </c>
      <c r="F130" s="42">
        <f t="shared" si="14"/>
        <v>0.6</v>
      </c>
      <c r="H130" s="166">
        <f>MachineAssumptions!U37*E130</f>
        <v>0.6</v>
      </c>
      <c r="I130" s="166">
        <f>MachineAssumptions!U57*E130</f>
        <v>0.6</v>
      </c>
    </row>
    <row r="131" spans="1:9" ht="20">
      <c r="A131" s="15"/>
      <c r="B131" s="18" t="str">
        <f>MachineAssumptions!B18&amp;" - Replacement Costs"</f>
        <v>Boom sprayer - Replacement Costs</v>
      </c>
      <c r="C131" s="41" t="str">
        <f>C102</f>
        <v>acre</v>
      </c>
      <c r="D131" s="34">
        <f>MachineAssumptions!U18</f>
        <v>0.80913316225248511</v>
      </c>
      <c r="E131" s="145">
        <f>E102</f>
        <v>2</v>
      </c>
      <c r="F131" s="42">
        <f t="shared" si="14"/>
        <v>1.6182663245049702</v>
      </c>
      <c r="H131" s="166">
        <f>MachineAssumptions!U38*E131</f>
        <v>1.6180237561339832</v>
      </c>
      <c r="I131" s="166">
        <f>MachineAssumptions!U58*E131</f>
        <v>1.6182663245049702</v>
      </c>
    </row>
    <row r="132" spans="1:9" ht="20">
      <c r="A132" s="15"/>
      <c r="B132" s="18" t="str">
        <f>MachineAssumptions!B15&amp;" - Replacement Costs"</f>
        <v>Bankout Wagon - Replacement Costs</v>
      </c>
      <c r="C132" s="41" t="str">
        <f>C105</f>
        <v>acre</v>
      </c>
      <c r="D132" s="34">
        <f>MachineAssumptions!U15</f>
        <v>2.9461434675395459</v>
      </c>
      <c r="E132" s="145">
        <f>E105</f>
        <v>1</v>
      </c>
      <c r="F132" s="42">
        <f t="shared" si="14"/>
        <v>2.9461434675395459</v>
      </c>
      <c r="H132" s="166">
        <f>MachineAssumptions!U39*E132</f>
        <v>2.9461434675395459</v>
      </c>
      <c r="I132" s="166">
        <f>MachineAssumptions!U59*E132</f>
        <v>2.9461434675395459</v>
      </c>
    </row>
    <row r="133" spans="1:9" ht="20">
      <c r="A133" s="15"/>
      <c r="B133" s="18" t="str">
        <f>MachineAssumptions!B19&amp;" - Replacement Costs"</f>
        <v>Tandem Axle Truck  - Replacement Costs</v>
      </c>
      <c r="C133" s="41" t="str">
        <f>C108</f>
        <v>acre</v>
      </c>
      <c r="D133" s="34">
        <f>MachineAssumptions!U19</f>
        <v>0.64</v>
      </c>
      <c r="E133" s="145">
        <f>E108</f>
        <v>1</v>
      </c>
      <c r="F133" s="42">
        <f t="shared" si="14"/>
        <v>0.64</v>
      </c>
      <c r="H133" s="166">
        <f>MachineAssumptions!U40*E133</f>
        <v>0.64</v>
      </c>
      <c r="I133" s="166">
        <f>MachineAssumptions!U60*E133</f>
        <v>0.64</v>
      </c>
    </row>
    <row r="134" spans="1:9" ht="23">
      <c r="A134" s="15"/>
      <c r="B134" s="18" t="str">
        <f>MachineAssumptions!B20&amp;" - Replacement Costs"</f>
        <v>Tandem Axle Truck  - Replacement Costs</v>
      </c>
      <c r="C134" s="41" t="str">
        <f t="shared" ref="C134" si="16">C111</f>
        <v>acre</v>
      </c>
      <c r="D134" s="34">
        <f>MachineAssumptions!U20</f>
        <v>0.64</v>
      </c>
      <c r="E134" s="145">
        <f t="shared" ref="E134" si="17">E111</f>
        <v>1</v>
      </c>
      <c r="F134" s="43">
        <f t="shared" si="14"/>
        <v>0.64</v>
      </c>
      <c r="H134" s="247">
        <f>MachineAssumptions!U41*E134</f>
        <v>0.64</v>
      </c>
      <c r="I134" s="247">
        <f>MachineAssumptions!U61*E134</f>
        <v>0.64</v>
      </c>
    </row>
    <row r="135" spans="1:9" ht="20">
      <c r="A135" s="15"/>
      <c r="B135" s="144" t="s">
        <v>38</v>
      </c>
      <c r="C135" s="29"/>
      <c r="D135" s="30"/>
      <c r="E135" s="29"/>
      <c r="F135" s="46">
        <f>SUM(F121:F134)</f>
        <v>23.389536314218116</v>
      </c>
      <c r="H135" s="46">
        <f t="shared" ref="H135:I135" si="18">SUM(H121:H134)</f>
        <v>23.38929374584713</v>
      </c>
      <c r="I135" s="46">
        <f t="shared" si="18"/>
        <v>23.389536314218116</v>
      </c>
    </row>
    <row r="136" spans="1:9" ht="20">
      <c r="A136" s="15"/>
      <c r="B136" s="16"/>
      <c r="C136" s="16"/>
      <c r="D136" s="17"/>
      <c r="E136" s="16"/>
      <c r="F136" s="113"/>
    </row>
    <row r="137" spans="1:9" ht="20">
      <c r="A137" s="15"/>
      <c r="B137" s="14" t="s">
        <v>31</v>
      </c>
      <c r="C137" s="29"/>
      <c r="D137" s="30"/>
      <c r="E137" s="29"/>
      <c r="F137" s="47">
        <f>F118+F135</f>
        <v>249.52243698346427</v>
      </c>
      <c r="H137" s="47">
        <f>SUM(F16:F70)+H114+F115+H116+H117+H135+F8+(H9*D9)+(H10*D10)+(H11*D11)+(H12*D12)+(H13*D13)+(H14*D14)+(H15*D15)</f>
        <v>249.53284999497592</v>
      </c>
      <c r="I137" s="47">
        <f>SUM(F16:F70)+I114+F115+I116+I117+I135+F8+(I9*D9)+(I10*D10)+(I11*D11)+(I12*D12)+(I13*D13)+(I14*D14)+(I15*D15)</f>
        <v>246.71739419745779</v>
      </c>
    </row>
    <row r="138" spans="1:9" ht="21">
      <c r="A138" s="15"/>
      <c r="B138" s="31" t="s">
        <v>32</v>
      </c>
      <c r="C138" s="32"/>
      <c r="D138" s="33"/>
      <c r="E138" s="32"/>
      <c r="F138" s="48">
        <f>F5-F137</f>
        <v>-9.5224369834642744</v>
      </c>
      <c r="H138" s="250">
        <f>H5-H137</f>
        <v>-9.5328499949759191</v>
      </c>
      <c r="I138" s="250">
        <f>I5-I137</f>
        <v>-6.7173941974577929</v>
      </c>
    </row>
  </sheetData>
  <mergeCells count="1">
    <mergeCell ref="B2:F2"/>
  </mergeCells>
  <pageMargins left="0.7" right="0.7" top="0.75" bottom="0.75" header="0.3" footer="0.3"/>
  <pageSetup scale="62" orientation="portrait" horizontalDpi="0" verticalDpi="0"/>
  <ignoredErrors>
    <ignoredError sqref="B63:F70 B114:F114 B135:F138 B121:C134 E121:F134 B2 B72:B113 D72:F113 B61:F61 B3:F3 B4:F8 B54:F57 B42:F51 B33:F40 B21:F31 B60:F60 B16:G20 G60 B32:G32 G21:G31 B41:G41 G33:G40 B52:G53 G42:G51 B58:G59 G54:G57 B116:F120 B115:D115 E115:F115 C14:F14 C9:F9 C10:F10 C11:F11 C12:F12 C13:F13 C15:G15 B9:B15" unlockedFormula="1"/>
    <ignoredError sqref="D121:D134" formula="1" unlockedFormula="1"/>
  </ignoredErrors>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4BCBD-0C76-A244-9458-E97C445A8AF1}">
  <sheetPr codeName="Sheet10">
    <pageSetUpPr fitToPage="1"/>
  </sheetPr>
  <dimension ref="A1:R138"/>
  <sheetViews>
    <sheetView zoomScale="120" zoomScaleNormal="120" workbookViewId="0">
      <selection activeCell="B2" sqref="B2:F2"/>
    </sheetView>
  </sheetViews>
  <sheetFormatPr baseColWidth="10" defaultColWidth="11.5" defaultRowHeight="15"/>
  <cols>
    <col min="1" max="1" width="4.83203125" style="1" customWidth="1"/>
    <col min="2" max="2" width="57.83203125" style="1" customWidth="1"/>
    <col min="3" max="6" width="12.83203125" style="1" customWidth="1"/>
    <col min="7" max="15" width="11.5" style="1" hidden="1" customWidth="1"/>
    <col min="16" max="16" width="0" style="1" hidden="1" customWidth="1"/>
    <col min="17" max="16384" width="11.5" style="1"/>
  </cols>
  <sheetData>
    <row r="1" spans="1:18" ht="20">
      <c r="A1" s="352" t="s">
        <v>8</v>
      </c>
      <c r="B1" s="27"/>
      <c r="C1" s="16"/>
      <c r="D1" s="17"/>
      <c r="E1" s="16"/>
      <c r="F1" s="16"/>
    </row>
    <row r="2" spans="1:18" ht="20">
      <c r="A2" s="15"/>
      <c r="B2" s="807" t="str">
        <f>'Prices_Yields&amp;SeedInputs'!B13&amp;", Cash Costs and Returns of Producing, $/acre."</f>
        <v>Forage Crop-St. John Area, Cash Costs and Returns of Producing, $/acre.</v>
      </c>
      <c r="C2" s="807"/>
      <c r="D2" s="807"/>
      <c r="E2" s="807"/>
      <c r="F2" s="807"/>
    </row>
    <row r="3" spans="1:18" ht="20.5" customHeight="1">
      <c r="A3" s="15"/>
      <c r="B3" s="131" t="s">
        <v>11</v>
      </c>
      <c r="C3" s="24" t="s">
        <v>2</v>
      </c>
      <c r="D3" s="25" t="s">
        <v>12</v>
      </c>
      <c r="E3" s="26" t="s">
        <v>13</v>
      </c>
      <c r="F3" s="26" t="s">
        <v>0</v>
      </c>
      <c r="H3" s="1" t="str">
        <f>'Prices_Yields&amp;SeedInputs'!F3</f>
        <v>Incremental Rotation</v>
      </c>
      <c r="I3" s="1" t="str">
        <f>'Prices_Yields&amp;SeedInputs'!G3</f>
        <v>Aspirational Rotation</v>
      </c>
      <c r="Q3" s="674"/>
      <c r="R3" s="674"/>
    </row>
    <row r="4" spans="1:18" ht="20.5" customHeight="1">
      <c r="A4" s="15"/>
      <c r="B4" s="127" t="str">
        <f>'Prices_Yields&amp;SeedInputs'!B13</f>
        <v>Forage Crop-St. John Area</v>
      </c>
      <c r="C4" s="22" t="str">
        <f>'Prices_Yields&amp;SeedInputs'!C13</f>
        <v>acre</v>
      </c>
      <c r="D4" s="17">
        <f>'Prices_Yields&amp;SeedInputs'!D13</f>
        <v>0</v>
      </c>
      <c r="E4" s="90">
        <f>'Prices_Yields&amp;SeedInputs'!E13</f>
        <v>0</v>
      </c>
      <c r="F4" s="35">
        <f>D4*E4</f>
        <v>0</v>
      </c>
      <c r="Q4" s="674"/>
      <c r="R4" s="674"/>
    </row>
    <row r="5" spans="1:18" ht="20.5" customHeight="1">
      <c r="A5" s="15"/>
      <c r="B5" s="14" t="s">
        <v>14</v>
      </c>
      <c r="C5" s="29"/>
      <c r="D5" s="30"/>
      <c r="E5" s="29"/>
      <c r="F5" s="46">
        <f>SUM(F4:F4)</f>
        <v>0</v>
      </c>
      <c r="H5" s="1">
        <f>D4*'Prices_Yields&amp;SeedInputs'!F13</f>
        <v>0</v>
      </c>
      <c r="I5" s="1">
        <f>D4*'Prices_Yields&amp;SeedInputs'!G13</f>
        <v>0</v>
      </c>
      <c r="Q5" s="674"/>
      <c r="R5" s="674"/>
    </row>
    <row r="6" spans="1:18" ht="20.5" customHeight="1">
      <c r="A6" s="15"/>
      <c r="B6" s="16"/>
      <c r="C6" s="16"/>
      <c r="D6" s="17"/>
      <c r="E6" s="16"/>
      <c r="F6" s="44"/>
    </row>
    <row r="7" spans="1:18" ht="20">
      <c r="A7" s="15"/>
      <c r="B7" s="132" t="s">
        <v>37</v>
      </c>
      <c r="C7" s="19" t="s">
        <v>2</v>
      </c>
      <c r="D7" s="20" t="s">
        <v>12</v>
      </c>
      <c r="E7" s="21" t="s">
        <v>13</v>
      </c>
      <c r="F7" s="45" t="s">
        <v>0</v>
      </c>
    </row>
    <row r="8" spans="1:18" ht="20">
      <c r="A8" s="15"/>
      <c r="B8" s="85" t="s">
        <v>169</v>
      </c>
      <c r="C8" s="119" t="str">
        <f>'Prices_Yields&amp;SeedInputs'!H13</f>
        <v>acre</v>
      </c>
      <c r="D8" s="120">
        <f>'Prices_Yields&amp;SeedInputs'!I13</f>
        <v>29.375</v>
      </c>
      <c r="E8" s="121">
        <f>'Prices_Yields&amp;SeedInputs'!J13</f>
        <v>1</v>
      </c>
      <c r="F8" s="117">
        <f t="shared" ref="F8:F61" si="0">IF(D8*E8=0,"0",D8*E8)</f>
        <v>29.375</v>
      </c>
    </row>
    <row r="9" spans="1:18" ht="20">
      <c r="A9" s="15"/>
      <c r="B9" s="85" t="str">
        <f>'Chem&amp;FertInputs&amp;CInsurance'!B6</f>
        <v>Fertilizer - Nitrogen-</v>
      </c>
      <c r="C9" s="23" t="str">
        <f>'Chem&amp;FertInputs&amp;CInsurance'!D6</f>
        <v>pound</v>
      </c>
      <c r="D9" s="116">
        <f>'Chem&amp;FertInputs&amp;CInsurance'!E6</f>
        <v>0.48749999999999999</v>
      </c>
      <c r="E9" s="133">
        <f>'Chem&amp;FertInputs&amp;CInsurance'!N6</f>
        <v>0</v>
      </c>
      <c r="F9" s="117" t="str">
        <f t="shared" si="0"/>
        <v>0</v>
      </c>
      <c r="H9" s="1">
        <f>'Chem&amp;FertInputs&amp;CInsurance'!N7</f>
        <v>0</v>
      </c>
      <c r="I9" s="1">
        <f>'Chem&amp;FertInputs&amp;CInsurance'!N8</f>
        <v>0</v>
      </c>
    </row>
    <row r="10" spans="1:18" ht="20">
      <c r="A10" s="15"/>
      <c r="B10" s="85" t="str">
        <f>'Chem&amp;FertInputs&amp;CInsurance'!B9</f>
        <v>Fertilizer - Anhydrous Ammonia-</v>
      </c>
      <c r="C10" s="23" t="str">
        <f>'Chem&amp;FertInputs&amp;CInsurance'!D9</f>
        <v>pound</v>
      </c>
      <c r="D10" s="116">
        <f>'Chem&amp;FertInputs&amp;CInsurance'!E9</f>
        <v>0.75770000000000004</v>
      </c>
      <c r="E10" s="133">
        <f>'Chem&amp;FertInputs&amp;CInsurance'!N9</f>
        <v>0</v>
      </c>
      <c r="F10" s="117" t="str">
        <f t="shared" si="0"/>
        <v>0</v>
      </c>
      <c r="H10" s="1">
        <f>'Chem&amp;FertInputs&amp;CInsurance'!N10</f>
        <v>0</v>
      </c>
      <c r="I10" s="1">
        <f>'Chem&amp;FertInputs&amp;CInsurance'!N11</f>
        <v>0</v>
      </c>
    </row>
    <row r="11" spans="1:18" ht="20">
      <c r="A11" s="15"/>
      <c r="B11" s="85" t="str">
        <f>'Chem&amp;FertInputs&amp;CInsurance'!B12</f>
        <v xml:space="preserve">Fertilizer - Phosphorus- </v>
      </c>
      <c r="C11" s="23" t="str">
        <f>'Chem&amp;FertInputs&amp;CInsurance'!D12</f>
        <v>pound</v>
      </c>
      <c r="D11" s="116">
        <f>'Chem&amp;FertInputs&amp;CInsurance'!E12</f>
        <v>0.47499999999999998</v>
      </c>
      <c r="E11" s="133">
        <f>'Chem&amp;FertInputs&amp;CInsurance'!N12</f>
        <v>0</v>
      </c>
      <c r="F11" s="117" t="str">
        <f t="shared" si="0"/>
        <v>0</v>
      </c>
      <c r="H11" s="1">
        <f>'Chem&amp;FertInputs&amp;CInsurance'!N13</f>
        <v>0</v>
      </c>
      <c r="I11" s="1">
        <f>'Chem&amp;FertInputs&amp;CInsurance'!N14</f>
        <v>0</v>
      </c>
    </row>
    <row r="12" spans="1:18" ht="20">
      <c r="A12" s="15"/>
      <c r="B12" s="85" t="str">
        <f>'Chem&amp;FertInputs&amp;CInsurance'!B15</f>
        <v>Fertilizer - Potassium-</v>
      </c>
      <c r="C12" s="23" t="str">
        <f>'Chem&amp;FertInputs&amp;CInsurance'!D15</f>
        <v>pound</v>
      </c>
      <c r="D12" s="116">
        <f>'Chem&amp;FertInputs&amp;CInsurance'!E15</f>
        <v>0.441</v>
      </c>
      <c r="E12" s="133">
        <f>'Chem&amp;FertInputs&amp;CInsurance'!N15</f>
        <v>0</v>
      </c>
      <c r="F12" s="117" t="str">
        <f t="shared" si="0"/>
        <v>0</v>
      </c>
      <c r="H12" s="1">
        <f>'Chem&amp;FertInputs&amp;CInsurance'!N16</f>
        <v>0</v>
      </c>
      <c r="I12" s="1">
        <f>'Chem&amp;FertInputs&amp;CInsurance'!N17</f>
        <v>0</v>
      </c>
    </row>
    <row r="13" spans="1:18" ht="20">
      <c r="A13" s="15"/>
      <c r="B13" s="85" t="str">
        <f>'Chem&amp;FertInputs&amp;CInsurance'!B18</f>
        <v>Fertilizer - Sulfur-</v>
      </c>
      <c r="C13" s="23" t="str">
        <f>'Chem&amp;FertInputs&amp;CInsurance'!D18</f>
        <v>pound</v>
      </c>
      <c r="D13" s="116">
        <f>'Chem&amp;FertInputs&amp;CInsurance'!E18</f>
        <v>0.2555</v>
      </c>
      <c r="E13" s="133">
        <f>'Chem&amp;FertInputs&amp;CInsurance'!N18</f>
        <v>0</v>
      </c>
      <c r="F13" s="117" t="str">
        <f t="shared" si="0"/>
        <v>0</v>
      </c>
      <c r="H13" s="1">
        <f>'Chem&amp;FertInputs&amp;CInsurance'!N19</f>
        <v>0</v>
      </c>
      <c r="I13" s="1">
        <f>'Chem&amp;FertInputs&amp;CInsurance'!N20</f>
        <v>0</v>
      </c>
    </row>
    <row r="14" spans="1:18" ht="20">
      <c r="A14" s="15"/>
      <c r="B14" s="85" t="str">
        <f>'Chem&amp;FertInputs&amp;CInsurance'!B21</f>
        <v>Adjuvant - Ammonium Sulfate liquid-</v>
      </c>
      <c r="C14" s="23" t="str">
        <f>'Chem&amp;FertInputs&amp;CInsurance'!D21</f>
        <v>oz</v>
      </c>
      <c r="D14" s="116">
        <f>'Chem&amp;FertInputs&amp;CInsurance'!E21</f>
        <v>0.48</v>
      </c>
      <c r="E14" s="133">
        <f>'Chem&amp;FertInputs&amp;CInsurance'!N21</f>
        <v>0</v>
      </c>
      <c r="F14" s="117" t="str">
        <f t="shared" ref="F14:F20" si="1">IF(D14*E14=0,"0",D14*E14)</f>
        <v>0</v>
      </c>
      <c r="G14" s="165">
        <f>E14/128</f>
        <v>0</v>
      </c>
      <c r="H14" s="1">
        <f>'Chem&amp;FertInputs&amp;CInsurance'!N22</f>
        <v>0</v>
      </c>
      <c r="I14" s="1">
        <f>'Chem&amp;FertInputs&amp;CInsurance'!N23</f>
        <v>0</v>
      </c>
    </row>
    <row r="15" spans="1:18" ht="20">
      <c r="A15" s="15"/>
      <c r="B15" s="85" t="str">
        <f>'Chem&amp;FertInputs&amp;CInsurance'!B24</f>
        <v>Adjuvant - Ammonium Sulfate  (other)-</v>
      </c>
      <c r="C15" s="23" t="str">
        <f>'Chem&amp;FertInputs&amp;CInsurance'!D24</f>
        <v>pound</v>
      </c>
      <c r="D15" s="116">
        <f>'Chem&amp;FertInputs&amp;CInsurance'!E24</f>
        <v>0.71</v>
      </c>
      <c r="E15" s="133">
        <f>'Chem&amp;FertInputs&amp;CInsurance'!N24</f>
        <v>0</v>
      </c>
      <c r="F15" s="117" t="str">
        <f t="shared" si="1"/>
        <v>0</v>
      </c>
      <c r="G15" s="165">
        <f>E15/16</f>
        <v>0</v>
      </c>
      <c r="H15" s="1">
        <f>'Chem&amp;FertInputs&amp;CInsurance'!N25</f>
        <v>0</v>
      </c>
      <c r="I15" s="1">
        <f>'Chem&amp;FertInputs&amp;CInsurance'!N26</f>
        <v>0</v>
      </c>
    </row>
    <row r="16" spans="1:18" ht="20">
      <c r="A16" s="15"/>
      <c r="B16" s="85" t="str">
        <f>'Chem&amp;FertInputs&amp;CInsurance'!C27</f>
        <v xml:space="preserve">crop oil concentrate </v>
      </c>
      <c r="C16" s="23" t="str">
        <f>'Chem&amp;FertInputs&amp;CInsurance'!D27</f>
        <v>pint</v>
      </c>
      <c r="D16" s="116">
        <f>'Chem&amp;FertInputs&amp;CInsurance'!E27</f>
        <v>1.6559999999999999</v>
      </c>
      <c r="E16" s="133">
        <f>'Chem&amp;FertInputs&amp;CInsurance'!N27</f>
        <v>0</v>
      </c>
      <c r="F16" s="117" t="str">
        <f t="shared" si="1"/>
        <v>0</v>
      </c>
      <c r="G16" s="165">
        <f>E16/8</f>
        <v>0</v>
      </c>
    </row>
    <row r="17" spans="1:7" ht="20">
      <c r="A17" s="15"/>
      <c r="B17" s="85" t="str">
        <f>'Chem&amp;FertInputs&amp;CInsurance'!C28</f>
        <v>In-place</v>
      </c>
      <c r="C17" s="23" t="str">
        <f>'Chem&amp;FertInputs&amp;CInsurance'!D28</f>
        <v>oz</v>
      </c>
      <c r="D17" s="116">
        <f>'Chem&amp;FertInputs&amp;CInsurance'!E28</f>
        <v>0.35649999999999998</v>
      </c>
      <c r="E17" s="133">
        <f>'Chem&amp;FertInputs&amp;CInsurance'!N28</f>
        <v>0</v>
      </c>
      <c r="F17" s="117" t="str">
        <f t="shared" si="1"/>
        <v>0</v>
      </c>
      <c r="G17" s="165">
        <f>E17/128</f>
        <v>0</v>
      </c>
    </row>
    <row r="18" spans="1:7" ht="20">
      <c r="A18" s="15"/>
      <c r="B18" s="85" t="str">
        <f>'Chem&amp;FertInputs&amp;CInsurance'!C29</f>
        <v xml:space="preserve">M90 </v>
      </c>
      <c r="C18" s="23" t="str">
        <f>'Chem&amp;FertInputs&amp;CInsurance'!D29</f>
        <v>oz</v>
      </c>
      <c r="D18" s="116">
        <f>'Chem&amp;FertInputs&amp;CInsurance'!E29</f>
        <v>0.253</v>
      </c>
      <c r="E18" s="133">
        <f>'Chem&amp;FertInputs&amp;CInsurance'!N29</f>
        <v>0</v>
      </c>
      <c r="F18" s="117" t="str">
        <f t="shared" si="1"/>
        <v>0</v>
      </c>
      <c r="G18" s="165">
        <f>E18/128</f>
        <v>0</v>
      </c>
    </row>
    <row r="19" spans="1:7" ht="20">
      <c r="A19" s="15"/>
      <c r="B19" s="85" t="str">
        <f>'Chem&amp;FertInputs&amp;CInsurance'!C30</f>
        <v>Surfactant</v>
      </c>
      <c r="C19" s="23" t="str">
        <f>'Chem&amp;FertInputs&amp;CInsurance'!D30</f>
        <v>oz</v>
      </c>
      <c r="D19" s="116">
        <f>'Chem&amp;FertInputs&amp;CInsurance'!E30</f>
        <v>0.26450000000000001</v>
      </c>
      <c r="E19" s="133">
        <f>'Chem&amp;FertInputs&amp;CInsurance'!N30</f>
        <v>0</v>
      </c>
      <c r="F19" s="117" t="str">
        <f t="shared" si="1"/>
        <v>0</v>
      </c>
      <c r="G19" s="165">
        <f>E19/128</f>
        <v>0</v>
      </c>
    </row>
    <row r="20" spans="1:7" ht="20">
      <c r="A20" s="15"/>
      <c r="B20" s="85" t="str">
        <f>'Chem&amp;FertInputs&amp;CInsurance'!C31</f>
        <v>Syltac sticker</v>
      </c>
      <c r="C20" s="23" t="str">
        <f>'Chem&amp;FertInputs&amp;CInsurance'!D31</f>
        <v>pint</v>
      </c>
      <c r="D20" s="116">
        <f>'Chem&amp;FertInputs&amp;CInsurance'!E31</f>
        <v>7.1874999999999991</v>
      </c>
      <c r="E20" s="133">
        <f>'Chem&amp;FertInputs&amp;CInsurance'!N31</f>
        <v>0</v>
      </c>
      <c r="F20" s="117" t="str">
        <f t="shared" si="1"/>
        <v>0</v>
      </c>
      <c r="G20" s="165">
        <f>E20/8</f>
        <v>0</v>
      </c>
    </row>
    <row r="21" spans="1:7" ht="20">
      <c r="A21" s="15"/>
      <c r="B21" s="85" t="str">
        <f>'Chem&amp;FertInputs&amp;CInsurance'!C33</f>
        <v>2,4 - D</v>
      </c>
      <c r="C21" s="23" t="str">
        <f>'Chem&amp;FertInputs&amp;CInsurance'!D33</f>
        <v>oz</v>
      </c>
      <c r="D21" s="116">
        <f>'Chem&amp;FertInputs&amp;CInsurance'!E33</f>
        <v>0.33349999999999996</v>
      </c>
      <c r="E21" s="133">
        <f>'Chem&amp;FertInputs&amp;CInsurance'!N33</f>
        <v>20</v>
      </c>
      <c r="F21" s="117">
        <f t="shared" si="0"/>
        <v>6.669999999999999</v>
      </c>
      <c r="G21" s="165">
        <f t="shared" ref="G21:G30" si="2">E21/128</f>
        <v>0.15625</v>
      </c>
    </row>
    <row r="22" spans="1:7" ht="20">
      <c r="A22" s="15"/>
      <c r="B22" s="85" t="str">
        <f>'Chem&amp;FertInputs&amp;CInsurance'!C34</f>
        <v>Achieve SC</v>
      </c>
      <c r="C22" s="23" t="str">
        <f>'Chem&amp;FertInputs&amp;CInsurance'!D34</f>
        <v>oz</v>
      </c>
      <c r="D22" s="116">
        <f>'Chem&amp;FertInputs&amp;CInsurance'!E34</f>
        <v>1.3454999999999999</v>
      </c>
      <c r="E22" s="133">
        <f>'Chem&amp;FertInputs&amp;CInsurance'!N34</f>
        <v>0</v>
      </c>
      <c r="F22" s="117" t="str">
        <f t="shared" si="0"/>
        <v>0</v>
      </c>
      <c r="G22" s="165">
        <f t="shared" si="2"/>
        <v>0</v>
      </c>
    </row>
    <row r="23" spans="1:7" ht="20">
      <c r="A23" s="15"/>
      <c r="B23" s="85" t="str">
        <f>'Chem&amp;FertInputs&amp;CInsurance'!C35</f>
        <v>Affintity TankMix</v>
      </c>
      <c r="C23" s="23" t="str">
        <f>'Chem&amp;FertInputs&amp;CInsurance'!D35</f>
        <v>oz</v>
      </c>
      <c r="D23" s="116">
        <f>'Chem&amp;FertInputs&amp;CInsurance'!E35</f>
        <v>8.9699999999999989</v>
      </c>
      <c r="E23" s="133">
        <f>'Chem&amp;FertInputs&amp;CInsurance'!N35</f>
        <v>0</v>
      </c>
      <c r="F23" s="117" t="str">
        <f t="shared" si="0"/>
        <v>0</v>
      </c>
      <c r="G23" s="165">
        <f t="shared" si="2"/>
        <v>0</v>
      </c>
    </row>
    <row r="24" spans="1:7" ht="20">
      <c r="A24" s="15"/>
      <c r="B24" s="85" t="str">
        <f>'Chem&amp;FertInputs&amp;CInsurance'!C36</f>
        <v xml:space="preserve">Ally </v>
      </c>
      <c r="C24" s="23" t="str">
        <f>'Chem&amp;FertInputs&amp;CInsurance'!D36</f>
        <v>oz</v>
      </c>
      <c r="D24" s="116">
        <f>'Chem&amp;FertInputs&amp;CInsurance'!E36</f>
        <v>1.7249999999999999</v>
      </c>
      <c r="E24" s="133">
        <f>'Chem&amp;FertInputs&amp;CInsurance'!N36</f>
        <v>0</v>
      </c>
      <c r="F24" s="117" t="str">
        <f t="shared" si="0"/>
        <v>0</v>
      </c>
      <c r="G24" s="165">
        <f t="shared" si="2"/>
        <v>0</v>
      </c>
    </row>
    <row r="25" spans="1:7" ht="20">
      <c r="A25" s="15"/>
      <c r="B25" s="85" t="str">
        <f>'Chem&amp;FertInputs&amp;CInsurance'!C37</f>
        <v>Assure</v>
      </c>
      <c r="C25" s="23" t="str">
        <f>'Chem&amp;FertInputs&amp;CInsurance'!D37</f>
        <v>oz</v>
      </c>
      <c r="D25" s="116">
        <f>'Chem&amp;FertInputs&amp;CInsurance'!E37</f>
        <v>0.98899999999999988</v>
      </c>
      <c r="E25" s="133">
        <f>'Chem&amp;FertInputs&amp;CInsurance'!N37</f>
        <v>0</v>
      </c>
      <c r="F25" s="117" t="str">
        <f t="shared" si="0"/>
        <v>0</v>
      </c>
      <c r="G25" s="165">
        <f t="shared" si="2"/>
        <v>0</v>
      </c>
    </row>
    <row r="26" spans="1:7" ht="20">
      <c r="A26" s="15"/>
      <c r="B26" s="85" t="str">
        <f>'Chem&amp;FertInputs&amp;CInsurance'!C38</f>
        <v>Axial Star</v>
      </c>
      <c r="C26" s="23" t="str">
        <f>'Chem&amp;FertInputs&amp;CInsurance'!D38</f>
        <v>oz</v>
      </c>
      <c r="D26" s="116">
        <f>'Chem&amp;FertInputs&amp;CInsurance'!E38</f>
        <v>1.3224999999999998</v>
      </c>
      <c r="E26" s="133">
        <f>'Chem&amp;FertInputs&amp;CInsurance'!N38</f>
        <v>0</v>
      </c>
      <c r="F26" s="117" t="str">
        <f t="shared" si="0"/>
        <v>0</v>
      </c>
      <c r="G26" s="165">
        <f t="shared" si="2"/>
        <v>0</v>
      </c>
    </row>
    <row r="27" spans="1:7" ht="20">
      <c r="A27" s="15"/>
      <c r="B27" s="85" t="str">
        <f>'Chem&amp;FertInputs&amp;CInsurance'!C39</f>
        <v>Axial Bold</v>
      </c>
      <c r="C27" s="23" t="str">
        <f>'Chem&amp;FertInputs&amp;CInsurance'!D39</f>
        <v>oz</v>
      </c>
      <c r="D27" s="116">
        <f>'Chem&amp;FertInputs&amp;CInsurance'!E39</f>
        <v>1.0924999999999998</v>
      </c>
      <c r="E27" s="133">
        <f>'Chem&amp;FertInputs&amp;CInsurance'!N39</f>
        <v>0</v>
      </c>
      <c r="F27" s="117" t="str">
        <f t="shared" si="0"/>
        <v>0</v>
      </c>
      <c r="G27" s="165">
        <f t="shared" si="2"/>
        <v>0</v>
      </c>
    </row>
    <row r="28" spans="1:7" ht="20">
      <c r="A28" s="15"/>
      <c r="B28" s="85" t="str">
        <f>'Chem&amp;FertInputs&amp;CInsurance'!C40</f>
        <v>Bronate</v>
      </c>
      <c r="C28" s="23" t="str">
        <f>'Chem&amp;FertInputs&amp;CInsurance'!D40</f>
        <v>oz</v>
      </c>
      <c r="D28" s="116">
        <f>'Chem&amp;FertInputs&amp;CInsurance'!E40</f>
        <v>7.911999999999999</v>
      </c>
      <c r="E28" s="133">
        <f>'Chem&amp;FertInputs&amp;CInsurance'!N40</f>
        <v>0</v>
      </c>
      <c r="F28" s="117" t="str">
        <f t="shared" si="0"/>
        <v>0</v>
      </c>
      <c r="G28" s="165">
        <f t="shared" si="2"/>
        <v>0</v>
      </c>
    </row>
    <row r="29" spans="1:7" ht="20">
      <c r="A29" s="15"/>
      <c r="B29" s="85" t="str">
        <f>'Chem&amp;FertInputs&amp;CInsurance'!C41</f>
        <v xml:space="preserve">Brox M </v>
      </c>
      <c r="C29" s="23" t="str">
        <f>'Chem&amp;FertInputs&amp;CInsurance'!D41</f>
        <v>oz</v>
      </c>
      <c r="D29" s="116">
        <f>'Chem&amp;FertInputs&amp;CInsurance'!E41</f>
        <v>0.42549999999999999</v>
      </c>
      <c r="E29" s="133">
        <f>'Chem&amp;FertInputs&amp;CInsurance'!N41</f>
        <v>0</v>
      </c>
      <c r="F29" s="117" t="str">
        <f t="shared" si="0"/>
        <v>0</v>
      </c>
      <c r="G29" s="165">
        <f t="shared" si="2"/>
        <v>0</v>
      </c>
    </row>
    <row r="30" spans="1:7" ht="20">
      <c r="A30" s="15"/>
      <c r="B30" s="85" t="str">
        <f>'Chem&amp;FertInputs&amp;CInsurance'!C42</f>
        <v>Capture</v>
      </c>
      <c r="C30" s="23" t="str">
        <f>'Chem&amp;FertInputs&amp;CInsurance'!D42</f>
        <v>oz</v>
      </c>
      <c r="D30" s="116">
        <f>'Chem&amp;FertInputs&amp;CInsurance'!E42</f>
        <v>2.7024999999999997</v>
      </c>
      <c r="E30" s="133">
        <f>'Chem&amp;FertInputs&amp;CInsurance'!N42</f>
        <v>0</v>
      </c>
      <c r="F30" s="117" t="str">
        <f t="shared" si="0"/>
        <v>0</v>
      </c>
      <c r="G30" s="165">
        <f t="shared" si="2"/>
        <v>0</v>
      </c>
    </row>
    <row r="31" spans="1:7" ht="20">
      <c r="A31" s="15"/>
      <c r="B31" s="85" t="str">
        <f>'Chem&amp;FertInputs&amp;CInsurance'!C43</f>
        <v xml:space="preserve">Dimethoate </v>
      </c>
      <c r="C31" s="23" t="str">
        <f>'Chem&amp;FertInputs&amp;CInsurance'!D43</f>
        <v>pint</v>
      </c>
      <c r="D31" s="116">
        <f>'Chem&amp;FertInputs&amp;CInsurance'!E43</f>
        <v>7.1874999999999991</v>
      </c>
      <c r="E31" s="133">
        <f>'Chem&amp;FertInputs&amp;CInsurance'!N43</f>
        <v>0</v>
      </c>
      <c r="F31" s="117" t="str">
        <f t="shared" si="0"/>
        <v>0</v>
      </c>
      <c r="G31" s="165">
        <f>E31/8</f>
        <v>0</v>
      </c>
    </row>
    <row r="32" spans="1:7" ht="20">
      <c r="A32" s="15"/>
      <c r="B32" s="85" t="str">
        <f>'Chem&amp;FertInputs&amp;CInsurance'!C44</f>
        <v>Clethodim</v>
      </c>
      <c r="C32" s="23" t="str">
        <f>'Chem&amp;FertInputs&amp;CInsurance'!D44</f>
        <v>oz</v>
      </c>
      <c r="D32" s="116">
        <f>'Chem&amp;FertInputs&amp;CInsurance'!E44</f>
        <v>0.75900000000000001</v>
      </c>
      <c r="E32" s="133">
        <f>'Chem&amp;FertInputs&amp;CInsurance'!N44</f>
        <v>0</v>
      </c>
      <c r="F32" s="117" t="str">
        <f t="shared" ref="F32" si="3">IF(D32*E32=0,"0",D32*E32)</f>
        <v>0</v>
      </c>
      <c r="G32" s="165">
        <f t="shared" ref="G32:G37" si="4">E32/128</f>
        <v>0</v>
      </c>
    </row>
    <row r="33" spans="1:7" ht="20">
      <c r="A33" s="15"/>
      <c r="B33" s="85" t="str">
        <f>'Chem&amp;FertInputs&amp;CInsurance'!C45</f>
        <v>Discover</v>
      </c>
      <c r="C33" s="23" t="str">
        <f>'Chem&amp;FertInputs&amp;CInsurance'!D45</f>
        <v>oz</v>
      </c>
      <c r="D33" s="116">
        <f>'Chem&amp;FertInputs&amp;CInsurance'!E45</f>
        <v>1.6904999999999999</v>
      </c>
      <c r="E33" s="133">
        <f>'Chem&amp;FertInputs&amp;CInsurance'!N45</f>
        <v>0</v>
      </c>
      <c r="F33" s="117" t="str">
        <f t="shared" si="0"/>
        <v>0</v>
      </c>
      <c r="G33" s="165">
        <f t="shared" si="4"/>
        <v>0</v>
      </c>
    </row>
    <row r="34" spans="1:7" ht="20">
      <c r="A34" s="15"/>
      <c r="B34" s="85" t="str">
        <f>'Chem&amp;FertInputs&amp;CInsurance'!C46</f>
        <v>FarGO</v>
      </c>
      <c r="C34" s="23" t="str">
        <f>'Chem&amp;FertInputs&amp;CInsurance'!D46</f>
        <v>oz</v>
      </c>
      <c r="D34" s="116">
        <f>'Chem&amp;FertInputs&amp;CInsurance'!E46</f>
        <v>19.158999999999999</v>
      </c>
      <c r="E34" s="133">
        <f>'Chem&amp;FertInputs&amp;CInsurance'!N46</f>
        <v>0</v>
      </c>
      <c r="F34" s="117" t="str">
        <f t="shared" si="0"/>
        <v>0</v>
      </c>
      <c r="G34" s="165">
        <f t="shared" si="4"/>
        <v>0</v>
      </c>
    </row>
    <row r="35" spans="1:7" ht="20">
      <c r="A35" s="15"/>
      <c r="B35" s="85" t="str">
        <f>'Chem&amp;FertInputs&amp;CInsurance'!C47</f>
        <v>Finesse</v>
      </c>
      <c r="C35" s="23" t="str">
        <f>'Chem&amp;FertInputs&amp;CInsurance'!D47</f>
        <v>oz</v>
      </c>
      <c r="D35" s="116">
        <f>'Chem&amp;FertInputs&amp;CInsurance'!E47</f>
        <v>19.940999999999999</v>
      </c>
      <c r="E35" s="133">
        <f>'Chem&amp;FertInputs&amp;CInsurance'!N47</f>
        <v>0</v>
      </c>
      <c r="F35" s="117" t="str">
        <f t="shared" si="0"/>
        <v>0</v>
      </c>
      <c r="G35" s="165">
        <f t="shared" si="4"/>
        <v>0</v>
      </c>
    </row>
    <row r="36" spans="1:7" ht="20">
      <c r="A36" s="15"/>
      <c r="B36" s="85" t="str">
        <f>'Chem&amp;FertInputs&amp;CInsurance'!C48</f>
        <v>Glyphosate</v>
      </c>
      <c r="C36" s="23" t="str">
        <f>'Chem&amp;FertInputs&amp;CInsurance'!D48</f>
        <v>oz</v>
      </c>
      <c r="D36" s="116">
        <f>'Chem&amp;FertInputs&amp;CInsurance'!E48</f>
        <v>0.14949999999999999</v>
      </c>
      <c r="E36" s="133">
        <f>'Chem&amp;FertInputs&amp;CInsurance'!N48</f>
        <v>32</v>
      </c>
      <c r="F36" s="117">
        <f t="shared" si="0"/>
        <v>4.7839999999999998</v>
      </c>
      <c r="G36" s="165">
        <f t="shared" si="4"/>
        <v>0.25</v>
      </c>
    </row>
    <row r="37" spans="1:7" ht="20">
      <c r="A37" s="15"/>
      <c r="B37" s="85" t="str">
        <f>'Chem&amp;FertInputs&amp;CInsurance'!C49</f>
        <v>Huskie</v>
      </c>
      <c r="C37" s="23" t="str">
        <f>'Chem&amp;FertInputs&amp;CInsurance'!D49</f>
        <v>oz</v>
      </c>
      <c r="D37" s="116">
        <f>'Chem&amp;FertInputs&amp;CInsurance'!E49</f>
        <v>0.88549999999999995</v>
      </c>
      <c r="E37" s="133">
        <f>'Chem&amp;FertInputs&amp;CInsurance'!N49</f>
        <v>0</v>
      </c>
      <c r="F37" s="117" t="str">
        <f t="shared" si="0"/>
        <v>0</v>
      </c>
      <c r="G37" s="165">
        <f t="shared" si="4"/>
        <v>0</v>
      </c>
    </row>
    <row r="38" spans="1:7" ht="20">
      <c r="A38" s="15"/>
      <c r="B38" s="85" t="str">
        <f>'Chem&amp;FertInputs&amp;CInsurance'!C50</f>
        <v>Imidan 70</v>
      </c>
      <c r="C38" s="23" t="str">
        <f>'Chem&amp;FertInputs&amp;CInsurance'!D50</f>
        <v>lb</v>
      </c>
      <c r="D38" s="116">
        <f>'Chem&amp;FertInputs&amp;CInsurance'!E50</f>
        <v>17.295999999999999</v>
      </c>
      <c r="E38" s="133">
        <f>'Chem&amp;FertInputs&amp;CInsurance'!N50</f>
        <v>0</v>
      </c>
      <c r="F38" s="117" t="str">
        <f t="shared" si="0"/>
        <v>0</v>
      </c>
      <c r="G38" s="165">
        <f>E38/16</f>
        <v>0</v>
      </c>
    </row>
    <row r="39" spans="1:7" ht="20">
      <c r="A39" s="15"/>
      <c r="B39" s="85" t="str">
        <f>'Chem&amp;FertInputs&amp;CInsurance'!C51</f>
        <v xml:space="preserve">Maverick </v>
      </c>
      <c r="C39" s="23" t="str">
        <f>'Chem&amp;FertInputs&amp;CInsurance'!D51</f>
        <v>oz</v>
      </c>
      <c r="D39" s="116">
        <f>'Chem&amp;FertInputs&amp;CInsurance'!E51</f>
        <v>23.885499999999997</v>
      </c>
      <c r="E39" s="133">
        <f>'Chem&amp;FertInputs&amp;CInsurance'!N51</f>
        <v>0</v>
      </c>
      <c r="F39" s="117" t="str">
        <f t="shared" si="0"/>
        <v>0</v>
      </c>
      <c r="G39" s="165">
        <f t="shared" ref="G39:G51" si="5">E39/128</f>
        <v>0</v>
      </c>
    </row>
    <row r="40" spans="1:7" ht="20">
      <c r="A40" s="15"/>
      <c r="B40" s="85" t="str">
        <f>'Chem&amp;FertInputs&amp;CInsurance'!C52</f>
        <v>Osprey</v>
      </c>
      <c r="C40" s="23" t="str">
        <f>'Chem&amp;FertInputs&amp;CInsurance'!D52</f>
        <v>oz</v>
      </c>
      <c r="D40" s="116">
        <f>'Chem&amp;FertInputs&amp;CInsurance'!E52</f>
        <v>5.0484999999999989</v>
      </c>
      <c r="E40" s="133">
        <f>'Chem&amp;FertInputs&amp;CInsurance'!N52</f>
        <v>0</v>
      </c>
      <c r="F40" s="117" t="str">
        <f t="shared" si="0"/>
        <v>0</v>
      </c>
      <c r="G40" s="165">
        <f t="shared" si="5"/>
        <v>0</v>
      </c>
    </row>
    <row r="41" spans="1:7" ht="20">
      <c r="A41" s="15"/>
      <c r="B41" s="85" t="str">
        <f>'Chem&amp;FertInputs&amp;CInsurance'!C53</f>
        <v>Poast</v>
      </c>
      <c r="C41" s="23" t="str">
        <f>'Chem&amp;FertInputs&amp;CInsurance'!D53</f>
        <v>oz</v>
      </c>
      <c r="D41" s="116">
        <f>'Chem&amp;FertInputs&amp;CInsurance'!E53</f>
        <v>19.285499999999999</v>
      </c>
      <c r="E41" s="133">
        <f>'Chem&amp;FertInputs&amp;CInsurance'!N53</f>
        <v>0</v>
      </c>
      <c r="F41" s="117" t="str">
        <f t="shared" ref="F41" si="6">IF(D41*E41=0,"0",D41*E41)</f>
        <v>0</v>
      </c>
      <c r="G41" s="165">
        <f t="shared" si="5"/>
        <v>0</v>
      </c>
    </row>
    <row r="42" spans="1:7" ht="20">
      <c r="A42" s="15"/>
      <c r="B42" s="85" t="str">
        <f>'Chem&amp;FertInputs&amp;CInsurance'!C54</f>
        <v>Power Flex</v>
      </c>
      <c r="C42" s="23" t="str">
        <f>'Chem&amp;FertInputs&amp;CInsurance'!D54</f>
        <v>oz</v>
      </c>
      <c r="D42" s="116">
        <f>'Chem&amp;FertInputs&amp;CInsurance'!E54</f>
        <v>8.9124999999999996</v>
      </c>
      <c r="E42" s="133">
        <f>'Chem&amp;FertInputs&amp;CInsurance'!N54</f>
        <v>0</v>
      </c>
      <c r="F42" s="117" t="str">
        <f t="shared" si="0"/>
        <v>0</v>
      </c>
      <c r="G42" s="165">
        <f t="shared" si="5"/>
        <v>0</v>
      </c>
    </row>
    <row r="43" spans="1:7" ht="20">
      <c r="A43" s="15"/>
      <c r="B43" s="85" t="str">
        <f>'Chem&amp;FertInputs&amp;CInsurance'!C55</f>
        <v>Priaxor</v>
      </c>
      <c r="C43" s="23" t="str">
        <f>'Chem&amp;FertInputs&amp;CInsurance'!D55</f>
        <v>oz</v>
      </c>
      <c r="D43" s="116">
        <f>'Chem&amp;FertInputs&amp;CInsurance'!E55</f>
        <v>3.4269999999999996</v>
      </c>
      <c r="E43" s="133">
        <f>'Chem&amp;FertInputs&amp;CInsurance'!N55</f>
        <v>0</v>
      </c>
      <c r="F43" s="117" t="str">
        <f t="shared" si="0"/>
        <v>0</v>
      </c>
      <c r="G43" s="165">
        <f t="shared" si="5"/>
        <v>0</v>
      </c>
    </row>
    <row r="44" spans="1:7" ht="20">
      <c r="A44" s="15"/>
      <c r="B44" s="85" t="str">
        <f>'Chem&amp;FertInputs&amp;CInsurance'!C56</f>
        <v>Prowl</v>
      </c>
      <c r="C44" s="23" t="str">
        <f>'Chem&amp;FertInputs&amp;CInsurance'!D56</f>
        <v>oz</v>
      </c>
      <c r="D44" s="116">
        <f>'Chem&amp;FertInputs&amp;CInsurance'!E56</f>
        <v>0.51749999999999996</v>
      </c>
      <c r="E44" s="133">
        <f>'Chem&amp;FertInputs&amp;CInsurance'!N56</f>
        <v>0</v>
      </c>
      <c r="F44" s="117" t="str">
        <f t="shared" si="0"/>
        <v>0</v>
      </c>
      <c r="G44" s="165">
        <f t="shared" si="5"/>
        <v>0</v>
      </c>
    </row>
    <row r="45" spans="1:7" ht="20">
      <c r="A45" s="15"/>
      <c r="B45" s="85" t="str">
        <f>'Chem&amp;FertInputs&amp;CInsurance'!C57</f>
        <v>Pursuit</v>
      </c>
      <c r="C45" s="23" t="str">
        <f>'Chem&amp;FertInputs&amp;CInsurance'!D57</f>
        <v>oz</v>
      </c>
      <c r="D45" s="116">
        <f>'Chem&amp;FertInputs&amp;CInsurance'!E57</f>
        <v>4.0594999999999999</v>
      </c>
      <c r="E45" s="133">
        <f>'Chem&amp;FertInputs&amp;CInsurance'!N57</f>
        <v>0</v>
      </c>
      <c r="F45" s="117" t="str">
        <f t="shared" si="0"/>
        <v>0</v>
      </c>
      <c r="G45" s="165">
        <f t="shared" si="5"/>
        <v>0</v>
      </c>
    </row>
    <row r="46" spans="1:7" ht="20">
      <c r="A46" s="15"/>
      <c r="B46" s="85" t="str">
        <f>'Chem&amp;FertInputs&amp;CInsurance'!C58</f>
        <v xml:space="preserve">Quadris </v>
      </c>
      <c r="C46" s="23" t="str">
        <f>'Chem&amp;FertInputs&amp;CInsurance'!D58</f>
        <v>oz</v>
      </c>
      <c r="D46" s="116">
        <f>'Chem&amp;FertInputs&amp;CInsurance'!E58</f>
        <v>1.127</v>
      </c>
      <c r="E46" s="133">
        <f>'Chem&amp;FertInputs&amp;CInsurance'!N58</f>
        <v>0</v>
      </c>
      <c r="F46" s="117" t="str">
        <f t="shared" si="0"/>
        <v>0</v>
      </c>
      <c r="G46" s="165">
        <f t="shared" si="5"/>
        <v>0</v>
      </c>
    </row>
    <row r="47" spans="1:7" ht="20">
      <c r="A47" s="15"/>
      <c r="B47" s="85" t="str">
        <f>'Chem&amp;FertInputs&amp;CInsurance'!C59</f>
        <v>Quilt</v>
      </c>
      <c r="C47" s="23" t="str">
        <f>'Chem&amp;FertInputs&amp;CInsurance'!D59</f>
        <v>oz</v>
      </c>
      <c r="D47" s="116">
        <f>'Chem&amp;FertInputs&amp;CInsurance'!E59</f>
        <v>1.4834999999999998</v>
      </c>
      <c r="E47" s="133">
        <f>'Chem&amp;FertInputs&amp;CInsurance'!N59</f>
        <v>0</v>
      </c>
      <c r="F47" s="117" t="str">
        <f t="shared" si="0"/>
        <v>0</v>
      </c>
      <c r="G47" s="165">
        <f t="shared" si="5"/>
        <v>0</v>
      </c>
    </row>
    <row r="48" spans="1:7" ht="20">
      <c r="A48" s="15"/>
      <c r="B48" s="85" t="str">
        <f>'Chem&amp;FertInputs&amp;CInsurance'!C60</f>
        <v>R11</v>
      </c>
      <c r="C48" s="23" t="str">
        <f>'Chem&amp;FertInputs&amp;CInsurance'!D60</f>
        <v>oz</v>
      </c>
      <c r="D48" s="116">
        <f>'Chem&amp;FertInputs&amp;CInsurance'!E60</f>
        <v>0.26450000000000001</v>
      </c>
      <c r="E48" s="133">
        <f>'Chem&amp;FertInputs&amp;CInsurance'!N60</f>
        <v>0</v>
      </c>
      <c r="F48" s="117" t="str">
        <f t="shared" si="0"/>
        <v>0</v>
      </c>
      <c r="G48" s="165">
        <f t="shared" si="5"/>
        <v>0</v>
      </c>
    </row>
    <row r="49" spans="1:7" ht="20">
      <c r="A49" s="15"/>
      <c r="B49" s="85" t="str">
        <f>'Chem&amp;FertInputs&amp;CInsurance'!C61</f>
        <v>Starane</v>
      </c>
      <c r="C49" s="23" t="str">
        <f>'Chem&amp;FertInputs&amp;CInsurance'!D61</f>
        <v>oz</v>
      </c>
      <c r="D49" s="116">
        <f>'Chem&amp;FertInputs&amp;CInsurance'!E61</f>
        <v>0.77049999999999996</v>
      </c>
      <c r="E49" s="133">
        <f>'Chem&amp;FertInputs&amp;CInsurance'!N61</f>
        <v>0</v>
      </c>
      <c r="F49" s="117" t="str">
        <f t="shared" si="0"/>
        <v>0</v>
      </c>
      <c r="G49" s="165">
        <f t="shared" si="5"/>
        <v>0</v>
      </c>
    </row>
    <row r="50" spans="1:7" ht="20">
      <c r="A50" s="15"/>
      <c r="B50" s="85" t="str">
        <f>'Chem&amp;FertInputs&amp;CInsurance'!C62</f>
        <v>Starane + Salvo</v>
      </c>
      <c r="C50" s="23" t="str">
        <f>'Chem&amp;FertInputs&amp;CInsurance'!D62</f>
        <v>oz</v>
      </c>
      <c r="D50" s="116">
        <f>'Chem&amp;FertInputs&amp;CInsurance'!E62</f>
        <v>0.77049999999999996</v>
      </c>
      <c r="E50" s="133">
        <f>'Chem&amp;FertInputs&amp;CInsurance'!N62</f>
        <v>0</v>
      </c>
      <c r="F50" s="117" t="str">
        <f t="shared" si="0"/>
        <v>0</v>
      </c>
      <c r="G50" s="165">
        <f t="shared" si="5"/>
        <v>0</v>
      </c>
    </row>
    <row r="51" spans="1:7" ht="20">
      <c r="A51" s="15"/>
      <c r="B51" s="85" t="str">
        <f>'Chem&amp;FertInputs&amp;CInsurance'!C63</f>
        <v xml:space="preserve">Starane + Sword </v>
      </c>
      <c r="C51" s="23" t="str">
        <f>'Chem&amp;FertInputs&amp;CInsurance'!D63</f>
        <v>oz</v>
      </c>
      <c r="D51" s="116">
        <f>'Chem&amp;FertInputs&amp;CInsurance'!E63</f>
        <v>0.77049999999999996</v>
      </c>
      <c r="E51" s="133">
        <f>'Chem&amp;FertInputs&amp;CInsurance'!N63</f>
        <v>0</v>
      </c>
      <c r="F51" s="117" t="str">
        <f t="shared" si="0"/>
        <v>0</v>
      </c>
      <c r="G51" s="165">
        <f t="shared" si="5"/>
        <v>0</v>
      </c>
    </row>
    <row r="52" spans="1:7" ht="20">
      <c r="A52" s="15"/>
      <c r="B52" s="85" t="str">
        <f>'Chem&amp;FertInputs&amp;CInsurance'!C64</f>
        <v xml:space="preserve"> Tilt</v>
      </c>
      <c r="C52" s="23" t="str">
        <f>'Chem&amp;FertInputs&amp;CInsurance'!D64</f>
        <v>oz</v>
      </c>
      <c r="D52" s="116">
        <f>'Chem&amp;FertInputs&amp;CInsurance'!E64</f>
        <v>0.88549999999999995</v>
      </c>
      <c r="E52" s="133">
        <f>'Chem&amp;FertInputs&amp;CInsurance'!N64</f>
        <v>0</v>
      </c>
      <c r="F52" s="117" t="str">
        <f t="shared" ref="F52:F53" si="7">IF(D52*E52=0,"0",D52*E52)</f>
        <v>0</v>
      </c>
      <c r="G52" s="165">
        <f t="shared" ref="G52:G53" si="8">E52/128</f>
        <v>0</v>
      </c>
    </row>
    <row r="53" spans="1:7" ht="20">
      <c r="A53" s="15"/>
      <c r="B53" s="85" t="str">
        <f>'Chem&amp;FertInputs&amp;CInsurance'!C65</f>
        <v xml:space="preserve">Wildcard </v>
      </c>
      <c r="C53" s="23" t="str">
        <f>'Chem&amp;FertInputs&amp;CInsurance'!D65</f>
        <v>oz</v>
      </c>
      <c r="D53" s="116">
        <f>'Chem&amp;FertInputs&amp;CInsurance'!E65</f>
        <v>0.35649999999999998</v>
      </c>
      <c r="E53" s="133">
        <f>'Chem&amp;FertInputs&amp;CInsurance'!N65</f>
        <v>0</v>
      </c>
      <c r="F53" s="117" t="str">
        <f t="shared" si="7"/>
        <v>0</v>
      </c>
      <c r="G53" s="165">
        <f t="shared" si="8"/>
        <v>0</v>
      </c>
    </row>
    <row r="54" spans="1:7" ht="20">
      <c r="A54" s="15"/>
      <c r="B54" s="85" t="str">
        <f>'Chem&amp;FertInputs&amp;CInsurance'!C66</f>
        <v>Sharpen</v>
      </c>
      <c r="C54" s="23" t="str">
        <f>'Chem&amp;FertInputs&amp;CInsurance'!D66</f>
        <v>oz</v>
      </c>
      <c r="D54" s="116">
        <f>'Chem&amp;FertInputs&amp;CInsurance'!E66</f>
        <v>6.3134999999999994</v>
      </c>
      <c r="E54" s="133">
        <f>'Chem&amp;FertInputs&amp;CInsurance'!N66</f>
        <v>0</v>
      </c>
      <c r="F54" s="117" t="str">
        <f t="shared" si="0"/>
        <v>0</v>
      </c>
      <c r="G54" s="165">
        <f>E54/128</f>
        <v>0</v>
      </c>
    </row>
    <row r="55" spans="1:7" ht="20">
      <c r="A55" s="15"/>
      <c r="B55" s="85" t="str">
        <f>'Chem&amp;FertInputs&amp;CInsurance'!C67</f>
        <v>Sencor</v>
      </c>
      <c r="C55" s="23" t="str">
        <f>'Chem&amp;FertInputs&amp;CInsurance'!D67</f>
        <v>oz</v>
      </c>
      <c r="D55" s="116">
        <f>'Chem&amp;FertInputs&amp;CInsurance'!E67</f>
        <v>0.45999999999999996</v>
      </c>
      <c r="E55" s="133">
        <f>'Chem&amp;FertInputs&amp;CInsurance'!N67</f>
        <v>0</v>
      </c>
      <c r="F55" s="117" t="str">
        <f t="shared" si="0"/>
        <v>0</v>
      </c>
      <c r="G55" s="165">
        <f>E55/128</f>
        <v>0</v>
      </c>
    </row>
    <row r="56" spans="1:7" ht="20">
      <c r="A56" s="15"/>
      <c r="B56" s="85" t="str">
        <f>'Chem&amp;FertInputs&amp;CInsurance'!C68</f>
        <v>Warrior</v>
      </c>
      <c r="C56" s="23" t="str">
        <f>'Chem&amp;FertInputs&amp;CInsurance'!D68</f>
        <v>acre</v>
      </c>
      <c r="D56" s="116">
        <f>'Chem&amp;FertInputs&amp;CInsurance'!E68</f>
        <v>3.4499999999999997</v>
      </c>
      <c r="E56" s="133">
        <f>'Chem&amp;FertInputs&amp;CInsurance'!N68</f>
        <v>0</v>
      </c>
      <c r="F56" s="117" t="str">
        <f t="shared" si="0"/>
        <v>0</v>
      </c>
      <c r="G56" s="165">
        <f>E56/128</f>
        <v>0</v>
      </c>
    </row>
    <row r="57" spans="1:7" ht="20">
      <c r="A57" s="15"/>
      <c r="B57" s="85" t="str">
        <f>'Chem&amp;FertInputs&amp;CInsurance'!C69</f>
        <v xml:space="preserve"> Lorox</v>
      </c>
      <c r="C57" s="23" t="str">
        <f>'Chem&amp;FertInputs&amp;CInsurance'!D69</f>
        <v>lb</v>
      </c>
      <c r="D57" s="116">
        <f>'Chem&amp;FertInputs&amp;CInsurance'!E69</f>
        <v>26.565000000000001</v>
      </c>
      <c r="E57" s="133">
        <f>'Chem&amp;FertInputs&amp;CInsurance'!N69</f>
        <v>0</v>
      </c>
      <c r="F57" s="117" t="str">
        <f t="shared" si="0"/>
        <v>0</v>
      </c>
      <c r="G57" s="165">
        <f>E57/128</f>
        <v>0</v>
      </c>
    </row>
    <row r="58" spans="1:7" ht="20">
      <c r="A58" s="15"/>
      <c r="B58" s="85" t="str">
        <f>'Chem&amp;FertInputs&amp;CInsurance'!C70</f>
        <v xml:space="preserve"> Valor</v>
      </c>
      <c r="C58" s="23" t="str">
        <f>'Chem&amp;FertInputs&amp;CInsurance'!D70</f>
        <v>oz</v>
      </c>
      <c r="D58" s="116">
        <f>'Chem&amp;FertInputs&amp;CInsurance'!E70</f>
        <v>6.6124999999999998</v>
      </c>
      <c r="E58" s="133">
        <f>'Chem&amp;FertInputs&amp;CInsurance'!N70</f>
        <v>0</v>
      </c>
      <c r="F58" s="117" t="str">
        <f t="shared" ref="F58:F59" si="9">IF(D58*E58=0,"0",D58*E58)</f>
        <v>0</v>
      </c>
      <c r="G58" s="165">
        <f t="shared" ref="G58:G59" si="10">E58/128</f>
        <v>0</v>
      </c>
    </row>
    <row r="59" spans="1:7" ht="20">
      <c r="A59" s="15"/>
      <c r="B59" s="85" t="str">
        <f>'Chem&amp;FertInputs&amp;CInsurance'!C71</f>
        <v xml:space="preserve"> Diagon</v>
      </c>
      <c r="C59" s="23" t="str">
        <f>'Chem&amp;FertInputs&amp;CInsurance'!D71</f>
        <v>oz</v>
      </c>
      <c r="D59" s="116">
        <f>'Chem&amp;FertInputs&amp;CInsurance'!E71</f>
        <v>0.43699999999999994</v>
      </c>
      <c r="E59" s="133">
        <f>'Chem&amp;FertInputs&amp;CInsurance'!N71</f>
        <v>0</v>
      </c>
      <c r="F59" s="117" t="str">
        <f t="shared" si="9"/>
        <v>0</v>
      </c>
      <c r="G59" s="165">
        <f t="shared" si="10"/>
        <v>0</v>
      </c>
    </row>
    <row r="60" spans="1:7" ht="20">
      <c r="A60" s="15"/>
      <c r="B60" s="85" t="str">
        <f>'Chem&amp;FertInputs&amp;CInsurance'!C72</f>
        <v xml:space="preserve">Spartan </v>
      </c>
      <c r="C60" s="23" t="str">
        <f>'Chem&amp;FertInputs&amp;CInsurance'!D72</f>
        <v>oz</v>
      </c>
      <c r="D60" s="116">
        <f>'Chem&amp;FertInputs&amp;CInsurance'!E72</f>
        <v>2.0469999999999997</v>
      </c>
      <c r="E60" s="133">
        <f>'Chem&amp;FertInputs&amp;CInsurance'!N72</f>
        <v>0</v>
      </c>
      <c r="F60" s="117" t="str">
        <f t="shared" si="0"/>
        <v>0</v>
      </c>
      <c r="G60" s="165">
        <f>E60/128</f>
        <v>0</v>
      </c>
    </row>
    <row r="61" spans="1:7" ht="23">
      <c r="A61" s="15"/>
      <c r="B61" s="85" t="str">
        <f>'Chem&amp;FertInputs&amp;CInsurance'!C32</f>
        <v xml:space="preserve">Round Up </v>
      </c>
      <c r="C61" s="23" t="str">
        <f>'Chem&amp;FertInputs&amp;CInsurance'!D32</f>
        <v>oz</v>
      </c>
      <c r="D61" s="116">
        <f>'Chem&amp;FertInputs&amp;CInsurance'!E32</f>
        <v>0.14949999999999999</v>
      </c>
      <c r="E61" s="133">
        <f>'Chem&amp;FertInputs&amp;CInsurance'!N32</f>
        <v>0</v>
      </c>
      <c r="F61" s="117" t="str">
        <f t="shared" si="0"/>
        <v>0</v>
      </c>
      <c r="G61" s="225">
        <f>E61/128</f>
        <v>0</v>
      </c>
    </row>
    <row r="62" spans="1:7" ht="20">
      <c r="A62" s="15"/>
      <c r="B62" s="139" t="s">
        <v>86</v>
      </c>
      <c r="C62" s="23"/>
      <c r="D62" s="116"/>
      <c r="E62" s="133"/>
      <c r="F62" s="117"/>
      <c r="G62" s="165">
        <f>SUM(G14:G61)</f>
        <v>0.40625</v>
      </c>
    </row>
    <row r="63" spans="1:7" ht="20">
      <c r="A63" s="15"/>
      <c r="B63" s="125" t="str">
        <f>CustomRates!B5</f>
        <v>Aerial (Custom)</v>
      </c>
      <c r="C63" s="41" t="str">
        <f>CustomRates!C5</f>
        <v>acre</v>
      </c>
      <c r="D63" s="116">
        <f>CustomRates!L5</f>
        <v>8.9499999999999993</v>
      </c>
      <c r="E63" s="87">
        <f>CustomRates!L6</f>
        <v>0</v>
      </c>
      <c r="F63" s="117" t="str">
        <f t="shared" ref="F63:F70" si="11">IF(D63*E63=0,"0",D63*E63)</f>
        <v>0</v>
      </c>
    </row>
    <row r="64" spans="1:7" ht="20">
      <c r="A64" s="15"/>
      <c r="B64" s="125" t="str">
        <f>CustomRates!B7</f>
        <v>Sprayer (Rental 90')</v>
      </c>
      <c r="C64" s="41" t="str">
        <f>CustomRates!C7</f>
        <v>acre</v>
      </c>
      <c r="D64" s="116">
        <f>CustomRates!L7</f>
        <v>8</v>
      </c>
      <c r="E64" s="87">
        <f>CustomRates!L8</f>
        <v>0</v>
      </c>
      <c r="F64" s="117" t="str">
        <f t="shared" si="11"/>
        <v>0</v>
      </c>
    </row>
    <row r="65" spans="1:9" ht="20">
      <c r="A65" s="15"/>
      <c r="B65" s="125" t="str">
        <f>CustomRates!B9</f>
        <v>Fertilizer - Anhydrous Applicator (Rent)</v>
      </c>
      <c r="C65" s="41" t="str">
        <f>CustomRates!C9</f>
        <v>acre</v>
      </c>
      <c r="D65" s="116">
        <f>CustomRates!L9</f>
        <v>7</v>
      </c>
      <c r="E65" s="87">
        <f>CustomRates!L10</f>
        <v>0</v>
      </c>
      <c r="F65" s="117" t="str">
        <f t="shared" si="11"/>
        <v>0</v>
      </c>
    </row>
    <row r="66" spans="1:9" ht="20">
      <c r="A66" s="15"/>
      <c r="B66" s="125" t="str">
        <f>CustomRates!B11</f>
        <v>Fertilizer Applicator</v>
      </c>
      <c r="C66" s="41" t="str">
        <f>CustomRates!C11</f>
        <v>acre</v>
      </c>
      <c r="D66" s="116">
        <f>CustomRates!L11</f>
        <v>2</v>
      </c>
      <c r="E66" s="87">
        <f>CustomRates!L12</f>
        <v>0</v>
      </c>
      <c r="F66" s="117" t="str">
        <f t="shared" si="11"/>
        <v>0</v>
      </c>
    </row>
    <row r="67" spans="1:9" ht="20">
      <c r="A67" s="15"/>
      <c r="B67" s="125" t="str">
        <f>CustomRates!B13</f>
        <v>26' Rental Shredder</v>
      </c>
      <c r="C67" s="41" t="str">
        <f>CustomRates!C13</f>
        <v>acre</v>
      </c>
      <c r="D67" s="116">
        <f>CustomRates!L13</f>
        <v>10</v>
      </c>
      <c r="E67" s="87">
        <f>CustomRates!L14</f>
        <v>0</v>
      </c>
      <c r="F67" s="117" t="str">
        <f t="shared" si="11"/>
        <v>0</v>
      </c>
    </row>
    <row r="68" spans="1:9" ht="20">
      <c r="A68" s="15"/>
      <c r="B68" s="125" t="str">
        <f>CustomRates!B15</f>
        <v>36' Ripper Shooter</v>
      </c>
      <c r="C68" s="41" t="str">
        <f>CustomRates!C15</f>
        <v>acre</v>
      </c>
      <c r="D68" s="116">
        <f>CustomRates!L15</f>
        <v>2.5</v>
      </c>
      <c r="E68" s="87">
        <f>CustomRates!L16</f>
        <v>0</v>
      </c>
      <c r="F68" s="117" t="str">
        <f t="shared" si="11"/>
        <v>0</v>
      </c>
    </row>
    <row r="69" spans="1:9" ht="20">
      <c r="A69" s="15"/>
      <c r="B69" s="125" t="str">
        <f>CustomRates!B17</f>
        <v>Custom self-propelled sprayer</v>
      </c>
      <c r="C69" s="41" t="str">
        <f>CustomRates!C17</f>
        <v>acre</v>
      </c>
      <c r="D69" s="116">
        <f>CustomRates!L17</f>
        <v>8</v>
      </c>
      <c r="E69" s="87">
        <f>CustomRates!L18</f>
        <v>0</v>
      </c>
      <c r="F69" s="117" t="str">
        <f t="shared" si="11"/>
        <v>0</v>
      </c>
    </row>
    <row r="70" spans="1:9" ht="20">
      <c r="A70" s="15"/>
      <c r="B70" s="125" t="str">
        <f>CustomRates!B19</f>
        <v>Additional Operation #8 (Custom)</v>
      </c>
      <c r="C70" s="41" t="str">
        <f>CustomRates!C19</f>
        <v>acre</v>
      </c>
      <c r="D70" s="116">
        <f>CustomRates!L19</f>
        <v>0</v>
      </c>
      <c r="E70" s="87">
        <f>CustomRates!L20</f>
        <v>0</v>
      </c>
      <c r="F70" s="117" t="str">
        <f t="shared" si="11"/>
        <v>0</v>
      </c>
    </row>
    <row r="71" spans="1:9" ht="20">
      <c r="A71" s="15"/>
      <c r="B71" s="139" t="s">
        <v>87</v>
      </c>
      <c r="C71" s="41"/>
      <c r="D71" s="116"/>
      <c r="E71" s="116"/>
      <c r="F71" s="117"/>
      <c r="H71" s="1" t="s">
        <v>204</v>
      </c>
      <c r="I71" s="1" t="s">
        <v>135</v>
      </c>
    </row>
    <row r="72" spans="1:9" ht="20">
      <c r="A72" s="15"/>
      <c r="B72" s="85" t="str">
        <f>MachineAssumptions!B7&amp;" - Labor"</f>
        <v>Shredder - Labor</v>
      </c>
      <c r="C72" s="41" t="s">
        <v>246</v>
      </c>
      <c r="D72" s="116">
        <f>MachineAssumptions!$R$7</f>
        <v>1.4996591683708247</v>
      </c>
      <c r="E72" s="87">
        <f>FieldApplications!$K$6</f>
        <v>0</v>
      </c>
      <c r="F72" s="117" t="str">
        <f t="shared" ref="F72:F113" si="12">IF(D72*E72=0,"0",D72*E72)</f>
        <v>0</v>
      </c>
      <c r="H72" s="246">
        <f>MachineAssumptions!$R$28*E72</f>
        <v>0</v>
      </c>
      <c r="I72" s="166">
        <f>MachineAssumptions!$R$48*E72</f>
        <v>0</v>
      </c>
    </row>
    <row r="73" spans="1:9" ht="20">
      <c r="A73" s="15"/>
      <c r="B73" s="85" t="str">
        <f>MachineAssumptions!B7&amp;" - Fuel, Lube"</f>
        <v>Shredder - Fuel, Lube</v>
      </c>
      <c r="C73" s="41" t="s">
        <v>246</v>
      </c>
      <c r="D73" s="116">
        <f>MachineAssumptions!$S$7</f>
        <v>5.7486934787548281</v>
      </c>
      <c r="E73" s="87">
        <f>FieldApplications!$K$6</f>
        <v>0</v>
      </c>
      <c r="F73" s="117" t="str">
        <f t="shared" si="12"/>
        <v>0</v>
      </c>
      <c r="H73" s="246">
        <f>MachineAssumptions!$S$28*E73</f>
        <v>0</v>
      </c>
      <c r="I73" s="166">
        <f>MachineAssumptions!$S$48*E73</f>
        <v>0</v>
      </c>
    </row>
    <row r="74" spans="1:9" ht="20">
      <c r="A74" s="15"/>
      <c r="B74" s="85" t="str">
        <f>MachineAssumptions!B7&amp;" - Repairs"</f>
        <v>Shredder - Repairs</v>
      </c>
      <c r="C74" s="41" t="s">
        <v>246</v>
      </c>
      <c r="D74" s="116">
        <f>MachineAssumptions!$T$7</f>
        <v>0.46726721181997538</v>
      </c>
      <c r="E74" s="87">
        <f>FieldApplications!$K$6</f>
        <v>0</v>
      </c>
      <c r="F74" s="117" t="str">
        <f t="shared" si="12"/>
        <v>0</v>
      </c>
      <c r="H74" s="246">
        <f>MachineAssumptions!$T$28*E74</f>
        <v>0</v>
      </c>
      <c r="I74" s="166">
        <f>MachineAssumptions!$T$48*E74</f>
        <v>0</v>
      </c>
    </row>
    <row r="75" spans="1:9" ht="20">
      <c r="A75" s="15"/>
      <c r="B75" s="85" t="str">
        <f>MachineAssumptions!B8&amp;" - Labor"</f>
        <v>Harrow - Labor</v>
      </c>
      <c r="C75" s="41" t="s">
        <v>246</v>
      </c>
      <c r="D75" s="116">
        <f>MachineAssumptions!$R$8</f>
        <v>0.59412746734753996</v>
      </c>
      <c r="E75" s="87">
        <f>FieldApplications!$K$7</f>
        <v>0</v>
      </c>
      <c r="F75" s="117" t="str">
        <f t="shared" si="12"/>
        <v>0</v>
      </c>
      <c r="H75" s="246">
        <f>MachineAssumptions!$R$29*E75</f>
        <v>0</v>
      </c>
      <c r="I75" s="166">
        <f>MachineAssumptions!$R$49*E75</f>
        <v>0</v>
      </c>
    </row>
    <row r="76" spans="1:9" ht="20">
      <c r="A76" s="15"/>
      <c r="B76" s="85" t="str">
        <f>MachineAssumptions!B8&amp;" - Fuel, Lube"</f>
        <v>Harrow - Fuel, Lube</v>
      </c>
      <c r="C76" s="41" t="s">
        <v>246</v>
      </c>
      <c r="D76" s="116">
        <f>MachineAssumptions!$S$8</f>
        <v>2.4845330452715308</v>
      </c>
      <c r="E76" s="87">
        <f>FieldApplications!$K$7</f>
        <v>0</v>
      </c>
      <c r="F76" s="117" t="str">
        <f t="shared" si="12"/>
        <v>0</v>
      </c>
      <c r="H76" s="246">
        <f>MachineAssumptions!$S$29*E76</f>
        <v>0</v>
      </c>
      <c r="I76" s="166">
        <f>MachineAssumptions!$S$49*E76</f>
        <v>0</v>
      </c>
    </row>
    <row r="77" spans="1:9" ht="20">
      <c r="A77" s="15"/>
      <c r="B77" s="85" t="str">
        <f>MachineAssumptions!B8&amp;" - Repairs"</f>
        <v>Harrow - Repairs</v>
      </c>
      <c r="C77" s="41" t="s">
        <v>246</v>
      </c>
      <c r="D77" s="116">
        <f>MachineAssumptions!$T$8</f>
        <v>0.14755184964846621</v>
      </c>
      <c r="E77" s="87">
        <f>FieldApplications!$K$7</f>
        <v>0</v>
      </c>
      <c r="F77" s="117" t="str">
        <f t="shared" si="12"/>
        <v>0</v>
      </c>
      <c r="H77" s="246">
        <f>MachineAssumptions!$T$29*E77</f>
        <v>0</v>
      </c>
      <c r="I77" s="166">
        <f>MachineAssumptions!$T$49*E77</f>
        <v>0</v>
      </c>
    </row>
    <row r="78" spans="1:9" ht="20">
      <c r="A78" s="15"/>
      <c r="B78" s="85" t="str">
        <f>MachineAssumptions!B9&amp;" - Labor"</f>
        <v>Chisel plow - Labor</v>
      </c>
      <c r="C78" s="41" t="s">
        <v>246</v>
      </c>
      <c r="D78" s="116">
        <f>MachineAssumptions!$R$9</f>
        <v>0</v>
      </c>
      <c r="E78" s="87">
        <f>FieldApplications!$K$8</f>
        <v>0</v>
      </c>
      <c r="F78" s="117" t="str">
        <f t="shared" si="12"/>
        <v>0</v>
      </c>
      <c r="H78" s="246">
        <f>MachineAssumptions!$R$30*E78</f>
        <v>0</v>
      </c>
      <c r="I78" s="166">
        <f>MachineAssumptions!$R$50*E78</f>
        <v>0</v>
      </c>
    </row>
    <row r="79" spans="1:9" ht="20">
      <c r="A79" s="15"/>
      <c r="B79" s="85" t="str">
        <f>MachineAssumptions!B9&amp;" - Fuel, Lube"</f>
        <v>Chisel plow - Fuel, Lube</v>
      </c>
      <c r="C79" s="41" t="s">
        <v>246</v>
      </c>
      <c r="D79" s="116">
        <f>MachineAssumptions!$S$9</f>
        <v>0</v>
      </c>
      <c r="E79" s="87">
        <f>FieldApplications!$K$8</f>
        <v>0</v>
      </c>
      <c r="F79" s="117" t="str">
        <f t="shared" si="12"/>
        <v>0</v>
      </c>
      <c r="H79" s="246">
        <f>MachineAssumptions!$R$30*E79</f>
        <v>0</v>
      </c>
      <c r="I79" s="166">
        <f>MachineAssumptions!$S$50*E79</f>
        <v>0</v>
      </c>
    </row>
    <row r="80" spans="1:9" ht="20">
      <c r="A80" s="15"/>
      <c r="B80" s="85" t="str">
        <f>MachineAssumptions!B9&amp;" - Repairs"</f>
        <v>Chisel plow - Repairs</v>
      </c>
      <c r="C80" s="41" t="s">
        <v>246</v>
      </c>
      <c r="D80" s="116">
        <f>MachineAssumptions!$T$9</f>
        <v>0</v>
      </c>
      <c r="E80" s="87">
        <f>FieldApplications!$K$8</f>
        <v>0</v>
      </c>
      <c r="F80" s="117" t="str">
        <f t="shared" si="12"/>
        <v>0</v>
      </c>
      <c r="H80" s="246">
        <f>MachineAssumptions!$T$30*E80</f>
        <v>0</v>
      </c>
      <c r="I80" s="166">
        <f>MachineAssumptions!$T$50*E80</f>
        <v>0</v>
      </c>
    </row>
    <row r="81" spans="1:9" ht="20">
      <c r="A81" s="15"/>
      <c r="B81" s="85" t="str">
        <f>MachineAssumptions!B10&amp;" - Labor"</f>
        <v>Moldboard plow - Labor</v>
      </c>
      <c r="C81" s="41" t="s">
        <v>246</v>
      </c>
      <c r="D81" s="116">
        <f>MachineAssumptions!$R$10</f>
        <v>0</v>
      </c>
      <c r="E81" s="87">
        <f>FieldApplications!$K$9</f>
        <v>0</v>
      </c>
      <c r="F81" s="117" t="str">
        <f t="shared" si="12"/>
        <v>0</v>
      </c>
      <c r="H81" s="246">
        <f>MachineAssumptions!$R$31*E81</f>
        <v>0</v>
      </c>
      <c r="I81" s="166">
        <f>MachineAssumptions!$R$51*E81</f>
        <v>0</v>
      </c>
    </row>
    <row r="82" spans="1:9" ht="20">
      <c r="A82" s="15"/>
      <c r="B82" s="85" t="str">
        <f>MachineAssumptions!B10&amp;" - Fuel, Lube"</f>
        <v>Moldboard plow - Fuel, Lube</v>
      </c>
      <c r="C82" s="41" t="s">
        <v>246</v>
      </c>
      <c r="D82" s="116">
        <f>MachineAssumptions!$S$10</f>
        <v>0</v>
      </c>
      <c r="E82" s="87">
        <f>FieldApplications!$K$9</f>
        <v>0</v>
      </c>
      <c r="F82" s="117" t="str">
        <f t="shared" si="12"/>
        <v>0</v>
      </c>
      <c r="H82" s="246">
        <f>MachineAssumptions!$S$31*E82</f>
        <v>0</v>
      </c>
      <c r="I82" s="166">
        <f>MachineAssumptions!$S$51*E82</f>
        <v>0</v>
      </c>
    </row>
    <row r="83" spans="1:9" ht="20">
      <c r="A83" s="15"/>
      <c r="B83" s="85" t="str">
        <f>MachineAssumptions!B10&amp;" - Repairs"</f>
        <v>Moldboard plow - Repairs</v>
      </c>
      <c r="C83" s="41" t="s">
        <v>246</v>
      </c>
      <c r="D83" s="116">
        <f>MachineAssumptions!$T$10</f>
        <v>0</v>
      </c>
      <c r="E83" s="87">
        <f>FieldApplications!$K$9</f>
        <v>0</v>
      </c>
      <c r="F83" s="117" t="str">
        <f t="shared" si="12"/>
        <v>0</v>
      </c>
      <c r="H83" s="246">
        <f>MachineAssumptions!$T$31*E83</f>
        <v>0</v>
      </c>
      <c r="I83" s="166">
        <f>MachineAssumptions!$T$51*E83</f>
        <v>0</v>
      </c>
    </row>
    <row r="84" spans="1:9" ht="20">
      <c r="A84" s="15"/>
      <c r="B84" s="85" t="str">
        <f>MachineAssumptions!B11&amp;" - Labor"</f>
        <v>Cultivator - Labor</v>
      </c>
      <c r="C84" s="41" t="s">
        <v>246</v>
      </c>
      <c r="D84" s="116">
        <f>MachineAssumptions!$R$11</f>
        <v>0</v>
      </c>
      <c r="E84" s="87">
        <f>FieldApplications!$K$10</f>
        <v>0</v>
      </c>
      <c r="F84" s="117" t="str">
        <f t="shared" si="12"/>
        <v>0</v>
      </c>
      <c r="H84" s="246">
        <f>MachineAssumptions!$R$32*E84</f>
        <v>0</v>
      </c>
      <c r="I84" s="166">
        <f>MachineAssumptions!$R$52*E84</f>
        <v>0</v>
      </c>
    </row>
    <row r="85" spans="1:9" ht="20">
      <c r="A85" s="15"/>
      <c r="B85" s="85" t="str">
        <f>MachineAssumptions!B11&amp;" - Fuel, Lube"</f>
        <v>Cultivator - Fuel, Lube</v>
      </c>
      <c r="C85" s="41" t="s">
        <v>246</v>
      </c>
      <c r="D85" s="116">
        <f>MachineAssumptions!$S$11</f>
        <v>0</v>
      </c>
      <c r="E85" s="87">
        <f>FieldApplications!$K$10</f>
        <v>0</v>
      </c>
      <c r="F85" s="117" t="str">
        <f t="shared" si="12"/>
        <v>0</v>
      </c>
      <c r="H85" s="246">
        <f>MachineAssumptions!$S$32*E85</f>
        <v>0</v>
      </c>
      <c r="I85" s="166">
        <f>MachineAssumptions!$S$52*E85</f>
        <v>0</v>
      </c>
    </row>
    <row r="86" spans="1:9" ht="20">
      <c r="A86" s="15"/>
      <c r="B86" s="85" t="str">
        <f>MachineAssumptions!B11&amp;" - Repairs"</f>
        <v>Cultivator - Repairs</v>
      </c>
      <c r="C86" s="41" t="s">
        <v>246</v>
      </c>
      <c r="D86" s="116">
        <f>MachineAssumptions!$T$11</f>
        <v>0</v>
      </c>
      <c r="E86" s="87">
        <f>FieldApplications!$K$10</f>
        <v>0</v>
      </c>
      <c r="F86" s="117" t="str">
        <f t="shared" si="12"/>
        <v>0</v>
      </c>
      <c r="H86" s="246">
        <f>MachineAssumptions!$T$32*E86</f>
        <v>0</v>
      </c>
      <c r="I86" s="166">
        <f>MachineAssumptions!$T$52*E86</f>
        <v>0</v>
      </c>
    </row>
    <row r="87" spans="1:9" ht="20">
      <c r="A87" s="15"/>
      <c r="B87" s="85" t="str">
        <f>MachineAssumptions!B12&amp;" - Labor"</f>
        <v>Cultiweeder - Labor</v>
      </c>
      <c r="C87" s="41" t="s">
        <v>246</v>
      </c>
      <c r="D87" s="116">
        <f>MachineAssumptions!$R$12</f>
        <v>0</v>
      </c>
      <c r="E87" s="87">
        <f>FieldApplications!$K$11</f>
        <v>0</v>
      </c>
      <c r="F87" s="117" t="str">
        <f t="shared" si="12"/>
        <v>0</v>
      </c>
      <c r="H87" s="246">
        <f>MachineAssumptions!$R$33*E87</f>
        <v>0</v>
      </c>
      <c r="I87" s="166">
        <f>MachineAssumptions!$R$53*E87</f>
        <v>0</v>
      </c>
    </row>
    <row r="88" spans="1:9" ht="20">
      <c r="A88" s="15"/>
      <c r="B88" s="85" t="str">
        <f>MachineAssumptions!B12&amp;" - Fuel, Lube"</f>
        <v>Cultiweeder - Fuel, Lube</v>
      </c>
      <c r="C88" s="41" t="s">
        <v>246</v>
      </c>
      <c r="D88" s="116">
        <f>MachineAssumptions!$S$12</f>
        <v>0</v>
      </c>
      <c r="E88" s="87">
        <f>FieldApplications!$K$11</f>
        <v>0</v>
      </c>
      <c r="F88" s="117" t="str">
        <f t="shared" si="12"/>
        <v>0</v>
      </c>
      <c r="H88" s="246">
        <f>MachineAssumptions!$S$33*E88</f>
        <v>0</v>
      </c>
      <c r="I88" s="166">
        <f>MachineAssumptions!$S$53*E88</f>
        <v>0</v>
      </c>
    </row>
    <row r="89" spans="1:9" ht="20">
      <c r="A89" s="15"/>
      <c r="B89" s="85" t="str">
        <f>MachineAssumptions!B12&amp;" - Repairs"</f>
        <v>Cultiweeder - Repairs</v>
      </c>
      <c r="C89" s="41" t="s">
        <v>246</v>
      </c>
      <c r="D89" s="116">
        <f>MachineAssumptions!$T$12</f>
        <v>0</v>
      </c>
      <c r="E89" s="87">
        <f>FieldApplications!$K$11</f>
        <v>0</v>
      </c>
      <c r="F89" s="117" t="str">
        <f t="shared" si="12"/>
        <v>0</v>
      </c>
      <c r="H89" s="246">
        <f>MachineAssumptions!$T$33*E89</f>
        <v>0</v>
      </c>
      <c r="I89" s="166">
        <f>MachineAssumptions!$T$53*E89</f>
        <v>0</v>
      </c>
    </row>
    <row r="90" spans="1:9" ht="20">
      <c r="A90" s="15"/>
      <c r="B90" s="85" t="str">
        <f>MachineAssumptions!B13&amp;" - Labor"</f>
        <v>Drill - Labor</v>
      </c>
      <c r="C90" s="41" t="s">
        <v>246</v>
      </c>
      <c r="D90" s="116">
        <f>MachineAssumptions!$R$13</f>
        <v>1.6703109815354713</v>
      </c>
      <c r="E90" s="87">
        <f>FieldApplications!$K$12</f>
        <v>1</v>
      </c>
      <c r="F90" s="117">
        <f t="shared" si="12"/>
        <v>1.6703109815354713</v>
      </c>
      <c r="H90" s="246">
        <f>MachineAssumptions!$R$34*E90</f>
        <v>1.6703109815354713</v>
      </c>
      <c r="I90" s="166">
        <f>MachineAssumptions!$R$54*E90</f>
        <v>1.6703109815354713</v>
      </c>
    </row>
    <row r="91" spans="1:9" ht="20">
      <c r="A91" s="15"/>
      <c r="B91" s="85" t="str">
        <f>MachineAssumptions!B13&amp;" - Fuel, Lube"</f>
        <v>Drill - Fuel, Lube</v>
      </c>
      <c r="C91" s="41" t="s">
        <v>246</v>
      </c>
      <c r="D91" s="116">
        <f>MachineAssumptions!$S$13</f>
        <v>6.146744412050535</v>
      </c>
      <c r="E91" s="87">
        <f>FieldApplications!$K$12</f>
        <v>1</v>
      </c>
      <c r="F91" s="117">
        <f t="shared" si="12"/>
        <v>6.146744412050535</v>
      </c>
      <c r="H91" s="246">
        <f>MachineAssumptions!$S$34*E91</f>
        <v>6.146744412050535</v>
      </c>
      <c r="I91" s="166">
        <f>MachineAssumptions!$S$54*E91</f>
        <v>6.146744412050535</v>
      </c>
    </row>
    <row r="92" spans="1:9" ht="20">
      <c r="A92" s="15"/>
      <c r="B92" s="85" t="str">
        <f>MachineAssumptions!B13&amp;" - Repairs"</f>
        <v>Drill - Repairs</v>
      </c>
      <c r="C92" s="41" t="s">
        <v>246</v>
      </c>
      <c r="D92" s="116">
        <f>MachineAssumptions!$T$13</f>
        <v>5.740409656342587</v>
      </c>
      <c r="E92" s="87">
        <f>FieldApplications!$K$12</f>
        <v>1</v>
      </c>
      <c r="F92" s="117">
        <f t="shared" si="12"/>
        <v>5.740409656342587</v>
      </c>
      <c r="H92" s="246">
        <f>MachineAssumptions!$T$34*E92</f>
        <v>5.740409656342587</v>
      </c>
      <c r="I92" s="166">
        <f>MachineAssumptions!$T$54*E92</f>
        <v>5.740409656342587</v>
      </c>
    </row>
    <row r="93" spans="1:9" ht="20">
      <c r="A93" s="15"/>
      <c r="B93" s="85" t="str">
        <f>MachineAssumptions!B14&amp;" - Labor"</f>
        <v>Combine w/ 36' header - Labor</v>
      </c>
      <c r="C93" s="41" t="s">
        <v>246</v>
      </c>
      <c r="D93" s="116">
        <f>MachineAssumptions!$R$14</f>
        <v>1.9161092530657748</v>
      </c>
      <c r="E93" s="87">
        <f>FieldApplications!$K$13</f>
        <v>0</v>
      </c>
      <c r="F93" s="117" t="str">
        <f t="shared" si="12"/>
        <v>0</v>
      </c>
      <c r="H93" s="246">
        <f>MachineAssumptions!$R$35*E93</f>
        <v>0</v>
      </c>
      <c r="I93" s="166">
        <f>MachineAssumptions!$R$55*E93</f>
        <v>0</v>
      </c>
    </row>
    <row r="94" spans="1:9" ht="20">
      <c r="A94" s="15"/>
      <c r="B94" s="85" t="str">
        <f>MachineAssumptions!B14&amp;" - Fuel, Lube"</f>
        <v>Combine w/ 36' header - Fuel, Lube</v>
      </c>
      <c r="C94" s="41" t="s">
        <v>246</v>
      </c>
      <c r="D94" s="116">
        <f>MachineAssumptions!$S$14</f>
        <v>7.0512820512820511</v>
      </c>
      <c r="E94" s="87">
        <f>FieldApplications!$K$13</f>
        <v>0</v>
      </c>
      <c r="F94" s="117" t="str">
        <f t="shared" si="12"/>
        <v>0</v>
      </c>
      <c r="H94" s="246">
        <f>MachineAssumptions!$S$35*E94</f>
        <v>0</v>
      </c>
      <c r="I94" s="166">
        <f>MachineAssumptions!$S$55*E94</f>
        <v>0</v>
      </c>
    </row>
    <row r="95" spans="1:9" ht="20">
      <c r="A95" s="15"/>
      <c r="B95" s="85" t="str">
        <f>MachineAssumptions!B14&amp;" - Repairs"</f>
        <v>Combine w/ 36' header - Repairs</v>
      </c>
      <c r="C95" s="41" t="s">
        <v>246</v>
      </c>
      <c r="D95" s="116">
        <f>MachineAssumptions!$T$14</f>
        <v>6.4258281801385913</v>
      </c>
      <c r="E95" s="87">
        <f>FieldApplications!$K$13</f>
        <v>0</v>
      </c>
      <c r="F95" s="117" t="str">
        <f t="shared" si="12"/>
        <v>0</v>
      </c>
      <c r="H95" s="246">
        <f>MachineAssumptions!$T$35*E95</f>
        <v>0</v>
      </c>
      <c r="I95" s="166">
        <f>MachineAssumptions!$T$55*E95</f>
        <v>0</v>
      </c>
    </row>
    <row r="96" spans="1:9" ht="20">
      <c r="A96" s="15"/>
      <c r="B96" s="85" t="str">
        <f>MachineAssumptions!B16&amp;" - Labor"</f>
        <v>Fertilizer Spreader - Labor</v>
      </c>
      <c r="C96" s="41" t="s">
        <v>246</v>
      </c>
      <c r="D96" s="116">
        <f>MachineAssumptions!$R$16</f>
        <v>0</v>
      </c>
      <c r="E96" s="87">
        <f>FieldApplications!$K$14</f>
        <v>0</v>
      </c>
      <c r="F96" s="117" t="str">
        <f t="shared" si="12"/>
        <v>0</v>
      </c>
      <c r="H96" s="246">
        <f>MachineAssumptions!$R$36*E96</f>
        <v>0</v>
      </c>
      <c r="I96" s="166">
        <f>MachineAssumptions!$R$56*E96</f>
        <v>0</v>
      </c>
    </row>
    <row r="97" spans="1:9" ht="20">
      <c r="A97" s="15"/>
      <c r="B97" s="85" t="str">
        <f>MachineAssumptions!B16&amp;" - Fuel, Lube"</f>
        <v>Fertilizer Spreader - Fuel, Lube</v>
      </c>
      <c r="C97" s="41" t="s">
        <v>246</v>
      </c>
      <c r="D97" s="116">
        <f>MachineAssumptions!$S$16</f>
        <v>0</v>
      </c>
      <c r="E97" s="87">
        <f>FieldApplications!$K$14</f>
        <v>0</v>
      </c>
      <c r="F97" s="117" t="str">
        <f t="shared" si="12"/>
        <v>0</v>
      </c>
      <c r="H97" s="246">
        <f>MachineAssumptions!$S$36*E97</f>
        <v>0</v>
      </c>
      <c r="I97" s="166">
        <f>MachineAssumptions!$S$56*E97</f>
        <v>0</v>
      </c>
    </row>
    <row r="98" spans="1:9" ht="20">
      <c r="A98" s="15"/>
      <c r="B98" s="85" t="str">
        <f>MachineAssumptions!B16&amp;" - Repairs"</f>
        <v>Fertilizer Spreader - Repairs</v>
      </c>
      <c r="C98" s="41" t="s">
        <v>246</v>
      </c>
      <c r="D98" s="116">
        <f>MachineAssumptions!$T$16</f>
        <v>0</v>
      </c>
      <c r="E98" s="87">
        <f>FieldApplications!$K$14</f>
        <v>0</v>
      </c>
      <c r="F98" s="117" t="str">
        <f t="shared" si="12"/>
        <v>0</v>
      </c>
      <c r="H98" s="246">
        <f>MachineAssumptions!$T$36*E98</f>
        <v>0</v>
      </c>
      <c r="I98" s="166">
        <f>MachineAssumptions!$T$56*E98</f>
        <v>0</v>
      </c>
    </row>
    <row r="99" spans="1:9" ht="20">
      <c r="A99" s="15"/>
      <c r="B99" s="85" t="str">
        <f>MachineAssumptions!B17&amp;" - Labor"</f>
        <v>Fertilizer tanks and pump - Labor</v>
      </c>
      <c r="C99" s="41" t="s">
        <v>246</v>
      </c>
      <c r="D99" s="116">
        <f>MachineAssumptions!$R$17</f>
        <v>2.2448979591836737</v>
      </c>
      <c r="E99" s="87">
        <f>FieldApplications!$K$15</f>
        <v>0</v>
      </c>
      <c r="F99" s="117" t="str">
        <f t="shared" si="12"/>
        <v>0</v>
      </c>
      <c r="H99" s="246">
        <f>MachineAssumptions!$R$37*E99</f>
        <v>0</v>
      </c>
      <c r="I99" s="166">
        <f>MachineAssumptions!$R$57*E99</f>
        <v>0</v>
      </c>
    </row>
    <row r="100" spans="1:9" ht="20">
      <c r="A100" s="15"/>
      <c r="B100" s="85" t="str">
        <f>MachineAssumptions!B17&amp;" - Fuel, Lube"</f>
        <v>Fertilizer tanks and pump - Fuel, Lube</v>
      </c>
      <c r="C100" s="41" t="s">
        <v>246</v>
      </c>
      <c r="D100" s="116">
        <f>MachineAssumptions!$S$17</f>
        <v>9.387755102040817</v>
      </c>
      <c r="E100" s="87">
        <f>FieldApplications!$K$15</f>
        <v>0</v>
      </c>
      <c r="F100" s="117" t="str">
        <f t="shared" si="12"/>
        <v>0</v>
      </c>
      <c r="H100" s="246">
        <f>MachineAssumptions!$S$37*E100</f>
        <v>0</v>
      </c>
      <c r="I100" s="166">
        <f>MachineAssumptions!$S$57*E100</f>
        <v>0</v>
      </c>
    </row>
    <row r="101" spans="1:9" ht="20">
      <c r="A101" s="15"/>
      <c r="B101" s="85" t="str">
        <f>MachineAssumptions!B17&amp;" - Repairs"</f>
        <v>Fertilizer tanks and pump - Repairs</v>
      </c>
      <c r="C101" s="41" t="s">
        <v>246</v>
      </c>
      <c r="D101" s="116">
        <f>MachineAssumptions!$T$17</f>
        <v>0</v>
      </c>
      <c r="E101" s="87">
        <f>FieldApplications!$K$15</f>
        <v>0</v>
      </c>
      <c r="F101" s="117" t="str">
        <f t="shared" si="12"/>
        <v>0</v>
      </c>
      <c r="H101" s="246">
        <f>MachineAssumptions!$T$37*E101</f>
        <v>0</v>
      </c>
      <c r="I101" s="166">
        <f>MachineAssumptions!$T$57*E101</f>
        <v>0</v>
      </c>
    </row>
    <row r="102" spans="1:9" ht="20">
      <c r="A102" s="15"/>
      <c r="B102" s="85" t="str">
        <f>MachineAssumptions!B18&amp;" - Labor"</f>
        <v>Boom sprayer - Labor</v>
      </c>
      <c r="C102" s="41" t="s">
        <v>246</v>
      </c>
      <c r="D102" s="116">
        <f>MachineAssumptions!$R$18</f>
        <v>0.4708120318630365</v>
      </c>
      <c r="E102" s="87">
        <f>FieldApplications!$K$16</f>
        <v>1</v>
      </c>
      <c r="F102" s="117">
        <f t="shared" si="12"/>
        <v>0.4708120318630365</v>
      </c>
      <c r="H102" s="246">
        <f>MachineAssumptions!$R$38*E102</f>
        <v>0.4708120318630365</v>
      </c>
      <c r="I102" s="166">
        <f>MachineAssumptions!$R$58*E102</f>
        <v>0.4708120318630365</v>
      </c>
    </row>
    <row r="103" spans="1:9" ht="20">
      <c r="A103" s="15"/>
      <c r="B103" s="85" t="str">
        <f>MachineAssumptions!B18&amp;" - Fuel, Lube"</f>
        <v>Boom sprayer - Fuel, Lube</v>
      </c>
      <c r="C103" s="41" t="s">
        <v>246</v>
      </c>
      <c r="D103" s="116">
        <f>MachineAssumptions!$S$18</f>
        <v>1.8047794554749732</v>
      </c>
      <c r="E103" s="87">
        <f>FieldApplications!$K$16</f>
        <v>1</v>
      </c>
      <c r="F103" s="117">
        <f t="shared" si="12"/>
        <v>1.8047794554749732</v>
      </c>
      <c r="H103" s="246">
        <f>MachineAssumptions!$S$38*E103</f>
        <v>1.8047794554749732</v>
      </c>
      <c r="I103" s="166">
        <f>MachineAssumptions!$S$58*E103</f>
        <v>1.8047794554749732</v>
      </c>
    </row>
    <row r="104" spans="1:9" ht="20">
      <c r="A104" s="15"/>
      <c r="B104" s="85" t="str">
        <f>MachineAssumptions!B18&amp;" - Repairs"</f>
        <v>Boom sprayer - Repairs</v>
      </c>
      <c r="C104" s="41" t="s">
        <v>246</v>
      </c>
      <c r="D104" s="116">
        <f>MachineAssumptions!$T$18</f>
        <v>0.49795949063219769</v>
      </c>
      <c r="E104" s="87">
        <f>FieldApplications!$K$16</f>
        <v>1</v>
      </c>
      <c r="F104" s="117">
        <f t="shared" si="12"/>
        <v>0.49795949063219769</v>
      </c>
      <c r="H104" s="246">
        <f>MachineAssumptions!$T$38*E104</f>
        <v>0.50280018563848705</v>
      </c>
      <c r="I104" s="166">
        <f>MachineAssumptions!$T$58*E104</f>
        <v>0.4510828286016228</v>
      </c>
    </row>
    <row r="105" spans="1:9" ht="20">
      <c r="A105" s="15"/>
      <c r="B105" s="85" t="str">
        <f>MachineAssumptions!B15&amp;" - Labor"</f>
        <v>Bankout Wagon - Labor</v>
      </c>
      <c r="C105" s="41" t="s">
        <v>246</v>
      </c>
      <c r="D105" s="116">
        <f>MachineAssumptions!$R$15</f>
        <v>1.6861761426978819</v>
      </c>
      <c r="E105" s="87">
        <f t="shared" ref="E105:E113" si="13">IF($E$93&gt;0,1,0)</f>
        <v>0</v>
      </c>
      <c r="F105" s="117" t="str">
        <f t="shared" si="12"/>
        <v>0</v>
      </c>
      <c r="H105" s="246">
        <f>MachineAssumptions!$R$39*E105</f>
        <v>0</v>
      </c>
      <c r="I105" s="166">
        <f>MachineAssumptions!$R$59*E105</f>
        <v>0</v>
      </c>
    </row>
    <row r="106" spans="1:9" ht="20">
      <c r="A106" s="15"/>
      <c r="B106" s="85" t="str">
        <f>MachineAssumptions!B15&amp;" - Fuel, Lube"</f>
        <v>Bankout Wagon - Fuel, Lube</v>
      </c>
      <c r="C106" s="41" t="s">
        <v>246</v>
      </c>
      <c r="D106" s="116">
        <f>MachineAssumptions!$S$15</f>
        <v>7.0512820512820511</v>
      </c>
      <c r="E106" s="87">
        <f t="shared" si="13"/>
        <v>0</v>
      </c>
      <c r="F106" s="117" t="str">
        <f t="shared" si="12"/>
        <v>0</v>
      </c>
      <c r="H106" s="246">
        <f>MachineAssumptions!$S$39*E106</f>
        <v>0</v>
      </c>
      <c r="I106" s="166">
        <f>MachineAssumptions!$S$59*E106</f>
        <v>0</v>
      </c>
    </row>
    <row r="107" spans="1:9" ht="20">
      <c r="A107" s="15"/>
      <c r="B107" s="85" t="str">
        <f>MachineAssumptions!B15&amp;" - Repairs"</f>
        <v>Bankout Wagon - Repairs</v>
      </c>
      <c r="C107" s="41" t="s">
        <v>246</v>
      </c>
      <c r="D107" s="116">
        <f>MachineAssumptions!$T$15</f>
        <v>0.5058930256896228</v>
      </c>
      <c r="E107" s="87">
        <f t="shared" si="13"/>
        <v>0</v>
      </c>
      <c r="F107" s="117" t="str">
        <f t="shared" si="12"/>
        <v>0</v>
      </c>
      <c r="H107" s="246">
        <f>MachineAssumptions!$T$39*E107</f>
        <v>0</v>
      </c>
      <c r="I107" s="166">
        <f>MachineAssumptions!$T$59*E107</f>
        <v>0</v>
      </c>
    </row>
    <row r="108" spans="1:9" ht="20">
      <c r="A108" s="15"/>
      <c r="B108" s="85" t="str">
        <f>MachineAssumptions!B19&amp;" - Labor"</f>
        <v>Tandem Axle Truck  - Labor</v>
      </c>
      <c r="C108" s="41" t="s">
        <v>246</v>
      </c>
      <c r="D108" s="116">
        <f>MachineAssumptions!$R$19</f>
        <v>3.6</v>
      </c>
      <c r="E108" s="87">
        <f t="shared" si="13"/>
        <v>0</v>
      </c>
      <c r="F108" s="117" t="str">
        <f t="shared" si="12"/>
        <v>0</v>
      </c>
      <c r="H108" s="246">
        <f>MachineAssumptions!$R$40*E108</f>
        <v>0</v>
      </c>
      <c r="I108" s="166">
        <f>MachineAssumptions!$R$60*E108</f>
        <v>0</v>
      </c>
    </row>
    <row r="109" spans="1:9" ht="20">
      <c r="A109" s="15"/>
      <c r="B109" s="85" t="str">
        <f>MachineAssumptions!B19&amp;" - Fuel, Lube"</f>
        <v>Tandem Axle Truck  - Fuel, Lube</v>
      </c>
      <c r="C109" s="41" t="s">
        <v>246</v>
      </c>
      <c r="D109" s="116">
        <f>MachineAssumptions!$S$19</f>
        <v>1.1499999999999999</v>
      </c>
      <c r="E109" s="87">
        <f t="shared" si="13"/>
        <v>0</v>
      </c>
      <c r="F109" s="117" t="str">
        <f t="shared" si="12"/>
        <v>0</v>
      </c>
      <c r="H109" s="246">
        <f>MachineAssumptions!$S$40*E109</f>
        <v>0</v>
      </c>
      <c r="I109" s="166">
        <f>MachineAssumptions!$S$60*E109</f>
        <v>0</v>
      </c>
    </row>
    <row r="110" spans="1:9" ht="20">
      <c r="A110" s="15"/>
      <c r="B110" s="85" t="str">
        <f>MachineAssumptions!B19&amp;" - Repairs"</f>
        <v>Tandem Axle Truck  - Repairs</v>
      </c>
      <c r="C110" s="41" t="s">
        <v>246</v>
      </c>
      <c r="D110" s="116">
        <f>MachineAssumptions!$T$19</f>
        <v>0.8</v>
      </c>
      <c r="E110" s="87">
        <f t="shared" si="13"/>
        <v>0</v>
      </c>
      <c r="F110" s="117" t="str">
        <f t="shared" si="12"/>
        <v>0</v>
      </c>
      <c r="H110" s="246">
        <f>MachineAssumptions!$T$40*E110</f>
        <v>0</v>
      </c>
      <c r="I110" s="166">
        <f>MachineAssumptions!$T$60*E110</f>
        <v>0</v>
      </c>
    </row>
    <row r="111" spans="1:9" ht="20">
      <c r="A111" s="15"/>
      <c r="B111" s="85" t="str">
        <f>MachineAssumptions!B20&amp;" - Labor"</f>
        <v>Tandem Axle Truck  - Labor</v>
      </c>
      <c r="C111" s="41" t="s">
        <v>246</v>
      </c>
      <c r="D111" s="116">
        <f>MachineAssumptions!$R$20</f>
        <v>3.6</v>
      </c>
      <c r="E111" s="87">
        <f t="shared" si="13"/>
        <v>0</v>
      </c>
      <c r="F111" s="117" t="str">
        <f t="shared" si="12"/>
        <v>0</v>
      </c>
      <c r="H111" s="416">
        <f>MachineAssumptions!$R$41*E111</f>
        <v>0</v>
      </c>
      <c r="I111" s="369">
        <f>MachineAssumptions!$R$61*E111</f>
        <v>0</v>
      </c>
    </row>
    <row r="112" spans="1:9" ht="20">
      <c r="A112" s="15"/>
      <c r="B112" s="85" t="str">
        <f>MachineAssumptions!B20&amp;" - Fuel, Lube"</f>
        <v>Tandem Axle Truck  - Fuel, Lube</v>
      </c>
      <c r="C112" s="41" t="s">
        <v>246</v>
      </c>
      <c r="D112" s="116">
        <f>MachineAssumptions!$S$20</f>
        <v>1.72</v>
      </c>
      <c r="E112" s="87">
        <f t="shared" si="13"/>
        <v>0</v>
      </c>
      <c r="F112" s="117" t="str">
        <f t="shared" si="12"/>
        <v>0</v>
      </c>
      <c r="H112" s="416">
        <f>MachineAssumptions!$S$41*E112</f>
        <v>0</v>
      </c>
      <c r="I112" s="369">
        <f>MachineAssumptions!$S$61*E112</f>
        <v>0</v>
      </c>
    </row>
    <row r="113" spans="1:13" ht="23">
      <c r="A113" s="15"/>
      <c r="B113" s="85" t="str">
        <f>MachineAssumptions!B20&amp;" - Repairs"</f>
        <v>Tandem Axle Truck  - Repairs</v>
      </c>
      <c r="C113" s="41" t="s">
        <v>246</v>
      </c>
      <c r="D113" s="116">
        <f>MachineAssumptions!$T$20</f>
        <v>0.8</v>
      </c>
      <c r="E113" s="87">
        <f t="shared" si="13"/>
        <v>0</v>
      </c>
      <c r="F113" s="117" t="str">
        <f t="shared" si="12"/>
        <v>0</v>
      </c>
      <c r="H113" s="248">
        <f>MachineAssumptions!$T$41*E113</f>
        <v>0</v>
      </c>
      <c r="I113" s="247">
        <f>MachineAssumptions!$T$61*E113</f>
        <v>0</v>
      </c>
    </row>
    <row r="114" spans="1:13" ht="21">
      <c r="A114" s="15"/>
      <c r="B114" s="139" t="s">
        <v>88</v>
      </c>
      <c r="C114" s="41"/>
      <c r="D114" s="116"/>
      <c r="E114" s="87"/>
      <c r="F114" s="117"/>
      <c r="H114" s="249">
        <f>SUM(H74:H113)</f>
        <v>16.335856722905092</v>
      </c>
      <c r="I114" s="249">
        <f>SUM(I74:I113)</f>
        <v>16.284139365868228</v>
      </c>
    </row>
    <row r="115" spans="1:13" ht="20">
      <c r="A115" s="15"/>
      <c r="B115" s="85" t="str">
        <f>'Chem&amp;FertInputs&amp;CInsurance'!B73</f>
        <v>Crop Insurance</v>
      </c>
      <c r="C115" s="23" t="str">
        <f>'Chem&amp;FertInputs&amp;CInsurance'!D73</f>
        <v>acre</v>
      </c>
      <c r="D115" s="116">
        <f>'Chem&amp;FertInputs&amp;CInsurance'!N73</f>
        <v>0</v>
      </c>
      <c r="E115" s="87">
        <v>1</v>
      </c>
      <c r="F115" s="117" t="str">
        <f>IF(D115*E115=0,"0",D115*E115)</f>
        <v>0</v>
      </c>
      <c r="H115" s="1" t="s">
        <v>181</v>
      </c>
      <c r="I115" s="1" t="s">
        <v>181</v>
      </c>
    </row>
    <row r="116" spans="1:13" ht="20">
      <c r="A116" s="15"/>
      <c r="B116" s="85" t="s">
        <v>29</v>
      </c>
      <c r="C116" s="41" t="s">
        <v>83</v>
      </c>
      <c r="D116" s="111">
        <f>MachineAssumptions!D25</f>
        <v>0.05</v>
      </c>
      <c r="E116" s="87"/>
      <c r="F116" s="117">
        <f>SUM(F8:F115)*D116</f>
        <v>2.8580008013949403</v>
      </c>
      <c r="H116" s="49">
        <f>(SUM($F8:$F70)+$F115+SUM(H72:H113))*$D116</f>
        <v>2.858242836145255</v>
      </c>
      <c r="I116" s="49">
        <f>(SUM($F8:$F70)+$F115+SUM(I72:I113))*$D116</f>
        <v>2.8556569682934114</v>
      </c>
      <c r="J116" s="49">
        <f>F72+F75+F78+F81+F84+F87+F90+F93+F96+F99+F102+F105+F108+F111</f>
        <v>2.141123013398508</v>
      </c>
      <c r="K116" s="1" t="s">
        <v>111</v>
      </c>
    </row>
    <row r="117" spans="1:13" ht="20">
      <c r="A117" s="15"/>
      <c r="B117" s="85" t="s">
        <v>84</v>
      </c>
      <c r="C117" s="41" t="s">
        <v>83</v>
      </c>
      <c r="D117" s="111">
        <f>MachineAssumptions!D26</f>
        <v>6.7500000000000004E-2</v>
      </c>
      <c r="E117" s="112"/>
      <c r="F117" s="118">
        <f>SUM(F8:F116)*(D117/12*MachineAssumptions!D27)</f>
        <v>3.0384121019829959</v>
      </c>
      <c r="H117" s="49">
        <f>(SUM(F8:F70)+(F115+F116+H114))*((D117/12)*MachineAssumptions!D27)</f>
        <v>3.0386571621676897</v>
      </c>
      <c r="I117" s="49">
        <f>(SUM(F8:F70)+(F115+F116+I114))*((D117/12)*MachineAssumptions!D27)</f>
        <v>3.0360389709676983</v>
      </c>
      <c r="J117" s="49">
        <f>F73+F76+F79+F82+F85+F88+F91+F94+F97+F100+F103+F106+F109+F112</f>
        <v>7.9515238675255082</v>
      </c>
      <c r="K117" s="1" t="s">
        <v>4</v>
      </c>
    </row>
    <row r="118" spans="1:13" ht="20">
      <c r="A118" s="15"/>
      <c r="B118" s="14" t="s">
        <v>85</v>
      </c>
      <c r="C118" s="29"/>
      <c r="D118" s="141"/>
      <c r="E118" s="142"/>
      <c r="F118" s="143">
        <f>SUM(F8:F117)</f>
        <v>63.056428931276741</v>
      </c>
      <c r="J118" s="49">
        <f>F74+F77+F80+F83+F86+F89+F92+F95+F98+F101+F104+F107+F110+F113</f>
        <v>6.2383691469747848</v>
      </c>
      <c r="K118" s="1" t="s">
        <v>112</v>
      </c>
      <c r="L118" s="49">
        <f>H74+H77+H80+H83+H86+H89+H92+H95+H98+H101+H104+H107+H110+H113</f>
        <v>6.2432098419810744</v>
      </c>
      <c r="M118" s="49">
        <f>I74+I77+I80+I83+I86+I89+I92+I95+I98+I101+I104+I107+I110+I113</f>
        <v>6.1914924849442095</v>
      </c>
    </row>
    <row r="119" spans="1:13">
      <c r="A119" s="15"/>
      <c r="B119" s="113"/>
      <c r="C119" s="113"/>
      <c r="D119" s="113"/>
      <c r="E119" s="114"/>
      <c r="F119" s="115"/>
      <c r="H119" s="115"/>
      <c r="J119" s="49">
        <f>SUM(J116:J118)</f>
        <v>16.331016027898801</v>
      </c>
      <c r="K119" s="115"/>
    </row>
    <row r="120" spans="1:13" ht="20">
      <c r="A120" s="15"/>
      <c r="B120" s="132" t="s">
        <v>89</v>
      </c>
      <c r="C120" s="19" t="s">
        <v>2</v>
      </c>
      <c r="D120" s="20" t="s">
        <v>12</v>
      </c>
      <c r="E120" s="21" t="s">
        <v>13</v>
      </c>
      <c r="F120" s="45" t="s">
        <v>0</v>
      </c>
      <c r="H120" s="1" t="s">
        <v>136</v>
      </c>
      <c r="I120" s="1" t="s">
        <v>139</v>
      </c>
    </row>
    <row r="121" spans="1:13" ht="20">
      <c r="A121" s="15"/>
      <c r="B121" s="18" t="str">
        <f>MachineAssumptions!B7&amp;" - Replacement Costs"</f>
        <v>Shredder - Replacement Costs</v>
      </c>
      <c r="C121" s="41" t="str">
        <f>C72</f>
        <v>acre</v>
      </c>
      <c r="D121" s="34">
        <f>MachineAssumptions!U7</f>
        <v>4.3329737628911431</v>
      </c>
      <c r="E121" s="145">
        <f>E72</f>
        <v>0</v>
      </c>
      <c r="F121" s="42" t="str">
        <f t="shared" ref="F121:F134" si="14">IF(D121*E121=0,"0",D121*E121)</f>
        <v>0</v>
      </c>
      <c r="G121" s="1" t="s">
        <v>111</v>
      </c>
      <c r="H121" s="166">
        <f>MachineAssumptions!U28*E121</f>
        <v>0</v>
      </c>
      <c r="I121" s="166">
        <f>MachineAssumptions!U48*E121</f>
        <v>0</v>
      </c>
    </row>
    <row r="122" spans="1:13" ht="20">
      <c r="A122" s="15"/>
      <c r="B122" s="18" t="str">
        <f>MachineAssumptions!B8&amp;" - Replacement Costs"</f>
        <v>Harrow - Replacement Costs</v>
      </c>
      <c r="C122" s="41" t="str">
        <f>C75</f>
        <v>acre</v>
      </c>
      <c r="D122" s="34">
        <f>MachineAssumptions!U8</f>
        <v>1.1988479209967022</v>
      </c>
      <c r="E122" s="145">
        <f>E75</f>
        <v>0</v>
      </c>
      <c r="F122" s="42" t="str">
        <f t="shared" si="14"/>
        <v>0</v>
      </c>
      <c r="G122" s="1" t="s">
        <v>4</v>
      </c>
      <c r="H122" s="166">
        <f>MachineAssumptions!U29*E122</f>
        <v>0</v>
      </c>
      <c r="I122" s="166">
        <f>MachineAssumptions!U49*E122</f>
        <v>0</v>
      </c>
    </row>
    <row r="123" spans="1:13" ht="20">
      <c r="A123" s="15"/>
      <c r="B123" s="18" t="str">
        <f>MachineAssumptions!B9&amp;" - Replacement Costs"</f>
        <v>Chisel plow - Replacement Costs</v>
      </c>
      <c r="C123" s="41" t="str">
        <f>C78</f>
        <v>acre</v>
      </c>
      <c r="D123" s="34">
        <f>MachineAssumptions!U9</f>
        <v>0</v>
      </c>
      <c r="E123" s="145">
        <f>E78</f>
        <v>0</v>
      </c>
      <c r="F123" s="42" t="str">
        <f t="shared" si="14"/>
        <v>0</v>
      </c>
      <c r="G123" s="1" t="s">
        <v>112</v>
      </c>
      <c r="H123" s="166">
        <f>MachineAssumptions!U30*E123</f>
        <v>0</v>
      </c>
      <c r="I123" s="166">
        <f>MachineAssumptions!U50*E123</f>
        <v>0</v>
      </c>
    </row>
    <row r="124" spans="1:13" ht="20">
      <c r="A124" s="15"/>
      <c r="B124" s="18" t="str">
        <f>MachineAssumptions!B10&amp;" - Replacement Costs"</f>
        <v>Moldboard plow - Replacement Costs</v>
      </c>
      <c r="C124" s="41" t="str">
        <f>C81</f>
        <v>acre</v>
      </c>
      <c r="D124" s="34">
        <f>MachineAssumptions!U10</f>
        <v>0</v>
      </c>
      <c r="E124" s="145">
        <f>E81</f>
        <v>0</v>
      </c>
      <c r="F124" s="42" t="str">
        <f t="shared" si="14"/>
        <v>0</v>
      </c>
      <c r="H124" s="166">
        <f>MachineAssumptions!U31*E124</f>
        <v>0</v>
      </c>
      <c r="I124" s="166">
        <f>MachineAssumptions!U51*E124</f>
        <v>0</v>
      </c>
    </row>
    <row r="125" spans="1:13" ht="20">
      <c r="A125" s="15"/>
      <c r="B125" s="18" t="str">
        <f>MachineAssumptions!B11&amp;" - Replacement Costs"</f>
        <v>Cultivator - Replacement Costs</v>
      </c>
      <c r="C125" s="41" t="str">
        <f t="shared" ref="C125:C126" si="15">C82</f>
        <v>acre</v>
      </c>
      <c r="D125" s="34">
        <f>MachineAssumptions!U11</f>
        <v>0</v>
      </c>
      <c r="E125" s="145">
        <f>E84</f>
        <v>0</v>
      </c>
      <c r="F125" s="42" t="str">
        <f t="shared" si="14"/>
        <v>0</v>
      </c>
      <c r="H125" s="166">
        <f>MachineAssumptions!U32*E125</f>
        <v>0</v>
      </c>
      <c r="I125" s="166">
        <f>MachineAssumptions!U52*E125</f>
        <v>0</v>
      </c>
    </row>
    <row r="126" spans="1:13" ht="20">
      <c r="A126" s="15"/>
      <c r="B126" s="18" t="str">
        <f>MachineAssumptions!B12&amp;" - Replacement Costs"</f>
        <v>Cultiweeder - Replacement Costs</v>
      </c>
      <c r="C126" s="41" t="str">
        <f t="shared" si="15"/>
        <v>acre</v>
      </c>
      <c r="D126" s="34">
        <f>MachineAssumptions!U12</f>
        <v>0</v>
      </c>
      <c r="E126" s="145">
        <f>E87</f>
        <v>0</v>
      </c>
      <c r="F126" s="42" t="str">
        <f t="shared" si="14"/>
        <v>0</v>
      </c>
      <c r="H126" s="166">
        <f>MachineAssumptions!U33*E126</f>
        <v>0</v>
      </c>
      <c r="I126" s="166">
        <f>MachineAssumptions!U53*E126</f>
        <v>0</v>
      </c>
    </row>
    <row r="127" spans="1:13" ht="20">
      <c r="A127" s="15"/>
      <c r="B127" s="18" t="str">
        <f>MachineAssumptions!B13&amp;" - Replacement Costs"</f>
        <v>Drill - Replacement Costs</v>
      </c>
      <c r="C127" s="41" t="str">
        <f>C90</f>
        <v>acre</v>
      </c>
      <c r="D127" s="34">
        <f>MachineAssumptions!U13</f>
        <v>7.2419265221735989</v>
      </c>
      <c r="E127" s="145">
        <f>E90</f>
        <v>1</v>
      </c>
      <c r="F127" s="42">
        <f t="shared" si="14"/>
        <v>7.2419265221735989</v>
      </c>
      <c r="H127" s="166">
        <f>MachineAssumptions!U34*E127</f>
        <v>7.2419265221735989</v>
      </c>
      <c r="I127" s="166">
        <f>MachineAssumptions!U54*E127</f>
        <v>7.2419265221735989</v>
      </c>
    </row>
    <row r="128" spans="1:13" ht="20">
      <c r="A128" s="15"/>
      <c r="B128" s="18" t="str">
        <f>MachineAssumptions!B14&amp;" - Replacement Costs"</f>
        <v>Combine w/ 36' header - Replacement Costs</v>
      </c>
      <c r="C128" s="41" t="str">
        <f>C93</f>
        <v>acre</v>
      </c>
      <c r="D128" s="34">
        <f>MachineAssumptions!U14</f>
        <v>9.7031999999999989</v>
      </c>
      <c r="E128" s="145">
        <f>E93</f>
        <v>0</v>
      </c>
      <c r="F128" s="42" t="str">
        <f t="shared" si="14"/>
        <v>0</v>
      </c>
      <c r="H128" s="166">
        <f>MachineAssumptions!U35*E128</f>
        <v>0</v>
      </c>
      <c r="I128" s="166">
        <f>MachineAssumptions!U55*E128</f>
        <v>0</v>
      </c>
    </row>
    <row r="129" spans="1:9" ht="20">
      <c r="A129" s="15"/>
      <c r="B129" s="18" t="str">
        <f>MachineAssumptions!B16&amp;" - Replacement Costs"</f>
        <v>Fertilizer Spreader - Replacement Costs</v>
      </c>
      <c r="C129" s="41" t="str">
        <f>C96</f>
        <v>acre</v>
      </c>
      <c r="D129" s="34">
        <f>MachineAssumptions!U16</f>
        <v>0</v>
      </c>
      <c r="E129" s="145">
        <f>E96</f>
        <v>0</v>
      </c>
      <c r="F129" s="42" t="str">
        <f t="shared" si="14"/>
        <v>0</v>
      </c>
      <c r="H129" s="166">
        <f>MachineAssumptions!U36*E129</f>
        <v>0</v>
      </c>
      <c r="I129" s="166">
        <f>MachineAssumptions!U56*E129</f>
        <v>0</v>
      </c>
    </row>
    <row r="130" spans="1:9" ht="20">
      <c r="A130" s="15"/>
      <c r="B130" s="18" t="str">
        <f>MachineAssumptions!B17&amp;" - Replacement Costs"</f>
        <v>Fertilizer tanks and pump - Replacement Costs</v>
      </c>
      <c r="C130" s="41" t="str">
        <f>C99</f>
        <v>acre</v>
      </c>
      <c r="D130" s="34">
        <f>MachineAssumptions!U17</f>
        <v>0.6</v>
      </c>
      <c r="E130" s="145">
        <f>E99</f>
        <v>0</v>
      </c>
      <c r="F130" s="42" t="str">
        <f t="shared" si="14"/>
        <v>0</v>
      </c>
      <c r="H130" s="166">
        <f>MachineAssumptions!U37*E130</f>
        <v>0</v>
      </c>
      <c r="I130" s="166">
        <f>MachineAssumptions!U57*E130</f>
        <v>0</v>
      </c>
    </row>
    <row r="131" spans="1:9" ht="20">
      <c r="A131" s="15"/>
      <c r="B131" s="18" t="str">
        <f>MachineAssumptions!B18&amp;" - Replacement Costs"</f>
        <v>Boom sprayer - Replacement Costs</v>
      </c>
      <c r="C131" s="41" t="str">
        <f>C102</f>
        <v>acre</v>
      </c>
      <c r="D131" s="34">
        <f>MachineAssumptions!U18</f>
        <v>0.80913316225248511</v>
      </c>
      <c r="E131" s="145">
        <f>E102</f>
        <v>1</v>
      </c>
      <c r="F131" s="42">
        <f t="shared" si="14"/>
        <v>0.80913316225248511</v>
      </c>
      <c r="H131" s="166">
        <f>MachineAssumptions!U38*E131</f>
        <v>0.8090118780669916</v>
      </c>
      <c r="I131" s="166">
        <f>MachineAssumptions!U58*E131</f>
        <v>0.80913316225248511</v>
      </c>
    </row>
    <row r="132" spans="1:9" ht="20">
      <c r="A132" s="15"/>
      <c r="B132" s="18" t="str">
        <f>MachineAssumptions!B15&amp;" - Replacement Costs"</f>
        <v>Bankout Wagon - Replacement Costs</v>
      </c>
      <c r="C132" s="41" t="str">
        <f>C105</f>
        <v>acre</v>
      </c>
      <c r="D132" s="34">
        <f>MachineAssumptions!U15</f>
        <v>2.9461434675395459</v>
      </c>
      <c r="E132" s="145">
        <f>E105</f>
        <v>0</v>
      </c>
      <c r="F132" s="42" t="str">
        <f t="shared" si="14"/>
        <v>0</v>
      </c>
      <c r="H132" s="166">
        <f>MachineAssumptions!U39*E132</f>
        <v>0</v>
      </c>
      <c r="I132" s="166">
        <f>MachineAssumptions!U59*E132</f>
        <v>0</v>
      </c>
    </row>
    <row r="133" spans="1:9" ht="20">
      <c r="A133" s="15"/>
      <c r="B133" s="18" t="str">
        <f>MachineAssumptions!B19&amp;" - Replacement Costs"</f>
        <v>Tandem Axle Truck  - Replacement Costs</v>
      </c>
      <c r="C133" s="41" t="str">
        <f>C108</f>
        <v>acre</v>
      </c>
      <c r="D133" s="34">
        <f>MachineAssumptions!U19</f>
        <v>0.64</v>
      </c>
      <c r="E133" s="145">
        <f>E108</f>
        <v>0</v>
      </c>
      <c r="F133" s="42" t="str">
        <f t="shared" si="14"/>
        <v>0</v>
      </c>
      <c r="H133" s="166">
        <f>MachineAssumptions!U40*E133</f>
        <v>0</v>
      </c>
      <c r="I133" s="166">
        <f>MachineAssumptions!U60*E133</f>
        <v>0</v>
      </c>
    </row>
    <row r="134" spans="1:9" ht="23">
      <c r="A134" s="15"/>
      <c r="B134" s="18" t="str">
        <f>MachineAssumptions!B20&amp;" - Replacement Costs"</f>
        <v>Tandem Axle Truck  - Replacement Costs</v>
      </c>
      <c r="C134" s="41" t="str">
        <f t="shared" ref="C134" si="16">C111</f>
        <v>acre</v>
      </c>
      <c r="D134" s="34">
        <f>MachineAssumptions!U20</f>
        <v>0.64</v>
      </c>
      <c r="E134" s="145">
        <f t="shared" ref="E134" si="17">E111</f>
        <v>0</v>
      </c>
      <c r="F134" s="43" t="str">
        <f t="shared" si="14"/>
        <v>0</v>
      </c>
      <c r="H134" s="247">
        <f>MachineAssumptions!U41*E134</f>
        <v>0</v>
      </c>
      <c r="I134" s="247">
        <f>MachineAssumptions!U61*E134</f>
        <v>0</v>
      </c>
    </row>
    <row r="135" spans="1:9" ht="20">
      <c r="A135" s="15"/>
      <c r="B135" s="144" t="s">
        <v>38</v>
      </c>
      <c r="C135" s="29"/>
      <c r="D135" s="30"/>
      <c r="E135" s="29"/>
      <c r="F135" s="46">
        <f>SUM(F121:F134)</f>
        <v>8.0510596844260842</v>
      </c>
      <c r="H135" s="46">
        <f t="shared" ref="H135:I135" si="18">SUM(H121:H134)</f>
        <v>8.0509384002405913</v>
      </c>
      <c r="I135" s="46">
        <f t="shared" si="18"/>
        <v>8.0510596844260842</v>
      </c>
    </row>
    <row r="136" spans="1:9" ht="20">
      <c r="A136" s="15"/>
      <c r="B136" s="16"/>
      <c r="C136" s="16"/>
      <c r="D136" s="17"/>
      <c r="E136" s="16"/>
      <c r="F136" s="113"/>
    </row>
    <row r="137" spans="1:9" ht="20">
      <c r="A137" s="15"/>
      <c r="B137" s="14" t="s">
        <v>31</v>
      </c>
      <c r="C137" s="29"/>
      <c r="D137" s="30"/>
      <c r="E137" s="29"/>
      <c r="F137" s="47">
        <f>F118+F135</f>
        <v>71.10748861570282</v>
      </c>
      <c r="H137" s="47">
        <f>SUM(F16:F70)+H114+F115+H116+H117+H135+F8+(H9*D9)+(H10*D10)+(H11*D11)+(H12*D12)+(H13*D13)+(H14*D14)+(H15*D15)</f>
        <v>71.112695121458628</v>
      </c>
      <c r="I137" s="47">
        <f>SUM(F16:F70)+I114+F115+I116+I117+I135+F8+(I9*D9)+(I10*D10)+(I11*D11)+(I12*D12)+(I13*D13)+(I14*D14)+(I15*D15)</f>
        <v>71.055894989555412</v>
      </c>
    </row>
    <row r="138" spans="1:9" ht="21">
      <c r="A138" s="15"/>
      <c r="B138" s="31" t="s">
        <v>32</v>
      </c>
      <c r="C138" s="32"/>
      <c r="D138" s="33"/>
      <c r="E138" s="32"/>
      <c r="F138" s="48">
        <f>F5-F137</f>
        <v>-71.10748861570282</v>
      </c>
      <c r="H138" s="250">
        <f>H5-H137</f>
        <v>-71.112695121458628</v>
      </c>
      <c r="I138" s="250">
        <f>I5-I137</f>
        <v>-71.055894989555412</v>
      </c>
    </row>
  </sheetData>
  <mergeCells count="1">
    <mergeCell ref="B2:F2"/>
  </mergeCells>
  <pageMargins left="0.7" right="0.7" top="0.75" bottom="0.75" header="0.3" footer="0.3"/>
  <pageSetup scale="57" orientation="portrait" r:id="rId1"/>
  <ignoredErrors>
    <ignoredError sqref="B135:F138 B114:F114 B90:B113 B116:F120 B115:D115 B127:C134 E127:G134 B60:D60 E124:G124 B121:C124 B84:B89 B125:F126 C13:D13 B62:E71 C14:D14 E121:G123 C9:D9 C10:D10 C11:D11 C12:D12 F14 B61:D61 C8:E8 B4:F4 B5:F7 B3:F3 B8 F8 B2 B73:B83 B72 D72:E72 D90:E113 D84:F89 D73:E83 B57:D57 B56:D56 B55:D55 B54:D54 B51:D51 B50:D50 B49:D49 B48:D48 B47:D47 B46:D46 B45:D45 B44:D44 B43:D43 B42:D42 B40:D40 B39:D39 B38:D38 B37:D37 B36:D36 B35:D35 B34:D34 B33:D33 B31:D31 B30:D30 B29:D29 B28:D28 B27:D27 B26:D26 B25:D25 B24:D24 B23:D23 B22:D22 B21:D21 B16:G20 B32:G32 E21:G21 E22:G22 E23:G23 E24:G24 E25:G25 E26:G26 E27:G27 E28:G28 E29:G29 E30:G30 E31:G31 B41:G41 E33:G33 E34:G34 E35:G35 E36:G36 E37:G37 E38:G38 E39:G39 E40:G40 B52:G53 E42:G42 E43:G43 E44:G44 E45:G45 E46:G46 E47:G47 E48:G48 E49:G49 E50:G50 E51:G51 B58:G59 E54:G54 E55:G55 E56:G56 E57:G57 E115 C15:G15 B9:B15" unlockedFormula="1"/>
    <ignoredError sqref="D127:D134 D121:D124" formula="1" unlockedFormula="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BBEBD-205B-B046-8DDC-3BE75AC62098}">
  <sheetPr codeName="Sheet12">
    <pageSetUpPr fitToPage="1"/>
  </sheetPr>
  <dimension ref="A1:R138"/>
  <sheetViews>
    <sheetView zoomScale="120" zoomScaleNormal="120" workbookViewId="0">
      <selection activeCell="B2" sqref="B2:F2"/>
    </sheetView>
  </sheetViews>
  <sheetFormatPr baseColWidth="10" defaultColWidth="11.5" defaultRowHeight="15"/>
  <cols>
    <col min="1" max="1" width="4.83203125" style="1" customWidth="1"/>
    <col min="2" max="2" width="57.83203125" style="1" customWidth="1"/>
    <col min="3" max="6" width="12.83203125" style="1" customWidth="1"/>
    <col min="7" max="16" width="11.5" style="1" hidden="1" customWidth="1"/>
    <col min="17" max="32" width="11.5" style="1" customWidth="1"/>
    <col min="33" max="16384" width="11.5" style="1"/>
  </cols>
  <sheetData>
    <row r="1" spans="1:18" ht="20">
      <c r="A1" s="352" t="s">
        <v>8</v>
      </c>
      <c r="B1" s="27"/>
      <c r="C1" s="16"/>
      <c r="D1" s="17"/>
      <c r="E1" s="16"/>
      <c r="F1" s="16"/>
    </row>
    <row r="2" spans="1:18" ht="20">
      <c r="A2" s="15"/>
      <c r="B2" s="807" t="str">
        <f>'Prices_Yields&amp;SeedInputs'!B14&amp;", Cash Costs and Returns of Producing, $/acre."</f>
        <v>Forage Crop-Genesee Area, Cash Costs and Returns of Producing, $/acre.</v>
      </c>
      <c r="C2" s="807"/>
      <c r="D2" s="807"/>
      <c r="E2" s="807"/>
      <c r="F2" s="807"/>
    </row>
    <row r="3" spans="1:18" ht="20.5" customHeight="1">
      <c r="A3" s="15"/>
      <c r="B3" s="28" t="s">
        <v>11</v>
      </c>
      <c r="C3" s="24" t="s">
        <v>2</v>
      </c>
      <c r="D3" s="25" t="s">
        <v>12</v>
      </c>
      <c r="E3" s="26" t="s">
        <v>13</v>
      </c>
      <c r="F3" s="26" t="s">
        <v>0</v>
      </c>
      <c r="H3" s="1" t="str">
        <f>'Prices_Yields&amp;SeedInputs'!F3</f>
        <v>Incremental Rotation</v>
      </c>
      <c r="I3" s="1" t="str">
        <f>'Prices_Yields&amp;SeedInputs'!G3</f>
        <v>Aspirational Rotation</v>
      </c>
      <c r="Q3" s="674"/>
      <c r="R3" s="674"/>
    </row>
    <row r="4" spans="1:18" ht="20.5" customHeight="1">
      <c r="A4" s="15"/>
      <c r="B4" s="127" t="str">
        <f>'Prices_Yields&amp;SeedInputs'!B14</f>
        <v>Forage Crop-Genesee Area</v>
      </c>
      <c r="C4" s="22" t="str">
        <f>'Prices_Yields&amp;SeedInputs'!C14</f>
        <v>acre</v>
      </c>
      <c r="D4" s="17">
        <f>'Prices_Yields&amp;SeedInputs'!D14</f>
        <v>0</v>
      </c>
      <c r="E4" s="90">
        <f>'Prices_Yields&amp;SeedInputs'!E14</f>
        <v>0</v>
      </c>
      <c r="F4" s="35">
        <f>D4*E4</f>
        <v>0</v>
      </c>
      <c r="Q4" s="674"/>
      <c r="R4" s="674"/>
    </row>
    <row r="5" spans="1:18" ht="20.5" customHeight="1">
      <c r="A5" s="15"/>
      <c r="B5" s="14" t="s">
        <v>14</v>
      </c>
      <c r="C5" s="29"/>
      <c r="D5" s="30"/>
      <c r="E5" s="29"/>
      <c r="F5" s="46">
        <f>SUM(F4:F4)</f>
        <v>0</v>
      </c>
      <c r="H5" s="1">
        <f>D4*'Prices_Yields&amp;SeedInputs'!F14</f>
        <v>0</v>
      </c>
      <c r="I5" s="1">
        <f>D4*'Prices_Yields&amp;SeedInputs'!G14</f>
        <v>0</v>
      </c>
      <c r="Q5" s="674"/>
      <c r="R5" s="674"/>
    </row>
    <row r="6" spans="1:18" ht="20.5" customHeight="1">
      <c r="A6" s="15"/>
      <c r="B6" s="16"/>
      <c r="C6" s="16"/>
      <c r="D6" s="17"/>
      <c r="E6" s="16"/>
      <c r="F6" s="44"/>
    </row>
    <row r="7" spans="1:18" ht="20">
      <c r="A7" s="15"/>
      <c r="B7" s="132" t="s">
        <v>37</v>
      </c>
      <c r="C7" s="19" t="s">
        <v>2</v>
      </c>
      <c r="D7" s="20" t="s">
        <v>12</v>
      </c>
      <c r="E7" s="21" t="s">
        <v>13</v>
      </c>
      <c r="F7" s="45" t="s">
        <v>0</v>
      </c>
    </row>
    <row r="8" spans="1:18" ht="20">
      <c r="A8" s="15"/>
      <c r="B8" s="85" t="s">
        <v>169</v>
      </c>
      <c r="C8" s="119" t="str">
        <f>'Prices_Yields&amp;SeedInputs'!H14</f>
        <v>acre</v>
      </c>
      <c r="D8" s="120">
        <f>'Prices_Yields&amp;SeedInputs'!I14</f>
        <v>23.175000000000001</v>
      </c>
      <c r="E8" s="121">
        <f>'Prices_Yields&amp;SeedInputs'!J14</f>
        <v>1</v>
      </c>
      <c r="F8" s="117">
        <f t="shared" ref="F8:F61" si="0">IF(D8*E8=0,"0",D8*E8)</f>
        <v>23.175000000000001</v>
      </c>
    </row>
    <row r="9" spans="1:18" ht="20">
      <c r="A9" s="15"/>
      <c r="B9" s="85" t="str">
        <f>'Chem&amp;FertInputs&amp;CInsurance'!B6</f>
        <v>Fertilizer - Nitrogen-</v>
      </c>
      <c r="C9" s="23" t="str">
        <f>'Chem&amp;FertInputs&amp;CInsurance'!D6</f>
        <v>pound</v>
      </c>
      <c r="D9" s="116">
        <f>'Chem&amp;FertInputs&amp;CInsurance'!E6</f>
        <v>0.48749999999999999</v>
      </c>
      <c r="E9" s="133">
        <f>'Chem&amp;FertInputs&amp;CInsurance'!O6</f>
        <v>0</v>
      </c>
      <c r="F9" s="117" t="str">
        <f t="shared" si="0"/>
        <v>0</v>
      </c>
      <c r="H9" s="1">
        <f>'Chem&amp;FertInputs&amp;CInsurance'!O7</f>
        <v>0</v>
      </c>
      <c r="I9" s="1">
        <f>'Chem&amp;FertInputs&amp;CInsurance'!O8</f>
        <v>0</v>
      </c>
    </row>
    <row r="10" spans="1:18" ht="20">
      <c r="A10" s="15"/>
      <c r="B10" s="85" t="str">
        <f>'Chem&amp;FertInputs&amp;CInsurance'!B9</f>
        <v>Fertilizer - Anhydrous Ammonia-</v>
      </c>
      <c r="C10" s="23" t="str">
        <f>'Chem&amp;FertInputs&amp;CInsurance'!D9</f>
        <v>pound</v>
      </c>
      <c r="D10" s="116">
        <f>'Chem&amp;FertInputs&amp;CInsurance'!E9</f>
        <v>0.75770000000000004</v>
      </c>
      <c r="E10" s="133">
        <f>'Chem&amp;FertInputs&amp;CInsurance'!O9</f>
        <v>0</v>
      </c>
      <c r="F10" s="117" t="str">
        <f t="shared" si="0"/>
        <v>0</v>
      </c>
      <c r="H10" s="1">
        <f>'Chem&amp;FertInputs&amp;CInsurance'!O10</f>
        <v>0</v>
      </c>
      <c r="I10" s="1">
        <f>'Chem&amp;FertInputs&amp;CInsurance'!O11</f>
        <v>0</v>
      </c>
    </row>
    <row r="11" spans="1:18" ht="20">
      <c r="A11" s="15"/>
      <c r="B11" s="85" t="str">
        <f>'Chem&amp;FertInputs&amp;CInsurance'!B12</f>
        <v xml:space="preserve">Fertilizer - Phosphorus- </v>
      </c>
      <c r="C11" s="23" t="str">
        <f>'Chem&amp;FertInputs&amp;CInsurance'!D12</f>
        <v>pound</v>
      </c>
      <c r="D11" s="116">
        <f>'Chem&amp;FertInputs&amp;CInsurance'!E12</f>
        <v>0.47499999999999998</v>
      </c>
      <c r="E11" s="133">
        <f>'Chem&amp;FertInputs&amp;CInsurance'!O12</f>
        <v>0</v>
      </c>
      <c r="F11" s="117" t="str">
        <f t="shared" si="0"/>
        <v>0</v>
      </c>
      <c r="H11" s="1">
        <f>'Chem&amp;FertInputs&amp;CInsurance'!O13</f>
        <v>0</v>
      </c>
      <c r="I11" s="1">
        <f>'Chem&amp;FertInputs&amp;CInsurance'!O14</f>
        <v>0</v>
      </c>
    </row>
    <row r="12" spans="1:18" ht="20">
      <c r="A12" s="15"/>
      <c r="B12" s="85" t="str">
        <f>'Chem&amp;FertInputs&amp;CInsurance'!B15</f>
        <v>Fertilizer - Potassium-</v>
      </c>
      <c r="C12" s="23" t="str">
        <f>'Chem&amp;FertInputs&amp;CInsurance'!D15</f>
        <v>pound</v>
      </c>
      <c r="D12" s="116">
        <f>'Chem&amp;FertInputs&amp;CInsurance'!E15</f>
        <v>0.441</v>
      </c>
      <c r="E12" s="133">
        <f>'Chem&amp;FertInputs&amp;CInsurance'!O15</f>
        <v>0</v>
      </c>
      <c r="F12" s="117" t="str">
        <f t="shared" si="0"/>
        <v>0</v>
      </c>
      <c r="H12" s="1">
        <f>'Chem&amp;FertInputs&amp;CInsurance'!O16</f>
        <v>0</v>
      </c>
      <c r="I12" s="1">
        <f>'Chem&amp;FertInputs&amp;CInsurance'!O17</f>
        <v>0</v>
      </c>
    </row>
    <row r="13" spans="1:18" ht="20">
      <c r="A13" s="15"/>
      <c r="B13" s="85" t="str">
        <f>'Chem&amp;FertInputs&amp;CInsurance'!B18</f>
        <v>Fertilizer - Sulfur-</v>
      </c>
      <c r="C13" s="23" t="str">
        <f>'Chem&amp;FertInputs&amp;CInsurance'!D18</f>
        <v>pound</v>
      </c>
      <c r="D13" s="116">
        <f>'Chem&amp;FertInputs&amp;CInsurance'!E18</f>
        <v>0.2555</v>
      </c>
      <c r="E13" s="133">
        <f>'Chem&amp;FertInputs&amp;CInsurance'!O18</f>
        <v>0</v>
      </c>
      <c r="F13" s="117" t="str">
        <f t="shared" si="0"/>
        <v>0</v>
      </c>
      <c r="H13" s="1">
        <f>'Chem&amp;FertInputs&amp;CInsurance'!O19</f>
        <v>0</v>
      </c>
      <c r="I13" s="1">
        <f>'Chem&amp;FertInputs&amp;CInsurance'!O20</f>
        <v>0</v>
      </c>
    </row>
    <row r="14" spans="1:18" ht="20">
      <c r="A14" s="15"/>
      <c r="B14" s="85" t="str">
        <f>'Chem&amp;FertInputs&amp;CInsurance'!B21</f>
        <v>Adjuvant - Ammonium Sulfate liquid-</v>
      </c>
      <c r="C14" s="23" t="str">
        <f>'Chem&amp;FertInputs&amp;CInsurance'!D21</f>
        <v>oz</v>
      </c>
      <c r="D14" s="116">
        <f>'Chem&amp;FertInputs&amp;CInsurance'!E21</f>
        <v>0.48</v>
      </c>
      <c r="E14" s="133">
        <f>'Chem&amp;FertInputs&amp;CInsurance'!O21</f>
        <v>0</v>
      </c>
      <c r="F14" s="117" t="str">
        <f t="shared" ref="F14:F20" si="1">IF(D14*E14=0,"0",D14*E14)</f>
        <v>0</v>
      </c>
      <c r="G14" s="165">
        <f>E14/128</f>
        <v>0</v>
      </c>
      <c r="H14" s="1">
        <f>'Chem&amp;FertInputs&amp;CInsurance'!O22</f>
        <v>0</v>
      </c>
      <c r="I14" s="1">
        <f>'Chem&amp;FertInputs&amp;CInsurance'!O23</f>
        <v>0</v>
      </c>
    </row>
    <row r="15" spans="1:18" ht="20">
      <c r="A15" s="15"/>
      <c r="B15" s="85" t="str">
        <f>'Chem&amp;FertInputs&amp;CInsurance'!B24</f>
        <v>Adjuvant - Ammonium Sulfate  (other)-</v>
      </c>
      <c r="C15" s="23" t="str">
        <f>'Chem&amp;FertInputs&amp;CInsurance'!D24</f>
        <v>pound</v>
      </c>
      <c r="D15" s="116">
        <f>'Chem&amp;FertInputs&amp;CInsurance'!E24</f>
        <v>0.71</v>
      </c>
      <c r="E15" s="133">
        <f>'Chem&amp;FertInputs&amp;CInsurance'!O24</f>
        <v>0</v>
      </c>
      <c r="F15" s="117" t="str">
        <f t="shared" si="1"/>
        <v>0</v>
      </c>
      <c r="G15" s="165">
        <f>E15/16</f>
        <v>0</v>
      </c>
      <c r="H15" s="1">
        <f>'Chem&amp;FertInputs&amp;CInsurance'!O25</f>
        <v>0</v>
      </c>
      <c r="I15" s="1">
        <f>'Chem&amp;FertInputs&amp;CInsurance'!O26</f>
        <v>0</v>
      </c>
    </row>
    <row r="16" spans="1:18" ht="20">
      <c r="A16" s="15"/>
      <c r="B16" s="85" t="str">
        <f>'Chem&amp;FertInputs&amp;CInsurance'!C27</f>
        <v xml:space="preserve">crop oil concentrate </v>
      </c>
      <c r="C16" s="23" t="str">
        <f>'Chem&amp;FertInputs&amp;CInsurance'!D27</f>
        <v>pint</v>
      </c>
      <c r="D16" s="116">
        <f>'Chem&amp;FertInputs&amp;CInsurance'!E27</f>
        <v>1.6559999999999999</v>
      </c>
      <c r="E16" s="133">
        <f>'Chem&amp;FertInputs&amp;CInsurance'!O27</f>
        <v>0</v>
      </c>
      <c r="F16" s="117" t="str">
        <f t="shared" si="1"/>
        <v>0</v>
      </c>
      <c r="G16" s="165">
        <f>E16/8</f>
        <v>0</v>
      </c>
    </row>
    <row r="17" spans="1:7" ht="20">
      <c r="A17" s="15"/>
      <c r="B17" s="85" t="str">
        <f>'Chem&amp;FertInputs&amp;CInsurance'!C28</f>
        <v>In-place</v>
      </c>
      <c r="C17" s="23" t="str">
        <f>'Chem&amp;FertInputs&amp;CInsurance'!D28</f>
        <v>oz</v>
      </c>
      <c r="D17" s="116">
        <f>'Chem&amp;FertInputs&amp;CInsurance'!E28</f>
        <v>0.35649999999999998</v>
      </c>
      <c r="E17" s="133">
        <f>'Chem&amp;FertInputs&amp;CInsurance'!O28</f>
        <v>0</v>
      </c>
      <c r="F17" s="117" t="str">
        <f t="shared" si="1"/>
        <v>0</v>
      </c>
      <c r="G17" s="165">
        <f>E17/128</f>
        <v>0</v>
      </c>
    </row>
    <row r="18" spans="1:7" ht="20">
      <c r="A18" s="15"/>
      <c r="B18" s="85" t="str">
        <f>'Chem&amp;FertInputs&amp;CInsurance'!C29</f>
        <v xml:space="preserve">M90 </v>
      </c>
      <c r="C18" s="23" t="str">
        <f>'Chem&amp;FertInputs&amp;CInsurance'!D29</f>
        <v>oz</v>
      </c>
      <c r="D18" s="116">
        <f>'Chem&amp;FertInputs&amp;CInsurance'!E29</f>
        <v>0.253</v>
      </c>
      <c r="E18" s="133">
        <f>'Chem&amp;FertInputs&amp;CInsurance'!O29</f>
        <v>0</v>
      </c>
      <c r="F18" s="117" t="str">
        <f t="shared" si="1"/>
        <v>0</v>
      </c>
      <c r="G18" s="165">
        <f>E18/128</f>
        <v>0</v>
      </c>
    </row>
    <row r="19" spans="1:7" ht="20">
      <c r="A19" s="15"/>
      <c r="B19" s="85" t="str">
        <f>'Chem&amp;FertInputs&amp;CInsurance'!C30</f>
        <v>Surfactant</v>
      </c>
      <c r="C19" s="23" t="str">
        <f>'Chem&amp;FertInputs&amp;CInsurance'!D30</f>
        <v>oz</v>
      </c>
      <c r="D19" s="116">
        <f>'Chem&amp;FertInputs&amp;CInsurance'!E30</f>
        <v>0.26450000000000001</v>
      </c>
      <c r="E19" s="133">
        <f>'Chem&amp;FertInputs&amp;CInsurance'!O30</f>
        <v>0</v>
      </c>
      <c r="F19" s="117" t="str">
        <f t="shared" si="1"/>
        <v>0</v>
      </c>
      <c r="G19" s="165">
        <f>E19/128</f>
        <v>0</v>
      </c>
    </row>
    <row r="20" spans="1:7" ht="20">
      <c r="A20" s="15"/>
      <c r="B20" s="85" t="str">
        <f>'Chem&amp;FertInputs&amp;CInsurance'!C31</f>
        <v>Syltac sticker</v>
      </c>
      <c r="C20" s="23" t="str">
        <f>'Chem&amp;FertInputs&amp;CInsurance'!D31</f>
        <v>pint</v>
      </c>
      <c r="D20" s="116">
        <f>'Chem&amp;FertInputs&amp;CInsurance'!E31</f>
        <v>7.1874999999999991</v>
      </c>
      <c r="E20" s="133">
        <f>'Chem&amp;FertInputs&amp;CInsurance'!O31</f>
        <v>0</v>
      </c>
      <c r="F20" s="117" t="str">
        <f t="shared" si="1"/>
        <v>0</v>
      </c>
      <c r="G20" s="165">
        <f>E20/8</f>
        <v>0</v>
      </c>
    </row>
    <row r="21" spans="1:7" ht="20">
      <c r="A21" s="15"/>
      <c r="B21" s="85" t="str">
        <f>'Chem&amp;FertInputs&amp;CInsurance'!C33</f>
        <v>2,4 - D</v>
      </c>
      <c r="C21" s="23" t="str">
        <f>'Chem&amp;FertInputs&amp;CInsurance'!D33</f>
        <v>oz</v>
      </c>
      <c r="D21" s="116">
        <f>'Chem&amp;FertInputs&amp;CInsurance'!E33</f>
        <v>0.33349999999999996</v>
      </c>
      <c r="E21" s="133">
        <f>'Chem&amp;FertInputs&amp;CInsurance'!O33</f>
        <v>20</v>
      </c>
      <c r="F21" s="117">
        <f t="shared" si="0"/>
        <v>6.669999999999999</v>
      </c>
      <c r="G21" s="165">
        <f t="shared" ref="G21:G30" si="2">E21/128</f>
        <v>0.15625</v>
      </c>
    </row>
    <row r="22" spans="1:7" ht="20">
      <c r="A22" s="15"/>
      <c r="B22" s="85" t="str">
        <f>'Chem&amp;FertInputs&amp;CInsurance'!C34</f>
        <v>Achieve SC</v>
      </c>
      <c r="C22" s="23" t="str">
        <f>'Chem&amp;FertInputs&amp;CInsurance'!D34</f>
        <v>oz</v>
      </c>
      <c r="D22" s="116">
        <f>'Chem&amp;FertInputs&amp;CInsurance'!E34</f>
        <v>1.3454999999999999</v>
      </c>
      <c r="E22" s="133">
        <f>'Chem&amp;FertInputs&amp;CInsurance'!O34</f>
        <v>0</v>
      </c>
      <c r="F22" s="117" t="str">
        <f t="shared" si="0"/>
        <v>0</v>
      </c>
      <c r="G22" s="165">
        <f t="shared" si="2"/>
        <v>0</v>
      </c>
    </row>
    <row r="23" spans="1:7" ht="20">
      <c r="A23" s="15"/>
      <c r="B23" s="85" t="str">
        <f>'Chem&amp;FertInputs&amp;CInsurance'!C35</f>
        <v>Affintity TankMix</v>
      </c>
      <c r="C23" s="23" t="str">
        <f>'Chem&amp;FertInputs&amp;CInsurance'!D35</f>
        <v>oz</v>
      </c>
      <c r="D23" s="116">
        <f>'Chem&amp;FertInputs&amp;CInsurance'!E35</f>
        <v>8.9699999999999989</v>
      </c>
      <c r="E23" s="133">
        <f>'Chem&amp;FertInputs&amp;CInsurance'!O35</f>
        <v>0</v>
      </c>
      <c r="F23" s="117" t="str">
        <f t="shared" si="0"/>
        <v>0</v>
      </c>
      <c r="G23" s="165">
        <f t="shared" si="2"/>
        <v>0</v>
      </c>
    </row>
    <row r="24" spans="1:7" ht="20">
      <c r="A24" s="15"/>
      <c r="B24" s="85" t="str">
        <f>'Chem&amp;FertInputs&amp;CInsurance'!C36</f>
        <v xml:space="preserve">Ally </v>
      </c>
      <c r="C24" s="23" t="str">
        <f>'Chem&amp;FertInputs&amp;CInsurance'!D36</f>
        <v>oz</v>
      </c>
      <c r="D24" s="116">
        <f>'Chem&amp;FertInputs&amp;CInsurance'!E36</f>
        <v>1.7249999999999999</v>
      </c>
      <c r="E24" s="133">
        <f>'Chem&amp;FertInputs&amp;CInsurance'!O36</f>
        <v>0</v>
      </c>
      <c r="F24" s="117" t="str">
        <f t="shared" si="0"/>
        <v>0</v>
      </c>
      <c r="G24" s="165">
        <f t="shared" si="2"/>
        <v>0</v>
      </c>
    </row>
    <row r="25" spans="1:7" ht="20">
      <c r="A25" s="15"/>
      <c r="B25" s="85" t="str">
        <f>'Chem&amp;FertInputs&amp;CInsurance'!C37</f>
        <v>Assure</v>
      </c>
      <c r="C25" s="23" t="str">
        <f>'Chem&amp;FertInputs&amp;CInsurance'!D37</f>
        <v>oz</v>
      </c>
      <c r="D25" s="116">
        <f>'Chem&amp;FertInputs&amp;CInsurance'!E37</f>
        <v>0.98899999999999988</v>
      </c>
      <c r="E25" s="133">
        <f>'Chem&amp;FertInputs&amp;CInsurance'!O37</f>
        <v>0</v>
      </c>
      <c r="F25" s="117" t="str">
        <f t="shared" si="0"/>
        <v>0</v>
      </c>
      <c r="G25" s="165">
        <f t="shared" si="2"/>
        <v>0</v>
      </c>
    </row>
    <row r="26" spans="1:7" ht="20">
      <c r="A26" s="15"/>
      <c r="B26" s="85" t="str">
        <f>'Chem&amp;FertInputs&amp;CInsurance'!C38</f>
        <v>Axial Star</v>
      </c>
      <c r="C26" s="23" t="str">
        <f>'Chem&amp;FertInputs&amp;CInsurance'!D38</f>
        <v>oz</v>
      </c>
      <c r="D26" s="116">
        <f>'Chem&amp;FertInputs&amp;CInsurance'!E38</f>
        <v>1.3224999999999998</v>
      </c>
      <c r="E26" s="133">
        <f>'Chem&amp;FertInputs&amp;CInsurance'!O38</f>
        <v>0</v>
      </c>
      <c r="F26" s="117" t="str">
        <f t="shared" si="0"/>
        <v>0</v>
      </c>
      <c r="G26" s="165">
        <f t="shared" si="2"/>
        <v>0</v>
      </c>
    </row>
    <row r="27" spans="1:7" ht="20">
      <c r="A27" s="15"/>
      <c r="B27" s="85" t="str">
        <f>'Chem&amp;FertInputs&amp;CInsurance'!C39</f>
        <v>Axial Bold</v>
      </c>
      <c r="C27" s="23" t="str">
        <f>'Chem&amp;FertInputs&amp;CInsurance'!D39</f>
        <v>oz</v>
      </c>
      <c r="D27" s="116">
        <f>'Chem&amp;FertInputs&amp;CInsurance'!E39</f>
        <v>1.0924999999999998</v>
      </c>
      <c r="E27" s="133">
        <f>'Chem&amp;FertInputs&amp;CInsurance'!O39</f>
        <v>0</v>
      </c>
      <c r="F27" s="117" t="str">
        <f t="shared" si="0"/>
        <v>0</v>
      </c>
      <c r="G27" s="165">
        <f t="shared" si="2"/>
        <v>0</v>
      </c>
    </row>
    <row r="28" spans="1:7" ht="20">
      <c r="A28" s="15"/>
      <c r="B28" s="85" t="str">
        <f>'Chem&amp;FertInputs&amp;CInsurance'!C40</f>
        <v>Bronate</v>
      </c>
      <c r="C28" s="23" t="str">
        <f>'Chem&amp;FertInputs&amp;CInsurance'!D40</f>
        <v>oz</v>
      </c>
      <c r="D28" s="116">
        <f>'Chem&amp;FertInputs&amp;CInsurance'!E40</f>
        <v>7.911999999999999</v>
      </c>
      <c r="E28" s="133">
        <f>'Chem&amp;FertInputs&amp;CInsurance'!O40</f>
        <v>0</v>
      </c>
      <c r="F28" s="117" t="str">
        <f t="shared" si="0"/>
        <v>0</v>
      </c>
      <c r="G28" s="165">
        <f t="shared" si="2"/>
        <v>0</v>
      </c>
    </row>
    <row r="29" spans="1:7" ht="20">
      <c r="A29" s="15"/>
      <c r="B29" s="85" t="str">
        <f>'Chem&amp;FertInputs&amp;CInsurance'!C41</f>
        <v xml:space="preserve">Brox M </v>
      </c>
      <c r="C29" s="23" t="str">
        <f>'Chem&amp;FertInputs&amp;CInsurance'!D41</f>
        <v>oz</v>
      </c>
      <c r="D29" s="116">
        <f>'Chem&amp;FertInputs&amp;CInsurance'!E41</f>
        <v>0.42549999999999999</v>
      </c>
      <c r="E29" s="133">
        <f>'Chem&amp;FertInputs&amp;CInsurance'!O41</f>
        <v>0</v>
      </c>
      <c r="F29" s="117" t="str">
        <f t="shared" si="0"/>
        <v>0</v>
      </c>
      <c r="G29" s="165">
        <f t="shared" si="2"/>
        <v>0</v>
      </c>
    </row>
    <row r="30" spans="1:7" ht="20">
      <c r="A30" s="15"/>
      <c r="B30" s="85" t="str">
        <f>'Chem&amp;FertInputs&amp;CInsurance'!C42</f>
        <v>Capture</v>
      </c>
      <c r="C30" s="23" t="str">
        <f>'Chem&amp;FertInputs&amp;CInsurance'!D42</f>
        <v>oz</v>
      </c>
      <c r="D30" s="116">
        <f>'Chem&amp;FertInputs&amp;CInsurance'!E42</f>
        <v>2.7024999999999997</v>
      </c>
      <c r="E30" s="133">
        <f>'Chem&amp;FertInputs&amp;CInsurance'!O42</f>
        <v>0</v>
      </c>
      <c r="F30" s="117" t="str">
        <f t="shared" si="0"/>
        <v>0</v>
      </c>
      <c r="G30" s="165">
        <f t="shared" si="2"/>
        <v>0</v>
      </c>
    </row>
    <row r="31" spans="1:7" ht="20">
      <c r="A31" s="15"/>
      <c r="B31" s="85" t="str">
        <f>'Chem&amp;FertInputs&amp;CInsurance'!C43</f>
        <v xml:space="preserve">Dimethoate </v>
      </c>
      <c r="C31" s="23" t="str">
        <f>'Chem&amp;FertInputs&amp;CInsurance'!D43</f>
        <v>pint</v>
      </c>
      <c r="D31" s="116">
        <f>'Chem&amp;FertInputs&amp;CInsurance'!E43</f>
        <v>7.1874999999999991</v>
      </c>
      <c r="E31" s="133">
        <f>'Chem&amp;FertInputs&amp;CInsurance'!O43</f>
        <v>0</v>
      </c>
      <c r="F31" s="117" t="str">
        <f t="shared" si="0"/>
        <v>0</v>
      </c>
      <c r="G31" s="165">
        <f>E31/8</f>
        <v>0</v>
      </c>
    </row>
    <row r="32" spans="1:7" ht="20">
      <c r="A32" s="15"/>
      <c r="B32" s="85" t="str">
        <f>'Chem&amp;FertInputs&amp;CInsurance'!C44</f>
        <v>Clethodim</v>
      </c>
      <c r="C32" s="23" t="str">
        <f>'Chem&amp;FertInputs&amp;CInsurance'!D44</f>
        <v>oz</v>
      </c>
      <c r="D32" s="116">
        <f>'Chem&amp;FertInputs&amp;CInsurance'!E44</f>
        <v>0.75900000000000001</v>
      </c>
      <c r="E32" s="133">
        <f>'Chem&amp;FertInputs&amp;CInsurance'!O44</f>
        <v>0</v>
      </c>
      <c r="F32" s="117" t="str">
        <f t="shared" ref="F32" si="3">IF(D32*E32=0,"0",D32*E32)</f>
        <v>0</v>
      </c>
      <c r="G32" s="165">
        <f t="shared" ref="G32:G37" si="4">E32/128</f>
        <v>0</v>
      </c>
    </row>
    <row r="33" spans="1:7" ht="20">
      <c r="A33" s="15"/>
      <c r="B33" s="85" t="str">
        <f>'Chem&amp;FertInputs&amp;CInsurance'!C45</f>
        <v>Discover</v>
      </c>
      <c r="C33" s="23" t="str">
        <f>'Chem&amp;FertInputs&amp;CInsurance'!D45</f>
        <v>oz</v>
      </c>
      <c r="D33" s="116">
        <f>'Chem&amp;FertInputs&amp;CInsurance'!E45</f>
        <v>1.6904999999999999</v>
      </c>
      <c r="E33" s="133">
        <f>'Chem&amp;FertInputs&amp;CInsurance'!O45</f>
        <v>0</v>
      </c>
      <c r="F33" s="117" t="str">
        <f t="shared" si="0"/>
        <v>0</v>
      </c>
      <c r="G33" s="165">
        <f t="shared" si="4"/>
        <v>0</v>
      </c>
    </row>
    <row r="34" spans="1:7" ht="20">
      <c r="A34" s="15"/>
      <c r="B34" s="85" t="str">
        <f>'Chem&amp;FertInputs&amp;CInsurance'!C46</f>
        <v>FarGO</v>
      </c>
      <c r="C34" s="23" t="str">
        <f>'Chem&amp;FertInputs&amp;CInsurance'!D46</f>
        <v>oz</v>
      </c>
      <c r="D34" s="116">
        <f>'Chem&amp;FertInputs&amp;CInsurance'!E46</f>
        <v>19.158999999999999</v>
      </c>
      <c r="E34" s="133">
        <f>'Chem&amp;FertInputs&amp;CInsurance'!O46</f>
        <v>0</v>
      </c>
      <c r="F34" s="117" t="str">
        <f t="shared" si="0"/>
        <v>0</v>
      </c>
      <c r="G34" s="165">
        <f t="shared" si="4"/>
        <v>0</v>
      </c>
    </row>
    <row r="35" spans="1:7" ht="20">
      <c r="A35" s="15"/>
      <c r="B35" s="85" t="str">
        <f>'Chem&amp;FertInputs&amp;CInsurance'!C47</f>
        <v>Finesse</v>
      </c>
      <c r="C35" s="23" t="str">
        <f>'Chem&amp;FertInputs&amp;CInsurance'!D47</f>
        <v>oz</v>
      </c>
      <c r="D35" s="116">
        <f>'Chem&amp;FertInputs&amp;CInsurance'!E47</f>
        <v>19.940999999999999</v>
      </c>
      <c r="E35" s="133">
        <f>'Chem&amp;FertInputs&amp;CInsurance'!O47</f>
        <v>0</v>
      </c>
      <c r="F35" s="117" t="str">
        <f t="shared" si="0"/>
        <v>0</v>
      </c>
      <c r="G35" s="165">
        <f t="shared" si="4"/>
        <v>0</v>
      </c>
    </row>
    <row r="36" spans="1:7" ht="20">
      <c r="A36" s="15"/>
      <c r="B36" s="85" t="str">
        <f>'Chem&amp;FertInputs&amp;CInsurance'!C48</f>
        <v>Glyphosate</v>
      </c>
      <c r="C36" s="23" t="str">
        <f>'Chem&amp;FertInputs&amp;CInsurance'!D48</f>
        <v>oz</v>
      </c>
      <c r="D36" s="116">
        <f>'Chem&amp;FertInputs&amp;CInsurance'!E48</f>
        <v>0.14949999999999999</v>
      </c>
      <c r="E36" s="133">
        <f>'Chem&amp;FertInputs&amp;CInsurance'!O48</f>
        <v>32</v>
      </c>
      <c r="F36" s="117">
        <f t="shared" si="0"/>
        <v>4.7839999999999998</v>
      </c>
      <c r="G36" s="165">
        <f t="shared" si="4"/>
        <v>0.25</v>
      </c>
    </row>
    <row r="37" spans="1:7" ht="20">
      <c r="A37" s="15"/>
      <c r="B37" s="85" t="str">
        <f>'Chem&amp;FertInputs&amp;CInsurance'!C49</f>
        <v>Huskie</v>
      </c>
      <c r="C37" s="23" t="str">
        <f>'Chem&amp;FertInputs&amp;CInsurance'!D49</f>
        <v>oz</v>
      </c>
      <c r="D37" s="116">
        <f>'Chem&amp;FertInputs&amp;CInsurance'!E49</f>
        <v>0.88549999999999995</v>
      </c>
      <c r="E37" s="133">
        <f>'Chem&amp;FertInputs&amp;CInsurance'!O49</f>
        <v>0</v>
      </c>
      <c r="F37" s="117" t="str">
        <f t="shared" si="0"/>
        <v>0</v>
      </c>
      <c r="G37" s="165">
        <f t="shared" si="4"/>
        <v>0</v>
      </c>
    </row>
    <row r="38" spans="1:7" ht="20">
      <c r="A38" s="15"/>
      <c r="B38" s="85" t="str">
        <f>'Chem&amp;FertInputs&amp;CInsurance'!C50</f>
        <v>Imidan 70</v>
      </c>
      <c r="C38" s="23" t="str">
        <f>'Chem&amp;FertInputs&amp;CInsurance'!D50</f>
        <v>lb</v>
      </c>
      <c r="D38" s="116">
        <f>'Chem&amp;FertInputs&amp;CInsurance'!E50</f>
        <v>17.295999999999999</v>
      </c>
      <c r="E38" s="133">
        <f>'Chem&amp;FertInputs&amp;CInsurance'!O50</f>
        <v>0</v>
      </c>
      <c r="F38" s="117" t="str">
        <f t="shared" si="0"/>
        <v>0</v>
      </c>
      <c r="G38" s="165">
        <f>E38/16</f>
        <v>0</v>
      </c>
    </row>
    <row r="39" spans="1:7" ht="20">
      <c r="A39" s="15"/>
      <c r="B39" s="85" t="str">
        <f>'Chem&amp;FertInputs&amp;CInsurance'!C51</f>
        <v xml:space="preserve">Maverick </v>
      </c>
      <c r="C39" s="23" t="str">
        <f>'Chem&amp;FertInputs&amp;CInsurance'!D51</f>
        <v>oz</v>
      </c>
      <c r="D39" s="116">
        <f>'Chem&amp;FertInputs&amp;CInsurance'!E51</f>
        <v>23.885499999999997</v>
      </c>
      <c r="E39" s="133">
        <f>'Chem&amp;FertInputs&amp;CInsurance'!O51</f>
        <v>0</v>
      </c>
      <c r="F39" s="117" t="str">
        <f t="shared" si="0"/>
        <v>0</v>
      </c>
      <c r="G39" s="165">
        <f t="shared" ref="G39:G51" si="5">E39/128</f>
        <v>0</v>
      </c>
    </row>
    <row r="40" spans="1:7" ht="20">
      <c r="A40" s="15"/>
      <c r="B40" s="85" t="str">
        <f>'Chem&amp;FertInputs&amp;CInsurance'!C52</f>
        <v>Osprey</v>
      </c>
      <c r="C40" s="23" t="str">
        <f>'Chem&amp;FertInputs&amp;CInsurance'!D52</f>
        <v>oz</v>
      </c>
      <c r="D40" s="116">
        <f>'Chem&amp;FertInputs&amp;CInsurance'!E52</f>
        <v>5.0484999999999989</v>
      </c>
      <c r="E40" s="133">
        <f>'Chem&amp;FertInputs&amp;CInsurance'!O52</f>
        <v>0</v>
      </c>
      <c r="F40" s="117" t="str">
        <f t="shared" si="0"/>
        <v>0</v>
      </c>
      <c r="G40" s="165">
        <f t="shared" si="5"/>
        <v>0</v>
      </c>
    </row>
    <row r="41" spans="1:7" ht="20">
      <c r="A41" s="15"/>
      <c r="B41" s="85" t="str">
        <f>'Chem&amp;FertInputs&amp;CInsurance'!C53</f>
        <v>Poast</v>
      </c>
      <c r="C41" s="23" t="str">
        <f>'Chem&amp;FertInputs&amp;CInsurance'!D53</f>
        <v>oz</v>
      </c>
      <c r="D41" s="116">
        <f>'Chem&amp;FertInputs&amp;CInsurance'!E53</f>
        <v>19.285499999999999</v>
      </c>
      <c r="E41" s="133">
        <f>'Chem&amp;FertInputs&amp;CInsurance'!O53</f>
        <v>0</v>
      </c>
      <c r="F41" s="117" t="str">
        <f t="shared" ref="F41:F42" si="6">IF(D41*E41=0,"0",D41*E41)</f>
        <v>0</v>
      </c>
      <c r="G41" s="165">
        <f t="shared" si="5"/>
        <v>0</v>
      </c>
    </row>
    <row r="42" spans="1:7" ht="20">
      <c r="A42" s="15"/>
      <c r="B42" s="85" t="str">
        <f>'Chem&amp;FertInputs&amp;CInsurance'!C54</f>
        <v>Power Flex</v>
      </c>
      <c r="C42" s="23" t="str">
        <f>'Chem&amp;FertInputs&amp;CInsurance'!D54</f>
        <v>oz</v>
      </c>
      <c r="D42" s="116">
        <f>'Chem&amp;FertInputs&amp;CInsurance'!E54</f>
        <v>8.9124999999999996</v>
      </c>
      <c r="E42" s="133">
        <f>'Chem&amp;FertInputs&amp;CInsurance'!O54</f>
        <v>0</v>
      </c>
      <c r="F42" s="117" t="str">
        <f t="shared" si="6"/>
        <v>0</v>
      </c>
      <c r="G42" s="165">
        <f t="shared" si="5"/>
        <v>0</v>
      </c>
    </row>
    <row r="43" spans="1:7" ht="20">
      <c r="A43" s="15"/>
      <c r="B43" s="85" t="str">
        <f>'Chem&amp;FertInputs&amp;CInsurance'!C55</f>
        <v>Priaxor</v>
      </c>
      <c r="C43" s="23" t="str">
        <f>'Chem&amp;FertInputs&amp;CInsurance'!D55</f>
        <v>oz</v>
      </c>
      <c r="D43" s="116">
        <f>'Chem&amp;FertInputs&amp;CInsurance'!E55</f>
        <v>3.4269999999999996</v>
      </c>
      <c r="E43" s="133">
        <f>'Chem&amp;FertInputs&amp;CInsurance'!O55</f>
        <v>0</v>
      </c>
      <c r="F43" s="117" t="str">
        <f t="shared" si="0"/>
        <v>0</v>
      </c>
      <c r="G43" s="165">
        <f t="shared" si="5"/>
        <v>0</v>
      </c>
    </row>
    <row r="44" spans="1:7" ht="20">
      <c r="A44" s="15"/>
      <c r="B44" s="85" t="str">
        <f>'Chem&amp;FertInputs&amp;CInsurance'!C56</f>
        <v>Prowl</v>
      </c>
      <c r="C44" s="23" t="str">
        <f>'Chem&amp;FertInputs&amp;CInsurance'!D56</f>
        <v>oz</v>
      </c>
      <c r="D44" s="116">
        <f>'Chem&amp;FertInputs&amp;CInsurance'!E56</f>
        <v>0.51749999999999996</v>
      </c>
      <c r="E44" s="133">
        <f>'Chem&amp;FertInputs&amp;CInsurance'!O56</f>
        <v>0</v>
      </c>
      <c r="F44" s="117" t="str">
        <f t="shared" si="0"/>
        <v>0</v>
      </c>
      <c r="G44" s="165">
        <f t="shared" si="5"/>
        <v>0</v>
      </c>
    </row>
    <row r="45" spans="1:7" ht="20">
      <c r="A45" s="15"/>
      <c r="B45" s="85" t="str">
        <f>'Chem&amp;FertInputs&amp;CInsurance'!C57</f>
        <v>Pursuit</v>
      </c>
      <c r="C45" s="23" t="str">
        <f>'Chem&amp;FertInputs&amp;CInsurance'!D57</f>
        <v>oz</v>
      </c>
      <c r="D45" s="116">
        <f>'Chem&amp;FertInputs&amp;CInsurance'!E57</f>
        <v>4.0594999999999999</v>
      </c>
      <c r="E45" s="133">
        <f>'Chem&amp;FertInputs&amp;CInsurance'!O57</f>
        <v>0</v>
      </c>
      <c r="F45" s="117" t="str">
        <f t="shared" si="0"/>
        <v>0</v>
      </c>
      <c r="G45" s="165">
        <f t="shared" si="5"/>
        <v>0</v>
      </c>
    </row>
    <row r="46" spans="1:7" ht="20">
      <c r="A46" s="15"/>
      <c r="B46" s="85" t="str">
        <f>'Chem&amp;FertInputs&amp;CInsurance'!C58</f>
        <v xml:space="preserve">Quadris </v>
      </c>
      <c r="C46" s="23" t="str">
        <f>'Chem&amp;FertInputs&amp;CInsurance'!D58</f>
        <v>oz</v>
      </c>
      <c r="D46" s="116">
        <f>'Chem&amp;FertInputs&amp;CInsurance'!E58</f>
        <v>1.127</v>
      </c>
      <c r="E46" s="133">
        <f>'Chem&amp;FertInputs&amp;CInsurance'!O58</f>
        <v>0</v>
      </c>
      <c r="F46" s="117" t="str">
        <f t="shared" si="0"/>
        <v>0</v>
      </c>
      <c r="G46" s="165">
        <f t="shared" si="5"/>
        <v>0</v>
      </c>
    </row>
    <row r="47" spans="1:7" ht="20">
      <c r="A47" s="15"/>
      <c r="B47" s="85" t="str">
        <f>'Chem&amp;FertInputs&amp;CInsurance'!C59</f>
        <v>Quilt</v>
      </c>
      <c r="C47" s="23" t="str">
        <f>'Chem&amp;FertInputs&amp;CInsurance'!D59</f>
        <v>oz</v>
      </c>
      <c r="D47" s="116">
        <f>'Chem&amp;FertInputs&amp;CInsurance'!E59</f>
        <v>1.4834999999999998</v>
      </c>
      <c r="E47" s="133">
        <f>'Chem&amp;FertInputs&amp;CInsurance'!O59</f>
        <v>0</v>
      </c>
      <c r="F47" s="117" t="str">
        <f t="shared" si="0"/>
        <v>0</v>
      </c>
      <c r="G47" s="165">
        <f t="shared" si="5"/>
        <v>0</v>
      </c>
    </row>
    <row r="48" spans="1:7" ht="20">
      <c r="A48" s="15"/>
      <c r="B48" s="85" t="str">
        <f>'Chem&amp;FertInputs&amp;CInsurance'!C60</f>
        <v>R11</v>
      </c>
      <c r="C48" s="23" t="str">
        <f>'Chem&amp;FertInputs&amp;CInsurance'!D60</f>
        <v>oz</v>
      </c>
      <c r="D48" s="116">
        <f>'Chem&amp;FertInputs&amp;CInsurance'!E60</f>
        <v>0.26450000000000001</v>
      </c>
      <c r="E48" s="133">
        <f>'Chem&amp;FertInputs&amp;CInsurance'!O60</f>
        <v>0</v>
      </c>
      <c r="F48" s="117" t="str">
        <f t="shared" si="0"/>
        <v>0</v>
      </c>
      <c r="G48" s="165">
        <f t="shared" si="5"/>
        <v>0</v>
      </c>
    </row>
    <row r="49" spans="1:7" ht="20">
      <c r="A49" s="15"/>
      <c r="B49" s="85" t="str">
        <f>'Chem&amp;FertInputs&amp;CInsurance'!C61</f>
        <v>Starane</v>
      </c>
      <c r="C49" s="23" t="str">
        <f>'Chem&amp;FertInputs&amp;CInsurance'!D61</f>
        <v>oz</v>
      </c>
      <c r="D49" s="116">
        <f>'Chem&amp;FertInputs&amp;CInsurance'!E61</f>
        <v>0.77049999999999996</v>
      </c>
      <c r="E49" s="133">
        <f>'Chem&amp;FertInputs&amp;CInsurance'!O61</f>
        <v>0</v>
      </c>
      <c r="F49" s="117" t="str">
        <f t="shared" si="0"/>
        <v>0</v>
      </c>
      <c r="G49" s="165">
        <f t="shared" si="5"/>
        <v>0</v>
      </c>
    </row>
    <row r="50" spans="1:7" ht="20">
      <c r="A50" s="15"/>
      <c r="B50" s="85" t="str">
        <f>'Chem&amp;FertInputs&amp;CInsurance'!C62</f>
        <v>Starane + Salvo</v>
      </c>
      <c r="C50" s="23" t="str">
        <f>'Chem&amp;FertInputs&amp;CInsurance'!D62</f>
        <v>oz</v>
      </c>
      <c r="D50" s="116">
        <f>'Chem&amp;FertInputs&amp;CInsurance'!E62</f>
        <v>0.77049999999999996</v>
      </c>
      <c r="E50" s="133">
        <f>'Chem&amp;FertInputs&amp;CInsurance'!O62</f>
        <v>0</v>
      </c>
      <c r="F50" s="117" t="str">
        <f t="shared" si="0"/>
        <v>0</v>
      </c>
      <c r="G50" s="165">
        <f t="shared" si="5"/>
        <v>0</v>
      </c>
    </row>
    <row r="51" spans="1:7" ht="20">
      <c r="A51" s="15"/>
      <c r="B51" s="85" t="str">
        <f>'Chem&amp;FertInputs&amp;CInsurance'!C63</f>
        <v xml:space="preserve">Starane + Sword </v>
      </c>
      <c r="C51" s="23" t="str">
        <f>'Chem&amp;FertInputs&amp;CInsurance'!D63</f>
        <v>oz</v>
      </c>
      <c r="D51" s="116">
        <f>'Chem&amp;FertInputs&amp;CInsurance'!E63</f>
        <v>0.77049999999999996</v>
      </c>
      <c r="E51" s="133">
        <f>'Chem&amp;FertInputs&amp;CInsurance'!O63</f>
        <v>0</v>
      </c>
      <c r="F51" s="117" t="str">
        <f t="shared" si="0"/>
        <v>0</v>
      </c>
      <c r="G51" s="165">
        <f t="shared" si="5"/>
        <v>0</v>
      </c>
    </row>
    <row r="52" spans="1:7" ht="20">
      <c r="A52" s="15"/>
      <c r="B52" s="85" t="str">
        <f>'Chem&amp;FertInputs&amp;CInsurance'!C64</f>
        <v xml:space="preserve"> Tilt</v>
      </c>
      <c r="C52" s="23" t="str">
        <f>'Chem&amp;FertInputs&amp;CInsurance'!D64</f>
        <v>oz</v>
      </c>
      <c r="D52" s="116">
        <f>'Chem&amp;FertInputs&amp;CInsurance'!E64</f>
        <v>0.88549999999999995</v>
      </c>
      <c r="E52" s="133">
        <f>'Chem&amp;FertInputs&amp;CInsurance'!O64</f>
        <v>0</v>
      </c>
      <c r="F52" s="117" t="str">
        <f t="shared" ref="F52:F53" si="7">IF(D52*E52=0,"0",D52*E52)</f>
        <v>0</v>
      </c>
      <c r="G52" s="165">
        <f t="shared" ref="G52:G53" si="8">E52/128</f>
        <v>0</v>
      </c>
    </row>
    <row r="53" spans="1:7" ht="20">
      <c r="A53" s="15"/>
      <c r="B53" s="85" t="str">
        <f>'Chem&amp;FertInputs&amp;CInsurance'!C65</f>
        <v xml:space="preserve">Wildcard </v>
      </c>
      <c r="C53" s="23" t="str">
        <f>'Chem&amp;FertInputs&amp;CInsurance'!D65</f>
        <v>oz</v>
      </c>
      <c r="D53" s="116">
        <f>'Chem&amp;FertInputs&amp;CInsurance'!E65</f>
        <v>0.35649999999999998</v>
      </c>
      <c r="E53" s="133">
        <f>'Chem&amp;FertInputs&amp;CInsurance'!O65</f>
        <v>0</v>
      </c>
      <c r="F53" s="117" t="str">
        <f t="shared" si="7"/>
        <v>0</v>
      </c>
      <c r="G53" s="165">
        <f t="shared" si="8"/>
        <v>0</v>
      </c>
    </row>
    <row r="54" spans="1:7" ht="20">
      <c r="A54" s="15"/>
      <c r="B54" s="85" t="str">
        <f>'Chem&amp;FertInputs&amp;CInsurance'!C66</f>
        <v>Sharpen</v>
      </c>
      <c r="C54" s="23" t="str">
        <f>'Chem&amp;FertInputs&amp;CInsurance'!D66</f>
        <v>oz</v>
      </c>
      <c r="D54" s="116">
        <f>'Chem&amp;FertInputs&amp;CInsurance'!E66</f>
        <v>6.3134999999999994</v>
      </c>
      <c r="E54" s="133">
        <f>'Chem&amp;FertInputs&amp;CInsurance'!O66</f>
        <v>0</v>
      </c>
      <c r="F54" s="117" t="str">
        <f t="shared" si="0"/>
        <v>0</v>
      </c>
      <c r="G54" s="165">
        <f>E54/128</f>
        <v>0</v>
      </c>
    </row>
    <row r="55" spans="1:7" ht="20">
      <c r="A55" s="15"/>
      <c r="B55" s="85" t="str">
        <f>'Chem&amp;FertInputs&amp;CInsurance'!C67</f>
        <v>Sencor</v>
      </c>
      <c r="C55" s="23" t="str">
        <f>'Chem&amp;FertInputs&amp;CInsurance'!D67</f>
        <v>oz</v>
      </c>
      <c r="D55" s="116">
        <f>'Chem&amp;FertInputs&amp;CInsurance'!E67</f>
        <v>0.45999999999999996</v>
      </c>
      <c r="E55" s="133">
        <f>'Chem&amp;FertInputs&amp;CInsurance'!O67</f>
        <v>0</v>
      </c>
      <c r="F55" s="117" t="str">
        <f t="shared" si="0"/>
        <v>0</v>
      </c>
      <c r="G55" s="165">
        <f>E55/128</f>
        <v>0</v>
      </c>
    </row>
    <row r="56" spans="1:7" ht="20">
      <c r="A56" s="15"/>
      <c r="B56" s="85" t="str">
        <f>'Chem&amp;FertInputs&amp;CInsurance'!C68</f>
        <v>Warrior</v>
      </c>
      <c r="C56" s="23" t="str">
        <f>'Chem&amp;FertInputs&amp;CInsurance'!D68</f>
        <v>acre</v>
      </c>
      <c r="D56" s="116">
        <f>'Chem&amp;FertInputs&amp;CInsurance'!E68</f>
        <v>3.4499999999999997</v>
      </c>
      <c r="E56" s="133">
        <f>'Chem&amp;FertInputs&amp;CInsurance'!O68</f>
        <v>0</v>
      </c>
      <c r="F56" s="117" t="str">
        <f t="shared" si="0"/>
        <v>0</v>
      </c>
      <c r="G56" s="165">
        <f>E56/128</f>
        <v>0</v>
      </c>
    </row>
    <row r="57" spans="1:7" ht="20">
      <c r="A57" s="15"/>
      <c r="B57" s="85" t="str">
        <f>'Chem&amp;FertInputs&amp;CInsurance'!C69</f>
        <v xml:space="preserve"> Lorox</v>
      </c>
      <c r="C57" s="23" t="str">
        <f>'Chem&amp;FertInputs&amp;CInsurance'!D69</f>
        <v>lb</v>
      </c>
      <c r="D57" s="116">
        <f>'Chem&amp;FertInputs&amp;CInsurance'!E69</f>
        <v>26.565000000000001</v>
      </c>
      <c r="E57" s="133">
        <f>'Chem&amp;FertInputs&amp;CInsurance'!O69</f>
        <v>0</v>
      </c>
      <c r="F57" s="117" t="str">
        <f t="shared" si="0"/>
        <v>0</v>
      </c>
      <c r="G57" s="165">
        <f>E57/128</f>
        <v>0</v>
      </c>
    </row>
    <row r="58" spans="1:7" ht="20">
      <c r="A58" s="15"/>
      <c r="B58" s="85" t="str">
        <f>'Chem&amp;FertInputs&amp;CInsurance'!C70</f>
        <v xml:space="preserve"> Valor</v>
      </c>
      <c r="C58" s="23" t="str">
        <f>'Chem&amp;FertInputs&amp;CInsurance'!D70</f>
        <v>oz</v>
      </c>
      <c r="D58" s="116">
        <f>'Chem&amp;FertInputs&amp;CInsurance'!E70</f>
        <v>6.6124999999999998</v>
      </c>
      <c r="E58" s="133">
        <f>'Chem&amp;FertInputs&amp;CInsurance'!O70</f>
        <v>0</v>
      </c>
      <c r="F58" s="117" t="str">
        <f t="shared" ref="F58:F59" si="9">IF(D58*E58=0,"0",D58*E58)</f>
        <v>0</v>
      </c>
      <c r="G58" s="165">
        <f t="shared" ref="G58:G59" si="10">E58/128</f>
        <v>0</v>
      </c>
    </row>
    <row r="59" spans="1:7" ht="20">
      <c r="A59" s="15"/>
      <c r="B59" s="85" t="str">
        <f>'Chem&amp;FertInputs&amp;CInsurance'!C71</f>
        <v xml:space="preserve"> Diagon</v>
      </c>
      <c r="C59" s="23" t="str">
        <f>'Chem&amp;FertInputs&amp;CInsurance'!D71</f>
        <v>oz</v>
      </c>
      <c r="D59" s="116">
        <f>'Chem&amp;FertInputs&amp;CInsurance'!E71</f>
        <v>0.43699999999999994</v>
      </c>
      <c r="E59" s="133">
        <f>'Chem&amp;FertInputs&amp;CInsurance'!O71</f>
        <v>0</v>
      </c>
      <c r="F59" s="117" t="str">
        <f t="shared" si="9"/>
        <v>0</v>
      </c>
      <c r="G59" s="165">
        <f t="shared" si="10"/>
        <v>0</v>
      </c>
    </row>
    <row r="60" spans="1:7" ht="20">
      <c r="A60" s="15"/>
      <c r="B60" s="85" t="str">
        <f>'Chem&amp;FertInputs&amp;CInsurance'!C72</f>
        <v xml:space="preserve">Spartan </v>
      </c>
      <c r="C60" s="23" t="str">
        <f>'Chem&amp;FertInputs&amp;CInsurance'!D72</f>
        <v>oz</v>
      </c>
      <c r="D60" s="116">
        <f>'Chem&amp;FertInputs&amp;CInsurance'!E72</f>
        <v>2.0469999999999997</v>
      </c>
      <c r="E60" s="133">
        <f>'Chem&amp;FertInputs&amp;CInsurance'!O72</f>
        <v>0</v>
      </c>
      <c r="F60" s="117" t="str">
        <f t="shared" si="0"/>
        <v>0</v>
      </c>
      <c r="G60" s="165">
        <f>E60/128</f>
        <v>0</v>
      </c>
    </row>
    <row r="61" spans="1:7" ht="23">
      <c r="A61" s="15"/>
      <c r="B61" s="85" t="str">
        <f>'Chem&amp;FertInputs&amp;CInsurance'!C32</f>
        <v xml:space="preserve">Round Up </v>
      </c>
      <c r="C61" s="23" t="str">
        <f>'Chem&amp;FertInputs&amp;CInsurance'!D32</f>
        <v>oz</v>
      </c>
      <c r="D61" s="116">
        <f>'Chem&amp;FertInputs&amp;CInsurance'!E32</f>
        <v>0.14949999999999999</v>
      </c>
      <c r="E61" s="133">
        <f>'Chem&amp;FertInputs&amp;CInsurance'!O32</f>
        <v>0</v>
      </c>
      <c r="F61" s="117" t="str">
        <f t="shared" si="0"/>
        <v>0</v>
      </c>
      <c r="G61" s="225">
        <f>E61/128</f>
        <v>0</v>
      </c>
    </row>
    <row r="62" spans="1:7" ht="20">
      <c r="A62" s="15"/>
      <c r="B62" s="139" t="s">
        <v>86</v>
      </c>
      <c r="C62" s="23"/>
      <c r="D62" s="116"/>
      <c r="E62" s="133"/>
      <c r="F62" s="117"/>
      <c r="G62" s="165">
        <f>SUM(G14:G61)</f>
        <v>0.40625</v>
      </c>
    </row>
    <row r="63" spans="1:7" ht="20">
      <c r="A63" s="15"/>
      <c r="B63" s="125" t="str">
        <f>CustomRates!B5</f>
        <v>Aerial (Custom)</v>
      </c>
      <c r="C63" s="41" t="str">
        <f>CustomRates!C5</f>
        <v>acre</v>
      </c>
      <c r="D63" s="116">
        <f>CustomRates!M5</f>
        <v>8.9499999999999993</v>
      </c>
      <c r="E63" s="87">
        <f>CustomRates!M6</f>
        <v>0</v>
      </c>
      <c r="F63" s="117" t="str">
        <f t="shared" ref="F63:F70" si="11">IF(D63*E63=0,"0",D63*E63)</f>
        <v>0</v>
      </c>
    </row>
    <row r="64" spans="1:7" ht="20">
      <c r="A64" s="15"/>
      <c r="B64" s="125" t="str">
        <f>CustomRates!B7</f>
        <v>Sprayer (Rental 90')</v>
      </c>
      <c r="C64" s="41" t="str">
        <f>CustomRates!C7</f>
        <v>acre</v>
      </c>
      <c r="D64" s="116">
        <f>CustomRates!M7</f>
        <v>8</v>
      </c>
      <c r="E64" s="87">
        <f>CustomRates!M8</f>
        <v>0</v>
      </c>
      <c r="F64" s="117" t="str">
        <f t="shared" si="11"/>
        <v>0</v>
      </c>
    </row>
    <row r="65" spans="1:9" ht="20">
      <c r="A65" s="15"/>
      <c r="B65" s="125" t="str">
        <f>CustomRates!B9</f>
        <v>Fertilizer - Anhydrous Applicator (Rent)</v>
      </c>
      <c r="C65" s="41" t="str">
        <f>CustomRates!C9</f>
        <v>acre</v>
      </c>
      <c r="D65" s="116">
        <f>CustomRates!M9</f>
        <v>7</v>
      </c>
      <c r="E65" s="87">
        <f>CustomRates!M10</f>
        <v>0</v>
      </c>
      <c r="F65" s="117" t="str">
        <f t="shared" si="11"/>
        <v>0</v>
      </c>
    </row>
    <row r="66" spans="1:9" ht="20">
      <c r="A66" s="15"/>
      <c r="B66" s="125" t="str">
        <f>CustomRates!B11</f>
        <v>Fertilizer Applicator</v>
      </c>
      <c r="C66" s="41" t="str">
        <f>CustomRates!C11</f>
        <v>acre</v>
      </c>
      <c r="D66" s="116">
        <f>CustomRates!M11</f>
        <v>2</v>
      </c>
      <c r="E66" s="87">
        <f>CustomRates!M12</f>
        <v>0</v>
      </c>
      <c r="F66" s="117" t="str">
        <f t="shared" si="11"/>
        <v>0</v>
      </c>
    </row>
    <row r="67" spans="1:9" ht="20">
      <c r="A67" s="15"/>
      <c r="B67" s="125" t="str">
        <f>CustomRates!B13</f>
        <v>26' Rental Shredder</v>
      </c>
      <c r="C67" s="41" t="str">
        <f>CustomRates!C13</f>
        <v>acre</v>
      </c>
      <c r="D67" s="116">
        <f>CustomRates!M13</f>
        <v>10</v>
      </c>
      <c r="E67" s="87">
        <f>CustomRates!M14</f>
        <v>0</v>
      </c>
      <c r="F67" s="117" t="str">
        <f t="shared" si="11"/>
        <v>0</v>
      </c>
    </row>
    <row r="68" spans="1:9" ht="20">
      <c r="A68" s="15"/>
      <c r="B68" s="125" t="str">
        <f>CustomRates!B15</f>
        <v>36' Ripper Shooter</v>
      </c>
      <c r="C68" s="41" t="str">
        <f>CustomRates!C15</f>
        <v>acre</v>
      </c>
      <c r="D68" s="116">
        <f>CustomRates!M15</f>
        <v>2.5</v>
      </c>
      <c r="E68" s="87">
        <f>CustomRates!M16</f>
        <v>0</v>
      </c>
      <c r="F68" s="117" t="str">
        <f t="shared" si="11"/>
        <v>0</v>
      </c>
    </row>
    <row r="69" spans="1:9" ht="20">
      <c r="A69" s="15"/>
      <c r="B69" s="125" t="str">
        <f>CustomRates!B17</f>
        <v>Custom self-propelled sprayer</v>
      </c>
      <c r="C69" s="41" t="str">
        <f>CustomRates!C17</f>
        <v>acre</v>
      </c>
      <c r="D69" s="116">
        <f>CustomRates!M17</f>
        <v>8</v>
      </c>
      <c r="E69" s="87">
        <f>CustomRates!M18</f>
        <v>0</v>
      </c>
      <c r="F69" s="117" t="str">
        <f t="shared" si="11"/>
        <v>0</v>
      </c>
    </row>
    <row r="70" spans="1:9" ht="20">
      <c r="A70" s="15"/>
      <c r="B70" s="125" t="str">
        <f>CustomRates!B19</f>
        <v>Additional Operation #8 (Custom)</v>
      </c>
      <c r="C70" s="41" t="str">
        <f>CustomRates!C19</f>
        <v>acre</v>
      </c>
      <c r="D70" s="116">
        <f>CustomRates!M19</f>
        <v>0</v>
      </c>
      <c r="E70" s="87">
        <f>CustomRates!M20</f>
        <v>0</v>
      </c>
      <c r="F70" s="117" t="str">
        <f t="shared" si="11"/>
        <v>0</v>
      </c>
    </row>
    <row r="71" spans="1:9" ht="20">
      <c r="A71" s="15"/>
      <c r="B71" s="139" t="s">
        <v>87</v>
      </c>
      <c r="C71" s="41"/>
      <c r="D71" s="116"/>
      <c r="E71" s="116"/>
      <c r="F71" s="117"/>
      <c r="H71" s="1" t="s">
        <v>204</v>
      </c>
      <c r="I71" s="1" t="s">
        <v>135</v>
      </c>
    </row>
    <row r="72" spans="1:9" ht="20">
      <c r="A72" s="15"/>
      <c r="B72" s="85" t="str">
        <f>MachineAssumptions!B7&amp;" - Labor"</f>
        <v>Shredder - Labor</v>
      </c>
      <c r="C72" s="41" t="s">
        <v>246</v>
      </c>
      <c r="D72" s="116">
        <f>MachineAssumptions!$R$7</f>
        <v>1.4996591683708247</v>
      </c>
      <c r="E72" s="87">
        <f>FieldApplications!$L$6</f>
        <v>0</v>
      </c>
      <c r="F72" s="117" t="str">
        <f t="shared" ref="F72:F113" si="12">IF(D72*E72=0,"0",D72*E72)</f>
        <v>0</v>
      </c>
      <c r="H72" s="246">
        <f>MachineAssumptions!$R$28*E72</f>
        <v>0</v>
      </c>
      <c r="I72" s="166">
        <f>MachineAssumptions!$R$48*E72</f>
        <v>0</v>
      </c>
    </row>
    <row r="73" spans="1:9" ht="20">
      <c r="A73" s="15"/>
      <c r="B73" s="85" t="str">
        <f>MachineAssumptions!B7&amp;" - Fuel, Lube"</f>
        <v>Shredder - Fuel, Lube</v>
      </c>
      <c r="C73" s="41" t="s">
        <v>246</v>
      </c>
      <c r="D73" s="116">
        <f>MachineAssumptions!$S$7</f>
        <v>5.7486934787548281</v>
      </c>
      <c r="E73" s="87">
        <f>FieldApplications!$L$6</f>
        <v>0</v>
      </c>
      <c r="F73" s="117" t="str">
        <f t="shared" si="12"/>
        <v>0</v>
      </c>
      <c r="H73" s="246">
        <f>MachineAssumptions!$S$28*E73</f>
        <v>0</v>
      </c>
      <c r="I73" s="166">
        <f>MachineAssumptions!$S$48*E73</f>
        <v>0</v>
      </c>
    </row>
    <row r="74" spans="1:9" ht="20">
      <c r="A74" s="15"/>
      <c r="B74" s="85" t="str">
        <f>MachineAssumptions!B7&amp;" - Repairs"</f>
        <v>Shredder - Repairs</v>
      </c>
      <c r="C74" s="41" t="s">
        <v>246</v>
      </c>
      <c r="D74" s="116">
        <f>MachineAssumptions!$T$7</f>
        <v>0.46726721181997538</v>
      </c>
      <c r="E74" s="87">
        <f>FieldApplications!$L$6</f>
        <v>0</v>
      </c>
      <c r="F74" s="117" t="str">
        <f t="shared" si="12"/>
        <v>0</v>
      </c>
      <c r="H74" s="246">
        <f>MachineAssumptions!$T$28*E74</f>
        <v>0</v>
      </c>
      <c r="I74" s="166">
        <f>MachineAssumptions!$T$48*E74</f>
        <v>0</v>
      </c>
    </row>
    <row r="75" spans="1:9" ht="20">
      <c r="A75" s="15"/>
      <c r="B75" s="85" t="str">
        <f>MachineAssumptions!B8&amp;" - Labor"</f>
        <v>Harrow - Labor</v>
      </c>
      <c r="C75" s="41" t="s">
        <v>246</v>
      </c>
      <c r="D75" s="116">
        <f>MachineAssumptions!$R$8</f>
        <v>0.59412746734753996</v>
      </c>
      <c r="E75" s="87">
        <f>FieldApplications!$L$7</f>
        <v>0</v>
      </c>
      <c r="F75" s="117" t="str">
        <f t="shared" si="12"/>
        <v>0</v>
      </c>
      <c r="H75" s="246">
        <f>MachineAssumptions!$R$29*E75</f>
        <v>0</v>
      </c>
      <c r="I75" s="166">
        <f>MachineAssumptions!$R$49*E75</f>
        <v>0</v>
      </c>
    </row>
    <row r="76" spans="1:9" ht="20">
      <c r="A76" s="15"/>
      <c r="B76" s="85" t="str">
        <f>MachineAssumptions!B8&amp;" - Fuel, Lube"</f>
        <v>Harrow - Fuel, Lube</v>
      </c>
      <c r="C76" s="41" t="s">
        <v>246</v>
      </c>
      <c r="D76" s="116">
        <f>MachineAssumptions!$S$8</f>
        <v>2.4845330452715308</v>
      </c>
      <c r="E76" s="87">
        <f>FieldApplications!$L$7</f>
        <v>0</v>
      </c>
      <c r="F76" s="117" t="str">
        <f t="shared" si="12"/>
        <v>0</v>
      </c>
      <c r="H76" s="246">
        <f>MachineAssumptions!$S$29*E76</f>
        <v>0</v>
      </c>
      <c r="I76" s="166">
        <f>MachineAssumptions!$S$49*E76</f>
        <v>0</v>
      </c>
    </row>
    <row r="77" spans="1:9" ht="20">
      <c r="A77" s="15"/>
      <c r="B77" s="85" t="str">
        <f>MachineAssumptions!B8&amp;" - Repairs"</f>
        <v>Harrow - Repairs</v>
      </c>
      <c r="C77" s="41" t="s">
        <v>246</v>
      </c>
      <c r="D77" s="116">
        <f>MachineAssumptions!$T$8</f>
        <v>0.14755184964846621</v>
      </c>
      <c r="E77" s="87">
        <f>FieldApplications!$L$7</f>
        <v>0</v>
      </c>
      <c r="F77" s="117" t="str">
        <f t="shared" si="12"/>
        <v>0</v>
      </c>
      <c r="H77" s="246">
        <f>MachineAssumptions!$T$29*E77</f>
        <v>0</v>
      </c>
      <c r="I77" s="166">
        <f>MachineAssumptions!$T$49*E77</f>
        <v>0</v>
      </c>
    </row>
    <row r="78" spans="1:9" ht="20">
      <c r="A78" s="15"/>
      <c r="B78" s="85" t="str">
        <f>MachineAssumptions!B9&amp;" - Labor"</f>
        <v>Chisel plow - Labor</v>
      </c>
      <c r="C78" s="41" t="s">
        <v>246</v>
      </c>
      <c r="D78" s="116">
        <f>MachineAssumptions!$R$9</f>
        <v>0</v>
      </c>
      <c r="E78" s="87">
        <f>FieldApplications!$L$8</f>
        <v>0</v>
      </c>
      <c r="F78" s="117" t="str">
        <f t="shared" si="12"/>
        <v>0</v>
      </c>
      <c r="H78" s="246">
        <f>MachineAssumptions!$R$30*E78</f>
        <v>0</v>
      </c>
      <c r="I78" s="166">
        <f>MachineAssumptions!$R$50*E78</f>
        <v>0</v>
      </c>
    </row>
    <row r="79" spans="1:9" ht="20">
      <c r="A79" s="15"/>
      <c r="B79" s="85" t="str">
        <f>MachineAssumptions!B9&amp;" - Fuel, Lube"</f>
        <v>Chisel plow - Fuel, Lube</v>
      </c>
      <c r="C79" s="41" t="s">
        <v>246</v>
      </c>
      <c r="D79" s="116">
        <f>MachineAssumptions!$S$9</f>
        <v>0</v>
      </c>
      <c r="E79" s="87">
        <f>FieldApplications!$L$8</f>
        <v>0</v>
      </c>
      <c r="F79" s="117" t="str">
        <f t="shared" si="12"/>
        <v>0</v>
      </c>
      <c r="H79" s="246">
        <f>MachineAssumptions!$R$30*E79</f>
        <v>0</v>
      </c>
      <c r="I79" s="166">
        <f>MachineAssumptions!$S$50*E79</f>
        <v>0</v>
      </c>
    </row>
    <row r="80" spans="1:9" ht="20">
      <c r="A80" s="15"/>
      <c r="B80" s="85" t="str">
        <f>MachineAssumptions!B9&amp;" - Repairs"</f>
        <v>Chisel plow - Repairs</v>
      </c>
      <c r="C80" s="41" t="s">
        <v>246</v>
      </c>
      <c r="D80" s="116">
        <f>MachineAssumptions!$T$9</f>
        <v>0</v>
      </c>
      <c r="E80" s="87">
        <f>FieldApplications!$L$8</f>
        <v>0</v>
      </c>
      <c r="F80" s="117" t="str">
        <f t="shared" si="12"/>
        <v>0</v>
      </c>
      <c r="H80" s="246">
        <f>MachineAssumptions!$T$30*E80</f>
        <v>0</v>
      </c>
      <c r="I80" s="166">
        <f>MachineAssumptions!$T$50*E80</f>
        <v>0</v>
      </c>
    </row>
    <row r="81" spans="1:9" ht="20">
      <c r="A81" s="15"/>
      <c r="B81" s="85" t="str">
        <f>MachineAssumptions!B10&amp;" - Labor"</f>
        <v>Moldboard plow - Labor</v>
      </c>
      <c r="C81" s="41" t="s">
        <v>246</v>
      </c>
      <c r="D81" s="116">
        <f>MachineAssumptions!$R$10</f>
        <v>0</v>
      </c>
      <c r="E81" s="87">
        <f>FieldApplications!$L$9</f>
        <v>0</v>
      </c>
      <c r="F81" s="117" t="str">
        <f t="shared" si="12"/>
        <v>0</v>
      </c>
      <c r="H81" s="246">
        <f>MachineAssumptions!$R$31*E81</f>
        <v>0</v>
      </c>
      <c r="I81" s="166">
        <f>MachineAssumptions!$R$51*E81</f>
        <v>0</v>
      </c>
    </row>
    <row r="82" spans="1:9" ht="20">
      <c r="A82" s="15"/>
      <c r="B82" s="85" t="str">
        <f>MachineAssumptions!B10&amp;" - Fuel, Lube"</f>
        <v>Moldboard plow - Fuel, Lube</v>
      </c>
      <c r="C82" s="41" t="s">
        <v>246</v>
      </c>
      <c r="D82" s="116">
        <f>MachineAssumptions!$S$10</f>
        <v>0</v>
      </c>
      <c r="E82" s="87">
        <f>FieldApplications!$L$9</f>
        <v>0</v>
      </c>
      <c r="F82" s="117" t="str">
        <f t="shared" si="12"/>
        <v>0</v>
      </c>
      <c r="H82" s="246">
        <f>MachineAssumptions!$S$31*E82</f>
        <v>0</v>
      </c>
      <c r="I82" s="166">
        <f>MachineAssumptions!$S$51*E82</f>
        <v>0</v>
      </c>
    </row>
    <row r="83" spans="1:9" ht="20">
      <c r="A83" s="15"/>
      <c r="B83" s="85" t="str">
        <f>MachineAssumptions!B10&amp;" - Repairs"</f>
        <v>Moldboard plow - Repairs</v>
      </c>
      <c r="C83" s="41" t="s">
        <v>246</v>
      </c>
      <c r="D83" s="116">
        <f>MachineAssumptions!$T$10</f>
        <v>0</v>
      </c>
      <c r="E83" s="87">
        <f>FieldApplications!$L$9</f>
        <v>0</v>
      </c>
      <c r="F83" s="117" t="str">
        <f t="shared" si="12"/>
        <v>0</v>
      </c>
      <c r="H83" s="246">
        <f>MachineAssumptions!$T$31*E83</f>
        <v>0</v>
      </c>
      <c r="I83" s="166">
        <f>MachineAssumptions!$T$51*E83</f>
        <v>0</v>
      </c>
    </row>
    <row r="84" spans="1:9" ht="20">
      <c r="A84" s="15"/>
      <c r="B84" s="85" t="str">
        <f>MachineAssumptions!B11&amp;" - Labor"</f>
        <v>Cultivator - Labor</v>
      </c>
      <c r="C84" s="41" t="s">
        <v>246</v>
      </c>
      <c r="D84" s="116">
        <f>MachineAssumptions!$R$11</f>
        <v>0</v>
      </c>
      <c r="E84" s="87">
        <f>FieldApplications!$L$10</f>
        <v>0</v>
      </c>
      <c r="F84" s="117" t="str">
        <f t="shared" si="12"/>
        <v>0</v>
      </c>
      <c r="H84" s="246">
        <f>MachineAssumptions!$R$32*E84</f>
        <v>0</v>
      </c>
      <c r="I84" s="166">
        <f>MachineAssumptions!$R$52*E84</f>
        <v>0</v>
      </c>
    </row>
    <row r="85" spans="1:9" ht="20">
      <c r="A85" s="15"/>
      <c r="B85" s="85" t="str">
        <f>MachineAssumptions!B11&amp;" - Fuel, Lube"</f>
        <v>Cultivator - Fuel, Lube</v>
      </c>
      <c r="C85" s="41" t="s">
        <v>246</v>
      </c>
      <c r="D85" s="116">
        <f>MachineAssumptions!$S$11</f>
        <v>0</v>
      </c>
      <c r="E85" s="87">
        <f>FieldApplications!$L$10</f>
        <v>0</v>
      </c>
      <c r="F85" s="117" t="str">
        <f t="shared" si="12"/>
        <v>0</v>
      </c>
      <c r="H85" s="246">
        <f>MachineAssumptions!$S$32*E85</f>
        <v>0</v>
      </c>
      <c r="I85" s="166">
        <f>MachineAssumptions!$S$52*E85</f>
        <v>0</v>
      </c>
    </row>
    <row r="86" spans="1:9" ht="20">
      <c r="A86" s="15"/>
      <c r="B86" s="85" t="str">
        <f>MachineAssumptions!B11&amp;" - Repairs"</f>
        <v>Cultivator - Repairs</v>
      </c>
      <c r="C86" s="41" t="s">
        <v>246</v>
      </c>
      <c r="D86" s="116">
        <f>MachineAssumptions!$T$11</f>
        <v>0</v>
      </c>
      <c r="E86" s="87">
        <f>FieldApplications!$L$10</f>
        <v>0</v>
      </c>
      <c r="F86" s="117" t="str">
        <f t="shared" si="12"/>
        <v>0</v>
      </c>
      <c r="H86" s="246">
        <f>MachineAssumptions!$T$32*E86</f>
        <v>0</v>
      </c>
      <c r="I86" s="166">
        <f>MachineAssumptions!$T$52*E86</f>
        <v>0</v>
      </c>
    </row>
    <row r="87" spans="1:9" ht="20">
      <c r="A87" s="15"/>
      <c r="B87" s="85" t="str">
        <f>MachineAssumptions!B12&amp;" - Labor"</f>
        <v>Cultiweeder - Labor</v>
      </c>
      <c r="C87" s="41" t="s">
        <v>246</v>
      </c>
      <c r="D87" s="116">
        <f>MachineAssumptions!$R$12</f>
        <v>0</v>
      </c>
      <c r="E87" s="87">
        <f>FieldApplications!$L$11</f>
        <v>0</v>
      </c>
      <c r="F87" s="117" t="str">
        <f t="shared" si="12"/>
        <v>0</v>
      </c>
      <c r="H87" s="246">
        <f>MachineAssumptions!$R$33*E87</f>
        <v>0</v>
      </c>
      <c r="I87" s="166">
        <f>MachineAssumptions!$R$53*E87</f>
        <v>0</v>
      </c>
    </row>
    <row r="88" spans="1:9" ht="20">
      <c r="A88" s="15"/>
      <c r="B88" s="85" t="str">
        <f>MachineAssumptions!B12&amp;" - Fuel, Lube"</f>
        <v>Cultiweeder - Fuel, Lube</v>
      </c>
      <c r="C88" s="41" t="s">
        <v>246</v>
      </c>
      <c r="D88" s="116">
        <f>MachineAssumptions!$S$12</f>
        <v>0</v>
      </c>
      <c r="E88" s="87">
        <f>FieldApplications!$L$11</f>
        <v>0</v>
      </c>
      <c r="F88" s="117" t="str">
        <f t="shared" si="12"/>
        <v>0</v>
      </c>
      <c r="H88" s="246">
        <f>MachineAssumptions!$S$33*E88</f>
        <v>0</v>
      </c>
      <c r="I88" s="166">
        <f>MachineAssumptions!$S$53*E88</f>
        <v>0</v>
      </c>
    </row>
    <row r="89" spans="1:9" ht="20">
      <c r="A89" s="15"/>
      <c r="B89" s="85" t="str">
        <f>MachineAssumptions!B12&amp;" - Repairs"</f>
        <v>Cultiweeder - Repairs</v>
      </c>
      <c r="C89" s="41" t="s">
        <v>246</v>
      </c>
      <c r="D89" s="116">
        <f>MachineAssumptions!$T$12</f>
        <v>0</v>
      </c>
      <c r="E89" s="87">
        <f>FieldApplications!$L$11</f>
        <v>0</v>
      </c>
      <c r="F89" s="117" t="str">
        <f t="shared" si="12"/>
        <v>0</v>
      </c>
      <c r="H89" s="246">
        <f>MachineAssumptions!$T$33*E89</f>
        <v>0</v>
      </c>
      <c r="I89" s="166">
        <f>MachineAssumptions!$T$53*E89</f>
        <v>0</v>
      </c>
    </row>
    <row r="90" spans="1:9" ht="20">
      <c r="A90" s="15"/>
      <c r="B90" s="85" t="str">
        <f>MachineAssumptions!B13&amp;" - Labor"</f>
        <v>Drill - Labor</v>
      </c>
      <c r="C90" s="41" t="s">
        <v>246</v>
      </c>
      <c r="D90" s="116">
        <f>MachineAssumptions!$R$13</f>
        <v>1.6703109815354713</v>
      </c>
      <c r="E90" s="87">
        <f>FieldApplications!$L$12</f>
        <v>1</v>
      </c>
      <c r="F90" s="117">
        <f t="shared" si="12"/>
        <v>1.6703109815354713</v>
      </c>
      <c r="H90" s="246">
        <f>MachineAssumptions!$R$34*E90</f>
        <v>1.6703109815354713</v>
      </c>
      <c r="I90" s="166">
        <f>MachineAssumptions!$R$54*E90</f>
        <v>1.6703109815354713</v>
      </c>
    </row>
    <row r="91" spans="1:9" ht="20">
      <c r="A91" s="15"/>
      <c r="B91" s="85" t="str">
        <f>MachineAssumptions!B13&amp;" - Fuel, Lube"</f>
        <v>Drill - Fuel, Lube</v>
      </c>
      <c r="C91" s="41" t="s">
        <v>246</v>
      </c>
      <c r="D91" s="116">
        <f>MachineAssumptions!$S$13</f>
        <v>6.146744412050535</v>
      </c>
      <c r="E91" s="87">
        <f>FieldApplications!$L$12</f>
        <v>1</v>
      </c>
      <c r="F91" s="117">
        <f t="shared" si="12"/>
        <v>6.146744412050535</v>
      </c>
      <c r="H91" s="246">
        <f>MachineAssumptions!$S$34*E91</f>
        <v>6.146744412050535</v>
      </c>
      <c r="I91" s="166">
        <f>MachineAssumptions!$S$54*E91</f>
        <v>6.146744412050535</v>
      </c>
    </row>
    <row r="92" spans="1:9" ht="20">
      <c r="A92" s="15"/>
      <c r="B92" s="85" t="str">
        <f>MachineAssumptions!B13&amp;" - Repairs"</f>
        <v>Drill - Repairs</v>
      </c>
      <c r="C92" s="41" t="s">
        <v>246</v>
      </c>
      <c r="D92" s="116">
        <f>MachineAssumptions!$T$13</f>
        <v>5.740409656342587</v>
      </c>
      <c r="E92" s="87">
        <f>FieldApplications!$L$12</f>
        <v>1</v>
      </c>
      <c r="F92" s="117">
        <f t="shared" si="12"/>
        <v>5.740409656342587</v>
      </c>
      <c r="H92" s="246">
        <f>MachineAssumptions!$T$34*E92</f>
        <v>5.740409656342587</v>
      </c>
      <c r="I92" s="166">
        <f>MachineAssumptions!$T$54*E92</f>
        <v>5.740409656342587</v>
      </c>
    </row>
    <row r="93" spans="1:9" ht="20">
      <c r="A93" s="15"/>
      <c r="B93" s="85" t="str">
        <f>MachineAssumptions!B14&amp;" - Labor"</f>
        <v>Combine w/ 36' header - Labor</v>
      </c>
      <c r="C93" s="41" t="s">
        <v>246</v>
      </c>
      <c r="D93" s="116">
        <f>MachineAssumptions!$R$14</f>
        <v>1.9161092530657748</v>
      </c>
      <c r="E93" s="87">
        <f>FieldApplications!$L$13</f>
        <v>0</v>
      </c>
      <c r="F93" s="117" t="str">
        <f t="shared" si="12"/>
        <v>0</v>
      </c>
      <c r="H93" s="246">
        <f>MachineAssumptions!$R$35*E93</f>
        <v>0</v>
      </c>
      <c r="I93" s="166">
        <f>MachineAssumptions!$R$55*E93</f>
        <v>0</v>
      </c>
    </row>
    <row r="94" spans="1:9" ht="20">
      <c r="A94" s="15"/>
      <c r="B94" s="85" t="str">
        <f>MachineAssumptions!B14&amp;" - Fuel, Lube"</f>
        <v>Combine w/ 36' header - Fuel, Lube</v>
      </c>
      <c r="C94" s="41" t="s">
        <v>246</v>
      </c>
      <c r="D94" s="116">
        <f>MachineAssumptions!$S$14</f>
        <v>7.0512820512820511</v>
      </c>
      <c r="E94" s="87">
        <f>FieldApplications!$L$13</f>
        <v>0</v>
      </c>
      <c r="F94" s="117" t="str">
        <f t="shared" si="12"/>
        <v>0</v>
      </c>
      <c r="H94" s="246">
        <f>MachineAssumptions!$S$35*E94</f>
        <v>0</v>
      </c>
      <c r="I94" s="166">
        <f>MachineAssumptions!$S$55*E94</f>
        <v>0</v>
      </c>
    </row>
    <row r="95" spans="1:9" ht="20">
      <c r="A95" s="15"/>
      <c r="B95" s="85" t="str">
        <f>MachineAssumptions!B14&amp;" - Repairs"</f>
        <v>Combine w/ 36' header - Repairs</v>
      </c>
      <c r="C95" s="41" t="s">
        <v>246</v>
      </c>
      <c r="D95" s="116">
        <f>MachineAssumptions!$T$14</f>
        <v>6.4258281801385913</v>
      </c>
      <c r="E95" s="87">
        <f>FieldApplications!$L$13</f>
        <v>0</v>
      </c>
      <c r="F95" s="117" t="str">
        <f t="shared" si="12"/>
        <v>0</v>
      </c>
      <c r="H95" s="246">
        <f>MachineAssumptions!$T$35*E95</f>
        <v>0</v>
      </c>
      <c r="I95" s="166">
        <f>MachineAssumptions!$T$55*E95</f>
        <v>0</v>
      </c>
    </row>
    <row r="96" spans="1:9" ht="20">
      <c r="A96" s="15"/>
      <c r="B96" s="85" t="str">
        <f>MachineAssumptions!B16&amp;" - Labor"</f>
        <v>Fertilizer Spreader - Labor</v>
      </c>
      <c r="C96" s="41" t="s">
        <v>246</v>
      </c>
      <c r="D96" s="116">
        <f>MachineAssumptions!$R$16</f>
        <v>0</v>
      </c>
      <c r="E96" s="87">
        <f>FieldApplications!$L$14</f>
        <v>0</v>
      </c>
      <c r="F96" s="117" t="str">
        <f t="shared" si="12"/>
        <v>0</v>
      </c>
      <c r="H96" s="246">
        <f>MachineAssumptions!$R$36*E96</f>
        <v>0</v>
      </c>
      <c r="I96" s="166">
        <f>MachineAssumptions!$R$56*E96</f>
        <v>0</v>
      </c>
    </row>
    <row r="97" spans="1:9" ht="20">
      <c r="A97" s="15"/>
      <c r="B97" s="85" t="str">
        <f>MachineAssumptions!B16&amp;" - Fuel, Lube"</f>
        <v>Fertilizer Spreader - Fuel, Lube</v>
      </c>
      <c r="C97" s="41" t="s">
        <v>246</v>
      </c>
      <c r="D97" s="116">
        <f>MachineAssumptions!$S$16</f>
        <v>0</v>
      </c>
      <c r="E97" s="87">
        <f>FieldApplications!$L$14</f>
        <v>0</v>
      </c>
      <c r="F97" s="117" t="str">
        <f t="shared" si="12"/>
        <v>0</v>
      </c>
      <c r="H97" s="246">
        <f>MachineAssumptions!$S$36*E97</f>
        <v>0</v>
      </c>
      <c r="I97" s="166">
        <f>MachineAssumptions!$S$56*E97</f>
        <v>0</v>
      </c>
    </row>
    <row r="98" spans="1:9" ht="20">
      <c r="A98" s="15"/>
      <c r="B98" s="85" t="str">
        <f>MachineAssumptions!B16&amp;" - Repairs"</f>
        <v>Fertilizer Spreader - Repairs</v>
      </c>
      <c r="C98" s="41" t="s">
        <v>246</v>
      </c>
      <c r="D98" s="116">
        <f>MachineAssumptions!$T$16</f>
        <v>0</v>
      </c>
      <c r="E98" s="87">
        <f>FieldApplications!$L$14</f>
        <v>0</v>
      </c>
      <c r="F98" s="117" t="str">
        <f t="shared" si="12"/>
        <v>0</v>
      </c>
      <c r="H98" s="246">
        <f>MachineAssumptions!$T$36*E98</f>
        <v>0</v>
      </c>
      <c r="I98" s="166">
        <f>MachineAssumptions!$T$56*E98</f>
        <v>0</v>
      </c>
    </row>
    <row r="99" spans="1:9" ht="20">
      <c r="A99" s="15"/>
      <c r="B99" s="85" t="str">
        <f>MachineAssumptions!B17&amp;" - Labor"</f>
        <v>Fertilizer tanks and pump - Labor</v>
      </c>
      <c r="C99" s="41" t="s">
        <v>246</v>
      </c>
      <c r="D99" s="116">
        <f>MachineAssumptions!$R$17</f>
        <v>2.2448979591836737</v>
      </c>
      <c r="E99" s="87">
        <f>FieldApplications!$L$15</f>
        <v>0</v>
      </c>
      <c r="F99" s="117" t="str">
        <f t="shared" si="12"/>
        <v>0</v>
      </c>
      <c r="H99" s="246">
        <f>MachineAssumptions!$R$37*E99</f>
        <v>0</v>
      </c>
      <c r="I99" s="166">
        <f>MachineAssumptions!$R$57*E99</f>
        <v>0</v>
      </c>
    </row>
    <row r="100" spans="1:9" ht="20">
      <c r="A100" s="15"/>
      <c r="B100" s="85" t="str">
        <f>MachineAssumptions!B17&amp;" - Fuel, Lube"</f>
        <v>Fertilizer tanks and pump - Fuel, Lube</v>
      </c>
      <c r="C100" s="41" t="s">
        <v>246</v>
      </c>
      <c r="D100" s="116">
        <f>MachineAssumptions!$S$17</f>
        <v>9.387755102040817</v>
      </c>
      <c r="E100" s="87">
        <f>FieldApplications!$L$15</f>
        <v>0</v>
      </c>
      <c r="F100" s="117" t="str">
        <f t="shared" si="12"/>
        <v>0</v>
      </c>
      <c r="H100" s="246">
        <f>MachineAssumptions!$S$37*E100</f>
        <v>0</v>
      </c>
      <c r="I100" s="166">
        <f>MachineAssumptions!$S$57*E100</f>
        <v>0</v>
      </c>
    </row>
    <row r="101" spans="1:9" ht="20">
      <c r="A101" s="15"/>
      <c r="B101" s="85" t="str">
        <f>MachineAssumptions!B17&amp;" - Repairs"</f>
        <v>Fertilizer tanks and pump - Repairs</v>
      </c>
      <c r="C101" s="41" t="s">
        <v>246</v>
      </c>
      <c r="D101" s="116">
        <f>MachineAssumptions!$T$17</f>
        <v>0</v>
      </c>
      <c r="E101" s="87">
        <f>FieldApplications!$L$15</f>
        <v>0</v>
      </c>
      <c r="F101" s="117" t="str">
        <f t="shared" si="12"/>
        <v>0</v>
      </c>
      <c r="H101" s="246">
        <f>MachineAssumptions!$T$37*E101</f>
        <v>0</v>
      </c>
      <c r="I101" s="166">
        <f>MachineAssumptions!$T$57*E101</f>
        <v>0</v>
      </c>
    </row>
    <row r="102" spans="1:9" ht="20">
      <c r="A102" s="15"/>
      <c r="B102" s="85" t="str">
        <f>MachineAssumptions!B18&amp;" - Labor"</f>
        <v>Boom sprayer - Labor</v>
      </c>
      <c r="C102" s="41" t="s">
        <v>246</v>
      </c>
      <c r="D102" s="116">
        <f>MachineAssumptions!$R$18</f>
        <v>0.4708120318630365</v>
      </c>
      <c r="E102" s="87">
        <f>FieldApplications!$L$16</f>
        <v>1</v>
      </c>
      <c r="F102" s="117">
        <f t="shared" si="12"/>
        <v>0.4708120318630365</v>
      </c>
      <c r="H102" s="246">
        <f>MachineAssumptions!$R$38*E102</f>
        <v>0.4708120318630365</v>
      </c>
      <c r="I102" s="166">
        <f>MachineAssumptions!$R$58*E102</f>
        <v>0.4708120318630365</v>
      </c>
    </row>
    <row r="103" spans="1:9" ht="20">
      <c r="A103" s="15"/>
      <c r="B103" s="85" t="str">
        <f>MachineAssumptions!B18&amp;" - Fuel, Lube"</f>
        <v>Boom sprayer - Fuel, Lube</v>
      </c>
      <c r="C103" s="41" t="s">
        <v>246</v>
      </c>
      <c r="D103" s="116">
        <f>MachineAssumptions!$S$18</f>
        <v>1.8047794554749732</v>
      </c>
      <c r="E103" s="87">
        <f>FieldApplications!$L$16</f>
        <v>1</v>
      </c>
      <c r="F103" s="117">
        <f t="shared" si="12"/>
        <v>1.8047794554749732</v>
      </c>
      <c r="H103" s="246">
        <f>MachineAssumptions!$S$38*E103</f>
        <v>1.8047794554749732</v>
      </c>
      <c r="I103" s="166">
        <f>MachineAssumptions!$S$58*E103</f>
        <v>1.8047794554749732</v>
      </c>
    </row>
    <row r="104" spans="1:9" ht="20">
      <c r="A104" s="15"/>
      <c r="B104" s="85" t="str">
        <f>MachineAssumptions!B18&amp;" - Repairs"</f>
        <v>Boom sprayer - Repairs</v>
      </c>
      <c r="C104" s="41" t="s">
        <v>246</v>
      </c>
      <c r="D104" s="116">
        <f>MachineAssumptions!$T$18</f>
        <v>0.49795949063219769</v>
      </c>
      <c r="E104" s="87">
        <f>FieldApplications!$L$16</f>
        <v>1</v>
      </c>
      <c r="F104" s="117">
        <f t="shared" si="12"/>
        <v>0.49795949063219769</v>
      </c>
      <c r="H104" s="246">
        <f>MachineAssumptions!$T$38*E104</f>
        <v>0.50280018563848705</v>
      </c>
      <c r="I104" s="166">
        <f>MachineAssumptions!$T$58*E104</f>
        <v>0.4510828286016228</v>
      </c>
    </row>
    <row r="105" spans="1:9" ht="20">
      <c r="A105" s="15"/>
      <c r="B105" s="85" t="str">
        <f>MachineAssumptions!B15&amp;" - Labor"</f>
        <v>Bankout Wagon - Labor</v>
      </c>
      <c r="C105" s="41" t="s">
        <v>246</v>
      </c>
      <c r="D105" s="116">
        <f>MachineAssumptions!$R$15</f>
        <v>1.6861761426978819</v>
      </c>
      <c r="E105" s="87">
        <f t="shared" ref="E105:E113" si="13">IF($E$93&gt;0,1,0)</f>
        <v>0</v>
      </c>
      <c r="F105" s="117" t="str">
        <f t="shared" si="12"/>
        <v>0</v>
      </c>
      <c r="H105" s="246">
        <f>MachineAssumptions!$R$39*E105</f>
        <v>0</v>
      </c>
      <c r="I105" s="166">
        <f>MachineAssumptions!$R$59*E105</f>
        <v>0</v>
      </c>
    </row>
    <row r="106" spans="1:9" ht="20">
      <c r="A106" s="15"/>
      <c r="B106" s="85" t="str">
        <f>MachineAssumptions!B15&amp;" - Fuel, Lube"</f>
        <v>Bankout Wagon - Fuel, Lube</v>
      </c>
      <c r="C106" s="41" t="s">
        <v>246</v>
      </c>
      <c r="D106" s="116">
        <f>MachineAssumptions!$S$15</f>
        <v>7.0512820512820511</v>
      </c>
      <c r="E106" s="87">
        <f t="shared" si="13"/>
        <v>0</v>
      </c>
      <c r="F106" s="117" t="str">
        <f t="shared" si="12"/>
        <v>0</v>
      </c>
      <c r="H106" s="246">
        <f>MachineAssumptions!$S$39*E106</f>
        <v>0</v>
      </c>
      <c r="I106" s="166">
        <f>MachineAssumptions!$S$59*E106</f>
        <v>0</v>
      </c>
    </row>
    <row r="107" spans="1:9" ht="20">
      <c r="A107" s="15"/>
      <c r="B107" s="85" t="str">
        <f>MachineAssumptions!B15&amp;" - Repairs"</f>
        <v>Bankout Wagon - Repairs</v>
      </c>
      <c r="C107" s="41" t="s">
        <v>246</v>
      </c>
      <c r="D107" s="116">
        <f>MachineAssumptions!$T$15</f>
        <v>0.5058930256896228</v>
      </c>
      <c r="E107" s="87">
        <f t="shared" si="13"/>
        <v>0</v>
      </c>
      <c r="F107" s="117" t="str">
        <f t="shared" si="12"/>
        <v>0</v>
      </c>
      <c r="H107" s="246">
        <f>MachineAssumptions!$T$39*E107</f>
        <v>0</v>
      </c>
      <c r="I107" s="166">
        <f>MachineAssumptions!$T$59*E107</f>
        <v>0</v>
      </c>
    </row>
    <row r="108" spans="1:9" ht="20">
      <c r="A108" s="15"/>
      <c r="B108" s="85" t="str">
        <f>MachineAssumptions!B19&amp;" - Labor"</f>
        <v>Tandem Axle Truck  - Labor</v>
      </c>
      <c r="C108" s="41" t="s">
        <v>246</v>
      </c>
      <c r="D108" s="116">
        <f>MachineAssumptions!$R$19</f>
        <v>3.6</v>
      </c>
      <c r="E108" s="87">
        <f t="shared" si="13"/>
        <v>0</v>
      </c>
      <c r="F108" s="117" t="str">
        <f t="shared" si="12"/>
        <v>0</v>
      </c>
      <c r="H108" s="246">
        <f>MachineAssumptions!$R$40*E108</f>
        <v>0</v>
      </c>
      <c r="I108" s="166">
        <f>MachineAssumptions!$R$60*E108</f>
        <v>0</v>
      </c>
    </row>
    <row r="109" spans="1:9" ht="20">
      <c r="A109" s="15"/>
      <c r="B109" s="85" t="str">
        <f>MachineAssumptions!B19&amp;" - Fuel, Lube"</f>
        <v>Tandem Axle Truck  - Fuel, Lube</v>
      </c>
      <c r="C109" s="41" t="s">
        <v>246</v>
      </c>
      <c r="D109" s="116">
        <f>MachineAssumptions!$S$19</f>
        <v>1.1499999999999999</v>
      </c>
      <c r="E109" s="87">
        <f t="shared" si="13"/>
        <v>0</v>
      </c>
      <c r="F109" s="117" t="str">
        <f t="shared" si="12"/>
        <v>0</v>
      </c>
      <c r="H109" s="246">
        <f>MachineAssumptions!$S$40*E109</f>
        <v>0</v>
      </c>
      <c r="I109" s="166">
        <f>MachineAssumptions!$S$60*E109</f>
        <v>0</v>
      </c>
    </row>
    <row r="110" spans="1:9" ht="20">
      <c r="A110" s="15"/>
      <c r="B110" s="85" t="str">
        <f>MachineAssumptions!B19&amp;" - Repairs"</f>
        <v>Tandem Axle Truck  - Repairs</v>
      </c>
      <c r="C110" s="41" t="s">
        <v>246</v>
      </c>
      <c r="D110" s="116">
        <f>MachineAssumptions!$T$19</f>
        <v>0.8</v>
      </c>
      <c r="E110" s="87">
        <f t="shared" si="13"/>
        <v>0</v>
      </c>
      <c r="F110" s="117" t="str">
        <f t="shared" si="12"/>
        <v>0</v>
      </c>
      <c r="H110" s="246">
        <f>MachineAssumptions!$T$40*E110</f>
        <v>0</v>
      </c>
      <c r="I110" s="166">
        <f>MachineAssumptions!$T$60*E110</f>
        <v>0</v>
      </c>
    </row>
    <row r="111" spans="1:9" ht="20">
      <c r="A111" s="15"/>
      <c r="B111" s="85" t="str">
        <f>MachineAssumptions!B20&amp;" - Labor"</f>
        <v>Tandem Axle Truck  - Labor</v>
      </c>
      <c r="C111" s="41" t="s">
        <v>246</v>
      </c>
      <c r="D111" s="116">
        <f>MachineAssumptions!$R$20</f>
        <v>3.6</v>
      </c>
      <c r="E111" s="87">
        <f t="shared" si="13"/>
        <v>0</v>
      </c>
      <c r="F111" s="117" t="str">
        <f t="shared" si="12"/>
        <v>0</v>
      </c>
      <c r="H111" s="416">
        <f>MachineAssumptions!$R$41*E111</f>
        <v>0</v>
      </c>
      <c r="I111" s="369">
        <f>MachineAssumptions!$R$61*E111</f>
        <v>0</v>
      </c>
    </row>
    <row r="112" spans="1:9" ht="20">
      <c r="A112" s="15"/>
      <c r="B112" s="85" t="str">
        <f>MachineAssumptions!B20&amp;" - Fuel, Lube"</f>
        <v>Tandem Axle Truck  - Fuel, Lube</v>
      </c>
      <c r="C112" s="41" t="s">
        <v>246</v>
      </c>
      <c r="D112" s="116">
        <f>MachineAssumptions!$S$20</f>
        <v>1.72</v>
      </c>
      <c r="E112" s="87">
        <f t="shared" si="13"/>
        <v>0</v>
      </c>
      <c r="F112" s="117" t="str">
        <f t="shared" si="12"/>
        <v>0</v>
      </c>
      <c r="H112" s="416">
        <f>MachineAssumptions!$S$41*E112</f>
        <v>0</v>
      </c>
      <c r="I112" s="369">
        <f>MachineAssumptions!$S$61*E112</f>
        <v>0</v>
      </c>
    </row>
    <row r="113" spans="1:13" ht="23">
      <c r="A113" s="15"/>
      <c r="B113" s="85" t="str">
        <f>MachineAssumptions!B20&amp;" - Repairs"</f>
        <v>Tandem Axle Truck  - Repairs</v>
      </c>
      <c r="C113" s="41" t="s">
        <v>246</v>
      </c>
      <c r="D113" s="116">
        <f>MachineAssumptions!$T$20</f>
        <v>0.8</v>
      </c>
      <c r="E113" s="87">
        <f t="shared" si="13"/>
        <v>0</v>
      </c>
      <c r="F113" s="117" t="str">
        <f t="shared" si="12"/>
        <v>0</v>
      </c>
      <c r="H113" s="248">
        <f>MachineAssumptions!$T$41*E113</f>
        <v>0</v>
      </c>
      <c r="I113" s="247">
        <f>MachineAssumptions!$T$61*E113</f>
        <v>0</v>
      </c>
    </row>
    <row r="114" spans="1:13" ht="21">
      <c r="A114" s="15"/>
      <c r="B114" s="139" t="s">
        <v>88</v>
      </c>
      <c r="C114" s="41"/>
      <c r="D114" s="116"/>
      <c r="E114" s="87"/>
      <c r="F114" s="117"/>
      <c r="H114" s="249">
        <f>SUM(H74:H113)</f>
        <v>16.335856722905092</v>
      </c>
      <c r="I114" s="249">
        <f>SUM(I74:I113)</f>
        <v>16.284139365868228</v>
      </c>
    </row>
    <row r="115" spans="1:13" ht="20">
      <c r="A115" s="15"/>
      <c r="B115" s="85" t="str">
        <f>'Chem&amp;FertInputs&amp;CInsurance'!B73</f>
        <v>Crop Insurance</v>
      </c>
      <c r="C115" s="23" t="str">
        <f>'Chem&amp;FertInputs&amp;CInsurance'!D73</f>
        <v>acre</v>
      </c>
      <c r="D115" s="116">
        <f>'Chem&amp;FertInputs&amp;CInsurance'!O73</f>
        <v>0</v>
      </c>
      <c r="E115" s="87">
        <v>1</v>
      </c>
      <c r="F115" s="117" t="str">
        <f>IF(D115*E115=0,"0",D115*E115)</f>
        <v>0</v>
      </c>
      <c r="H115" s="1" t="s">
        <v>181</v>
      </c>
      <c r="I115" s="1" t="s">
        <v>181</v>
      </c>
    </row>
    <row r="116" spans="1:13" ht="20">
      <c r="A116" s="15"/>
      <c r="B116" s="85" t="s">
        <v>29</v>
      </c>
      <c r="C116" s="41" t="s">
        <v>83</v>
      </c>
      <c r="D116" s="111">
        <f>MachineAssumptions!D25</f>
        <v>0.05</v>
      </c>
      <c r="E116" s="87"/>
      <c r="F116" s="117">
        <f>SUM(F8:F115)*D116</f>
        <v>2.5480008013949398</v>
      </c>
      <c r="H116" s="49">
        <f>(SUM($F8:$F70)+$F115+SUM(H72:H113))*$D116</f>
        <v>2.5482428361452545</v>
      </c>
      <c r="I116" s="49">
        <f>(SUM($F8:$F70)+$F115+SUM(I72:I113))*$D116</f>
        <v>2.5456569682934114</v>
      </c>
      <c r="J116" s="49">
        <f>F72+F75+F78+F81+F84+F87+F90+F93+F96+F99+F102+F105+F108+F111</f>
        <v>2.141123013398508</v>
      </c>
      <c r="K116" s="1" t="s">
        <v>111</v>
      </c>
    </row>
    <row r="117" spans="1:13" ht="20">
      <c r="A117" s="15"/>
      <c r="B117" s="85" t="s">
        <v>84</v>
      </c>
      <c r="C117" s="41" t="s">
        <v>83</v>
      </c>
      <c r="D117" s="111">
        <f>MachineAssumptions!D26</f>
        <v>6.7500000000000004E-2</v>
      </c>
      <c r="E117" s="112"/>
      <c r="F117" s="118">
        <f>SUM(F8:F116)*(D117/12*MachineAssumptions!D27)</f>
        <v>2.7088433519829955</v>
      </c>
      <c r="H117" s="49">
        <f>(SUM(F8:F70)+(F115+F116+H114))*((D117/12)*MachineAssumptions!D27)</f>
        <v>2.7090884121676893</v>
      </c>
      <c r="I117" s="49">
        <f>(SUM(F8:F70)+(F115+F116+I114))*((D117/12)*MachineAssumptions!D27)</f>
        <v>2.7064702209676978</v>
      </c>
      <c r="J117" s="49">
        <f>F73+F76+F79+F82+F85+F88+F91+F94+F97+F100+F103+F106+F109+F112</f>
        <v>7.9515238675255082</v>
      </c>
      <c r="K117" s="1" t="s">
        <v>4</v>
      </c>
    </row>
    <row r="118" spans="1:13" ht="20">
      <c r="A118" s="15"/>
      <c r="B118" s="14" t="s">
        <v>85</v>
      </c>
      <c r="C118" s="29"/>
      <c r="D118" s="141"/>
      <c r="E118" s="142"/>
      <c r="F118" s="143">
        <f>SUM(F8:F117)</f>
        <v>56.216860181276729</v>
      </c>
      <c r="J118" s="49">
        <f>F74+F77+F80+F83+F86+F89+F92+F95+F98+F101+F104+F107+F110+F113</f>
        <v>6.2383691469747848</v>
      </c>
      <c r="K118" s="1" t="s">
        <v>112</v>
      </c>
      <c r="L118" s="49">
        <f>H74+H77+H80+H83+H86+H89+H92+H95+H98+H101+H104+H107+H110+H113</f>
        <v>6.2432098419810744</v>
      </c>
      <c r="M118" s="49">
        <f>I74+I77+I80+I83+I86+I89+I92+I95+I98+I101+I104+I107+I110+I113</f>
        <v>6.1914924849442095</v>
      </c>
    </row>
    <row r="119" spans="1:13">
      <c r="A119" s="15"/>
      <c r="B119" s="113"/>
      <c r="C119" s="113"/>
      <c r="D119" s="113"/>
      <c r="E119" s="114"/>
      <c r="F119" s="115"/>
      <c r="H119" s="115"/>
      <c r="J119" s="49">
        <f>SUM(J116:J118)</f>
        <v>16.331016027898801</v>
      </c>
      <c r="K119" s="115"/>
    </row>
    <row r="120" spans="1:13" ht="20">
      <c r="A120" s="15"/>
      <c r="B120" s="132" t="s">
        <v>89</v>
      </c>
      <c r="C120" s="19" t="s">
        <v>2</v>
      </c>
      <c r="D120" s="20" t="s">
        <v>12</v>
      </c>
      <c r="E120" s="21" t="s">
        <v>13</v>
      </c>
      <c r="F120" s="45" t="s">
        <v>0</v>
      </c>
      <c r="H120" s="1" t="s">
        <v>136</v>
      </c>
      <c r="I120" s="1" t="s">
        <v>139</v>
      </c>
    </row>
    <row r="121" spans="1:13" ht="20">
      <c r="A121" s="15"/>
      <c r="B121" s="18" t="str">
        <f>MachineAssumptions!B7&amp;" - Replacement Costs"</f>
        <v>Shredder - Replacement Costs</v>
      </c>
      <c r="C121" s="41" t="str">
        <f>C72</f>
        <v>acre</v>
      </c>
      <c r="D121" s="34">
        <f>MachineAssumptions!U7</f>
        <v>4.3329737628911431</v>
      </c>
      <c r="E121" s="145">
        <f>E72</f>
        <v>0</v>
      </c>
      <c r="F121" s="42" t="str">
        <f t="shared" ref="F121:F134" si="14">IF(D121*E121=0,"0",D121*E121)</f>
        <v>0</v>
      </c>
      <c r="G121" s="1" t="s">
        <v>111</v>
      </c>
      <c r="H121" s="166">
        <f>MachineAssumptions!U28*E121</f>
        <v>0</v>
      </c>
      <c r="I121" s="166">
        <f>MachineAssumptions!U48*E121</f>
        <v>0</v>
      </c>
    </row>
    <row r="122" spans="1:13" ht="20">
      <c r="A122" s="15"/>
      <c r="B122" s="18" t="str">
        <f>MachineAssumptions!B8&amp;" - Replacement Costs"</f>
        <v>Harrow - Replacement Costs</v>
      </c>
      <c r="C122" s="41" t="str">
        <f>C75</f>
        <v>acre</v>
      </c>
      <c r="D122" s="34">
        <f>MachineAssumptions!U8</f>
        <v>1.1988479209967022</v>
      </c>
      <c r="E122" s="145">
        <f>E75</f>
        <v>0</v>
      </c>
      <c r="F122" s="42" t="str">
        <f t="shared" si="14"/>
        <v>0</v>
      </c>
      <c r="G122" s="1" t="s">
        <v>4</v>
      </c>
      <c r="H122" s="166">
        <f>MachineAssumptions!U29*E122</f>
        <v>0</v>
      </c>
      <c r="I122" s="166">
        <f>MachineAssumptions!U49*E122</f>
        <v>0</v>
      </c>
    </row>
    <row r="123" spans="1:13" ht="20">
      <c r="A123" s="15"/>
      <c r="B123" s="18" t="str">
        <f>MachineAssumptions!B9&amp;" - Replacement Costs"</f>
        <v>Chisel plow - Replacement Costs</v>
      </c>
      <c r="C123" s="41" t="str">
        <f>C78</f>
        <v>acre</v>
      </c>
      <c r="D123" s="34">
        <f>MachineAssumptions!U9</f>
        <v>0</v>
      </c>
      <c r="E123" s="145">
        <f>E78</f>
        <v>0</v>
      </c>
      <c r="F123" s="42" t="str">
        <f t="shared" si="14"/>
        <v>0</v>
      </c>
      <c r="G123" s="1" t="s">
        <v>112</v>
      </c>
      <c r="H123" s="166">
        <f>MachineAssumptions!U30*E123</f>
        <v>0</v>
      </c>
      <c r="I123" s="166">
        <f>MachineAssumptions!U50*E123</f>
        <v>0</v>
      </c>
    </row>
    <row r="124" spans="1:13" ht="20">
      <c r="A124" s="15"/>
      <c r="B124" s="18" t="str">
        <f>MachineAssumptions!B10&amp;" - Replacement Costs"</f>
        <v>Moldboard plow - Replacement Costs</v>
      </c>
      <c r="C124" s="41" t="str">
        <f>C81</f>
        <v>acre</v>
      </c>
      <c r="D124" s="34">
        <f>MachineAssumptions!U10</f>
        <v>0</v>
      </c>
      <c r="E124" s="145">
        <f>E81</f>
        <v>0</v>
      </c>
      <c r="F124" s="42" t="str">
        <f t="shared" si="14"/>
        <v>0</v>
      </c>
      <c r="H124" s="166">
        <f>MachineAssumptions!U31*E124</f>
        <v>0</v>
      </c>
      <c r="I124" s="166">
        <f>MachineAssumptions!U51*E124</f>
        <v>0</v>
      </c>
    </row>
    <row r="125" spans="1:13" ht="20">
      <c r="A125" s="15"/>
      <c r="B125" s="18" t="str">
        <f>MachineAssumptions!B11&amp;" - Replacement Costs"</f>
        <v>Cultivator - Replacement Costs</v>
      </c>
      <c r="C125" s="41" t="str">
        <f t="shared" ref="C125:C126" si="15">C82</f>
        <v>acre</v>
      </c>
      <c r="D125" s="34">
        <f>MachineAssumptions!U11</f>
        <v>0</v>
      </c>
      <c r="E125" s="145">
        <f>E84</f>
        <v>0</v>
      </c>
      <c r="F125" s="42" t="str">
        <f t="shared" si="14"/>
        <v>0</v>
      </c>
      <c r="H125" s="166">
        <f>MachineAssumptions!U32*E125</f>
        <v>0</v>
      </c>
      <c r="I125" s="166">
        <f>MachineAssumptions!U52*E125</f>
        <v>0</v>
      </c>
    </row>
    <row r="126" spans="1:13" ht="20">
      <c r="A126" s="15"/>
      <c r="B126" s="18" t="str">
        <f>MachineAssumptions!B12&amp;" - Replacement Costs"</f>
        <v>Cultiweeder - Replacement Costs</v>
      </c>
      <c r="C126" s="41" t="str">
        <f t="shared" si="15"/>
        <v>acre</v>
      </c>
      <c r="D126" s="34">
        <f>MachineAssumptions!U12</f>
        <v>0</v>
      </c>
      <c r="E126" s="145">
        <f>E87</f>
        <v>0</v>
      </c>
      <c r="F126" s="42" t="str">
        <f t="shared" si="14"/>
        <v>0</v>
      </c>
      <c r="H126" s="166">
        <f>MachineAssumptions!U33*E126</f>
        <v>0</v>
      </c>
      <c r="I126" s="166">
        <f>MachineAssumptions!U53*E126</f>
        <v>0</v>
      </c>
    </row>
    <row r="127" spans="1:13" ht="20">
      <c r="A127" s="15"/>
      <c r="B127" s="18" t="str">
        <f>MachineAssumptions!B13&amp;" - Replacement Costs"</f>
        <v>Drill - Replacement Costs</v>
      </c>
      <c r="C127" s="41" t="str">
        <f>C90</f>
        <v>acre</v>
      </c>
      <c r="D127" s="34">
        <f>MachineAssumptions!U13</f>
        <v>7.2419265221735989</v>
      </c>
      <c r="E127" s="145">
        <f>E90</f>
        <v>1</v>
      </c>
      <c r="F127" s="42">
        <f t="shared" si="14"/>
        <v>7.2419265221735989</v>
      </c>
      <c r="H127" s="166">
        <f>MachineAssumptions!U34*E127</f>
        <v>7.2419265221735989</v>
      </c>
      <c r="I127" s="166">
        <f>MachineAssumptions!U54*E127</f>
        <v>7.2419265221735989</v>
      </c>
    </row>
    <row r="128" spans="1:13" ht="20">
      <c r="A128" s="15"/>
      <c r="B128" s="18" t="str">
        <f>MachineAssumptions!B14&amp;" - Replacement Costs"</f>
        <v>Combine w/ 36' header - Replacement Costs</v>
      </c>
      <c r="C128" s="41" t="str">
        <f>C93</f>
        <v>acre</v>
      </c>
      <c r="D128" s="34">
        <f>MachineAssumptions!U14</f>
        <v>9.7031999999999989</v>
      </c>
      <c r="E128" s="145">
        <f>E93</f>
        <v>0</v>
      </c>
      <c r="F128" s="42" t="str">
        <f t="shared" si="14"/>
        <v>0</v>
      </c>
      <c r="H128" s="166">
        <f>MachineAssumptions!U35*E128</f>
        <v>0</v>
      </c>
      <c r="I128" s="166">
        <f>MachineAssumptions!U55*E128</f>
        <v>0</v>
      </c>
    </row>
    <row r="129" spans="1:9" ht="20">
      <c r="A129" s="15"/>
      <c r="B129" s="18" t="str">
        <f>MachineAssumptions!B16&amp;" - Replacement Costs"</f>
        <v>Fertilizer Spreader - Replacement Costs</v>
      </c>
      <c r="C129" s="41" t="str">
        <f>C96</f>
        <v>acre</v>
      </c>
      <c r="D129" s="34">
        <f>MachineAssumptions!U16</f>
        <v>0</v>
      </c>
      <c r="E129" s="145">
        <f>E96</f>
        <v>0</v>
      </c>
      <c r="F129" s="42" t="str">
        <f t="shared" si="14"/>
        <v>0</v>
      </c>
      <c r="H129" s="166">
        <f>MachineAssumptions!U36*E129</f>
        <v>0</v>
      </c>
      <c r="I129" s="166">
        <f>MachineAssumptions!U56*E129</f>
        <v>0</v>
      </c>
    </row>
    <row r="130" spans="1:9" ht="20">
      <c r="A130" s="15"/>
      <c r="B130" s="18" t="str">
        <f>MachineAssumptions!B17&amp;" - Replacement Costs"</f>
        <v>Fertilizer tanks and pump - Replacement Costs</v>
      </c>
      <c r="C130" s="41" t="str">
        <f>C99</f>
        <v>acre</v>
      </c>
      <c r="D130" s="34">
        <f>MachineAssumptions!U17</f>
        <v>0.6</v>
      </c>
      <c r="E130" s="145">
        <f>E99</f>
        <v>0</v>
      </c>
      <c r="F130" s="42" t="str">
        <f t="shared" si="14"/>
        <v>0</v>
      </c>
      <c r="H130" s="166">
        <f>MachineAssumptions!U37*E130</f>
        <v>0</v>
      </c>
      <c r="I130" s="166">
        <f>MachineAssumptions!U57*E130</f>
        <v>0</v>
      </c>
    </row>
    <row r="131" spans="1:9" ht="20">
      <c r="A131" s="15"/>
      <c r="B131" s="18" t="str">
        <f>MachineAssumptions!B18&amp;" - Replacement Costs"</f>
        <v>Boom sprayer - Replacement Costs</v>
      </c>
      <c r="C131" s="41" t="str">
        <f>C102</f>
        <v>acre</v>
      </c>
      <c r="D131" s="34">
        <f>MachineAssumptions!U18</f>
        <v>0.80913316225248511</v>
      </c>
      <c r="E131" s="145">
        <f>E102</f>
        <v>1</v>
      </c>
      <c r="F131" s="42">
        <f t="shared" si="14"/>
        <v>0.80913316225248511</v>
      </c>
      <c r="H131" s="166">
        <f>MachineAssumptions!U38*E131</f>
        <v>0.8090118780669916</v>
      </c>
      <c r="I131" s="166">
        <f>MachineAssumptions!U58*E131</f>
        <v>0.80913316225248511</v>
      </c>
    </row>
    <row r="132" spans="1:9" ht="20">
      <c r="A132" s="15"/>
      <c r="B132" s="18" t="str">
        <f>MachineAssumptions!B15&amp;" - Replacement Costs"</f>
        <v>Bankout Wagon - Replacement Costs</v>
      </c>
      <c r="C132" s="41" t="str">
        <f>C105</f>
        <v>acre</v>
      </c>
      <c r="D132" s="34">
        <f>MachineAssumptions!U15</f>
        <v>2.9461434675395459</v>
      </c>
      <c r="E132" s="145">
        <f>E105</f>
        <v>0</v>
      </c>
      <c r="F132" s="42" t="str">
        <f t="shared" si="14"/>
        <v>0</v>
      </c>
      <c r="H132" s="166">
        <f>MachineAssumptions!U39*E132</f>
        <v>0</v>
      </c>
      <c r="I132" s="166">
        <f>MachineAssumptions!U59*E132</f>
        <v>0</v>
      </c>
    </row>
    <row r="133" spans="1:9" ht="20">
      <c r="A133" s="15"/>
      <c r="B133" s="18" t="str">
        <f>MachineAssumptions!B19&amp;" - Replacement Costs"</f>
        <v>Tandem Axle Truck  - Replacement Costs</v>
      </c>
      <c r="C133" s="41" t="str">
        <f>C108</f>
        <v>acre</v>
      </c>
      <c r="D133" s="34">
        <f>MachineAssumptions!U19</f>
        <v>0.64</v>
      </c>
      <c r="E133" s="145">
        <f>E108</f>
        <v>0</v>
      </c>
      <c r="F133" s="42" t="str">
        <f t="shared" si="14"/>
        <v>0</v>
      </c>
      <c r="H133" s="166">
        <f>MachineAssumptions!U40*E133</f>
        <v>0</v>
      </c>
      <c r="I133" s="166">
        <f>MachineAssumptions!U60*E133</f>
        <v>0</v>
      </c>
    </row>
    <row r="134" spans="1:9" ht="23">
      <c r="A134" s="15"/>
      <c r="B134" s="18" t="str">
        <f>MachineAssumptions!B20&amp;" - Replacement Costs"</f>
        <v>Tandem Axle Truck  - Replacement Costs</v>
      </c>
      <c r="C134" s="41" t="str">
        <f t="shared" ref="C134" si="16">C111</f>
        <v>acre</v>
      </c>
      <c r="D134" s="34">
        <f>MachineAssumptions!U20</f>
        <v>0.64</v>
      </c>
      <c r="E134" s="145">
        <f t="shared" ref="E134" si="17">E111</f>
        <v>0</v>
      </c>
      <c r="F134" s="43" t="str">
        <f t="shared" si="14"/>
        <v>0</v>
      </c>
      <c r="H134" s="247">
        <f>MachineAssumptions!U41*E134</f>
        <v>0</v>
      </c>
      <c r="I134" s="247">
        <f>MachineAssumptions!U61*E134</f>
        <v>0</v>
      </c>
    </row>
    <row r="135" spans="1:9" ht="20">
      <c r="A135" s="15"/>
      <c r="B135" s="144" t="s">
        <v>38</v>
      </c>
      <c r="C135" s="29"/>
      <c r="D135" s="30"/>
      <c r="E135" s="29"/>
      <c r="F135" s="46">
        <f>SUM(F121:F134)</f>
        <v>8.0510596844260842</v>
      </c>
      <c r="H135" s="46">
        <f t="shared" ref="H135:I135" si="18">SUM(H121:H134)</f>
        <v>8.0509384002405913</v>
      </c>
      <c r="I135" s="46">
        <f t="shared" si="18"/>
        <v>8.0510596844260842</v>
      </c>
    </row>
    <row r="136" spans="1:9" ht="20">
      <c r="A136" s="15"/>
      <c r="B136" s="16"/>
      <c r="C136" s="16"/>
      <c r="D136" s="17"/>
      <c r="E136" s="16"/>
      <c r="F136" s="113"/>
    </row>
    <row r="137" spans="1:9" ht="20">
      <c r="A137" s="15"/>
      <c r="B137" s="14" t="s">
        <v>31</v>
      </c>
      <c r="C137" s="29"/>
      <c r="D137" s="30"/>
      <c r="E137" s="29"/>
      <c r="F137" s="47">
        <f>F118+F135</f>
        <v>64.267919865702808</v>
      </c>
      <c r="H137" s="47">
        <f>SUM(F16:F70)+H114+F115+H116+H117+H135+F8+(H9*D9)+(H10*D10)+(H11*D11)+(H12*D12)+(H13*D13)+(H14*D14)+(H15*D15)</f>
        <v>64.273126371458631</v>
      </c>
      <c r="I137" s="47">
        <f>SUM(F16:F70)+I114+F115+I116+I117+I135+F8+(I9*D9)+(I10*D10)+(I11*D11)+(I12*D12)+(I13*D13)+(I14*D14)+(I15*D15)</f>
        <v>64.216326239555428</v>
      </c>
    </row>
    <row r="138" spans="1:9" ht="21">
      <c r="A138" s="15"/>
      <c r="B138" s="31" t="s">
        <v>32</v>
      </c>
      <c r="C138" s="32"/>
      <c r="D138" s="33"/>
      <c r="E138" s="32"/>
      <c r="F138" s="48">
        <f>F5-F137</f>
        <v>-64.267919865702808</v>
      </c>
      <c r="H138" s="250">
        <f>H5-H137</f>
        <v>-64.273126371458631</v>
      </c>
      <c r="I138" s="250">
        <f>I5-I137</f>
        <v>-64.216326239555428</v>
      </c>
    </row>
  </sheetData>
  <mergeCells count="1">
    <mergeCell ref="B2:F2"/>
  </mergeCells>
  <pageMargins left="0.7" right="0.7" top="0.75" bottom="0.75" header="0.3" footer="0.3"/>
  <pageSetup scale="57" orientation="portrait" r:id="rId1"/>
  <ignoredErrors>
    <ignoredError sqref="B135:F138 B114:F114 B90:B113 B116:F120 B115:D115 B127:C134 E127:G134 B60:D60 E124:G124 B121:C124 B84:B89 B125:F126 B62:E71 C14:D14 E121:G123 C13:D13 C9:D9 C10:D10 C11:D11 C12:D12 F14 B61:D61 C8:E8 B4:F7 B3:F3 B8 F8 B2 B73:B83 B72 D72:E72 D90:E113 D84:F89 D73:E83 B57:D57 B56:D56 B55:D55 B54:D54 B51:D51 B50:D50 B49:D49 B48:D48 B47:D47 B46:D46 B45:D45 B44:D44 B43:D43 B40:D40 B39:D39 B38:D38 B37:D37 B36:D36 B35:D35 B34:D34 B33:D33 B31:D31 B30:D30 B29:D29 B28:D28 B27:D27 B26:D26 B25:D25 B24:D24 B23:D23 B22:D22 B21:D21 B16:G20 B32:G32 E21:G21 E22:G22 E23:G23 E24:G24 E25:G25 E26:G26 E27:G27 E28:G28 E29:G29 E30:G30 E31:G31 B41:G42 E33:G33 E34:G34 E35:G35 E36:G36 E37:G37 E38:G38 E39:G39 E40:G40 B52:G53 E43:G43 E44:G44 E45:G45 E46:G46 E47:G47 E48:G48 E49:G49 E50:G50 E51:G51 B58:G59 E54:G54 E55:G55 E56:G56 E57:G57 E115 C15:G15 B9:B15" unlockedFormula="1"/>
    <ignoredError sqref="D127:D134 D121:D124" formula="1" unlocked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1F0AB-C7DF-824B-A731-830FA8E6ECDE}">
  <dimension ref="A1:L34"/>
  <sheetViews>
    <sheetView zoomScale="110" zoomScaleNormal="110" workbookViewId="0">
      <selection activeCell="B2" sqref="B2:G2"/>
    </sheetView>
  </sheetViews>
  <sheetFormatPr baseColWidth="10" defaultColWidth="10.83203125" defaultRowHeight="20"/>
  <cols>
    <col min="1" max="1" width="6.1640625" customWidth="1"/>
    <col min="2" max="2" width="40.33203125" style="6" bestFit="1" customWidth="1"/>
    <col min="3" max="4" width="18.83203125" style="6" customWidth="1"/>
    <col min="5" max="5" width="12.83203125" style="6" customWidth="1"/>
    <col min="6" max="6" width="18.83203125" style="6" customWidth="1"/>
    <col min="7" max="7" width="12.83203125" style="6" customWidth="1"/>
  </cols>
  <sheetData>
    <row r="1" spans="1:12">
      <c r="A1" s="15"/>
      <c r="B1" s="16"/>
      <c r="C1" s="16"/>
      <c r="D1" s="16"/>
      <c r="E1" s="16"/>
      <c r="F1" s="16"/>
      <c r="G1" s="16"/>
      <c r="H1" s="15"/>
      <c r="I1" s="15"/>
      <c r="J1" s="15"/>
      <c r="K1" s="15"/>
      <c r="L1" s="15"/>
    </row>
    <row r="2" spans="1:12">
      <c r="A2" s="15"/>
      <c r="B2" s="681" t="s">
        <v>308</v>
      </c>
      <c r="C2" s="682"/>
      <c r="D2" s="682"/>
      <c r="E2" s="682"/>
      <c r="F2" s="682"/>
      <c r="G2" s="683"/>
      <c r="H2" s="672"/>
      <c r="I2" s="672"/>
      <c r="J2" s="672"/>
      <c r="K2" s="15"/>
      <c r="L2" s="15"/>
    </row>
    <row r="3" spans="1:12" ht="21" customHeight="1">
      <c r="A3" s="15"/>
      <c r="B3" s="684"/>
      <c r="C3" s="686" t="str">
        <f>'Farm and Rotation Setup'!B5</f>
        <v>Business As Usual</v>
      </c>
      <c r="D3" s="688" t="str">
        <f>'Farm and Rotation Setup'!B14</f>
        <v>Incremental Rotation</v>
      </c>
      <c r="E3" s="689"/>
      <c r="F3" s="692" t="str">
        <f>'Farm and Rotation Setup'!B23</f>
        <v>Aspirational Rotation</v>
      </c>
      <c r="G3" s="693"/>
      <c r="H3" s="672"/>
      <c r="I3" s="672"/>
      <c r="J3" s="672"/>
      <c r="K3" s="15"/>
      <c r="L3" s="15"/>
    </row>
    <row r="4" spans="1:12" ht="25" customHeight="1">
      <c r="A4" s="15"/>
      <c r="B4" s="685"/>
      <c r="C4" s="687"/>
      <c r="D4" s="690"/>
      <c r="E4" s="691"/>
      <c r="F4" s="694"/>
      <c r="G4" s="695"/>
      <c r="H4" s="15"/>
      <c r="I4" s="15"/>
      <c r="J4" s="15"/>
      <c r="K4" s="15"/>
      <c r="L4" s="15"/>
    </row>
    <row r="5" spans="1:12">
      <c r="A5" s="15"/>
      <c r="B5" s="485" t="s">
        <v>182</v>
      </c>
      <c r="C5" s="486" t="s">
        <v>8</v>
      </c>
      <c r="D5" s="597" t="s">
        <v>8</v>
      </c>
      <c r="E5" s="598" t="s">
        <v>99</v>
      </c>
      <c r="F5" s="609" t="s">
        <v>8</v>
      </c>
      <c r="G5" s="610" t="s">
        <v>99</v>
      </c>
      <c r="H5" s="15"/>
      <c r="I5" s="15"/>
      <c r="J5" s="15"/>
      <c r="K5" s="15"/>
      <c r="L5" s="15"/>
    </row>
    <row r="6" spans="1:12">
      <c r="A6" s="15"/>
      <c r="B6" s="283" t="s">
        <v>129</v>
      </c>
      <c r="C6" s="443">
        <f>'Farm and Rotation Setup'!$P$3</f>
        <v>783119.16601381393</v>
      </c>
      <c r="D6" s="599">
        <f>'Farm and Rotation Setup'!$P$16</f>
        <v>1567253.3394036049</v>
      </c>
      <c r="E6" s="600">
        <f t="shared" ref="E6:E22" si="0">IF(D6=0,0,(D6-C6)/D6)</f>
        <v>0.50032381726376263</v>
      </c>
      <c r="F6" s="611">
        <f>'Farm and Rotation Setup'!$P$29</f>
        <v>852149.82631847705</v>
      </c>
      <c r="G6" s="612">
        <f t="shared" ref="G6:G22" si="1">IF(F6=0,0,(F6-C6)/F6)</f>
        <v>8.100765636824063E-2</v>
      </c>
      <c r="H6" s="15"/>
      <c r="I6" s="15"/>
      <c r="J6" s="15"/>
      <c r="K6" s="15"/>
      <c r="L6" s="15"/>
    </row>
    <row r="7" spans="1:12">
      <c r="A7" s="15"/>
      <c r="B7" s="284" t="s">
        <v>134</v>
      </c>
      <c r="C7" s="285">
        <f>'Farm and Rotation Setup'!$P4</f>
        <v>160000</v>
      </c>
      <c r="D7" s="601">
        <f>'Farm and Rotation Setup'!$P17</f>
        <v>263750</v>
      </c>
      <c r="E7" s="602">
        <f t="shared" si="0"/>
        <v>0.39336492890995262</v>
      </c>
      <c r="F7" s="613">
        <f>'Farm and Rotation Setup'!$P30</f>
        <v>188250</v>
      </c>
      <c r="G7" s="614">
        <f t="shared" si="1"/>
        <v>0.150066401062417</v>
      </c>
      <c r="H7" s="15"/>
      <c r="I7" s="15"/>
      <c r="J7" s="15"/>
      <c r="K7" s="15"/>
      <c r="L7" s="15"/>
    </row>
    <row r="8" spans="1:12">
      <c r="A8" s="15"/>
      <c r="B8" s="283" t="s">
        <v>127</v>
      </c>
      <c r="C8" s="285">
        <f>'Farm and Rotation Setup'!$P5</f>
        <v>140.12656250000001</v>
      </c>
      <c r="D8" s="601">
        <f>'Farm and Rotation Setup'!$P18</f>
        <v>180.27041015624997</v>
      </c>
      <c r="E8" s="602">
        <f t="shared" si="0"/>
        <v>0.22268683818633989</v>
      </c>
      <c r="F8" s="613">
        <f>'Farm and Rotation Setup'!$P31</f>
        <v>79.842480468749997</v>
      </c>
      <c r="G8" s="614">
        <f t="shared" si="1"/>
        <v>-0.75503769017853772</v>
      </c>
      <c r="H8" s="15"/>
      <c r="I8" s="15"/>
      <c r="J8" s="15"/>
      <c r="K8" s="15"/>
      <c r="L8" s="15"/>
    </row>
    <row r="9" spans="1:12">
      <c r="A9" s="15"/>
      <c r="B9" s="283" t="s">
        <v>130</v>
      </c>
      <c r="C9" s="285">
        <f>'Farm and Rotation Setup'!$P6</f>
        <v>1399.609375</v>
      </c>
      <c r="D9" s="601">
        <f>'Farm and Rotation Setup'!$P19</f>
        <v>1412.5</v>
      </c>
      <c r="E9" s="602">
        <f t="shared" si="0"/>
        <v>9.1261061946902658E-3</v>
      </c>
      <c r="F9" s="613">
        <f>'Farm and Rotation Setup'!$P32</f>
        <v>1179.6875</v>
      </c>
      <c r="G9" s="614">
        <f t="shared" si="1"/>
        <v>-0.18642384105960264</v>
      </c>
      <c r="H9" s="15"/>
      <c r="I9" s="15"/>
      <c r="J9" s="15"/>
      <c r="K9" s="15"/>
      <c r="L9" s="15"/>
    </row>
    <row r="10" spans="1:12">
      <c r="A10" s="15"/>
      <c r="B10" s="283" t="s">
        <v>292</v>
      </c>
      <c r="C10" s="285">
        <f>'Farm and Rotation Setup'!$P7</f>
        <v>2004.4710032124131</v>
      </c>
      <c r="D10" s="601">
        <f>'Farm and Rotation Setup'!$P20</f>
        <v>2010.3561536107013</v>
      </c>
      <c r="E10" s="602">
        <f t="shared" si="0"/>
        <v>2.9274168100603629E-3</v>
      </c>
      <c r="F10" s="613">
        <f>'Farm and Rotation Setup'!$P33</f>
        <v>1474.0055746138726</v>
      </c>
      <c r="G10" s="614">
        <f t="shared" si="1"/>
        <v>-0.3598802051596719</v>
      </c>
      <c r="H10" s="15"/>
      <c r="I10" s="15"/>
      <c r="J10" s="15"/>
      <c r="K10" s="15"/>
      <c r="L10" s="15"/>
    </row>
    <row r="11" spans="1:12">
      <c r="A11" s="15"/>
      <c r="B11" s="283" t="s">
        <v>293</v>
      </c>
      <c r="C11" s="285">
        <f>'Farm and Rotation Setup'!$P8</f>
        <v>93901.115229963441</v>
      </c>
      <c r="D11" s="601">
        <f>'Farm and Rotation Setup'!$P21</f>
        <v>94352.310093832188</v>
      </c>
      <c r="E11" s="602">
        <f t="shared" si="0"/>
        <v>4.782022437182923E-3</v>
      </c>
      <c r="F11" s="613">
        <f>'Farm and Rotation Setup'!P34</f>
        <v>70972.511779428547</v>
      </c>
      <c r="G11" s="614">
        <f t="shared" si="1"/>
        <v>-0.32306315326408913</v>
      </c>
      <c r="H11" s="15"/>
      <c r="I11" s="15"/>
      <c r="J11" s="15"/>
      <c r="K11" s="15"/>
      <c r="L11" s="15"/>
    </row>
    <row r="12" spans="1:12">
      <c r="A12" s="15"/>
      <c r="B12" s="283" t="s">
        <v>290</v>
      </c>
      <c r="C12" s="286">
        <f>'Farm and Rotation Setup'!$P9</f>
        <v>39166.043589852394</v>
      </c>
      <c r="D12" s="603">
        <f>'Farm and Rotation Setup'!$P22</f>
        <v>39325.628501306041</v>
      </c>
      <c r="E12" s="602">
        <f t="shared" si="0"/>
        <v>4.0580384226623824E-3</v>
      </c>
      <c r="F12" s="615">
        <f>'Farm and Rotation Setup'!$P59</f>
        <v>27353.755459878339</v>
      </c>
      <c r="G12" s="614">
        <f t="shared" si="1"/>
        <v>-0.43183423743405036</v>
      </c>
      <c r="H12" s="15"/>
      <c r="I12" s="15"/>
      <c r="J12" s="15"/>
      <c r="K12" s="15"/>
      <c r="L12" s="15"/>
    </row>
    <row r="13" spans="1:12">
      <c r="A13" s="15"/>
      <c r="B13" s="287" t="s">
        <v>291</v>
      </c>
      <c r="C13" s="425">
        <f>'Farm and Rotation Setup'!$P$10</f>
        <v>60092.10711005026</v>
      </c>
      <c r="D13" s="604">
        <f>'Farm and Rotation Setup'!$P$23</f>
        <v>60293.511090268563</v>
      </c>
      <c r="E13" s="605">
        <f t="shared" si="0"/>
        <v>3.3403923005374645E-3</v>
      </c>
      <c r="F13" s="616">
        <f>'Farm and Rotation Setup'!P60</f>
        <v>47779.116475453746</v>
      </c>
      <c r="G13" s="617">
        <f t="shared" si="1"/>
        <v>-0.25770653672347088</v>
      </c>
      <c r="H13" s="15"/>
      <c r="I13" s="15"/>
      <c r="J13" s="15"/>
      <c r="K13" s="15"/>
      <c r="L13" s="15"/>
    </row>
    <row r="14" spans="1:12">
      <c r="A14" s="15"/>
      <c r="B14" s="441" t="s">
        <v>294</v>
      </c>
      <c r="C14" s="444">
        <f>SUM('Farm and Rotation Setup'!JB5:JC9)+SUM('Farm and Rotation Setup'!JM5:JN9)</f>
        <v>90000</v>
      </c>
      <c r="D14" s="606">
        <f>SUM('Farm and Rotation Setup'!JB14:JC18)+SUM('Farm and Rotation Setup'!JM14:JN18)</f>
        <v>101250</v>
      </c>
      <c r="E14" s="602">
        <f t="shared" si="0"/>
        <v>0.1111111111111111</v>
      </c>
      <c r="F14" s="618">
        <f>SUM('Farm and Rotation Setup'!JB19:JC27)+SUM('Farm and Rotation Setup'!JM19:JN27)</f>
        <v>90000</v>
      </c>
      <c r="G14" s="614">
        <f t="shared" si="1"/>
        <v>0</v>
      </c>
      <c r="H14" s="15"/>
      <c r="I14" s="15"/>
      <c r="J14" s="15"/>
      <c r="K14" s="15"/>
      <c r="L14" s="15"/>
    </row>
    <row r="15" spans="1:12">
      <c r="A15" s="15"/>
      <c r="B15" s="441" t="s">
        <v>295</v>
      </c>
      <c r="C15" s="445">
        <f>SUM('Farm and Rotation Setup'!JD5:JF9)</f>
        <v>0</v>
      </c>
      <c r="D15" s="607">
        <f>SUM('Farm and Rotation Setup'!JD14:JF18)</f>
        <v>67500</v>
      </c>
      <c r="E15" s="602">
        <f t="shared" si="0"/>
        <v>1</v>
      </c>
      <c r="F15" s="619">
        <f>SUM('Farm and Rotation Setup'!JD19:JF27)</f>
        <v>0</v>
      </c>
      <c r="G15" s="614">
        <f t="shared" si="1"/>
        <v>0</v>
      </c>
      <c r="H15" s="15"/>
      <c r="I15" s="15"/>
      <c r="J15" s="15"/>
      <c r="K15" s="15"/>
      <c r="L15" s="15"/>
    </row>
    <row r="16" spans="1:12">
      <c r="A16" s="15"/>
      <c r="B16" s="441" t="s">
        <v>303</v>
      </c>
      <c r="C16" s="444">
        <f>SUM('Farm and Rotation Setup'!JU5:JU9)</f>
        <v>0</v>
      </c>
      <c r="D16" s="606">
        <f>SUM('Farm and Rotation Setup'!JU14:JU18)</f>
        <v>0</v>
      </c>
      <c r="E16" s="602">
        <f t="shared" si="0"/>
        <v>0</v>
      </c>
      <c r="F16" s="618">
        <f>SUM('Farm and Rotation Setup'!JU19:JU27)</f>
        <v>0</v>
      </c>
      <c r="G16" s="614">
        <f t="shared" si="1"/>
        <v>0</v>
      </c>
      <c r="H16" s="15"/>
      <c r="I16" s="15"/>
      <c r="J16" s="15"/>
      <c r="K16" s="15"/>
      <c r="L16" s="15"/>
    </row>
    <row r="17" spans="1:12">
      <c r="A17" s="15"/>
      <c r="B17" s="441" t="s">
        <v>296</v>
      </c>
      <c r="C17" s="445">
        <f>SUM('Farm and Rotation Setup'!JV5:JV9)</f>
        <v>0</v>
      </c>
      <c r="D17" s="607">
        <f>SUM('Farm and Rotation Setup'!JV14:JV18)</f>
        <v>0</v>
      </c>
      <c r="E17" s="602">
        <f t="shared" si="0"/>
        <v>0</v>
      </c>
      <c r="F17" s="619">
        <f>SUM('Farm and Rotation Setup'!JV19:JV27)</f>
        <v>0</v>
      </c>
      <c r="G17" s="614">
        <f t="shared" si="1"/>
        <v>0</v>
      </c>
      <c r="H17" s="15"/>
      <c r="I17" s="15"/>
      <c r="J17" s="15"/>
      <c r="K17" s="15"/>
      <c r="L17" s="15"/>
    </row>
    <row r="18" spans="1:12">
      <c r="A18" s="15"/>
      <c r="B18" s="441" t="s">
        <v>297</v>
      </c>
      <c r="C18" s="445">
        <f>SUM('Farm and Rotation Setup'!JQ5:JQ9)</f>
        <v>0</v>
      </c>
      <c r="D18" s="607">
        <f>SUM('Farm and Rotation Setup'!JQ14:JQ18)</f>
        <v>0</v>
      </c>
      <c r="E18" s="602">
        <f t="shared" si="0"/>
        <v>0</v>
      </c>
      <c r="F18" s="619">
        <f>SUM('Farm and Rotation Setup'!JQ19:JQ27)</f>
        <v>0</v>
      </c>
      <c r="G18" s="614">
        <f t="shared" si="1"/>
        <v>0</v>
      </c>
      <c r="H18" s="15"/>
      <c r="I18" s="15"/>
      <c r="J18" s="15"/>
      <c r="K18" s="15"/>
      <c r="L18" s="15"/>
    </row>
    <row r="19" spans="1:12">
      <c r="A19" s="15"/>
      <c r="B19" s="441" t="s">
        <v>298</v>
      </c>
      <c r="C19" s="445">
        <f>SUM('Farm and Rotation Setup'!JI5:JI9)+SUM('Farm and Rotation Setup'!JW5:JW9)</f>
        <v>0</v>
      </c>
      <c r="D19" s="607">
        <f>SUM('Farm and Rotation Setup'!JI14:JI18)+SUM('Farm and Rotation Setup'!JW14:JW18)</f>
        <v>500000</v>
      </c>
      <c r="E19" s="602">
        <f t="shared" si="0"/>
        <v>1</v>
      </c>
      <c r="F19" s="619">
        <f>SUM('Farm and Rotation Setup'!JI19:JI27)+SUM('Farm and Rotation Setup'!JW19:JW27)</f>
        <v>0</v>
      </c>
      <c r="G19" s="614">
        <f t="shared" si="1"/>
        <v>0</v>
      </c>
      <c r="H19" s="15"/>
      <c r="I19" s="15"/>
      <c r="J19" s="15"/>
      <c r="K19" s="15"/>
      <c r="L19" s="15"/>
    </row>
    <row r="20" spans="1:12">
      <c r="A20" s="15"/>
      <c r="B20" s="441" t="s">
        <v>299</v>
      </c>
      <c r="C20" s="445">
        <f>SUM('Farm and Rotation Setup'!JG5:JH9)</f>
        <v>700000</v>
      </c>
      <c r="D20" s="607">
        <f>SUM('Farm and Rotation Setup'!JG14:JH18)</f>
        <v>0</v>
      </c>
      <c r="E20" s="602">
        <f t="shared" si="0"/>
        <v>0</v>
      </c>
      <c r="F20" s="619">
        <f>SUM('Farm and Rotation Setup'!JG19:JH27)</f>
        <v>1050000</v>
      </c>
      <c r="G20" s="614">
        <f t="shared" si="1"/>
        <v>0.33333333333333331</v>
      </c>
      <c r="H20" s="15"/>
      <c r="I20" s="15"/>
      <c r="J20" s="15"/>
      <c r="K20" s="15"/>
      <c r="L20" s="15"/>
    </row>
    <row r="21" spans="1:12">
      <c r="A21" s="15"/>
      <c r="B21" s="441" t="s">
        <v>300</v>
      </c>
      <c r="C21" s="445">
        <f>SUM('Farm and Rotation Setup'!JR5:JS9)+SUM('Farm and Rotation Setup'!JX5:JX9)</f>
        <v>2000000</v>
      </c>
      <c r="D21" s="607">
        <f>SUM('Farm and Rotation Setup'!JR14:JS18)+SUM('Farm and Rotation Setup'!JX14:JX18)</f>
        <v>0</v>
      </c>
      <c r="E21" s="602">
        <f t="shared" si="0"/>
        <v>0</v>
      </c>
      <c r="F21" s="619">
        <f>SUM('Farm and Rotation Setup'!JR19:JS27)+SUM('Farm and Rotation Setup'!JX19:JX27)</f>
        <v>0</v>
      </c>
      <c r="G21" s="614">
        <f t="shared" si="1"/>
        <v>0</v>
      </c>
      <c r="H21" s="15"/>
      <c r="I21" s="15"/>
      <c r="J21" s="15"/>
      <c r="K21" s="15"/>
      <c r="L21" s="15"/>
    </row>
    <row r="22" spans="1:12">
      <c r="A22" s="15"/>
      <c r="B22" s="442" t="s">
        <v>304</v>
      </c>
      <c r="C22" s="446">
        <f>SUM('Farm and Rotation Setup'!JT5:JT9)</f>
        <v>0</v>
      </c>
      <c r="D22" s="608">
        <f>SUM('Farm and Rotation Setup'!JT14:JT18)</f>
        <v>0</v>
      </c>
      <c r="E22" s="605">
        <f t="shared" si="0"/>
        <v>0</v>
      </c>
      <c r="F22" s="620">
        <f>SUM('Farm and Rotation Setup'!JT17:JT27)</f>
        <v>0</v>
      </c>
      <c r="G22" s="617">
        <f t="shared" si="1"/>
        <v>0</v>
      </c>
      <c r="H22" s="15"/>
      <c r="I22" s="15"/>
      <c r="J22" s="15"/>
      <c r="K22" s="15"/>
      <c r="L22" s="15"/>
    </row>
    <row r="23" spans="1:12">
      <c r="A23" s="15"/>
      <c r="B23" s="16"/>
      <c r="C23" s="16"/>
      <c r="D23" s="16"/>
      <c r="E23" s="16"/>
      <c r="F23" s="16"/>
      <c r="G23" s="16"/>
      <c r="H23" s="15"/>
      <c r="I23" s="15"/>
      <c r="J23" s="15"/>
      <c r="K23" s="15"/>
      <c r="L23" s="15"/>
    </row>
    <row r="24" spans="1:12">
      <c r="A24" s="15"/>
      <c r="B24" s="16"/>
      <c r="C24" s="16"/>
      <c r="D24" s="16"/>
      <c r="E24" s="16"/>
      <c r="F24" s="16"/>
      <c r="G24" s="16"/>
      <c r="H24" s="15"/>
      <c r="I24" s="15"/>
      <c r="J24" s="15"/>
      <c r="K24" s="15"/>
      <c r="L24" s="15"/>
    </row>
    <row r="25" spans="1:12">
      <c r="A25" s="15"/>
      <c r="B25" s="16"/>
      <c r="C25" s="16"/>
      <c r="D25" s="16"/>
      <c r="E25" s="16"/>
      <c r="F25" s="16"/>
      <c r="G25" s="16"/>
      <c r="H25" s="15"/>
      <c r="I25" s="15"/>
      <c r="J25" s="15"/>
      <c r="K25" s="15"/>
      <c r="L25" s="15"/>
    </row>
    <row r="26" spans="1:12">
      <c r="A26" s="15"/>
      <c r="B26" s="16"/>
      <c r="C26" s="16"/>
      <c r="D26" s="16"/>
      <c r="E26" s="16"/>
      <c r="F26" s="16"/>
      <c r="G26" s="16"/>
      <c r="H26" s="15"/>
      <c r="I26" s="15"/>
      <c r="J26" s="15"/>
      <c r="K26" s="15"/>
      <c r="L26" s="15"/>
    </row>
    <row r="27" spans="1:12">
      <c r="A27" s="15"/>
      <c r="B27" s="16"/>
      <c r="C27" s="16"/>
      <c r="D27" s="16"/>
      <c r="E27" s="16"/>
      <c r="F27" s="16"/>
      <c r="G27" s="16"/>
      <c r="H27" s="15"/>
      <c r="I27" s="15"/>
      <c r="J27" s="15"/>
      <c r="K27" s="15"/>
      <c r="L27" s="15"/>
    </row>
    <row r="28" spans="1:12">
      <c r="A28" s="15"/>
      <c r="B28" s="16"/>
      <c r="C28" s="16"/>
      <c r="D28" s="16"/>
      <c r="E28" s="16"/>
      <c r="F28" s="16"/>
      <c r="G28" s="16"/>
      <c r="H28" s="15"/>
      <c r="I28" s="15"/>
      <c r="J28" s="15"/>
      <c r="K28" s="15"/>
      <c r="L28" s="15"/>
    </row>
    <row r="29" spans="1:12">
      <c r="A29" s="15"/>
      <c r="B29" s="16"/>
      <c r="C29" s="16"/>
      <c r="D29" s="16"/>
      <c r="E29" s="16"/>
      <c r="F29" s="16"/>
      <c r="G29" s="16"/>
      <c r="H29" s="15"/>
      <c r="I29" s="15"/>
      <c r="J29" s="15"/>
      <c r="K29" s="15"/>
      <c r="L29" s="15"/>
    </row>
    <row r="30" spans="1:12">
      <c r="A30" s="15"/>
      <c r="B30" s="16"/>
      <c r="C30" s="16"/>
      <c r="D30" s="16"/>
      <c r="E30" s="16"/>
      <c r="F30" s="16"/>
      <c r="G30" s="16"/>
      <c r="H30" s="15"/>
      <c r="I30" s="15"/>
      <c r="J30" s="15"/>
      <c r="K30" s="15"/>
      <c r="L30" s="15"/>
    </row>
    <row r="31" spans="1:12">
      <c r="A31" s="15"/>
      <c r="B31" s="16"/>
      <c r="C31" s="16"/>
      <c r="D31" s="16"/>
      <c r="E31" s="16"/>
      <c r="F31" s="16"/>
      <c r="G31" s="16"/>
      <c r="H31" s="15"/>
      <c r="I31" s="15"/>
      <c r="J31" s="15"/>
      <c r="K31" s="15"/>
      <c r="L31" s="15"/>
    </row>
    <row r="32" spans="1:12">
      <c r="A32" s="15"/>
      <c r="B32" s="16"/>
      <c r="C32" s="16"/>
      <c r="D32" s="16"/>
      <c r="E32" s="16"/>
      <c r="F32" s="16"/>
      <c r="G32" s="16"/>
      <c r="H32" s="15"/>
      <c r="I32" s="15"/>
      <c r="J32" s="15"/>
      <c r="K32" s="15"/>
      <c r="L32" s="15"/>
    </row>
    <row r="33" spans="1:12">
      <c r="A33" s="15"/>
      <c r="B33" s="16"/>
      <c r="C33" s="16"/>
      <c r="D33" s="16"/>
      <c r="E33" s="16"/>
      <c r="F33" s="16"/>
      <c r="G33" s="16"/>
      <c r="H33" s="15"/>
      <c r="I33" s="15"/>
      <c r="J33" s="15"/>
      <c r="K33" s="15"/>
      <c r="L33" s="15"/>
    </row>
    <row r="34" spans="1:12">
      <c r="A34" s="15"/>
      <c r="B34" s="16"/>
      <c r="C34" s="16"/>
      <c r="D34" s="16"/>
      <c r="E34" s="16"/>
      <c r="F34" s="16"/>
      <c r="G34" s="16"/>
      <c r="H34" s="15"/>
      <c r="I34" s="15"/>
      <c r="J34" s="15"/>
      <c r="K34" s="15"/>
      <c r="L34" s="15"/>
    </row>
  </sheetData>
  <sheetProtection algorithmName="SHA-512" hashValue="QXijDaNfniB3g9VqYp4hVPO8L6Gv/5/6BErlMRMy/FJ3uWGHb9JpLlZcHTp5/QJuQGvHP3RGDHmR9IXQIYxTQw==" saltValue="PCVt/jz7hCG7fgbQHcas7A==" spinCount="100000" sheet="1" objects="1" scenarios="1"/>
  <mergeCells count="5">
    <mergeCell ref="B2:G2"/>
    <mergeCell ref="B3:B4"/>
    <mergeCell ref="C3:C4"/>
    <mergeCell ref="D3:E4"/>
    <mergeCell ref="F3:G4"/>
  </mergeCells>
  <pageMargins left="0.7" right="0.7" top="0.75" bottom="0.75" header="0.3" footer="0.3"/>
  <pageSetup orientation="portrait" horizontalDpi="0" verticalDpi="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FC7A1-E188-C44E-9EE4-B40FA6EC4E36}">
  <sheetPr codeName="Sheet15">
    <pageSetUpPr fitToPage="1"/>
  </sheetPr>
  <dimension ref="A1:AG143"/>
  <sheetViews>
    <sheetView zoomScale="120" zoomScaleNormal="120" workbookViewId="0">
      <selection activeCell="B2" sqref="B2:F2"/>
    </sheetView>
  </sheetViews>
  <sheetFormatPr baseColWidth="10" defaultColWidth="11.5" defaultRowHeight="15"/>
  <cols>
    <col min="1" max="1" width="4.83203125" style="1" customWidth="1"/>
    <col min="2" max="2" width="57.83203125" style="1" customWidth="1"/>
    <col min="3" max="6" width="12.83203125" style="1" customWidth="1"/>
    <col min="7" max="16" width="11.5" style="1" hidden="1" customWidth="1"/>
    <col min="17" max="31" width="0" style="1" hidden="1" customWidth="1"/>
    <col min="32" max="16384" width="11.5" style="1"/>
  </cols>
  <sheetData>
    <row r="1" spans="1:33" ht="20">
      <c r="A1" s="352" t="s">
        <v>8</v>
      </c>
      <c r="B1" s="27"/>
      <c r="C1" s="16"/>
      <c r="D1" s="17"/>
      <c r="E1" s="16"/>
      <c r="F1" s="16"/>
    </row>
    <row r="2" spans="1:33" ht="20">
      <c r="A2" s="15"/>
      <c r="B2" s="807" t="str">
        <f>'Prices_Yields&amp;SeedInputs'!B15&amp;", Cash Costs and Returns of Producing, $/acre."</f>
        <v>Livestock Grazing, Cash Costs and Returns of Producing, $/acre.</v>
      </c>
      <c r="C2" s="807"/>
      <c r="D2" s="807"/>
      <c r="E2" s="807"/>
      <c r="F2" s="807"/>
    </row>
    <row r="3" spans="1:33" ht="20.5" customHeight="1">
      <c r="A3" s="15"/>
      <c r="B3" s="28" t="s">
        <v>11</v>
      </c>
      <c r="C3" s="24" t="s">
        <v>2</v>
      </c>
      <c r="D3" s="25" t="s">
        <v>12</v>
      </c>
      <c r="E3" s="26" t="s">
        <v>13</v>
      </c>
      <c r="F3" s="26" t="s">
        <v>0</v>
      </c>
      <c r="H3" s="1" t="str">
        <f>'Prices_Yields&amp;SeedInputs'!F3</f>
        <v>Incremental Rotation</v>
      </c>
      <c r="I3" s="1" t="str">
        <f>'Prices_Yields&amp;SeedInputs'!G3</f>
        <v>Aspirational Rotation</v>
      </c>
      <c r="AF3" s="674"/>
      <c r="AG3" s="674"/>
    </row>
    <row r="4" spans="1:33" ht="20.5" customHeight="1">
      <c r="A4" s="15"/>
      <c r="B4" s="127" t="str">
        <f>'Prices_Yields&amp;SeedInputs'!B15</f>
        <v>Livestock Grazing</v>
      </c>
      <c r="C4" s="22" t="str">
        <f>'Prices_Yields&amp;SeedInputs'!C15</f>
        <v>AUM</v>
      </c>
      <c r="D4" s="17">
        <f>'Prices_Yields&amp;SeedInputs'!D15</f>
        <v>120</v>
      </c>
      <c r="E4" s="90">
        <f>'Prices_Yields&amp;SeedInputs'!E15</f>
        <v>1</v>
      </c>
      <c r="F4" s="35">
        <f>D4*E4</f>
        <v>120</v>
      </c>
      <c r="AF4" s="674"/>
      <c r="AG4" s="674"/>
    </row>
    <row r="5" spans="1:33" ht="20.5" customHeight="1">
      <c r="A5" s="15"/>
      <c r="B5" s="14" t="s">
        <v>14</v>
      </c>
      <c r="C5" s="29"/>
      <c r="D5" s="30"/>
      <c r="E5" s="29"/>
      <c r="F5" s="46">
        <f>SUM(F4:F4)</f>
        <v>120</v>
      </c>
      <c r="H5" s="1">
        <f>D4*'Prices_Yields&amp;SeedInputs'!F15</f>
        <v>120</v>
      </c>
      <c r="I5" s="1">
        <f>D4*'Prices_Yields&amp;SeedInputs'!G15</f>
        <v>120</v>
      </c>
      <c r="AF5" s="674"/>
      <c r="AG5" s="674"/>
    </row>
    <row r="6" spans="1:33" ht="20.5" customHeight="1">
      <c r="A6" s="15"/>
      <c r="B6" s="16"/>
      <c r="C6" s="16"/>
      <c r="D6" s="17"/>
      <c r="E6" s="16"/>
      <c r="F6" s="44"/>
    </row>
    <row r="7" spans="1:33" ht="20">
      <c r="A7" s="15"/>
      <c r="B7" s="132" t="s">
        <v>37</v>
      </c>
      <c r="C7" s="19" t="s">
        <v>2</v>
      </c>
      <c r="D7" s="20" t="s">
        <v>12</v>
      </c>
      <c r="E7" s="21" t="s">
        <v>13</v>
      </c>
      <c r="F7" s="45" t="s">
        <v>0</v>
      </c>
    </row>
    <row r="8" spans="1:33" ht="20">
      <c r="A8" s="15"/>
      <c r="B8" s="256" t="s">
        <v>166</v>
      </c>
      <c r="C8" s="179"/>
      <c r="D8" s="180"/>
      <c r="E8" s="181"/>
      <c r="F8" s="182">
        <f>LivestockImprovements!F26</f>
        <v>29.425138461538459</v>
      </c>
    </row>
    <row r="9" spans="1:33" ht="20">
      <c r="A9" s="15"/>
      <c r="B9" s="85" t="str">
        <f>'Chem&amp;FertInputs&amp;CInsurance'!B6</f>
        <v>Fertilizer - Nitrogen-</v>
      </c>
      <c r="C9" s="23" t="str">
        <f>'Chem&amp;FertInputs&amp;CInsurance'!D6</f>
        <v>pound</v>
      </c>
      <c r="D9" s="116">
        <f>'Chem&amp;FertInputs&amp;CInsurance'!E6</f>
        <v>0.48749999999999999</v>
      </c>
      <c r="E9" s="175">
        <f>'Chem&amp;FertInputs&amp;CInsurance'!P6</f>
        <v>0</v>
      </c>
      <c r="F9" s="176" t="str">
        <f t="shared" ref="F9:F62" si="0">IF(D9*E9=0,"0",D9*E9)</f>
        <v>0</v>
      </c>
      <c r="H9" s="1">
        <f>'Chem&amp;FertInputs&amp;CInsurance'!P7</f>
        <v>0</v>
      </c>
      <c r="I9" s="1">
        <f>'Chem&amp;FertInputs&amp;CInsurance'!P8</f>
        <v>0</v>
      </c>
    </row>
    <row r="10" spans="1:33" ht="20">
      <c r="A10" s="15"/>
      <c r="B10" s="85" t="str">
        <f>'Chem&amp;FertInputs&amp;CInsurance'!B9</f>
        <v>Fertilizer - Anhydrous Ammonia-</v>
      </c>
      <c r="C10" s="23" t="str">
        <f>'Chem&amp;FertInputs&amp;CInsurance'!D9</f>
        <v>pound</v>
      </c>
      <c r="D10" s="116">
        <f>'Chem&amp;FertInputs&amp;CInsurance'!E9</f>
        <v>0.75770000000000004</v>
      </c>
      <c r="E10" s="133">
        <f>'Chem&amp;FertInputs&amp;CInsurance'!P9</f>
        <v>0</v>
      </c>
      <c r="F10" s="117" t="str">
        <f t="shared" si="0"/>
        <v>0</v>
      </c>
      <c r="H10" s="1">
        <f>'Chem&amp;FertInputs&amp;CInsurance'!P10</f>
        <v>0</v>
      </c>
      <c r="I10" s="1">
        <f>'Chem&amp;FertInputs&amp;CInsurance'!P11</f>
        <v>0</v>
      </c>
    </row>
    <row r="11" spans="1:33" ht="20">
      <c r="A11" s="15"/>
      <c r="B11" s="85" t="str">
        <f>'Chem&amp;FertInputs&amp;CInsurance'!B12</f>
        <v xml:space="preserve">Fertilizer - Phosphorus- </v>
      </c>
      <c r="C11" s="23" t="str">
        <f>'Chem&amp;FertInputs&amp;CInsurance'!D12</f>
        <v>pound</v>
      </c>
      <c r="D11" s="116">
        <f>'Chem&amp;FertInputs&amp;CInsurance'!E12</f>
        <v>0.47499999999999998</v>
      </c>
      <c r="E11" s="133">
        <f>'Chem&amp;FertInputs&amp;CInsurance'!P12</f>
        <v>0</v>
      </c>
      <c r="F11" s="117" t="str">
        <f t="shared" si="0"/>
        <v>0</v>
      </c>
      <c r="H11" s="1">
        <f>'Chem&amp;FertInputs&amp;CInsurance'!P13</f>
        <v>0</v>
      </c>
      <c r="I11" s="1">
        <f>'Chem&amp;FertInputs&amp;CInsurance'!P14</f>
        <v>0</v>
      </c>
    </row>
    <row r="12" spans="1:33" ht="20">
      <c r="A12" s="15"/>
      <c r="B12" s="85" t="str">
        <f>'Chem&amp;FertInputs&amp;CInsurance'!B15</f>
        <v>Fertilizer - Potassium-</v>
      </c>
      <c r="C12" s="23" t="str">
        <f>'Chem&amp;FertInputs&amp;CInsurance'!D15</f>
        <v>pound</v>
      </c>
      <c r="D12" s="116">
        <f>'Chem&amp;FertInputs&amp;CInsurance'!E15</f>
        <v>0.441</v>
      </c>
      <c r="E12" s="133">
        <f>'Chem&amp;FertInputs&amp;CInsurance'!P15</f>
        <v>0</v>
      </c>
      <c r="F12" s="117" t="str">
        <f t="shared" si="0"/>
        <v>0</v>
      </c>
      <c r="H12" s="1">
        <f>'Chem&amp;FertInputs&amp;CInsurance'!P16</f>
        <v>0</v>
      </c>
      <c r="I12" s="1">
        <f>'Chem&amp;FertInputs&amp;CInsurance'!P17</f>
        <v>0</v>
      </c>
    </row>
    <row r="13" spans="1:33" ht="20">
      <c r="A13" s="15"/>
      <c r="B13" s="85" t="str">
        <f>'Chem&amp;FertInputs&amp;CInsurance'!B18</f>
        <v>Fertilizer - Sulfur-</v>
      </c>
      <c r="C13" s="23" t="str">
        <f>'Chem&amp;FertInputs&amp;CInsurance'!D18</f>
        <v>pound</v>
      </c>
      <c r="D13" s="116">
        <f>'Chem&amp;FertInputs&amp;CInsurance'!E18</f>
        <v>0.2555</v>
      </c>
      <c r="E13" s="133">
        <f>'Chem&amp;FertInputs&amp;CInsurance'!P18</f>
        <v>0</v>
      </c>
      <c r="F13" s="117" t="str">
        <f t="shared" si="0"/>
        <v>0</v>
      </c>
      <c r="H13" s="1">
        <f>'Chem&amp;FertInputs&amp;CInsurance'!P19</f>
        <v>0</v>
      </c>
      <c r="I13" s="1">
        <f>'Chem&amp;FertInputs&amp;CInsurance'!P20</f>
        <v>0</v>
      </c>
    </row>
    <row r="14" spans="1:33" ht="20">
      <c r="A14" s="15"/>
      <c r="B14" s="85" t="str">
        <f>'Chem&amp;FertInputs&amp;CInsurance'!B21</f>
        <v>Adjuvant - Ammonium Sulfate liquid-</v>
      </c>
      <c r="C14" s="23" t="str">
        <f>'Chem&amp;FertInputs&amp;CInsurance'!D21</f>
        <v>oz</v>
      </c>
      <c r="D14" s="116">
        <f>'Chem&amp;FertInputs&amp;CInsurance'!E21</f>
        <v>0.48</v>
      </c>
      <c r="E14" s="133">
        <f>'Chem&amp;FertInputs&amp;CInsurance'!P21</f>
        <v>0</v>
      </c>
      <c r="F14" s="117" t="str">
        <f t="shared" ref="F14:F20" si="1">IF(D14*E14=0,"0",D14*E14)</f>
        <v>0</v>
      </c>
      <c r="G14" s="165">
        <f>E14/128</f>
        <v>0</v>
      </c>
      <c r="H14" s="1">
        <f>'Chem&amp;FertInputs&amp;CInsurance'!P22</f>
        <v>0</v>
      </c>
      <c r="I14" s="1">
        <f>'Chem&amp;FertInputs&amp;CInsurance'!P23</f>
        <v>0</v>
      </c>
    </row>
    <row r="15" spans="1:33" ht="20">
      <c r="A15" s="15"/>
      <c r="B15" s="85" t="str">
        <f>'Chem&amp;FertInputs&amp;CInsurance'!B24</f>
        <v>Adjuvant - Ammonium Sulfate  (other)-</v>
      </c>
      <c r="C15" s="23" t="str">
        <f>'Chem&amp;FertInputs&amp;CInsurance'!D24</f>
        <v>pound</v>
      </c>
      <c r="D15" s="116">
        <f>'Chem&amp;FertInputs&amp;CInsurance'!E24</f>
        <v>0.71</v>
      </c>
      <c r="E15" s="133">
        <f>'Chem&amp;FertInputs&amp;CInsurance'!P24</f>
        <v>0</v>
      </c>
      <c r="F15" s="117" t="str">
        <f t="shared" si="1"/>
        <v>0</v>
      </c>
      <c r="G15" s="165">
        <f>E15/16</f>
        <v>0</v>
      </c>
      <c r="H15" s="1">
        <f>'Chem&amp;FertInputs&amp;CInsurance'!P25</f>
        <v>0</v>
      </c>
      <c r="I15" s="1">
        <f>'Chem&amp;FertInputs&amp;CInsurance'!P26</f>
        <v>0</v>
      </c>
    </row>
    <row r="16" spans="1:33" ht="20">
      <c r="A16" s="15"/>
      <c r="B16" s="85" t="str">
        <f>'Chem&amp;FertInputs&amp;CInsurance'!C27</f>
        <v xml:space="preserve">crop oil concentrate </v>
      </c>
      <c r="C16" s="23" t="str">
        <f>'Chem&amp;FertInputs&amp;CInsurance'!D27</f>
        <v>pint</v>
      </c>
      <c r="D16" s="116">
        <f>'Chem&amp;FertInputs&amp;CInsurance'!E27</f>
        <v>1.6559999999999999</v>
      </c>
      <c r="E16" s="133">
        <f>'Chem&amp;FertInputs&amp;CInsurance'!P27</f>
        <v>0</v>
      </c>
      <c r="F16" s="117" t="str">
        <f t="shared" si="1"/>
        <v>0</v>
      </c>
      <c r="G16" s="165">
        <f>E16/8</f>
        <v>0</v>
      </c>
    </row>
    <row r="17" spans="1:7" ht="20">
      <c r="A17" s="15"/>
      <c r="B17" s="85" t="str">
        <f>'Chem&amp;FertInputs&amp;CInsurance'!C28</f>
        <v>In-place</v>
      </c>
      <c r="C17" s="23" t="str">
        <f>'Chem&amp;FertInputs&amp;CInsurance'!D28</f>
        <v>oz</v>
      </c>
      <c r="D17" s="116">
        <f>'Chem&amp;FertInputs&amp;CInsurance'!E28</f>
        <v>0.35649999999999998</v>
      </c>
      <c r="E17" s="133">
        <f>'Chem&amp;FertInputs&amp;CInsurance'!P28</f>
        <v>0</v>
      </c>
      <c r="F17" s="117" t="str">
        <f t="shared" si="1"/>
        <v>0</v>
      </c>
      <c r="G17" s="165">
        <f>E17/128</f>
        <v>0</v>
      </c>
    </row>
    <row r="18" spans="1:7" ht="20">
      <c r="A18" s="15"/>
      <c r="B18" s="85" t="str">
        <f>'Chem&amp;FertInputs&amp;CInsurance'!C29</f>
        <v xml:space="preserve">M90 </v>
      </c>
      <c r="C18" s="23" t="str">
        <f>'Chem&amp;FertInputs&amp;CInsurance'!D29</f>
        <v>oz</v>
      </c>
      <c r="D18" s="116">
        <f>'Chem&amp;FertInputs&amp;CInsurance'!E29</f>
        <v>0.253</v>
      </c>
      <c r="E18" s="133">
        <f>'Chem&amp;FertInputs&amp;CInsurance'!P29</f>
        <v>0</v>
      </c>
      <c r="F18" s="117" t="str">
        <f t="shared" si="1"/>
        <v>0</v>
      </c>
      <c r="G18" s="165">
        <f>E18/128</f>
        <v>0</v>
      </c>
    </row>
    <row r="19" spans="1:7" ht="20">
      <c r="A19" s="15"/>
      <c r="B19" s="85" t="str">
        <f>'Chem&amp;FertInputs&amp;CInsurance'!C30</f>
        <v>Surfactant</v>
      </c>
      <c r="C19" s="23" t="str">
        <f>'Chem&amp;FertInputs&amp;CInsurance'!D30</f>
        <v>oz</v>
      </c>
      <c r="D19" s="116">
        <f>'Chem&amp;FertInputs&amp;CInsurance'!E30</f>
        <v>0.26450000000000001</v>
      </c>
      <c r="E19" s="133">
        <f>'Chem&amp;FertInputs&amp;CInsurance'!P30</f>
        <v>0</v>
      </c>
      <c r="F19" s="117" t="str">
        <f t="shared" si="1"/>
        <v>0</v>
      </c>
      <c r="G19" s="165">
        <f>E19/128</f>
        <v>0</v>
      </c>
    </row>
    <row r="20" spans="1:7" ht="20">
      <c r="A20" s="15"/>
      <c r="B20" s="85" t="str">
        <f>'Chem&amp;FertInputs&amp;CInsurance'!C31</f>
        <v>Syltac sticker</v>
      </c>
      <c r="C20" s="23" t="str">
        <f>'Chem&amp;FertInputs&amp;CInsurance'!D31</f>
        <v>pint</v>
      </c>
      <c r="D20" s="116">
        <f>'Chem&amp;FertInputs&amp;CInsurance'!E31</f>
        <v>7.1874999999999991</v>
      </c>
      <c r="E20" s="133">
        <f>'Chem&amp;FertInputs&amp;CInsurance'!P31</f>
        <v>0</v>
      </c>
      <c r="F20" s="117" t="str">
        <f t="shared" si="1"/>
        <v>0</v>
      </c>
      <c r="G20" s="165">
        <f>E20/8</f>
        <v>0</v>
      </c>
    </row>
    <row r="21" spans="1:7" ht="20">
      <c r="A21" s="15"/>
      <c r="B21" s="85" t="str">
        <f>'Chem&amp;FertInputs&amp;CInsurance'!C33</f>
        <v>2,4 - D</v>
      </c>
      <c r="C21" s="23" t="str">
        <f>'Chem&amp;FertInputs&amp;CInsurance'!D33</f>
        <v>oz</v>
      </c>
      <c r="D21" s="116">
        <f>'Chem&amp;FertInputs&amp;CInsurance'!E33</f>
        <v>0.33349999999999996</v>
      </c>
      <c r="E21" s="133">
        <f>'Chem&amp;FertInputs&amp;CInsurance'!P33</f>
        <v>0</v>
      </c>
      <c r="F21" s="117" t="str">
        <f t="shared" si="0"/>
        <v>0</v>
      </c>
      <c r="G21" s="165">
        <f t="shared" ref="G21:G30" si="2">E21/128</f>
        <v>0</v>
      </c>
    </row>
    <row r="22" spans="1:7" ht="20">
      <c r="A22" s="15"/>
      <c r="B22" s="85" t="str">
        <f>'Chem&amp;FertInputs&amp;CInsurance'!C34</f>
        <v>Achieve SC</v>
      </c>
      <c r="C22" s="23" t="str">
        <f>'Chem&amp;FertInputs&amp;CInsurance'!D34</f>
        <v>oz</v>
      </c>
      <c r="D22" s="116">
        <f>'Chem&amp;FertInputs&amp;CInsurance'!E34</f>
        <v>1.3454999999999999</v>
      </c>
      <c r="E22" s="133">
        <f>'Chem&amp;FertInputs&amp;CInsurance'!P34</f>
        <v>0</v>
      </c>
      <c r="F22" s="117" t="str">
        <f t="shared" si="0"/>
        <v>0</v>
      </c>
      <c r="G22" s="165">
        <f t="shared" si="2"/>
        <v>0</v>
      </c>
    </row>
    <row r="23" spans="1:7" ht="20">
      <c r="A23" s="15"/>
      <c r="B23" s="85" t="str">
        <f>'Chem&amp;FertInputs&amp;CInsurance'!C35</f>
        <v>Affintity TankMix</v>
      </c>
      <c r="C23" s="23" t="str">
        <f>'Chem&amp;FertInputs&amp;CInsurance'!D35</f>
        <v>oz</v>
      </c>
      <c r="D23" s="116">
        <f>'Chem&amp;FertInputs&amp;CInsurance'!E35</f>
        <v>8.9699999999999989</v>
      </c>
      <c r="E23" s="133">
        <f>'Chem&amp;FertInputs&amp;CInsurance'!P35</f>
        <v>0</v>
      </c>
      <c r="F23" s="117" t="str">
        <f t="shared" si="0"/>
        <v>0</v>
      </c>
      <c r="G23" s="165">
        <f t="shared" si="2"/>
        <v>0</v>
      </c>
    </row>
    <row r="24" spans="1:7" ht="20">
      <c r="A24" s="15"/>
      <c r="B24" s="85" t="str">
        <f>'Chem&amp;FertInputs&amp;CInsurance'!C36</f>
        <v xml:space="preserve">Ally </v>
      </c>
      <c r="C24" s="23" t="str">
        <f>'Chem&amp;FertInputs&amp;CInsurance'!D36</f>
        <v>oz</v>
      </c>
      <c r="D24" s="116">
        <f>'Chem&amp;FertInputs&amp;CInsurance'!E36</f>
        <v>1.7249999999999999</v>
      </c>
      <c r="E24" s="133">
        <f>'Chem&amp;FertInputs&amp;CInsurance'!P36</f>
        <v>0</v>
      </c>
      <c r="F24" s="117" t="str">
        <f t="shared" si="0"/>
        <v>0</v>
      </c>
      <c r="G24" s="165">
        <f t="shared" si="2"/>
        <v>0</v>
      </c>
    </row>
    <row r="25" spans="1:7" ht="20">
      <c r="A25" s="15"/>
      <c r="B25" s="85" t="str">
        <f>'Chem&amp;FertInputs&amp;CInsurance'!C37</f>
        <v>Assure</v>
      </c>
      <c r="C25" s="23" t="str">
        <f>'Chem&amp;FertInputs&amp;CInsurance'!D37</f>
        <v>oz</v>
      </c>
      <c r="D25" s="116">
        <f>'Chem&amp;FertInputs&amp;CInsurance'!E37</f>
        <v>0.98899999999999988</v>
      </c>
      <c r="E25" s="133">
        <f>'Chem&amp;FertInputs&amp;CInsurance'!P37</f>
        <v>0</v>
      </c>
      <c r="F25" s="117" t="str">
        <f t="shared" si="0"/>
        <v>0</v>
      </c>
      <c r="G25" s="165">
        <f t="shared" si="2"/>
        <v>0</v>
      </c>
    </row>
    <row r="26" spans="1:7" ht="20">
      <c r="A26" s="15"/>
      <c r="B26" s="85" t="str">
        <f>'Chem&amp;FertInputs&amp;CInsurance'!C38</f>
        <v>Axial Star</v>
      </c>
      <c r="C26" s="23" t="str">
        <f>'Chem&amp;FertInputs&amp;CInsurance'!D38</f>
        <v>oz</v>
      </c>
      <c r="D26" s="116">
        <f>'Chem&amp;FertInputs&amp;CInsurance'!E38</f>
        <v>1.3224999999999998</v>
      </c>
      <c r="E26" s="133">
        <f>'Chem&amp;FertInputs&amp;CInsurance'!P38</f>
        <v>0</v>
      </c>
      <c r="F26" s="117" t="str">
        <f t="shared" si="0"/>
        <v>0</v>
      </c>
      <c r="G26" s="165">
        <f t="shared" si="2"/>
        <v>0</v>
      </c>
    </row>
    <row r="27" spans="1:7" ht="20">
      <c r="A27" s="15"/>
      <c r="B27" s="85" t="str">
        <f>'Chem&amp;FertInputs&amp;CInsurance'!C39</f>
        <v>Axial Bold</v>
      </c>
      <c r="C27" s="23" t="str">
        <f>'Chem&amp;FertInputs&amp;CInsurance'!D39</f>
        <v>oz</v>
      </c>
      <c r="D27" s="116">
        <f>'Chem&amp;FertInputs&amp;CInsurance'!E39</f>
        <v>1.0924999999999998</v>
      </c>
      <c r="E27" s="133">
        <f>'Chem&amp;FertInputs&amp;CInsurance'!P39</f>
        <v>0</v>
      </c>
      <c r="F27" s="117" t="str">
        <f t="shared" si="0"/>
        <v>0</v>
      </c>
      <c r="G27" s="165">
        <f t="shared" si="2"/>
        <v>0</v>
      </c>
    </row>
    <row r="28" spans="1:7" ht="20">
      <c r="A28" s="15"/>
      <c r="B28" s="85" t="str">
        <f>'Chem&amp;FertInputs&amp;CInsurance'!C40</f>
        <v>Bronate</v>
      </c>
      <c r="C28" s="23" t="str">
        <f>'Chem&amp;FertInputs&amp;CInsurance'!D40</f>
        <v>oz</v>
      </c>
      <c r="D28" s="116">
        <f>'Chem&amp;FertInputs&amp;CInsurance'!E40</f>
        <v>7.911999999999999</v>
      </c>
      <c r="E28" s="133">
        <f>'Chem&amp;FertInputs&amp;CInsurance'!P40</f>
        <v>0</v>
      </c>
      <c r="F28" s="117" t="str">
        <f t="shared" si="0"/>
        <v>0</v>
      </c>
      <c r="G28" s="165">
        <f t="shared" si="2"/>
        <v>0</v>
      </c>
    </row>
    <row r="29" spans="1:7" ht="20">
      <c r="A29" s="15"/>
      <c r="B29" s="85" t="str">
        <f>'Chem&amp;FertInputs&amp;CInsurance'!C41</f>
        <v xml:space="preserve">Brox M </v>
      </c>
      <c r="C29" s="23" t="str">
        <f>'Chem&amp;FertInputs&amp;CInsurance'!D41</f>
        <v>oz</v>
      </c>
      <c r="D29" s="116">
        <f>'Chem&amp;FertInputs&amp;CInsurance'!E41</f>
        <v>0.42549999999999999</v>
      </c>
      <c r="E29" s="133">
        <f>'Chem&amp;FertInputs&amp;CInsurance'!P41</f>
        <v>0</v>
      </c>
      <c r="F29" s="117" t="str">
        <f t="shared" si="0"/>
        <v>0</v>
      </c>
      <c r="G29" s="165">
        <f t="shared" si="2"/>
        <v>0</v>
      </c>
    </row>
    <row r="30" spans="1:7" ht="20">
      <c r="A30" s="15"/>
      <c r="B30" s="85" t="str">
        <f>'Chem&amp;FertInputs&amp;CInsurance'!C42</f>
        <v>Capture</v>
      </c>
      <c r="C30" s="23" t="str">
        <f>'Chem&amp;FertInputs&amp;CInsurance'!D42</f>
        <v>oz</v>
      </c>
      <c r="D30" s="116">
        <f>'Chem&amp;FertInputs&amp;CInsurance'!E42</f>
        <v>2.7024999999999997</v>
      </c>
      <c r="E30" s="133">
        <f>'Chem&amp;FertInputs&amp;CInsurance'!P42</f>
        <v>0</v>
      </c>
      <c r="F30" s="117" t="str">
        <f t="shared" si="0"/>
        <v>0</v>
      </c>
      <c r="G30" s="165">
        <f t="shared" si="2"/>
        <v>0</v>
      </c>
    </row>
    <row r="31" spans="1:7" ht="20">
      <c r="A31" s="15"/>
      <c r="B31" s="85" t="str">
        <f>'Chem&amp;FertInputs&amp;CInsurance'!C43</f>
        <v xml:space="preserve">Dimethoate </v>
      </c>
      <c r="C31" s="23" t="str">
        <f>'Chem&amp;FertInputs&amp;CInsurance'!D43</f>
        <v>pint</v>
      </c>
      <c r="D31" s="116">
        <f>'Chem&amp;FertInputs&amp;CInsurance'!E43</f>
        <v>7.1874999999999991</v>
      </c>
      <c r="E31" s="133">
        <f>'Chem&amp;FertInputs&amp;CInsurance'!P43</f>
        <v>0</v>
      </c>
      <c r="F31" s="117" t="str">
        <f t="shared" si="0"/>
        <v>0</v>
      </c>
      <c r="G31" s="165">
        <f>E31/8</f>
        <v>0</v>
      </c>
    </row>
    <row r="32" spans="1:7" ht="20">
      <c r="A32" s="15"/>
      <c r="B32" s="85" t="str">
        <f>'Chem&amp;FertInputs&amp;CInsurance'!C44</f>
        <v>Clethodim</v>
      </c>
      <c r="C32" s="23" t="str">
        <f>'Chem&amp;FertInputs&amp;CInsurance'!D44</f>
        <v>oz</v>
      </c>
      <c r="D32" s="116">
        <f>'Chem&amp;FertInputs&amp;CInsurance'!E44</f>
        <v>0.75900000000000001</v>
      </c>
      <c r="E32" s="133">
        <f>'Chem&amp;FertInputs&amp;CInsurance'!P44</f>
        <v>0</v>
      </c>
      <c r="F32" s="117" t="str">
        <f t="shared" ref="F32" si="3">IF(D32*E32=0,"0",D32*E32)</f>
        <v>0</v>
      </c>
      <c r="G32" s="165">
        <f t="shared" ref="G32:G37" si="4">E32/128</f>
        <v>0</v>
      </c>
    </row>
    <row r="33" spans="1:7" ht="20">
      <c r="A33" s="15"/>
      <c r="B33" s="85" t="str">
        <f>'Chem&amp;FertInputs&amp;CInsurance'!C45</f>
        <v>Discover</v>
      </c>
      <c r="C33" s="23" t="str">
        <f>'Chem&amp;FertInputs&amp;CInsurance'!D45</f>
        <v>oz</v>
      </c>
      <c r="D33" s="116">
        <f>'Chem&amp;FertInputs&amp;CInsurance'!E45</f>
        <v>1.6904999999999999</v>
      </c>
      <c r="E33" s="133">
        <f>'Chem&amp;FertInputs&amp;CInsurance'!P45</f>
        <v>0</v>
      </c>
      <c r="F33" s="117" t="str">
        <f t="shared" si="0"/>
        <v>0</v>
      </c>
      <c r="G33" s="165">
        <f t="shared" si="4"/>
        <v>0</v>
      </c>
    </row>
    <row r="34" spans="1:7" ht="20">
      <c r="A34" s="15"/>
      <c r="B34" s="85" t="str">
        <f>'Chem&amp;FertInputs&amp;CInsurance'!C46</f>
        <v>FarGO</v>
      </c>
      <c r="C34" s="23" t="str">
        <f>'Chem&amp;FertInputs&amp;CInsurance'!D46</f>
        <v>oz</v>
      </c>
      <c r="D34" s="116">
        <f>'Chem&amp;FertInputs&amp;CInsurance'!E46</f>
        <v>19.158999999999999</v>
      </c>
      <c r="E34" s="133">
        <f>'Chem&amp;FertInputs&amp;CInsurance'!P46</f>
        <v>0</v>
      </c>
      <c r="F34" s="117" t="str">
        <f t="shared" si="0"/>
        <v>0</v>
      </c>
      <c r="G34" s="165">
        <f t="shared" si="4"/>
        <v>0</v>
      </c>
    </row>
    <row r="35" spans="1:7" ht="20">
      <c r="A35" s="15"/>
      <c r="B35" s="85" t="str">
        <f>'Chem&amp;FertInputs&amp;CInsurance'!C47</f>
        <v>Finesse</v>
      </c>
      <c r="C35" s="23" t="str">
        <f>'Chem&amp;FertInputs&amp;CInsurance'!D47</f>
        <v>oz</v>
      </c>
      <c r="D35" s="116">
        <f>'Chem&amp;FertInputs&amp;CInsurance'!E47</f>
        <v>19.940999999999999</v>
      </c>
      <c r="E35" s="133">
        <f>'Chem&amp;FertInputs&amp;CInsurance'!P47</f>
        <v>0</v>
      </c>
      <c r="F35" s="117" t="str">
        <f t="shared" si="0"/>
        <v>0</v>
      </c>
      <c r="G35" s="165">
        <f t="shared" si="4"/>
        <v>0</v>
      </c>
    </row>
    <row r="36" spans="1:7" ht="20">
      <c r="A36" s="15"/>
      <c r="B36" s="85" t="str">
        <f>'Chem&amp;FertInputs&amp;CInsurance'!C48</f>
        <v>Glyphosate</v>
      </c>
      <c r="C36" s="23" t="str">
        <f>'Chem&amp;FertInputs&amp;CInsurance'!D48</f>
        <v>oz</v>
      </c>
      <c r="D36" s="116">
        <f>'Chem&amp;FertInputs&amp;CInsurance'!E48</f>
        <v>0.14949999999999999</v>
      </c>
      <c r="E36" s="133">
        <f>'Chem&amp;FertInputs&amp;CInsurance'!P48</f>
        <v>0</v>
      </c>
      <c r="F36" s="117" t="str">
        <f t="shared" si="0"/>
        <v>0</v>
      </c>
      <c r="G36" s="165">
        <f t="shared" si="4"/>
        <v>0</v>
      </c>
    </row>
    <row r="37" spans="1:7" ht="20">
      <c r="A37" s="15"/>
      <c r="B37" s="85" t="str">
        <f>'Chem&amp;FertInputs&amp;CInsurance'!C49</f>
        <v>Huskie</v>
      </c>
      <c r="C37" s="23" t="str">
        <f>'Chem&amp;FertInputs&amp;CInsurance'!D49</f>
        <v>oz</v>
      </c>
      <c r="D37" s="116">
        <f>'Chem&amp;FertInputs&amp;CInsurance'!E49</f>
        <v>0.88549999999999995</v>
      </c>
      <c r="E37" s="133">
        <f>'Chem&amp;FertInputs&amp;CInsurance'!P49</f>
        <v>0</v>
      </c>
      <c r="F37" s="117" t="str">
        <f t="shared" si="0"/>
        <v>0</v>
      </c>
      <c r="G37" s="165">
        <f t="shared" si="4"/>
        <v>0</v>
      </c>
    </row>
    <row r="38" spans="1:7" ht="20">
      <c r="A38" s="15"/>
      <c r="B38" s="85" t="str">
        <f>'Chem&amp;FertInputs&amp;CInsurance'!C50</f>
        <v>Imidan 70</v>
      </c>
      <c r="C38" s="23" t="str">
        <f>'Chem&amp;FertInputs&amp;CInsurance'!D50</f>
        <v>lb</v>
      </c>
      <c r="D38" s="116">
        <f>'Chem&amp;FertInputs&amp;CInsurance'!E50</f>
        <v>17.295999999999999</v>
      </c>
      <c r="E38" s="133">
        <f>'Chem&amp;FertInputs&amp;CInsurance'!P50</f>
        <v>0</v>
      </c>
      <c r="F38" s="117" t="str">
        <f t="shared" si="0"/>
        <v>0</v>
      </c>
      <c r="G38" s="165">
        <f>E38/16</f>
        <v>0</v>
      </c>
    </row>
    <row r="39" spans="1:7" ht="20">
      <c r="A39" s="15"/>
      <c r="B39" s="85" t="str">
        <f>'Chem&amp;FertInputs&amp;CInsurance'!C51</f>
        <v xml:space="preserve">Maverick </v>
      </c>
      <c r="C39" s="23" t="str">
        <f>'Chem&amp;FertInputs&amp;CInsurance'!D51</f>
        <v>oz</v>
      </c>
      <c r="D39" s="116">
        <f>'Chem&amp;FertInputs&amp;CInsurance'!E51</f>
        <v>23.885499999999997</v>
      </c>
      <c r="E39" s="133">
        <f>'Chem&amp;FertInputs&amp;CInsurance'!P51</f>
        <v>0</v>
      </c>
      <c r="F39" s="117" t="str">
        <f t="shared" si="0"/>
        <v>0</v>
      </c>
      <c r="G39" s="165">
        <f t="shared" ref="G39:G51" si="5">E39/128</f>
        <v>0</v>
      </c>
    </row>
    <row r="40" spans="1:7" ht="20">
      <c r="A40" s="15"/>
      <c r="B40" s="85" t="str">
        <f>'Chem&amp;FertInputs&amp;CInsurance'!C52</f>
        <v>Osprey</v>
      </c>
      <c r="C40" s="23" t="str">
        <f>'Chem&amp;FertInputs&amp;CInsurance'!D52</f>
        <v>oz</v>
      </c>
      <c r="D40" s="116">
        <f>'Chem&amp;FertInputs&amp;CInsurance'!E52</f>
        <v>5.0484999999999989</v>
      </c>
      <c r="E40" s="133">
        <f>'Chem&amp;FertInputs&amp;CInsurance'!P52</f>
        <v>0</v>
      </c>
      <c r="F40" s="117" t="str">
        <f t="shared" si="0"/>
        <v>0</v>
      </c>
      <c r="G40" s="165">
        <f t="shared" si="5"/>
        <v>0</v>
      </c>
    </row>
    <row r="41" spans="1:7" ht="20">
      <c r="A41" s="15"/>
      <c r="B41" s="85" t="str">
        <f>'Chem&amp;FertInputs&amp;CInsurance'!C53</f>
        <v>Poast</v>
      </c>
      <c r="C41" s="23" t="str">
        <f>'Chem&amp;FertInputs&amp;CInsurance'!D53</f>
        <v>oz</v>
      </c>
      <c r="D41" s="116">
        <f>'Chem&amp;FertInputs&amp;CInsurance'!E53</f>
        <v>19.285499999999999</v>
      </c>
      <c r="E41" s="133">
        <f>'Chem&amp;FertInputs&amp;CInsurance'!P53</f>
        <v>0</v>
      </c>
      <c r="F41" s="117" t="str">
        <f t="shared" ref="F41" si="6">IF(D41*E41=0,"0",D41*E41)</f>
        <v>0</v>
      </c>
      <c r="G41" s="165">
        <f t="shared" si="5"/>
        <v>0</v>
      </c>
    </row>
    <row r="42" spans="1:7" ht="20">
      <c r="A42" s="15"/>
      <c r="B42" s="85" t="str">
        <f>'Chem&amp;FertInputs&amp;CInsurance'!C54</f>
        <v>Power Flex</v>
      </c>
      <c r="C42" s="23" t="str">
        <f>'Chem&amp;FertInputs&amp;CInsurance'!D54</f>
        <v>oz</v>
      </c>
      <c r="D42" s="116">
        <f>'Chem&amp;FertInputs&amp;CInsurance'!E54</f>
        <v>8.9124999999999996</v>
      </c>
      <c r="E42" s="133">
        <f>'Chem&amp;FertInputs&amp;CInsurance'!P54</f>
        <v>0</v>
      </c>
      <c r="F42" s="117" t="str">
        <f t="shared" si="0"/>
        <v>0</v>
      </c>
      <c r="G42" s="165">
        <f t="shared" si="5"/>
        <v>0</v>
      </c>
    </row>
    <row r="43" spans="1:7" ht="20">
      <c r="A43" s="15"/>
      <c r="B43" s="85" t="str">
        <f>'Chem&amp;FertInputs&amp;CInsurance'!C55</f>
        <v>Priaxor</v>
      </c>
      <c r="C43" s="23" t="str">
        <f>'Chem&amp;FertInputs&amp;CInsurance'!D55</f>
        <v>oz</v>
      </c>
      <c r="D43" s="116">
        <f>'Chem&amp;FertInputs&amp;CInsurance'!E55</f>
        <v>3.4269999999999996</v>
      </c>
      <c r="E43" s="133">
        <f>'Chem&amp;FertInputs&amp;CInsurance'!P55</f>
        <v>0</v>
      </c>
      <c r="F43" s="117" t="str">
        <f t="shared" si="0"/>
        <v>0</v>
      </c>
      <c r="G43" s="165">
        <f t="shared" si="5"/>
        <v>0</v>
      </c>
    </row>
    <row r="44" spans="1:7" ht="20">
      <c r="A44" s="15"/>
      <c r="B44" s="85" t="str">
        <f>'Chem&amp;FertInputs&amp;CInsurance'!C56</f>
        <v>Prowl</v>
      </c>
      <c r="C44" s="23" t="str">
        <f>'Chem&amp;FertInputs&amp;CInsurance'!D56</f>
        <v>oz</v>
      </c>
      <c r="D44" s="116">
        <f>'Chem&amp;FertInputs&amp;CInsurance'!E56</f>
        <v>0.51749999999999996</v>
      </c>
      <c r="E44" s="133">
        <f>'Chem&amp;FertInputs&amp;CInsurance'!P56</f>
        <v>0</v>
      </c>
      <c r="F44" s="117" t="str">
        <f t="shared" si="0"/>
        <v>0</v>
      </c>
      <c r="G44" s="165">
        <f t="shared" si="5"/>
        <v>0</v>
      </c>
    </row>
    <row r="45" spans="1:7" ht="20">
      <c r="A45" s="15"/>
      <c r="B45" s="85" t="str">
        <f>'Chem&amp;FertInputs&amp;CInsurance'!C57</f>
        <v>Pursuit</v>
      </c>
      <c r="C45" s="23" t="str">
        <f>'Chem&amp;FertInputs&amp;CInsurance'!D57</f>
        <v>oz</v>
      </c>
      <c r="D45" s="116">
        <f>'Chem&amp;FertInputs&amp;CInsurance'!E57</f>
        <v>4.0594999999999999</v>
      </c>
      <c r="E45" s="133">
        <f>'Chem&amp;FertInputs&amp;CInsurance'!P57</f>
        <v>0</v>
      </c>
      <c r="F45" s="117" t="str">
        <f t="shared" si="0"/>
        <v>0</v>
      </c>
      <c r="G45" s="165">
        <f t="shared" si="5"/>
        <v>0</v>
      </c>
    </row>
    <row r="46" spans="1:7" ht="20">
      <c r="A46" s="15"/>
      <c r="B46" s="85" t="str">
        <f>'Chem&amp;FertInputs&amp;CInsurance'!C58</f>
        <v xml:space="preserve">Quadris </v>
      </c>
      <c r="C46" s="23" t="str">
        <f>'Chem&amp;FertInputs&amp;CInsurance'!D58</f>
        <v>oz</v>
      </c>
      <c r="D46" s="116">
        <f>'Chem&amp;FertInputs&amp;CInsurance'!E58</f>
        <v>1.127</v>
      </c>
      <c r="E46" s="133">
        <f>'Chem&amp;FertInputs&amp;CInsurance'!P58</f>
        <v>0</v>
      </c>
      <c r="F46" s="117" t="str">
        <f t="shared" si="0"/>
        <v>0</v>
      </c>
      <c r="G46" s="165">
        <f t="shared" si="5"/>
        <v>0</v>
      </c>
    </row>
    <row r="47" spans="1:7" ht="20">
      <c r="A47" s="15"/>
      <c r="B47" s="85" t="str">
        <f>'Chem&amp;FertInputs&amp;CInsurance'!C59</f>
        <v>Quilt</v>
      </c>
      <c r="C47" s="23" t="str">
        <f>'Chem&amp;FertInputs&amp;CInsurance'!D59</f>
        <v>oz</v>
      </c>
      <c r="D47" s="116">
        <f>'Chem&amp;FertInputs&amp;CInsurance'!E59</f>
        <v>1.4834999999999998</v>
      </c>
      <c r="E47" s="133">
        <f>'Chem&amp;FertInputs&amp;CInsurance'!P59</f>
        <v>0</v>
      </c>
      <c r="F47" s="117" t="str">
        <f t="shared" si="0"/>
        <v>0</v>
      </c>
      <c r="G47" s="165">
        <f t="shared" si="5"/>
        <v>0</v>
      </c>
    </row>
    <row r="48" spans="1:7" ht="20">
      <c r="A48" s="15"/>
      <c r="B48" s="85" t="str">
        <f>'Chem&amp;FertInputs&amp;CInsurance'!C60</f>
        <v>R11</v>
      </c>
      <c r="C48" s="23" t="str">
        <f>'Chem&amp;FertInputs&amp;CInsurance'!D60</f>
        <v>oz</v>
      </c>
      <c r="D48" s="116">
        <f>'Chem&amp;FertInputs&amp;CInsurance'!E60</f>
        <v>0.26450000000000001</v>
      </c>
      <c r="E48" s="133">
        <f>'Chem&amp;FertInputs&amp;CInsurance'!P60</f>
        <v>0</v>
      </c>
      <c r="F48" s="117" t="str">
        <f t="shared" si="0"/>
        <v>0</v>
      </c>
      <c r="G48" s="165">
        <f t="shared" si="5"/>
        <v>0</v>
      </c>
    </row>
    <row r="49" spans="1:7" ht="20">
      <c r="A49" s="15"/>
      <c r="B49" s="85" t="str">
        <f>'Chem&amp;FertInputs&amp;CInsurance'!C61</f>
        <v>Starane</v>
      </c>
      <c r="C49" s="23" t="str">
        <f>'Chem&amp;FertInputs&amp;CInsurance'!D61</f>
        <v>oz</v>
      </c>
      <c r="D49" s="116">
        <f>'Chem&amp;FertInputs&amp;CInsurance'!E61</f>
        <v>0.77049999999999996</v>
      </c>
      <c r="E49" s="133">
        <f>'Chem&amp;FertInputs&amp;CInsurance'!P61</f>
        <v>0</v>
      </c>
      <c r="F49" s="117" t="str">
        <f t="shared" si="0"/>
        <v>0</v>
      </c>
      <c r="G49" s="165">
        <f t="shared" si="5"/>
        <v>0</v>
      </c>
    </row>
    <row r="50" spans="1:7" ht="20">
      <c r="A50" s="15"/>
      <c r="B50" s="85" t="str">
        <f>'Chem&amp;FertInputs&amp;CInsurance'!C62</f>
        <v>Starane + Salvo</v>
      </c>
      <c r="C50" s="23" t="str">
        <f>'Chem&amp;FertInputs&amp;CInsurance'!D62</f>
        <v>oz</v>
      </c>
      <c r="D50" s="116">
        <f>'Chem&amp;FertInputs&amp;CInsurance'!E62</f>
        <v>0.77049999999999996</v>
      </c>
      <c r="E50" s="133">
        <f>'Chem&amp;FertInputs&amp;CInsurance'!P62</f>
        <v>0</v>
      </c>
      <c r="F50" s="117" t="str">
        <f t="shared" si="0"/>
        <v>0</v>
      </c>
      <c r="G50" s="165">
        <f t="shared" si="5"/>
        <v>0</v>
      </c>
    </row>
    <row r="51" spans="1:7" ht="20">
      <c r="A51" s="15"/>
      <c r="B51" s="85" t="str">
        <f>'Chem&amp;FertInputs&amp;CInsurance'!C63</f>
        <v xml:space="preserve">Starane + Sword </v>
      </c>
      <c r="C51" s="23" t="str">
        <f>'Chem&amp;FertInputs&amp;CInsurance'!D63</f>
        <v>oz</v>
      </c>
      <c r="D51" s="116">
        <f>'Chem&amp;FertInputs&amp;CInsurance'!E63</f>
        <v>0.77049999999999996</v>
      </c>
      <c r="E51" s="133">
        <f>'Chem&amp;FertInputs&amp;CInsurance'!P63</f>
        <v>0</v>
      </c>
      <c r="F51" s="117" t="str">
        <f t="shared" si="0"/>
        <v>0</v>
      </c>
      <c r="G51" s="165">
        <f t="shared" si="5"/>
        <v>0</v>
      </c>
    </row>
    <row r="52" spans="1:7" ht="20">
      <c r="A52" s="15"/>
      <c r="B52" s="85" t="str">
        <f>'Chem&amp;FertInputs&amp;CInsurance'!C64</f>
        <v xml:space="preserve"> Tilt</v>
      </c>
      <c r="C52" s="23" t="str">
        <f>'Chem&amp;FertInputs&amp;CInsurance'!D64</f>
        <v>oz</v>
      </c>
      <c r="D52" s="116">
        <f>'Chem&amp;FertInputs&amp;CInsurance'!E64</f>
        <v>0.88549999999999995</v>
      </c>
      <c r="E52" s="133">
        <f>'Chem&amp;FertInputs&amp;CInsurance'!P64</f>
        <v>0</v>
      </c>
      <c r="F52" s="117" t="str">
        <f t="shared" ref="F52:F53" si="7">IF(D52*E52=0,"0",D52*E52)</f>
        <v>0</v>
      </c>
      <c r="G52" s="165">
        <f t="shared" ref="G52:G53" si="8">E52/128</f>
        <v>0</v>
      </c>
    </row>
    <row r="53" spans="1:7" ht="20">
      <c r="A53" s="15"/>
      <c r="B53" s="85" t="str">
        <f>'Chem&amp;FertInputs&amp;CInsurance'!C65</f>
        <v xml:space="preserve">Wildcard </v>
      </c>
      <c r="C53" s="23" t="str">
        <f>'Chem&amp;FertInputs&amp;CInsurance'!D65</f>
        <v>oz</v>
      </c>
      <c r="D53" s="116">
        <f>'Chem&amp;FertInputs&amp;CInsurance'!E65</f>
        <v>0.35649999999999998</v>
      </c>
      <c r="E53" s="133">
        <f>'Chem&amp;FertInputs&amp;CInsurance'!P65</f>
        <v>0</v>
      </c>
      <c r="F53" s="117" t="str">
        <f t="shared" si="7"/>
        <v>0</v>
      </c>
      <c r="G53" s="165">
        <f t="shared" si="8"/>
        <v>0</v>
      </c>
    </row>
    <row r="54" spans="1:7" ht="20">
      <c r="A54" s="15"/>
      <c r="B54" s="85" t="str">
        <f>'Chem&amp;FertInputs&amp;CInsurance'!C66</f>
        <v>Sharpen</v>
      </c>
      <c r="C54" s="23" t="str">
        <f>'Chem&amp;FertInputs&amp;CInsurance'!D66</f>
        <v>oz</v>
      </c>
      <c r="D54" s="116">
        <f>'Chem&amp;FertInputs&amp;CInsurance'!E66</f>
        <v>6.3134999999999994</v>
      </c>
      <c r="E54" s="133">
        <f>'Chem&amp;FertInputs&amp;CInsurance'!P66</f>
        <v>0</v>
      </c>
      <c r="F54" s="117" t="str">
        <f t="shared" si="0"/>
        <v>0</v>
      </c>
      <c r="G54" s="165">
        <f>E54/128</f>
        <v>0</v>
      </c>
    </row>
    <row r="55" spans="1:7" ht="20">
      <c r="A55" s="15"/>
      <c r="B55" s="85" t="str">
        <f>'Chem&amp;FertInputs&amp;CInsurance'!C67</f>
        <v>Sencor</v>
      </c>
      <c r="C55" s="23" t="str">
        <f>'Chem&amp;FertInputs&amp;CInsurance'!D67</f>
        <v>oz</v>
      </c>
      <c r="D55" s="116">
        <f>'Chem&amp;FertInputs&amp;CInsurance'!E67</f>
        <v>0.45999999999999996</v>
      </c>
      <c r="E55" s="133">
        <f>'Chem&amp;FertInputs&amp;CInsurance'!P67</f>
        <v>0</v>
      </c>
      <c r="F55" s="117" t="str">
        <f t="shared" si="0"/>
        <v>0</v>
      </c>
      <c r="G55" s="165">
        <f>E55/128</f>
        <v>0</v>
      </c>
    </row>
    <row r="56" spans="1:7" ht="20">
      <c r="A56" s="15"/>
      <c r="B56" s="85" t="str">
        <f>'Chem&amp;FertInputs&amp;CInsurance'!C68</f>
        <v>Warrior</v>
      </c>
      <c r="C56" s="23" t="str">
        <f>'Chem&amp;FertInputs&amp;CInsurance'!D68</f>
        <v>acre</v>
      </c>
      <c r="D56" s="116">
        <f>'Chem&amp;FertInputs&amp;CInsurance'!E68</f>
        <v>3.4499999999999997</v>
      </c>
      <c r="E56" s="133">
        <f>'Chem&amp;FertInputs&amp;CInsurance'!P68</f>
        <v>0</v>
      </c>
      <c r="F56" s="117" t="str">
        <f t="shared" si="0"/>
        <v>0</v>
      </c>
      <c r="G56" s="165">
        <f>E56/128</f>
        <v>0</v>
      </c>
    </row>
    <row r="57" spans="1:7" ht="20">
      <c r="A57" s="15"/>
      <c r="B57" s="85" t="str">
        <f>'Chem&amp;FertInputs&amp;CInsurance'!C69</f>
        <v xml:space="preserve"> Lorox</v>
      </c>
      <c r="C57" s="23" t="str">
        <f>'Chem&amp;FertInputs&amp;CInsurance'!D69</f>
        <v>lb</v>
      </c>
      <c r="D57" s="116">
        <f>'Chem&amp;FertInputs&amp;CInsurance'!E69</f>
        <v>26.565000000000001</v>
      </c>
      <c r="E57" s="133">
        <f>'Chem&amp;FertInputs&amp;CInsurance'!P69</f>
        <v>0</v>
      </c>
      <c r="F57" s="117" t="str">
        <f t="shared" si="0"/>
        <v>0</v>
      </c>
      <c r="G57" s="165">
        <f>E57/128</f>
        <v>0</v>
      </c>
    </row>
    <row r="58" spans="1:7" ht="20">
      <c r="A58" s="15"/>
      <c r="B58" s="85" t="str">
        <f>'Chem&amp;FertInputs&amp;CInsurance'!C70</f>
        <v xml:space="preserve"> Valor</v>
      </c>
      <c r="C58" s="23" t="str">
        <f>'Chem&amp;FertInputs&amp;CInsurance'!D70</f>
        <v>oz</v>
      </c>
      <c r="D58" s="116">
        <f>'Chem&amp;FertInputs&amp;CInsurance'!E70</f>
        <v>6.6124999999999998</v>
      </c>
      <c r="E58" s="133">
        <f>'Chem&amp;FertInputs&amp;CInsurance'!P70</f>
        <v>0</v>
      </c>
      <c r="F58" s="117" t="str">
        <f t="shared" ref="F58:F59" si="9">IF(D58*E58=0,"0",D58*E58)</f>
        <v>0</v>
      </c>
      <c r="G58" s="165">
        <f t="shared" ref="G58:G59" si="10">E58/128</f>
        <v>0</v>
      </c>
    </row>
    <row r="59" spans="1:7" ht="20">
      <c r="A59" s="15"/>
      <c r="B59" s="85" t="str">
        <f>'Chem&amp;FertInputs&amp;CInsurance'!C71</f>
        <v xml:space="preserve"> Diagon</v>
      </c>
      <c r="C59" s="23" t="str">
        <f>'Chem&amp;FertInputs&amp;CInsurance'!D71</f>
        <v>oz</v>
      </c>
      <c r="D59" s="116">
        <f>'Chem&amp;FertInputs&amp;CInsurance'!E71</f>
        <v>0.43699999999999994</v>
      </c>
      <c r="E59" s="133">
        <f>'Chem&amp;FertInputs&amp;CInsurance'!P71</f>
        <v>0</v>
      </c>
      <c r="F59" s="117" t="str">
        <f t="shared" si="9"/>
        <v>0</v>
      </c>
      <c r="G59" s="165">
        <f t="shared" si="10"/>
        <v>0</v>
      </c>
    </row>
    <row r="60" spans="1:7" ht="20">
      <c r="A60" s="15"/>
      <c r="B60" s="85" t="str">
        <f>'Chem&amp;FertInputs&amp;CInsurance'!C72</f>
        <v xml:space="preserve">Spartan </v>
      </c>
      <c r="C60" s="23" t="str">
        <f>'Chem&amp;FertInputs&amp;CInsurance'!D72</f>
        <v>oz</v>
      </c>
      <c r="D60" s="116">
        <f>'Chem&amp;FertInputs&amp;CInsurance'!E72</f>
        <v>2.0469999999999997</v>
      </c>
      <c r="E60" s="133">
        <f>'Chem&amp;FertInputs&amp;CInsurance'!P72</f>
        <v>0</v>
      </c>
      <c r="F60" s="117" t="str">
        <f t="shared" si="0"/>
        <v>0</v>
      </c>
      <c r="G60" s="165">
        <f>E60/128</f>
        <v>0</v>
      </c>
    </row>
    <row r="61" spans="1:7" ht="23">
      <c r="A61" s="15"/>
      <c r="B61" s="85" t="str">
        <f>'Chem&amp;FertInputs&amp;CInsurance'!C32</f>
        <v xml:space="preserve">Round Up </v>
      </c>
      <c r="C61" s="23" t="str">
        <f>'Chem&amp;FertInputs&amp;CInsurance'!D32</f>
        <v>oz</v>
      </c>
      <c r="D61" s="116">
        <f>'Chem&amp;FertInputs&amp;CInsurance'!E32</f>
        <v>0.14949999999999999</v>
      </c>
      <c r="E61" s="133">
        <f>'Chem&amp;FertInputs&amp;CInsurance'!P32</f>
        <v>0</v>
      </c>
      <c r="F61" s="117" t="str">
        <f t="shared" si="0"/>
        <v>0</v>
      </c>
      <c r="G61" s="225">
        <f>E61/128</f>
        <v>0</v>
      </c>
    </row>
    <row r="62" spans="1:7" ht="20">
      <c r="A62" s="15"/>
      <c r="B62" s="139" t="s">
        <v>86</v>
      </c>
      <c r="C62" s="23"/>
      <c r="D62" s="116"/>
      <c r="E62" s="133"/>
      <c r="F62" s="117" t="str">
        <f t="shared" si="0"/>
        <v>0</v>
      </c>
      <c r="G62" s="165">
        <f>SUM(G14:G61)</f>
        <v>0</v>
      </c>
    </row>
    <row r="63" spans="1:7" ht="20">
      <c r="A63" s="15"/>
      <c r="B63" s="125" t="str">
        <f>CustomRates!B5</f>
        <v>Aerial (Custom)</v>
      </c>
      <c r="C63" s="41" t="str">
        <f>CustomRates!C5</f>
        <v>acre</v>
      </c>
      <c r="D63" s="116">
        <f>CustomRates!N5</f>
        <v>8.9499999999999993</v>
      </c>
      <c r="E63" s="87">
        <f>CustomRates!N6</f>
        <v>0</v>
      </c>
      <c r="F63" s="117"/>
    </row>
    <row r="64" spans="1:7" ht="20">
      <c r="A64" s="15"/>
      <c r="B64" s="125" t="str">
        <f>CustomRates!B7</f>
        <v>Sprayer (Rental 90')</v>
      </c>
      <c r="C64" s="41" t="str">
        <f>CustomRates!C7</f>
        <v>acre</v>
      </c>
      <c r="D64" s="116">
        <f>CustomRates!N7</f>
        <v>8</v>
      </c>
      <c r="E64" s="87">
        <f>CustomRates!N8</f>
        <v>0</v>
      </c>
      <c r="F64" s="117" t="str">
        <f t="shared" ref="F64:F70" si="11">IF(D64*E64=0,"0",D64*E64)</f>
        <v>0</v>
      </c>
    </row>
    <row r="65" spans="1:9" ht="20">
      <c r="A65" s="15"/>
      <c r="B65" s="125" t="str">
        <f>CustomRates!B9</f>
        <v>Fertilizer - Anhydrous Applicator (Rent)</v>
      </c>
      <c r="C65" s="41" t="str">
        <f>CustomRates!C9</f>
        <v>acre</v>
      </c>
      <c r="D65" s="116">
        <f>CustomRates!N9</f>
        <v>7</v>
      </c>
      <c r="E65" s="87">
        <f>CustomRates!N10</f>
        <v>0</v>
      </c>
      <c r="F65" s="117" t="str">
        <f t="shared" si="11"/>
        <v>0</v>
      </c>
    </row>
    <row r="66" spans="1:9" ht="20">
      <c r="A66" s="15"/>
      <c r="B66" s="125" t="str">
        <f>CustomRates!B11</f>
        <v>Fertilizer Applicator</v>
      </c>
      <c r="C66" s="41" t="str">
        <f>CustomRates!C11</f>
        <v>acre</v>
      </c>
      <c r="D66" s="116">
        <f>CustomRates!N11</f>
        <v>2</v>
      </c>
      <c r="E66" s="87">
        <f>CustomRates!N12</f>
        <v>0</v>
      </c>
      <c r="F66" s="117" t="str">
        <f t="shared" si="11"/>
        <v>0</v>
      </c>
    </row>
    <row r="67" spans="1:9" ht="20">
      <c r="A67" s="15"/>
      <c r="B67" s="125" t="str">
        <f>CustomRates!B13</f>
        <v>26' Rental Shredder</v>
      </c>
      <c r="C67" s="41" t="str">
        <f>CustomRates!C13</f>
        <v>acre</v>
      </c>
      <c r="D67" s="116">
        <f>CustomRates!N13</f>
        <v>10</v>
      </c>
      <c r="E67" s="87">
        <f>CustomRates!N14</f>
        <v>0</v>
      </c>
      <c r="F67" s="117" t="str">
        <f t="shared" si="11"/>
        <v>0</v>
      </c>
    </row>
    <row r="68" spans="1:9" ht="20">
      <c r="A68" s="15"/>
      <c r="B68" s="125" t="str">
        <f>CustomRates!B15</f>
        <v>36' Ripper Shooter</v>
      </c>
      <c r="C68" s="41" t="str">
        <f>CustomRates!C15</f>
        <v>acre</v>
      </c>
      <c r="D68" s="116">
        <f>CustomRates!N15</f>
        <v>2.5</v>
      </c>
      <c r="E68" s="87">
        <f>CustomRates!N16</f>
        <v>0</v>
      </c>
      <c r="F68" s="117" t="str">
        <f t="shared" si="11"/>
        <v>0</v>
      </c>
    </row>
    <row r="69" spans="1:9" ht="20">
      <c r="A69" s="15"/>
      <c r="B69" s="125" t="str">
        <f>CustomRates!B17</f>
        <v>Custom self-propelled sprayer</v>
      </c>
      <c r="C69" s="41" t="str">
        <f>CustomRates!C17</f>
        <v>acre</v>
      </c>
      <c r="D69" s="116">
        <f>CustomRates!N17</f>
        <v>8</v>
      </c>
      <c r="E69" s="87">
        <f>CustomRates!N18</f>
        <v>0</v>
      </c>
      <c r="F69" s="117" t="str">
        <f t="shared" si="11"/>
        <v>0</v>
      </c>
    </row>
    <row r="70" spans="1:9" ht="20">
      <c r="A70" s="15"/>
      <c r="B70" s="125" t="str">
        <f>CustomRates!B19</f>
        <v>Additional Operation #8 (Custom)</v>
      </c>
      <c r="C70" s="41" t="str">
        <f>CustomRates!C19</f>
        <v>acre</v>
      </c>
      <c r="D70" s="116">
        <f>CustomRates!N19</f>
        <v>0</v>
      </c>
      <c r="E70" s="87">
        <f>CustomRates!N20</f>
        <v>0</v>
      </c>
      <c r="F70" s="117" t="str">
        <f t="shared" si="11"/>
        <v>0</v>
      </c>
    </row>
    <row r="71" spans="1:9" ht="20">
      <c r="A71" s="15"/>
      <c r="B71" s="139" t="s">
        <v>87</v>
      </c>
      <c r="C71" s="41"/>
      <c r="D71" s="116"/>
      <c r="E71" s="116"/>
      <c r="F71" s="183" t="s">
        <v>8</v>
      </c>
      <c r="H71" s="1" t="s">
        <v>204</v>
      </c>
      <c r="I71" s="1" t="s">
        <v>135</v>
      </c>
    </row>
    <row r="72" spans="1:9" ht="20">
      <c r="A72" s="15"/>
      <c r="B72" s="85" t="str">
        <f>MachineAssumptions!B7&amp;" - Labor"</f>
        <v>Shredder - Labor</v>
      </c>
      <c r="C72" s="41" t="s">
        <v>246</v>
      </c>
      <c r="D72" s="116">
        <f>MachineAssumptions!$R$7</f>
        <v>1.4996591683708247</v>
      </c>
      <c r="E72" s="87">
        <f>FieldApplications!$M$6</f>
        <v>0</v>
      </c>
      <c r="F72" s="117"/>
      <c r="H72" s="246">
        <f>MachineAssumptions!$R$28*E72</f>
        <v>0</v>
      </c>
      <c r="I72" s="166">
        <f>MachineAssumptions!$R$48*E72</f>
        <v>0</v>
      </c>
    </row>
    <row r="73" spans="1:9" ht="20">
      <c r="A73" s="15"/>
      <c r="B73" s="85" t="str">
        <f>MachineAssumptions!B7&amp;" - Fuel, Lube"</f>
        <v>Shredder - Fuel, Lube</v>
      </c>
      <c r="C73" s="41" t="s">
        <v>246</v>
      </c>
      <c r="D73" s="116">
        <f>MachineAssumptions!$S$7</f>
        <v>5.7486934787548281</v>
      </c>
      <c r="E73" s="87">
        <f>FieldApplications!$M$6</f>
        <v>0</v>
      </c>
      <c r="F73" s="117" t="str">
        <f t="shared" ref="F73:F113" si="12">IF(D73*E73=0,"0",D73*E73)</f>
        <v>0</v>
      </c>
      <c r="H73" s="246">
        <f>MachineAssumptions!$S$28*E73</f>
        <v>0</v>
      </c>
      <c r="I73" s="166">
        <f>MachineAssumptions!$S$48*E73</f>
        <v>0</v>
      </c>
    </row>
    <row r="74" spans="1:9" ht="20">
      <c r="A74" s="15"/>
      <c r="B74" s="85" t="str">
        <f>MachineAssumptions!B7&amp;" - Repairs"</f>
        <v>Shredder - Repairs</v>
      </c>
      <c r="C74" s="41" t="s">
        <v>246</v>
      </c>
      <c r="D74" s="116">
        <f>MachineAssumptions!$T$7</f>
        <v>0.46726721181997538</v>
      </c>
      <c r="E74" s="87">
        <f>FieldApplications!$M$6</f>
        <v>0</v>
      </c>
      <c r="F74" s="117" t="str">
        <f t="shared" si="12"/>
        <v>0</v>
      </c>
      <c r="H74" s="246">
        <f>MachineAssumptions!$T$28*E74</f>
        <v>0</v>
      </c>
      <c r="I74" s="166">
        <f>MachineAssumptions!$T$48*E74</f>
        <v>0</v>
      </c>
    </row>
    <row r="75" spans="1:9" ht="20">
      <c r="A75" s="15"/>
      <c r="B75" s="85" t="str">
        <f>MachineAssumptions!B8&amp;" - Labor"</f>
        <v>Harrow - Labor</v>
      </c>
      <c r="C75" s="41" t="s">
        <v>246</v>
      </c>
      <c r="D75" s="116">
        <f>MachineAssumptions!$R$8</f>
        <v>0.59412746734753996</v>
      </c>
      <c r="E75" s="87">
        <f>FieldApplications!$M$7</f>
        <v>0</v>
      </c>
      <c r="F75" s="117" t="str">
        <f t="shared" si="12"/>
        <v>0</v>
      </c>
      <c r="H75" s="246">
        <f>MachineAssumptions!$R$29*E75</f>
        <v>0</v>
      </c>
      <c r="I75" s="166">
        <f>MachineAssumptions!$R$49*E75</f>
        <v>0</v>
      </c>
    </row>
    <row r="76" spans="1:9" ht="20">
      <c r="A76" s="15"/>
      <c r="B76" s="85" t="str">
        <f>MachineAssumptions!B8&amp;" - Fuel, Lube"</f>
        <v>Harrow - Fuel, Lube</v>
      </c>
      <c r="C76" s="41" t="s">
        <v>246</v>
      </c>
      <c r="D76" s="116">
        <f>MachineAssumptions!$S$8</f>
        <v>2.4845330452715308</v>
      </c>
      <c r="E76" s="87">
        <f>FieldApplications!$M$7</f>
        <v>0</v>
      </c>
      <c r="F76" s="117" t="str">
        <f t="shared" si="12"/>
        <v>0</v>
      </c>
      <c r="H76" s="246">
        <f>MachineAssumptions!$S$29*E76</f>
        <v>0</v>
      </c>
      <c r="I76" s="166">
        <f>MachineAssumptions!$S$49*E76</f>
        <v>0</v>
      </c>
    </row>
    <row r="77" spans="1:9" ht="20">
      <c r="A77" s="15"/>
      <c r="B77" s="85" t="str">
        <f>MachineAssumptions!B8&amp;" - Repairs"</f>
        <v>Harrow - Repairs</v>
      </c>
      <c r="C77" s="41" t="s">
        <v>246</v>
      </c>
      <c r="D77" s="116">
        <f>MachineAssumptions!$T$8</f>
        <v>0.14755184964846621</v>
      </c>
      <c r="E77" s="87">
        <f>FieldApplications!$M$7</f>
        <v>0</v>
      </c>
      <c r="F77" s="117" t="str">
        <f t="shared" si="12"/>
        <v>0</v>
      </c>
      <c r="H77" s="246">
        <f>MachineAssumptions!$T$29*E77</f>
        <v>0</v>
      </c>
      <c r="I77" s="166">
        <f>MachineAssumptions!$T$49*E77</f>
        <v>0</v>
      </c>
    </row>
    <row r="78" spans="1:9" ht="20">
      <c r="A78" s="15"/>
      <c r="B78" s="85" t="str">
        <f>MachineAssumptions!B9&amp;" - Labor"</f>
        <v>Chisel plow - Labor</v>
      </c>
      <c r="C78" s="41" t="s">
        <v>246</v>
      </c>
      <c r="D78" s="116">
        <f>MachineAssumptions!$R$9</f>
        <v>0</v>
      </c>
      <c r="E78" s="87">
        <f>FieldApplications!$M$8</f>
        <v>0</v>
      </c>
      <c r="F78" s="117" t="str">
        <f t="shared" si="12"/>
        <v>0</v>
      </c>
      <c r="H78" s="246">
        <f>MachineAssumptions!$R$30*E78</f>
        <v>0</v>
      </c>
      <c r="I78" s="166">
        <f>MachineAssumptions!$R$50*E78</f>
        <v>0</v>
      </c>
    </row>
    <row r="79" spans="1:9" ht="20">
      <c r="A79" s="15"/>
      <c r="B79" s="85" t="str">
        <f>MachineAssumptions!B9&amp;" - Fuel, Lube"</f>
        <v>Chisel plow - Fuel, Lube</v>
      </c>
      <c r="C79" s="41" t="s">
        <v>246</v>
      </c>
      <c r="D79" s="116">
        <f>MachineAssumptions!$S$9</f>
        <v>0</v>
      </c>
      <c r="E79" s="87">
        <f>FieldApplications!$M$8</f>
        <v>0</v>
      </c>
      <c r="F79" s="117" t="str">
        <f t="shared" si="12"/>
        <v>0</v>
      </c>
      <c r="H79" s="246">
        <f>MachineAssumptions!$R$30*E79</f>
        <v>0</v>
      </c>
      <c r="I79" s="166">
        <f>MachineAssumptions!$S$50*E79</f>
        <v>0</v>
      </c>
    </row>
    <row r="80" spans="1:9" ht="20">
      <c r="A80" s="15"/>
      <c r="B80" s="85" t="str">
        <f>MachineAssumptions!B9&amp;" - Repairs"</f>
        <v>Chisel plow - Repairs</v>
      </c>
      <c r="C80" s="41" t="s">
        <v>246</v>
      </c>
      <c r="D80" s="116">
        <f>MachineAssumptions!$T$9</f>
        <v>0</v>
      </c>
      <c r="E80" s="87">
        <f>FieldApplications!$M$8</f>
        <v>0</v>
      </c>
      <c r="F80" s="117" t="str">
        <f t="shared" si="12"/>
        <v>0</v>
      </c>
      <c r="H80" s="246">
        <f>MachineAssumptions!$T$30*E80</f>
        <v>0</v>
      </c>
      <c r="I80" s="166">
        <f>MachineAssumptions!$T$50*E80</f>
        <v>0</v>
      </c>
    </row>
    <row r="81" spans="1:9" ht="20">
      <c r="A81" s="15"/>
      <c r="B81" s="85" t="str">
        <f>MachineAssumptions!B10&amp;" - Labor"</f>
        <v>Moldboard plow - Labor</v>
      </c>
      <c r="C81" s="41" t="s">
        <v>246</v>
      </c>
      <c r="D81" s="116">
        <f>MachineAssumptions!$R$10</f>
        <v>0</v>
      </c>
      <c r="E81" s="87">
        <f>FieldApplications!$M$9</f>
        <v>0</v>
      </c>
      <c r="F81" s="117" t="str">
        <f t="shared" si="12"/>
        <v>0</v>
      </c>
      <c r="H81" s="246">
        <f>MachineAssumptions!$R$31*E81</f>
        <v>0</v>
      </c>
      <c r="I81" s="166">
        <f>MachineAssumptions!$R$51*E81</f>
        <v>0</v>
      </c>
    </row>
    <row r="82" spans="1:9" ht="20">
      <c r="A82" s="15"/>
      <c r="B82" s="85" t="str">
        <f>MachineAssumptions!B10&amp;" - Fuel, Lube"</f>
        <v>Moldboard plow - Fuel, Lube</v>
      </c>
      <c r="C82" s="41" t="s">
        <v>246</v>
      </c>
      <c r="D82" s="116">
        <f>MachineAssumptions!$S$10</f>
        <v>0</v>
      </c>
      <c r="E82" s="87">
        <f>FieldApplications!$M$9</f>
        <v>0</v>
      </c>
      <c r="F82" s="117" t="str">
        <f t="shared" si="12"/>
        <v>0</v>
      </c>
      <c r="H82" s="246">
        <f>MachineAssumptions!$S$31*E82</f>
        <v>0</v>
      </c>
      <c r="I82" s="166">
        <f>MachineAssumptions!$S$51*E82</f>
        <v>0</v>
      </c>
    </row>
    <row r="83" spans="1:9" ht="20">
      <c r="A83" s="15"/>
      <c r="B83" s="85" t="str">
        <f>MachineAssumptions!B10&amp;" - Repairs"</f>
        <v>Moldboard plow - Repairs</v>
      </c>
      <c r="C83" s="41" t="s">
        <v>246</v>
      </c>
      <c r="D83" s="116">
        <f>MachineAssumptions!$T$10</f>
        <v>0</v>
      </c>
      <c r="E83" s="87">
        <f>FieldApplications!$M$9</f>
        <v>0</v>
      </c>
      <c r="F83" s="117" t="str">
        <f t="shared" si="12"/>
        <v>0</v>
      </c>
      <c r="H83" s="246">
        <f>MachineAssumptions!$T$31*E83</f>
        <v>0</v>
      </c>
      <c r="I83" s="166">
        <f>MachineAssumptions!$T$51*E83</f>
        <v>0</v>
      </c>
    </row>
    <row r="84" spans="1:9" ht="20">
      <c r="A84" s="15"/>
      <c r="B84" s="85" t="str">
        <f>MachineAssumptions!B11&amp;" - Labor"</f>
        <v>Cultivator - Labor</v>
      </c>
      <c r="C84" s="41" t="s">
        <v>246</v>
      </c>
      <c r="D84" s="116">
        <f>MachineAssumptions!$R$11</f>
        <v>0</v>
      </c>
      <c r="E84" s="87">
        <f>FieldApplications!$M$10</f>
        <v>0</v>
      </c>
      <c r="F84" s="117" t="str">
        <f t="shared" si="12"/>
        <v>0</v>
      </c>
      <c r="H84" s="246">
        <f>MachineAssumptions!$R$32*E84</f>
        <v>0</v>
      </c>
      <c r="I84" s="166">
        <f>MachineAssumptions!$R$52*E84</f>
        <v>0</v>
      </c>
    </row>
    <row r="85" spans="1:9" ht="20">
      <c r="A85" s="15"/>
      <c r="B85" s="85" t="str">
        <f>MachineAssumptions!B11&amp;" - Fuel, Lube"</f>
        <v>Cultivator - Fuel, Lube</v>
      </c>
      <c r="C85" s="41" t="s">
        <v>246</v>
      </c>
      <c r="D85" s="116">
        <f>MachineAssumptions!$S$11</f>
        <v>0</v>
      </c>
      <c r="E85" s="87">
        <f>FieldApplications!$M$10</f>
        <v>0</v>
      </c>
      <c r="F85" s="117" t="str">
        <f t="shared" si="12"/>
        <v>0</v>
      </c>
      <c r="H85" s="246">
        <f>MachineAssumptions!$S$32*E85</f>
        <v>0</v>
      </c>
      <c r="I85" s="166">
        <f>MachineAssumptions!$S$52*E85</f>
        <v>0</v>
      </c>
    </row>
    <row r="86" spans="1:9" ht="20">
      <c r="A86" s="15"/>
      <c r="B86" s="85" t="str">
        <f>MachineAssumptions!B11&amp;" - Repairs"</f>
        <v>Cultivator - Repairs</v>
      </c>
      <c r="C86" s="41" t="s">
        <v>246</v>
      </c>
      <c r="D86" s="116">
        <f>MachineAssumptions!$T$11</f>
        <v>0</v>
      </c>
      <c r="E86" s="87">
        <f>FieldApplications!$M$10</f>
        <v>0</v>
      </c>
      <c r="F86" s="117" t="str">
        <f t="shared" si="12"/>
        <v>0</v>
      </c>
      <c r="H86" s="246">
        <f>MachineAssumptions!$T$32*E86</f>
        <v>0</v>
      </c>
      <c r="I86" s="166">
        <f>MachineAssumptions!$T$52*E86</f>
        <v>0</v>
      </c>
    </row>
    <row r="87" spans="1:9" ht="20">
      <c r="A87" s="15"/>
      <c r="B87" s="85" t="str">
        <f>MachineAssumptions!B12&amp;" - Labor"</f>
        <v>Cultiweeder - Labor</v>
      </c>
      <c r="C87" s="41" t="s">
        <v>246</v>
      </c>
      <c r="D87" s="116">
        <f>MachineAssumptions!$R$12</f>
        <v>0</v>
      </c>
      <c r="E87" s="87">
        <f>FieldApplications!$M$11</f>
        <v>0</v>
      </c>
      <c r="F87" s="117" t="str">
        <f t="shared" si="12"/>
        <v>0</v>
      </c>
      <c r="H87" s="246">
        <f>MachineAssumptions!$R$33*E87</f>
        <v>0</v>
      </c>
      <c r="I87" s="166">
        <f>MachineAssumptions!$R$53*E87</f>
        <v>0</v>
      </c>
    </row>
    <row r="88" spans="1:9" ht="20">
      <c r="A88" s="15"/>
      <c r="B88" s="85" t="str">
        <f>MachineAssumptions!B12&amp;" - Fuel, Lube"</f>
        <v>Cultiweeder - Fuel, Lube</v>
      </c>
      <c r="C88" s="41" t="s">
        <v>246</v>
      </c>
      <c r="D88" s="116">
        <f>MachineAssumptions!$S$12</f>
        <v>0</v>
      </c>
      <c r="E88" s="87">
        <f>FieldApplications!$M$11</f>
        <v>0</v>
      </c>
      <c r="F88" s="117" t="str">
        <f t="shared" si="12"/>
        <v>0</v>
      </c>
      <c r="H88" s="246">
        <f>MachineAssumptions!$S$33*E88</f>
        <v>0</v>
      </c>
      <c r="I88" s="166">
        <f>MachineAssumptions!$S$53*E88</f>
        <v>0</v>
      </c>
    </row>
    <row r="89" spans="1:9" ht="20">
      <c r="A89" s="15"/>
      <c r="B89" s="85" t="str">
        <f>MachineAssumptions!B12&amp;" - Repairs"</f>
        <v>Cultiweeder - Repairs</v>
      </c>
      <c r="C89" s="41" t="s">
        <v>246</v>
      </c>
      <c r="D89" s="116">
        <f>MachineAssumptions!$T$12</f>
        <v>0</v>
      </c>
      <c r="E89" s="87">
        <f>FieldApplications!$M$11</f>
        <v>0</v>
      </c>
      <c r="F89" s="117" t="str">
        <f t="shared" si="12"/>
        <v>0</v>
      </c>
      <c r="H89" s="246">
        <f>MachineAssumptions!$T$33*E89</f>
        <v>0</v>
      </c>
      <c r="I89" s="166">
        <f>MachineAssumptions!$T$53*E89</f>
        <v>0</v>
      </c>
    </row>
    <row r="90" spans="1:9" ht="20">
      <c r="A90" s="15"/>
      <c r="B90" s="85" t="str">
        <f>MachineAssumptions!B13&amp;" - Labor"</f>
        <v>Drill - Labor</v>
      </c>
      <c r="C90" s="41" t="s">
        <v>246</v>
      </c>
      <c r="D90" s="116">
        <f>MachineAssumptions!$R$13</f>
        <v>1.6703109815354713</v>
      </c>
      <c r="E90" s="87">
        <f>FieldApplications!$M$12</f>
        <v>0</v>
      </c>
      <c r="F90" s="117" t="str">
        <f t="shared" si="12"/>
        <v>0</v>
      </c>
      <c r="H90" s="246">
        <f>MachineAssumptions!$R$34*E90</f>
        <v>0</v>
      </c>
      <c r="I90" s="166">
        <f>MachineAssumptions!$R$54*E90</f>
        <v>0</v>
      </c>
    </row>
    <row r="91" spans="1:9" ht="20">
      <c r="A91" s="15"/>
      <c r="B91" s="85" t="str">
        <f>MachineAssumptions!B13&amp;" - Fuel, Lube"</f>
        <v>Drill - Fuel, Lube</v>
      </c>
      <c r="C91" s="41" t="s">
        <v>246</v>
      </c>
      <c r="D91" s="116">
        <f>MachineAssumptions!$S$13</f>
        <v>6.146744412050535</v>
      </c>
      <c r="E91" s="87">
        <f>FieldApplications!$M$12</f>
        <v>0</v>
      </c>
      <c r="F91" s="117" t="str">
        <f t="shared" si="12"/>
        <v>0</v>
      </c>
      <c r="H91" s="246">
        <f>MachineAssumptions!$S$34*E91</f>
        <v>0</v>
      </c>
      <c r="I91" s="166">
        <f>MachineAssumptions!$S$54*E91</f>
        <v>0</v>
      </c>
    </row>
    <row r="92" spans="1:9" ht="20">
      <c r="A92" s="15"/>
      <c r="B92" s="85" t="str">
        <f>MachineAssumptions!B13&amp;" - Repairs"</f>
        <v>Drill - Repairs</v>
      </c>
      <c r="C92" s="41" t="s">
        <v>246</v>
      </c>
      <c r="D92" s="116">
        <f>MachineAssumptions!$T$13</f>
        <v>5.740409656342587</v>
      </c>
      <c r="E92" s="87">
        <f>FieldApplications!$M$12</f>
        <v>0</v>
      </c>
      <c r="F92" s="117" t="str">
        <f t="shared" si="12"/>
        <v>0</v>
      </c>
      <c r="H92" s="246">
        <f>MachineAssumptions!$T$34*E92</f>
        <v>0</v>
      </c>
      <c r="I92" s="166">
        <f>MachineAssumptions!$T$54*E92</f>
        <v>0</v>
      </c>
    </row>
    <row r="93" spans="1:9" ht="20">
      <c r="A93" s="15"/>
      <c r="B93" s="85" t="str">
        <f>MachineAssumptions!B14&amp;" - Labor"</f>
        <v>Combine w/ 36' header - Labor</v>
      </c>
      <c r="C93" s="41" t="s">
        <v>246</v>
      </c>
      <c r="D93" s="116">
        <f>MachineAssumptions!$R$14</f>
        <v>1.9161092530657748</v>
      </c>
      <c r="E93" s="87">
        <f>FieldApplications!$M$13</f>
        <v>0</v>
      </c>
      <c r="F93" s="117" t="str">
        <f t="shared" si="12"/>
        <v>0</v>
      </c>
      <c r="H93" s="246">
        <f>MachineAssumptions!$R$35*E93</f>
        <v>0</v>
      </c>
      <c r="I93" s="166">
        <f>MachineAssumptions!$R$55*E93</f>
        <v>0</v>
      </c>
    </row>
    <row r="94" spans="1:9" ht="20">
      <c r="A94" s="15"/>
      <c r="B94" s="85" t="str">
        <f>MachineAssumptions!B14&amp;" - Fuel, Lube"</f>
        <v>Combine w/ 36' header - Fuel, Lube</v>
      </c>
      <c r="C94" s="41" t="s">
        <v>246</v>
      </c>
      <c r="D94" s="116">
        <f>MachineAssumptions!$S$14</f>
        <v>7.0512820512820511</v>
      </c>
      <c r="E94" s="87">
        <f>FieldApplications!$M$13</f>
        <v>0</v>
      </c>
      <c r="F94" s="117" t="str">
        <f t="shared" si="12"/>
        <v>0</v>
      </c>
      <c r="H94" s="246">
        <f>MachineAssumptions!$S$35*E94</f>
        <v>0</v>
      </c>
      <c r="I94" s="166">
        <f>MachineAssumptions!$S$55*E94</f>
        <v>0</v>
      </c>
    </row>
    <row r="95" spans="1:9" ht="20">
      <c r="A95" s="15"/>
      <c r="B95" s="85" t="str">
        <f>MachineAssumptions!B14&amp;" - Repairs"</f>
        <v>Combine w/ 36' header - Repairs</v>
      </c>
      <c r="C95" s="41" t="s">
        <v>246</v>
      </c>
      <c r="D95" s="116">
        <f>MachineAssumptions!$T$14</f>
        <v>6.4258281801385913</v>
      </c>
      <c r="E95" s="87">
        <f>FieldApplications!$M$13</f>
        <v>0</v>
      </c>
      <c r="F95" s="117" t="str">
        <f t="shared" si="12"/>
        <v>0</v>
      </c>
      <c r="H95" s="246">
        <f>MachineAssumptions!$T$35*E95</f>
        <v>0</v>
      </c>
      <c r="I95" s="166">
        <f>MachineAssumptions!$T$55*E95</f>
        <v>0</v>
      </c>
    </row>
    <row r="96" spans="1:9" ht="20">
      <c r="A96" s="15"/>
      <c r="B96" s="85" t="str">
        <f>MachineAssumptions!B16&amp;" - Labor"</f>
        <v>Fertilizer Spreader - Labor</v>
      </c>
      <c r="C96" s="41" t="s">
        <v>246</v>
      </c>
      <c r="D96" s="116">
        <f>MachineAssumptions!$R$16</f>
        <v>0</v>
      </c>
      <c r="E96" s="87">
        <f>FieldApplications!$M$14</f>
        <v>0</v>
      </c>
      <c r="F96" s="117" t="str">
        <f t="shared" si="12"/>
        <v>0</v>
      </c>
      <c r="H96" s="246">
        <f>MachineAssumptions!$R$36*E96</f>
        <v>0</v>
      </c>
      <c r="I96" s="166">
        <f>MachineAssumptions!$R$56*E96</f>
        <v>0</v>
      </c>
    </row>
    <row r="97" spans="1:9" ht="20">
      <c r="A97" s="15"/>
      <c r="B97" s="85" t="str">
        <f>MachineAssumptions!B16&amp;" - Fuel, Lube"</f>
        <v>Fertilizer Spreader - Fuel, Lube</v>
      </c>
      <c r="C97" s="41" t="s">
        <v>246</v>
      </c>
      <c r="D97" s="116">
        <f>MachineAssumptions!$S$16</f>
        <v>0</v>
      </c>
      <c r="E97" s="87">
        <f>FieldApplications!$M$14</f>
        <v>0</v>
      </c>
      <c r="F97" s="117" t="str">
        <f t="shared" si="12"/>
        <v>0</v>
      </c>
      <c r="H97" s="246">
        <f>MachineAssumptions!$S$36*E97</f>
        <v>0</v>
      </c>
      <c r="I97" s="166">
        <f>MachineAssumptions!$S$56*E97</f>
        <v>0</v>
      </c>
    </row>
    <row r="98" spans="1:9" ht="20">
      <c r="A98" s="15"/>
      <c r="B98" s="85" t="str">
        <f>MachineAssumptions!B16&amp;" - Repairs"</f>
        <v>Fertilizer Spreader - Repairs</v>
      </c>
      <c r="C98" s="41" t="s">
        <v>246</v>
      </c>
      <c r="D98" s="116">
        <f>MachineAssumptions!$T$16</f>
        <v>0</v>
      </c>
      <c r="E98" s="87">
        <f>FieldApplications!$M$14</f>
        <v>0</v>
      </c>
      <c r="F98" s="117" t="str">
        <f t="shared" si="12"/>
        <v>0</v>
      </c>
      <c r="H98" s="246">
        <f>MachineAssumptions!$T$36*E98</f>
        <v>0</v>
      </c>
      <c r="I98" s="166">
        <f>MachineAssumptions!$T$56*E98</f>
        <v>0</v>
      </c>
    </row>
    <row r="99" spans="1:9" ht="20">
      <c r="A99" s="15"/>
      <c r="B99" s="85" t="str">
        <f>MachineAssumptions!B17&amp;" - Labor"</f>
        <v>Fertilizer tanks and pump - Labor</v>
      </c>
      <c r="C99" s="41" t="s">
        <v>246</v>
      </c>
      <c r="D99" s="116">
        <f>MachineAssumptions!$R$17</f>
        <v>2.2448979591836737</v>
      </c>
      <c r="E99" s="87">
        <f>FieldApplications!$M$15</f>
        <v>0</v>
      </c>
      <c r="F99" s="117" t="str">
        <f t="shared" si="12"/>
        <v>0</v>
      </c>
      <c r="H99" s="246">
        <f>MachineAssumptions!$R$37*E99</f>
        <v>0</v>
      </c>
      <c r="I99" s="166">
        <f>MachineAssumptions!$R$57*E99</f>
        <v>0</v>
      </c>
    </row>
    <row r="100" spans="1:9" ht="20">
      <c r="A100" s="15"/>
      <c r="B100" s="85" t="str">
        <f>MachineAssumptions!B17&amp;" - Fuel, Lube"</f>
        <v>Fertilizer tanks and pump - Fuel, Lube</v>
      </c>
      <c r="C100" s="41" t="s">
        <v>246</v>
      </c>
      <c r="D100" s="116">
        <f>MachineAssumptions!$S$17</f>
        <v>9.387755102040817</v>
      </c>
      <c r="E100" s="87">
        <f>FieldApplications!$M$15</f>
        <v>0</v>
      </c>
      <c r="F100" s="117" t="str">
        <f t="shared" si="12"/>
        <v>0</v>
      </c>
      <c r="H100" s="246">
        <f>MachineAssumptions!$S$37*E100</f>
        <v>0</v>
      </c>
      <c r="I100" s="166">
        <f>MachineAssumptions!$S$57*E100</f>
        <v>0</v>
      </c>
    </row>
    <row r="101" spans="1:9" ht="20">
      <c r="A101" s="15"/>
      <c r="B101" s="85" t="str">
        <f>MachineAssumptions!B17&amp;" - Repairs"</f>
        <v>Fertilizer tanks and pump - Repairs</v>
      </c>
      <c r="C101" s="41" t="s">
        <v>246</v>
      </c>
      <c r="D101" s="116">
        <f>MachineAssumptions!$T$17</f>
        <v>0</v>
      </c>
      <c r="E101" s="87">
        <f>FieldApplications!$M$15</f>
        <v>0</v>
      </c>
      <c r="F101" s="117" t="str">
        <f t="shared" si="12"/>
        <v>0</v>
      </c>
      <c r="H101" s="246">
        <f>MachineAssumptions!$T$37*E101</f>
        <v>0</v>
      </c>
      <c r="I101" s="166">
        <f>MachineAssumptions!$T$57*E101</f>
        <v>0</v>
      </c>
    </row>
    <row r="102" spans="1:9" ht="20">
      <c r="A102" s="15"/>
      <c r="B102" s="85" t="str">
        <f>MachineAssumptions!B18&amp;" - Labor"</f>
        <v>Boom sprayer - Labor</v>
      </c>
      <c r="C102" s="41" t="s">
        <v>246</v>
      </c>
      <c r="D102" s="116">
        <f>MachineAssumptions!$R$18</f>
        <v>0.4708120318630365</v>
      </c>
      <c r="E102" s="87">
        <f>FieldApplications!$M$16</f>
        <v>0</v>
      </c>
      <c r="F102" s="117" t="str">
        <f t="shared" si="12"/>
        <v>0</v>
      </c>
      <c r="H102" s="246">
        <f>MachineAssumptions!$R$38*E102</f>
        <v>0</v>
      </c>
      <c r="I102" s="166">
        <f>MachineAssumptions!$R$58*E102</f>
        <v>0</v>
      </c>
    </row>
    <row r="103" spans="1:9" ht="20">
      <c r="A103" s="15"/>
      <c r="B103" s="85" t="str">
        <f>MachineAssumptions!B18&amp;" - Fuel, Lube"</f>
        <v>Boom sprayer - Fuel, Lube</v>
      </c>
      <c r="C103" s="41" t="s">
        <v>246</v>
      </c>
      <c r="D103" s="116">
        <f>MachineAssumptions!$S$18</f>
        <v>1.8047794554749732</v>
      </c>
      <c r="E103" s="87">
        <f>FieldApplications!$M$16</f>
        <v>0</v>
      </c>
      <c r="F103" s="117" t="str">
        <f t="shared" si="12"/>
        <v>0</v>
      </c>
      <c r="H103" s="246">
        <f>MachineAssumptions!$S$38*E103</f>
        <v>0</v>
      </c>
      <c r="I103" s="166">
        <f>MachineAssumptions!$S$58*E103</f>
        <v>0</v>
      </c>
    </row>
    <row r="104" spans="1:9" ht="20">
      <c r="A104" s="15"/>
      <c r="B104" s="85" t="str">
        <f>MachineAssumptions!B18&amp;" - Repairs"</f>
        <v>Boom sprayer - Repairs</v>
      </c>
      <c r="C104" s="41" t="s">
        <v>246</v>
      </c>
      <c r="D104" s="116">
        <f>MachineAssumptions!$T$18</f>
        <v>0.49795949063219769</v>
      </c>
      <c r="E104" s="87">
        <f>FieldApplications!$M$16</f>
        <v>0</v>
      </c>
      <c r="F104" s="117" t="str">
        <f t="shared" si="12"/>
        <v>0</v>
      </c>
      <c r="H104" s="246">
        <f>MachineAssumptions!$T$38*E104</f>
        <v>0</v>
      </c>
      <c r="I104" s="166">
        <f>MachineAssumptions!$T$58*E104</f>
        <v>0</v>
      </c>
    </row>
    <row r="105" spans="1:9" ht="20">
      <c r="A105" s="15"/>
      <c r="B105" s="85" t="str">
        <f>MachineAssumptions!B15&amp;" - Labor"</f>
        <v>Bankout Wagon - Labor</v>
      </c>
      <c r="C105" s="41" t="s">
        <v>246</v>
      </c>
      <c r="D105" s="116">
        <f>MachineAssumptions!$R$15</f>
        <v>1.6861761426978819</v>
      </c>
      <c r="E105" s="87">
        <f t="shared" ref="E105:E113" si="13">IF($E$93&gt;0,1,0)</f>
        <v>0</v>
      </c>
      <c r="F105" s="117" t="str">
        <f t="shared" si="12"/>
        <v>0</v>
      </c>
      <c r="H105" s="246">
        <f>MachineAssumptions!$R$39*E105</f>
        <v>0</v>
      </c>
      <c r="I105" s="166">
        <f>MachineAssumptions!$R$59*E105</f>
        <v>0</v>
      </c>
    </row>
    <row r="106" spans="1:9" ht="20">
      <c r="A106" s="15"/>
      <c r="B106" s="85" t="str">
        <f>MachineAssumptions!B15&amp;" - Fuel, Lube"</f>
        <v>Bankout Wagon - Fuel, Lube</v>
      </c>
      <c r="C106" s="41" t="s">
        <v>246</v>
      </c>
      <c r="D106" s="116">
        <f>MachineAssumptions!$S$15</f>
        <v>7.0512820512820511</v>
      </c>
      <c r="E106" s="87">
        <f t="shared" si="13"/>
        <v>0</v>
      </c>
      <c r="F106" s="117" t="str">
        <f t="shared" si="12"/>
        <v>0</v>
      </c>
      <c r="H106" s="246">
        <f>MachineAssumptions!$S$39*E106</f>
        <v>0</v>
      </c>
      <c r="I106" s="166">
        <f>MachineAssumptions!$S$59*E106</f>
        <v>0</v>
      </c>
    </row>
    <row r="107" spans="1:9" ht="20">
      <c r="A107" s="15"/>
      <c r="B107" s="85" t="str">
        <f>MachineAssumptions!B15&amp;" - Repairs"</f>
        <v>Bankout Wagon - Repairs</v>
      </c>
      <c r="C107" s="41" t="s">
        <v>246</v>
      </c>
      <c r="D107" s="116">
        <f>MachineAssumptions!$T$15</f>
        <v>0.5058930256896228</v>
      </c>
      <c r="E107" s="87">
        <f t="shared" si="13"/>
        <v>0</v>
      </c>
      <c r="F107" s="117" t="str">
        <f t="shared" si="12"/>
        <v>0</v>
      </c>
      <c r="H107" s="246">
        <f>MachineAssumptions!$T$39*E107</f>
        <v>0</v>
      </c>
      <c r="I107" s="166">
        <f>MachineAssumptions!$T$59*E107</f>
        <v>0</v>
      </c>
    </row>
    <row r="108" spans="1:9" ht="20">
      <c r="A108" s="15"/>
      <c r="B108" s="85" t="str">
        <f>MachineAssumptions!B19&amp;" - Labor"</f>
        <v>Tandem Axle Truck  - Labor</v>
      </c>
      <c r="C108" s="41" t="s">
        <v>246</v>
      </c>
      <c r="D108" s="116">
        <f>MachineAssumptions!$R$19</f>
        <v>3.6</v>
      </c>
      <c r="E108" s="87">
        <f t="shared" si="13"/>
        <v>0</v>
      </c>
      <c r="F108" s="117" t="str">
        <f t="shared" si="12"/>
        <v>0</v>
      </c>
      <c r="H108" s="246">
        <f>MachineAssumptions!$R$40*E108</f>
        <v>0</v>
      </c>
      <c r="I108" s="166">
        <f>MachineAssumptions!$R$60*E108</f>
        <v>0</v>
      </c>
    </row>
    <row r="109" spans="1:9" ht="20">
      <c r="A109" s="15"/>
      <c r="B109" s="85" t="str">
        <f>MachineAssumptions!B19&amp;" - Fuel, Lube"</f>
        <v>Tandem Axle Truck  - Fuel, Lube</v>
      </c>
      <c r="C109" s="41" t="s">
        <v>246</v>
      </c>
      <c r="D109" s="116">
        <f>MachineAssumptions!$S$19</f>
        <v>1.1499999999999999</v>
      </c>
      <c r="E109" s="87">
        <f t="shared" si="13"/>
        <v>0</v>
      </c>
      <c r="F109" s="117" t="str">
        <f t="shared" si="12"/>
        <v>0</v>
      </c>
      <c r="H109" s="246">
        <f>MachineAssumptions!$S$40*E109</f>
        <v>0</v>
      </c>
      <c r="I109" s="166">
        <f>MachineAssumptions!$S$60*E109</f>
        <v>0</v>
      </c>
    </row>
    <row r="110" spans="1:9" ht="20">
      <c r="A110" s="15"/>
      <c r="B110" s="85" t="str">
        <f>MachineAssumptions!B19&amp;" - Repairs"</f>
        <v>Tandem Axle Truck  - Repairs</v>
      </c>
      <c r="C110" s="41" t="s">
        <v>246</v>
      </c>
      <c r="D110" s="116">
        <f>MachineAssumptions!$T$19</f>
        <v>0.8</v>
      </c>
      <c r="E110" s="87">
        <f t="shared" si="13"/>
        <v>0</v>
      </c>
      <c r="F110" s="117" t="str">
        <f t="shared" si="12"/>
        <v>0</v>
      </c>
      <c r="H110" s="246">
        <f>MachineAssumptions!$T$40*E110</f>
        <v>0</v>
      </c>
      <c r="I110" s="166">
        <f>MachineAssumptions!$T$60*E110</f>
        <v>0</v>
      </c>
    </row>
    <row r="111" spans="1:9" ht="20">
      <c r="A111" s="15"/>
      <c r="B111" s="85" t="str">
        <f>MachineAssumptions!B20&amp;" - Labor"</f>
        <v>Tandem Axle Truck  - Labor</v>
      </c>
      <c r="C111" s="41" t="s">
        <v>246</v>
      </c>
      <c r="D111" s="116">
        <f>MachineAssumptions!$R$20</f>
        <v>3.6</v>
      </c>
      <c r="E111" s="87">
        <f t="shared" si="13"/>
        <v>0</v>
      </c>
      <c r="F111" s="117" t="str">
        <f t="shared" si="12"/>
        <v>0</v>
      </c>
      <c r="H111" s="416">
        <f>MachineAssumptions!$R$41*E111</f>
        <v>0</v>
      </c>
      <c r="I111" s="369">
        <f>MachineAssumptions!$R$61*E111</f>
        <v>0</v>
      </c>
    </row>
    <row r="112" spans="1:9" ht="20">
      <c r="A112" s="15"/>
      <c r="B112" s="85" t="str">
        <f>MachineAssumptions!B20&amp;" - Fuel, Lube"</f>
        <v>Tandem Axle Truck  - Fuel, Lube</v>
      </c>
      <c r="C112" s="41" t="s">
        <v>246</v>
      </c>
      <c r="D112" s="116">
        <f>MachineAssumptions!$S$20</f>
        <v>1.72</v>
      </c>
      <c r="E112" s="87">
        <f t="shared" si="13"/>
        <v>0</v>
      </c>
      <c r="F112" s="117" t="str">
        <f t="shared" si="12"/>
        <v>0</v>
      </c>
      <c r="H112" s="416">
        <f>MachineAssumptions!$S$41*E112</f>
        <v>0</v>
      </c>
      <c r="I112" s="369">
        <f>MachineAssumptions!$S$61*E112</f>
        <v>0</v>
      </c>
    </row>
    <row r="113" spans="1:13" ht="23">
      <c r="A113" s="15"/>
      <c r="B113" s="85" t="str">
        <f>MachineAssumptions!B20&amp;" - Repairs"</f>
        <v>Tandem Axle Truck  - Repairs</v>
      </c>
      <c r="C113" s="41" t="s">
        <v>246</v>
      </c>
      <c r="D113" s="116">
        <f>MachineAssumptions!$T$20</f>
        <v>0.8</v>
      </c>
      <c r="E113" s="87">
        <f t="shared" si="13"/>
        <v>0</v>
      </c>
      <c r="F113" s="117" t="str">
        <f t="shared" si="12"/>
        <v>0</v>
      </c>
      <c r="H113" s="248">
        <f>MachineAssumptions!$T$41*E113</f>
        <v>0</v>
      </c>
      <c r="I113" s="247">
        <f>MachineAssumptions!$T$61*E113</f>
        <v>0</v>
      </c>
    </row>
    <row r="114" spans="1:13" ht="21">
      <c r="A114" s="15"/>
      <c r="B114" s="139" t="s">
        <v>88</v>
      </c>
      <c r="C114" s="41"/>
      <c r="D114" s="116"/>
      <c r="E114" s="87"/>
      <c r="F114" s="183" t="s">
        <v>8</v>
      </c>
      <c r="H114" s="249">
        <f>SUM(H74:H113)</f>
        <v>0</v>
      </c>
      <c r="I114" s="249">
        <f>SUM(I74:I113)</f>
        <v>0</v>
      </c>
    </row>
    <row r="115" spans="1:13" ht="20">
      <c r="A115" s="15"/>
      <c r="B115" s="85" t="str">
        <f>'Chem&amp;FertInputs&amp;CInsurance'!B73</f>
        <v>Crop Insurance</v>
      </c>
      <c r="C115" s="23" t="str">
        <f>'Chem&amp;FertInputs&amp;CInsurance'!D73</f>
        <v>acre</v>
      </c>
      <c r="D115" s="116">
        <f>'Chem&amp;FertInputs&amp;CInsurance'!P73</f>
        <v>0</v>
      </c>
      <c r="E115" s="87">
        <v>1</v>
      </c>
      <c r="F115" s="117" t="str">
        <f>IF(D115*E115=0,"0",D115*E115)</f>
        <v>0</v>
      </c>
      <c r="H115" s="1" t="s">
        <v>181</v>
      </c>
      <c r="I115" s="1" t="s">
        <v>181</v>
      </c>
    </row>
    <row r="116" spans="1:13" ht="20">
      <c r="A116" s="15"/>
      <c r="B116" s="85" t="s">
        <v>29</v>
      </c>
      <c r="C116" s="41" t="s">
        <v>83</v>
      </c>
      <c r="D116" s="111">
        <f>MachineAssumptions!D25</f>
        <v>0.05</v>
      </c>
      <c r="E116" s="87"/>
      <c r="F116" s="117">
        <f>SUM(F8:F115)*D116</f>
        <v>1.471256923076923</v>
      </c>
      <c r="H116" s="49">
        <f>(SUM($F8:$F70)+$F115+SUM(H72:H113))*$D116</f>
        <v>1.471256923076923</v>
      </c>
      <c r="I116" s="49">
        <f>(SUM($F8:$F70)+$F115+SUM(I72:I113))*$D116</f>
        <v>1.471256923076923</v>
      </c>
      <c r="J116" s="49">
        <f>F72+F75+F78+F81+F84+F87+F90+F93+F96+F99+F102+F105+F108+F111</f>
        <v>0</v>
      </c>
      <c r="K116" s="1" t="s">
        <v>111</v>
      </c>
    </row>
    <row r="117" spans="1:13" ht="20">
      <c r="A117" s="15"/>
      <c r="B117" s="85" t="s">
        <v>84</v>
      </c>
      <c r="C117" s="41" t="s">
        <v>83</v>
      </c>
      <c r="D117" s="111">
        <f>MachineAssumptions!D26</f>
        <v>6.7500000000000004E-2</v>
      </c>
      <c r="E117" s="112"/>
      <c r="F117" s="118">
        <f>SUM(F8:F116)*(D117/12*MachineAssumptions!D27)</f>
        <v>1.5641300163461538</v>
      </c>
      <c r="H117" s="49">
        <f>(SUM(F8:F70)+(F115+F116+H114))*((D117/12)*MachineAssumptions!D27)</f>
        <v>1.5641300163461538</v>
      </c>
      <c r="I117" s="49">
        <f>(SUM(F8:F70)+(F115+F116+I114))*((D117/12)*MachineAssumptions!D27)</f>
        <v>1.5641300163461538</v>
      </c>
      <c r="J117" s="49">
        <f>F73+F76+F79+F82+F85+F88+F91+F94+F97+F100+F103+F106+F109+F112</f>
        <v>0</v>
      </c>
      <c r="K117" s="1" t="s">
        <v>4</v>
      </c>
    </row>
    <row r="118" spans="1:13" ht="20">
      <c r="A118" s="15"/>
      <c r="B118" s="14" t="s">
        <v>85</v>
      </c>
      <c r="C118" s="29"/>
      <c r="D118" s="141"/>
      <c r="E118" s="142"/>
      <c r="F118" s="143">
        <f>SUM(F8:F117)</f>
        <v>32.460525400961536</v>
      </c>
      <c r="J118" s="49">
        <f>F74+F77+F80+F83+F86+F89+F92+F95+F98+F101+F104+F107+F110+F113</f>
        <v>0</v>
      </c>
      <c r="K118" s="1" t="s">
        <v>112</v>
      </c>
      <c r="L118" s="49">
        <f>H74+H77+H80+H83+H86+H89+H92+H95+H98+H101+H104+H107+H110+H113</f>
        <v>0</v>
      </c>
      <c r="M118" s="49">
        <f>I74+I77+I80+I83+I86+I89+I92+I95+I98+I101+I104+I107+I110+I113</f>
        <v>0</v>
      </c>
    </row>
    <row r="119" spans="1:13">
      <c r="A119" s="15"/>
      <c r="B119" s="113"/>
      <c r="C119" s="113"/>
      <c r="D119" s="113"/>
      <c r="E119" s="114"/>
      <c r="F119" s="115"/>
      <c r="H119" s="115"/>
      <c r="J119" s="49">
        <f>SUM(J116:J118)</f>
        <v>0</v>
      </c>
      <c r="K119" s="115"/>
    </row>
    <row r="120" spans="1:13" ht="20">
      <c r="A120" s="15"/>
      <c r="B120" s="132" t="s">
        <v>89</v>
      </c>
      <c r="C120" s="19" t="s">
        <v>2</v>
      </c>
      <c r="D120" s="20" t="s">
        <v>12</v>
      </c>
      <c r="E120" s="21" t="s">
        <v>13</v>
      </c>
      <c r="F120" s="45" t="s">
        <v>0</v>
      </c>
      <c r="H120" s="1" t="s">
        <v>136</v>
      </c>
      <c r="I120" s="1" t="s">
        <v>139</v>
      </c>
    </row>
    <row r="121" spans="1:13" ht="20">
      <c r="A121" s="15"/>
      <c r="B121" s="18" t="str">
        <f>MachineAssumptions!B7&amp;" - Replacement Costs"</f>
        <v>Shredder - Replacement Costs</v>
      </c>
      <c r="C121" s="41" t="str">
        <f>C72</f>
        <v>acre</v>
      </c>
      <c r="D121" s="34">
        <f>MachineAssumptions!U7</f>
        <v>4.3329737628911431</v>
      </c>
      <c r="E121" s="145">
        <f>E72</f>
        <v>0</v>
      </c>
      <c r="F121" s="42" t="str">
        <f t="shared" ref="F121:F134" si="14">IF(D121*E121=0,"0",D121*E121)</f>
        <v>0</v>
      </c>
      <c r="G121" s="1" t="s">
        <v>111</v>
      </c>
      <c r="H121" s="166">
        <f>MachineAssumptions!U28*E121</f>
        <v>0</v>
      </c>
      <c r="I121" s="166">
        <f>MachineAssumptions!U48*E121</f>
        <v>0</v>
      </c>
    </row>
    <row r="122" spans="1:13" ht="20">
      <c r="A122" s="15"/>
      <c r="B122" s="18" t="str">
        <f>MachineAssumptions!B8&amp;" - Replacement Costs"</f>
        <v>Harrow - Replacement Costs</v>
      </c>
      <c r="C122" s="41" t="str">
        <f>C75</f>
        <v>acre</v>
      </c>
      <c r="D122" s="34">
        <f>MachineAssumptions!U8</f>
        <v>1.1988479209967022</v>
      </c>
      <c r="E122" s="145">
        <f>E75</f>
        <v>0</v>
      </c>
      <c r="F122" s="42" t="str">
        <f t="shared" si="14"/>
        <v>0</v>
      </c>
      <c r="G122" s="1" t="s">
        <v>4</v>
      </c>
      <c r="H122" s="166">
        <f>MachineAssumptions!U29*E122</f>
        <v>0</v>
      </c>
      <c r="I122" s="166">
        <f>MachineAssumptions!U49*E122</f>
        <v>0</v>
      </c>
    </row>
    <row r="123" spans="1:13" ht="20">
      <c r="A123" s="15"/>
      <c r="B123" s="18" t="str">
        <f>MachineAssumptions!B9&amp;" - Replacement Costs"</f>
        <v>Chisel plow - Replacement Costs</v>
      </c>
      <c r="C123" s="41" t="str">
        <f>C78</f>
        <v>acre</v>
      </c>
      <c r="D123" s="34">
        <f>MachineAssumptions!U9</f>
        <v>0</v>
      </c>
      <c r="E123" s="145">
        <f>E78</f>
        <v>0</v>
      </c>
      <c r="F123" s="42" t="str">
        <f t="shared" si="14"/>
        <v>0</v>
      </c>
      <c r="G123" s="1" t="s">
        <v>112</v>
      </c>
      <c r="H123" s="166">
        <f>MachineAssumptions!U30*E123</f>
        <v>0</v>
      </c>
      <c r="I123" s="166">
        <f>MachineAssumptions!U50*E123</f>
        <v>0</v>
      </c>
    </row>
    <row r="124" spans="1:13" ht="20">
      <c r="A124" s="15"/>
      <c r="B124" s="18" t="str">
        <f>MachineAssumptions!B10&amp;" - Replacement Costs"</f>
        <v>Moldboard plow - Replacement Costs</v>
      </c>
      <c r="C124" s="41" t="str">
        <f>C81</f>
        <v>acre</v>
      </c>
      <c r="D124" s="34">
        <f>MachineAssumptions!U10</f>
        <v>0</v>
      </c>
      <c r="E124" s="145">
        <f>E81</f>
        <v>0</v>
      </c>
      <c r="F124" s="42" t="str">
        <f t="shared" si="14"/>
        <v>0</v>
      </c>
      <c r="H124" s="166">
        <f>MachineAssumptions!U31*E124</f>
        <v>0</v>
      </c>
      <c r="I124" s="166">
        <f>MachineAssumptions!U51*E124</f>
        <v>0</v>
      </c>
    </row>
    <row r="125" spans="1:13" ht="20">
      <c r="A125" s="15"/>
      <c r="B125" s="18" t="str">
        <f>MachineAssumptions!B11&amp;" - Replacement Costs"</f>
        <v>Cultivator - Replacement Costs</v>
      </c>
      <c r="C125" s="41" t="str">
        <f t="shared" ref="C125:C126" si="15">C82</f>
        <v>acre</v>
      </c>
      <c r="D125" s="34">
        <f>MachineAssumptions!U11</f>
        <v>0</v>
      </c>
      <c r="E125" s="145">
        <f>E84</f>
        <v>0</v>
      </c>
      <c r="F125" s="42" t="str">
        <f t="shared" si="14"/>
        <v>0</v>
      </c>
      <c r="H125" s="166">
        <f>MachineAssumptions!U32*E125</f>
        <v>0</v>
      </c>
      <c r="I125" s="166">
        <f>MachineAssumptions!U52*E125</f>
        <v>0</v>
      </c>
    </row>
    <row r="126" spans="1:13" ht="20">
      <c r="A126" s="15"/>
      <c r="B126" s="18" t="str">
        <f>MachineAssumptions!B12&amp;" - Replacement Costs"</f>
        <v>Cultiweeder - Replacement Costs</v>
      </c>
      <c r="C126" s="41" t="str">
        <f t="shared" si="15"/>
        <v>acre</v>
      </c>
      <c r="D126" s="34">
        <f>MachineAssumptions!U12</f>
        <v>0</v>
      </c>
      <c r="E126" s="145">
        <f>E87</f>
        <v>0</v>
      </c>
      <c r="F126" s="42" t="str">
        <f t="shared" si="14"/>
        <v>0</v>
      </c>
      <c r="H126" s="166">
        <f>MachineAssumptions!U33*E126</f>
        <v>0</v>
      </c>
      <c r="I126" s="166">
        <f>MachineAssumptions!U53*E126</f>
        <v>0</v>
      </c>
    </row>
    <row r="127" spans="1:13" ht="20">
      <c r="A127" s="15"/>
      <c r="B127" s="18" t="str">
        <f>MachineAssumptions!B13&amp;" - Replacement Costs"</f>
        <v>Drill - Replacement Costs</v>
      </c>
      <c r="C127" s="41" t="str">
        <f>C90</f>
        <v>acre</v>
      </c>
      <c r="D127" s="34">
        <f>MachineAssumptions!U13</f>
        <v>7.2419265221735989</v>
      </c>
      <c r="E127" s="145">
        <f>E90</f>
        <v>0</v>
      </c>
      <c r="F127" s="42" t="str">
        <f t="shared" si="14"/>
        <v>0</v>
      </c>
      <c r="H127" s="166">
        <f>MachineAssumptions!U34*E127</f>
        <v>0</v>
      </c>
      <c r="I127" s="166">
        <f>MachineAssumptions!U54*E127</f>
        <v>0</v>
      </c>
    </row>
    <row r="128" spans="1:13" ht="20">
      <c r="A128" s="15"/>
      <c r="B128" s="18" t="str">
        <f>MachineAssumptions!B14&amp;" - Replacement Costs"</f>
        <v>Combine w/ 36' header - Replacement Costs</v>
      </c>
      <c r="C128" s="41" t="str">
        <f>C93</f>
        <v>acre</v>
      </c>
      <c r="D128" s="34">
        <f>MachineAssumptions!U14</f>
        <v>9.7031999999999989</v>
      </c>
      <c r="E128" s="145">
        <f>E93</f>
        <v>0</v>
      </c>
      <c r="F128" s="42" t="str">
        <f t="shared" si="14"/>
        <v>0</v>
      </c>
      <c r="H128" s="166">
        <f>MachineAssumptions!U35*E128</f>
        <v>0</v>
      </c>
      <c r="I128" s="166">
        <f>MachineAssumptions!U55*E128</f>
        <v>0</v>
      </c>
    </row>
    <row r="129" spans="1:9" ht="20">
      <c r="A129" s="15"/>
      <c r="B129" s="18" t="str">
        <f>MachineAssumptions!B16&amp;" - Replacement Costs"</f>
        <v>Fertilizer Spreader - Replacement Costs</v>
      </c>
      <c r="C129" s="41" t="str">
        <f>C96</f>
        <v>acre</v>
      </c>
      <c r="D129" s="34">
        <f>MachineAssumptions!U16</f>
        <v>0</v>
      </c>
      <c r="E129" s="145">
        <f>E96</f>
        <v>0</v>
      </c>
      <c r="F129" s="42" t="str">
        <f t="shared" si="14"/>
        <v>0</v>
      </c>
      <c r="H129" s="166">
        <f>MachineAssumptions!U36*E129</f>
        <v>0</v>
      </c>
      <c r="I129" s="166">
        <f>MachineAssumptions!U56*E129</f>
        <v>0</v>
      </c>
    </row>
    <row r="130" spans="1:9" ht="20">
      <c r="A130" s="15"/>
      <c r="B130" s="18" t="str">
        <f>MachineAssumptions!B17&amp;" - Replacement Costs"</f>
        <v>Fertilizer tanks and pump - Replacement Costs</v>
      </c>
      <c r="C130" s="41" t="str">
        <f>C99</f>
        <v>acre</v>
      </c>
      <c r="D130" s="34">
        <f>MachineAssumptions!U17</f>
        <v>0.6</v>
      </c>
      <c r="E130" s="145">
        <f>E99</f>
        <v>0</v>
      </c>
      <c r="F130" s="42" t="str">
        <f t="shared" si="14"/>
        <v>0</v>
      </c>
      <c r="H130" s="166">
        <f>MachineAssumptions!U37*E130</f>
        <v>0</v>
      </c>
      <c r="I130" s="166">
        <f>MachineAssumptions!U57*E130</f>
        <v>0</v>
      </c>
    </row>
    <row r="131" spans="1:9" ht="20">
      <c r="A131" s="15"/>
      <c r="B131" s="18" t="str">
        <f>MachineAssumptions!B18&amp;" - Replacement Costs"</f>
        <v>Boom sprayer - Replacement Costs</v>
      </c>
      <c r="C131" s="41" t="str">
        <f>C102</f>
        <v>acre</v>
      </c>
      <c r="D131" s="34">
        <f>MachineAssumptions!U18</f>
        <v>0.80913316225248511</v>
      </c>
      <c r="E131" s="145">
        <f>E102</f>
        <v>0</v>
      </c>
      <c r="F131" s="42" t="str">
        <f t="shared" si="14"/>
        <v>0</v>
      </c>
      <c r="H131" s="166">
        <f>MachineAssumptions!U38*E131</f>
        <v>0</v>
      </c>
      <c r="I131" s="166">
        <f>MachineAssumptions!U58*E131</f>
        <v>0</v>
      </c>
    </row>
    <row r="132" spans="1:9" ht="20">
      <c r="A132" s="15"/>
      <c r="B132" s="18" t="str">
        <f>MachineAssumptions!B15&amp;" - Replacement Costs"</f>
        <v>Bankout Wagon - Replacement Costs</v>
      </c>
      <c r="C132" s="41" t="str">
        <f>C105</f>
        <v>acre</v>
      </c>
      <c r="D132" s="34">
        <f>MachineAssumptions!U15</f>
        <v>2.9461434675395459</v>
      </c>
      <c r="E132" s="145">
        <f>E105</f>
        <v>0</v>
      </c>
      <c r="F132" s="42" t="str">
        <f t="shared" si="14"/>
        <v>0</v>
      </c>
      <c r="H132" s="166">
        <f>MachineAssumptions!U39*E132</f>
        <v>0</v>
      </c>
      <c r="I132" s="166">
        <f>MachineAssumptions!U59*E132</f>
        <v>0</v>
      </c>
    </row>
    <row r="133" spans="1:9" ht="20">
      <c r="A133" s="15"/>
      <c r="B133" s="18" t="str">
        <f>MachineAssumptions!B19&amp;" - Replacement Costs"</f>
        <v>Tandem Axle Truck  - Replacement Costs</v>
      </c>
      <c r="C133" s="41" t="str">
        <f>C108</f>
        <v>acre</v>
      </c>
      <c r="D133" s="34">
        <f>MachineAssumptions!U19</f>
        <v>0.64</v>
      </c>
      <c r="E133" s="145">
        <f>E108</f>
        <v>0</v>
      </c>
      <c r="F133" s="42" t="str">
        <f t="shared" si="14"/>
        <v>0</v>
      </c>
      <c r="H133" s="166">
        <f>MachineAssumptions!U40*E133</f>
        <v>0</v>
      </c>
      <c r="I133" s="166">
        <f>MachineAssumptions!U60*E133</f>
        <v>0</v>
      </c>
    </row>
    <row r="134" spans="1:9" ht="23">
      <c r="A134" s="15"/>
      <c r="B134" s="18" t="str">
        <f>MachineAssumptions!B20&amp;" - Replacement Costs"</f>
        <v>Tandem Axle Truck  - Replacement Costs</v>
      </c>
      <c r="C134" s="41" t="str">
        <f t="shared" ref="C134" si="16">C111</f>
        <v>acre</v>
      </c>
      <c r="D134" s="34">
        <f>MachineAssumptions!U20</f>
        <v>0.64</v>
      </c>
      <c r="E134" s="145">
        <f t="shared" ref="E134" si="17">E111</f>
        <v>0</v>
      </c>
      <c r="F134" s="43" t="str">
        <f t="shared" si="14"/>
        <v>0</v>
      </c>
      <c r="H134" s="247">
        <f>MachineAssumptions!U41*E134</f>
        <v>0</v>
      </c>
      <c r="I134" s="247">
        <f>MachineAssumptions!U61*E134</f>
        <v>0</v>
      </c>
    </row>
    <row r="135" spans="1:9" ht="20">
      <c r="A135" s="15"/>
      <c r="B135" s="144" t="s">
        <v>38</v>
      </c>
      <c r="C135" s="29"/>
      <c r="D135" s="30"/>
      <c r="E135" s="29"/>
      <c r="F135" s="46">
        <f>SUM(F121:F134)</f>
        <v>0</v>
      </c>
      <c r="H135" s="46">
        <f t="shared" ref="H135:I135" si="18">SUM(H121:H134)</f>
        <v>0</v>
      </c>
      <c r="I135" s="46">
        <f t="shared" si="18"/>
        <v>0</v>
      </c>
    </row>
    <row r="136" spans="1:9" ht="20">
      <c r="A136" s="15"/>
      <c r="B136" s="16"/>
      <c r="C136" s="16"/>
      <c r="D136" s="17"/>
      <c r="E136" s="16"/>
      <c r="F136" s="113"/>
    </row>
    <row r="137" spans="1:9" ht="20">
      <c r="A137" s="15"/>
      <c r="B137" s="14" t="s">
        <v>31</v>
      </c>
      <c r="C137" s="29"/>
      <c r="D137" s="30"/>
      <c r="E137" s="29"/>
      <c r="F137" s="47">
        <f>F118+F135</f>
        <v>32.460525400961536</v>
      </c>
      <c r="H137" s="47">
        <f>SUM(F16:F70)+H114+F115+H116+H117+H135+F8+(H9*D9)+(H10*D10)+(H11*D11)+(H12*D12)+(H13*D13)+(H14*D14)+(H15*D15)</f>
        <v>32.460525400961536</v>
      </c>
      <c r="I137" s="47">
        <f>SUM(F16:F70)+I114+F115+I116+I117+I135+F8+(I9*D9)+(I10*D10)+(I11*D11)+(I12*D12)+(I13*D13)+(I14*D14)+(I15*D15)</f>
        <v>32.460525400961536</v>
      </c>
    </row>
    <row r="138" spans="1:9" ht="21">
      <c r="A138" s="15"/>
      <c r="B138" s="31" t="s">
        <v>32</v>
      </c>
      <c r="C138" s="32"/>
      <c r="D138" s="33"/>
      <c r="E138" s="32"/>
      <c r="F138" s="48">
        <f>F5-F137</f>
        <v>87.539474599038471</v>
      </c>
      <c r="H138" s="250">
        <f>H5-H137</f>
        <v>87.539474599038471</v>
      </c>
      <c r="I138" s="250">
        <f>I5-I137</f>
        <v>87.539474599038471</v>
      </c>
    </row>
    <row r="139" spans="1:9">
      <c r="A139" s="15"/>
    </row>
    <row r="140" spans="1:9">
      <c r="A140" s="15"/>
    </row>
    <row r="141" spans="1:9">
      <c r="A141" s="15"/>
    </row>
    <row r="142" spans="1:9">
      <c r="A142" s="15"/>
    </row>
    <row r="143" spans="1:9">
      <c r="A143" s="15"/>
    </row>
  </sheetData>
  <mergeCells count="1">
    <mergeCell ref="B2:F2"/>
  </mergeCells>
  <pageMargins left="0.7" right="0.7" top="0.75" bottom="0.75" header="0.3" footer="0.3"/>
  <pageSetup scale="57" orientation="portrait" r:id="rId1"/>
  <ignoredErrors>
    <ignoredError sqref="B135:F138 B127:C134 E127:G134 B121:C124 B125:F126 C13:E13 B61:E71 C14:F14 E121:G124 B119:F120 B114:E118 B3:F3 B2 B72:B113 D90:E113 D84:F89 D72:E83 B4:F8 B54:E57 B42:E51 B33:E40 B21:E31 B60:E60 B16:G20 F60:G60 B32:G32 F21:G31 B41:G41 F33:G40 B52:G53 F42:G51 B58:G59 F54:G57 C9:E9 C10:E10 C11:E11 C12:E12 C15:G15 B9:B15" unlockedFormula="1"/>
    <ignoredError sqref="D127:D134 D121:D124" formula="1" unlockedFormula="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5B84A-B24D-1B44-BC5C-91E819B1A3DC}">
  <sheetPr codeName="Sheet39">
    <pageSetUpPr fitToPage="1"/>
  </sheetPr>
  <dimension ref="A1:R141"/>
  <sheetViews>
    <sheetView zoomScale="120" zoomScaleNormal="120" workbookViewId="0">
      <selection activeCell="B2" sqref="B2:F2"/>
    </sheetView>
  </sheetViews>
  <sheetFormatPr baseColWidth="10" defaultColWidth="11.5" defaultRowHeight="15"/>
  <cols>
    <col min="1" max="1" width="4.83203125" style="1" customWidth="1"/>
    <col min="2" max="2" width="57.83203125" style="1" customWidth="1"/>
    <col min="3" max="6" width="12.83203125" style="1" customWidth="1"/>
    <col min="7" max="16" width="11.5" style="1" hidden="1" customWidth="1"/>
    <col min="17" max="16384" width="11.5" style="1"/>
  </cols>
  <sheetData>
    <row r="1" spans="1:18" ht="20">
      <c r="A1" s="352" t="s">
        <v>8</v>
      </c>
      <c r="B1" s="27" t="s">
        <v>8</v>
      </c>
      <c r="C1" s="16"/>
      <c r="D1" s="17"/>
      <c r="E1" s="16"/>
      <c r="F1" s="16"/>
    </row>
    <row r="2" spans="1:18" ht="20">
      <c r="A2" s="15"/>
      <c r="B2" s="807" t="str">
        <f>'Prices_Yields&amp;SeedInputs'!B16&amp;", Cash Costs and Returns of Producing, $/acre."</f>
        <v>SW Winter Wheat after Cereal, Cash Costs and Returns of Producing, $/acre.</v>
      </c>
      <c r="C2" s="807"/>
      <c r="D2" s="807"/>
      <c r="E2" s="807"/>
      <c r="F2" s="807"/>
    </row>
    <row r="3" spans="1:18" ht="20.5" customHeight="1">
      <c r="A3" s="15"/>
      <c r="B3" s="131" t="s">
        <v>11</v>
      </c>
      <c r="C3" s="24" t="s">
        <v>2</v>
      </c>
      <c r="D3" s="25" t="s">
        <v>12</v>
      </c>
      <c r="E3" s="26" t="s">
        <v>13</v>
      </c>
      <c r="F3" s="26" t="s">
        <v>0</v>
      </c>
      <c r="H3" s="1" t="str">
        <f>'Prices_Yields&amp;SeedInputs'!F3</f>
        <v>Incremental Rotation</v>
      </c>
      <c r="I3" s="1" t="str">
        <f>'Prices_Yields&amp;SeedInputs'!G3</f>
        <v>Aspirational Rotation</v>
      </c>
      <c r="Q3" s="674"/>
      <c r="R3" s="674"/>
    </row>
    <row r="4" spans="1:18" ht="20.5" customHeight="1">
      <c r="A4" s="15"/>
      <c r="B4" s="18" t="str">
        <f>'Prices_Yields&amp;SeedInputs'!B16</f>
        <v>SW Winter Wheat after Cereal</v>
      </c>
      <c r="C4" s="22" t="str">
        <f>'Prices_Yields&amp;SeedInputs'!C16</f>
        <v>bu</v>
      </c>
      <c r="D4" s="129">
        <f>'Prices_Yields&amp;SeedInputs'!D16</f>
        <v>4.79</v>
      </c>
      <c r="E4" s="90">
        <f>'Prices_Yields&amp;SeedInputs'!E16</f>
        <v>90</v>
      </c>
      <c r="F4" s="35">
        <f>D4*E4</f>
        <v>431.1</v>
      </c>
      <c r="Q4" s="674"/>
      <c r="R4" s="674"/>
    </row>
    <row r="5" spans="1:18" ht="20.5" customHeight="1">
      <c r="A5" s="15"/>
      <c r="B5" s="14" t="s">
        <v>14</v>
      </c>
      <c r="C5" s="29"/>
      <c r="D5" s="30"/>
      <c r="E5" s="29"/>
      <c r="F5" s="46">
        <f>SUM(F4:F4)</f>
        <v>431.1</v>
      </c>
      <c r="H5" s="1">
        <f>D4*'Prices_Yields&amp;SeedInputs'!F16</f>
        <v>431.1</v>
      </c>
      <c r="I5" s="1">
        <f>D4*'Prices_Yields&amp;SeedInputs'!G16</f>
        <v>431.1</v>
      </c>
      <c r="Q5" s="674"/>
      <c r="R5" s="674"/>
    </row>
    <row r="6" spans="1:18" ht="20.5" customHeight="1">
      <c r="A6" s="15"/>
      <c r="B6" s="16"/>
      <c r="C6" s="16"/>
      <c r="D6" s="17"/>
      <c r="E6" s="16"/>
      <c r="F6" s="44"/>
    </row>
    <row r="7" spans="1:18" ht="20">
      <c r="A7" s="15"/>
      <c r="B7" s="132" t="s">
        <v>37</v>
      </c>
      <c r="C7" s="19" t="s">
        <v>2</v>
      </c>
      <c r="D7" s="20" t="s">
        <v>12</v>
      </c>
      <c r="E7" s="21" t="s">
        <v>13</v>
      </c>
      <c r="F7" s="45" t="s">
        <v>0</v>
      </c>
    </row>
    <row r="8" spans="1:18" ht="20">
      <c r="A8" s="15"/>
      <c r="B8" s="85" t="s">
        <v>169</v>
      </c>
      <c r="C8" s="119" t="str">
        <f>'Prices_Yields&amp;SeedInputs'!H16</f>
        <v>pound</v>
      </c>
      <c r="D8" s="120">
        <f>'Prices_Yields&amp;SeedInputs'!I16</f>
        <v>0.25</v>
      </c>
      <c r="E8" s="133">
        <f>'Prices_Yields&amp;SeedInputs'!J16</f>
        <v>90</v>
      </c>
      <c r="F8" s="117">
        <f t="shared" ref="F8:F61" si="0">IF(D8*E8=0,"0",D8*E8)</f>
        <v>22.5</v>
      </c>
    </row>
    <row r="9" spans="1:18" ht="20">
      <c r="A9" s="15"/>
      <c r="B9" s="85" t="str">
        <f>'Chem&amp;FertInputs&amp;CInsurance'!B6</f>
        <v>Fertilizer - Nitrogen-</v>
      </c>
      <c r="C9" s="23" t="str">
        <f>'Chem&amp;FertInputs&amp;CInsurance'!D6</f>
        <v>pound</v>
      </c>
      <c r="D9" s="116">
        <f>'Chem&amp;FertInputs&amp;CInsurance'!E6</f>
        <v>0.48749999999999999</v>
      </c>
      <c r="E9" s="133">
        <f>'Chem&amp;FertInputs&amp;CInsurance'!Q6</f>
        <v>93</v>
      </c>
      <c r="F9" s="117">
        <f t="shared" si="0"/>
        <v>45.337499999999999</v>
      </c>
      <c r="H9" s="1">
        <f>'Chem&amp;FertInputs&amp;CInsurance'!Q7</f>
        <v>93</v>
      </c>
      <c r="I9" s="1">
        <f>'Chem&amp;FertInputs&amp;CInsurance'!Q8</f>
        <v>93</v>
      </c>
    </row>
    <row r="10" spans="1:18" ht="20">
      <c r="A10" s="15"/>
      <c r="B10" s="85" t="str">
        <f>'Chem&amp;FertInputs&amp;CInsurance'!B9</f>
        <v>Fertilizer - Anhydrous Ammonia-</v>
      </c>
      <c r="C10" s="23" t="str">
        <f>'Chem&amp;FertInputs&amp;CInsurance'!D9</f>
        <v>pound</v>
      </c>
      <c r="D10" s="116">
        <f>'Chem&amp;FertInputs&amp;CInsurance'!E9</f>
        <v>0.75770000000000004</v>
      </c>
      <c r="E10" s="133">
        <f>'Chem&amp;FertInputs&amp;CInsurance'!Q9</f>
        <v>0</v>
      </c>
      <c r="F10" s="117" t="str">
        <f t="shared" si="0"/>
        <v>0</v>
      </c>
      <c r="H10" s="1">
        <f>'Chem&amp;FertInputs&amp;CInsurance'!Q10</f>
        <v>0</v>
      </c>
      <c r="I10" s="1">
        <f>'Chem&amp;FertInputs&amp;CInsurance'!Q11</f>
        <v>0</v>
      </c>
    </row>
    <row r="11" spans="1:18" ht="20">
      <c r="A11" s="15"/>
      <c r="B11" s="85" t="str">
        <f>'Chem&amp;FertInputs&amp;CInsurance'!B12</f>
        <v xml:space="preserve">Fertilizer - Phosphorus- </v>
      </c>
      <c r="C11" s="23" t="str">
        <f>'Chem&amp;FertInputs&amp;CInsurance'!D12</f>
        <v>pound</v>
      </c>
      <c r="D11" s="116">
        <f>'Chem&amp;FertInputs&amp;CInsurance'!E12</f>
        <v>0.47499999999999998</v>
      </c>
      <c r="E11" s="133">
        <f>'Chem&amp;FertInputs&amp;CInsurance'!Q12</f>
        <v>23</v>
      </c>
      <c r="F11" s="117">
        <f t="shared" si="0"/>
        <v>10.924999999999999</v>
      </c>
      <c r="H11" s="1">
        <f>'Chem&amp;FertInputs&amp;CInsurance'!Q13</f>
        <v>23</v>
      </c>
      <c r="I11" s="1">
        <f>'Chem&amp;FertInputs&amp;CInsurance'!Q14</f>
        <v>23</v>
      </c>
    </row>
    <row r="12" spans="1:18" ht="20">
      <c r="A12" s="15"/>
      <c r="B12" s="85" t="str">
        <f>'Chem&amp;FertInputs&amp;CInsurance'!B15</f>
        <v>Fertilizer - Potassium-</v>
      </c>
      <c r="C12" s="23" t="str">
        <f>'Chem&amp;FertInputs&amp;CInsurance'!D15</f>
        <v>pound</v>
      </c>
      <c r="D12" s="116">
        <f>'Chem&amp;FertInputs&amp;CInsurance'!E15</f>
        <v>0.441</v>
      </c>
      <c r="E12" s="133">
        <f>'Chem&amp;FertInputs&amp;CInsurance'!Q15</f>
        <v>30</v>
      </c>
      <c r="F12" s="117">
        <f t="shared" si="0"/>
        <v>13.23</v>
      </c>
      <c r="H12" s="1">
        <f>'Chem&amp;FertInputs&amp;CInsurance'!Q16</f>
        <v>30</v>
      </c>
      <c r="I12" s="1">
        <f>'Chem&amp;FertInputs&amp;CInsurance'!Q17</f>
        <v>30</v>
      </c>
    </row>
    <row r="13" spans="1:18" ht="20">
      <c r="A13" s="15"/>
      <c r="B13" s="85" t="str">
        <f>'Chem&amp;FertInputs&amp;CInsurance'!B18</f>
        <v>Fertilizer - Sulfur-</v>
      </c>
      <c r="C13" s="23" t="str">
        <f>'Chem&amp;FertInputs&amp;CInsurance'!D18</f>
        <v>pound</v>
      </c>
      <c r="D13" s="116">
        <f>'Chem&amp;FertInputs&amp;CInsurance'!E18</f>
        <v>0.2555</v>
      </c>
      <c r="E13" s="133">
        <f>'Chem&amp;FertInputs&amp;CInsurance'!Q18</f>
        <v>9</v>
      </c>
      <c r="F13" s="117">
        <f t="shared" si="0"/>
        <v>2.2995000000000001</v>
      </c>
      <c r="H13" s="1">
        <f>'Chem&amp;FertInputs&amp;CInsurance'!Q19</f>
        <v>9</v>
      </c>
      <c r="I13" s="1">
        <f>'Chem&amp;FertInputs&amp;CInsurance'!Q20</f>
        <v>9</v>
      </c>
    </row>
    <row r="14" spans="1:18" ht="20">
      <c r="A14" s="15"/>
      <c r="B14" s="85" t="str">
        <f>'Chem&amp;FertInputs&amp;CInsurance'!B21</f>
        <v>Adjuvant - Ammonium Sulfate liquid-</v>
      </c>
      <c r="C14" s="23" t="str">
        <f>'Chem&amp;FertInputs&amp;CInsurance'!D21</f>
        <v>oz</v>
      </c>
      <c r="D14" s="116">
        <f>'Chem&amp;FertInputs&amp;CInsurance'!E21</f>
        <v>0.48</v>
      </c>
      <c r="E14" s="133">
        <f>'Chem&amp;FertInputs&amp;CInsurance'!Q21</f>
        <v>3.4</v>
      </c>
      <c r="F14" s="117">
        <f t="shared" ref="F14:F20" si="1">IF(D14*E14=0,"0",D14*E14)</f>
        <v>1.6319999999999999</v>
      </c>
      <c r="G14" s="165">
        <f>E14/128</f>
        <v>2.6562499999999999E-2</v>
      </c>
      <c r="H14" s="1">
        <f>'Chem&amp;FertInputs&amp;CInsurance'!Q22</f>
        <v>3.4</v>
      </c>
      <c r="I14" s="1">
        <f>'Chem&amp;FertInputs&amp;CInsurance'!Q23</f>
        <v>3.4</v>
      </c>
    </row>
    <row r="15" spans="1:18" ht="20">
      <c r="A15" s="15"/>
      <c r="B15" s="85" t="str">
        <f>'Chem&amp;FertInputs&amp;CInsurance'!B24</f>
        <v>Adjuvant - Ammonium Sulfate  (other)-</v>
      </c>
      <c r="C15" s="23" t="str">
        <f>'Chem&amp;FertInputs&amp;CInsurance'!D24</f>
        <v>pound</v>
      </c>
      <c r="D15" s="116">
        <f>'Chem&amp;FertInputs&amp;CInsurance'!E24</f>
        <v>0.71</v>
      </c>
      <c r="E15" s="133">
        <f>'Chem&amp;FertInputs&amp;CInsurance'!Q24</f>
        <v>0</v>
      </c>
      <c r="F15" s="117" t="str">
        <f t="shared" si="1"/>
        <v>0</v>
      </c>
      <c r="G15" s="165">
        <f>E15/16</f>
        <v>0</v>
      </c>
      <c r="H15" s="1">
        <f>'Chem&amp;FertInputs&amp;CInsurance'!Q25</f>
        <v>0</v>
      </c>
      <c r="I15" s="1">
        <f>'Chem&amp;FertInputs&amp;CInsurance'!Q26</f>
        <v>0</v>
      </c>
    </row>
    <row r="16" spans="1:18" ht="20">
      <c r="A16" s="15"/>
      <c r="B16" s="85" t="str">
        <f>'Chem&amp;FertInputs&amp;CInsurance'!C27</f>
        <v xml:space="preserve">crop oil concentrate </v>
      </c>
      <c r="C16" s="23" t="str">
        <f>'Chem&amp;FertInputs&amp;CInsurance'!D27</f>
        <v>pint</v>
      </c>
      <c r="D16" s="116">
        <f>'Chem&amp;FertInputs&amp;CInsurance'!E27</f>
        <v>1.6559999999999999</v>
      </c>
      <c r="E16" s="133">
        <f>'Chem&amp;FertInputs&amp;CInsurance'!Q27</f>
        <v>0</v>
      </c>
      <c r="F16" s="117" t="str">
        <f t="shared" si="1"/>
        <v>0</v>
      </c>
      <c r="G16" s="165">
        <f>E16/8</f>
        <v>0</v>
      </c>
    </row>
    <row r="17" spans="1:7" ht="20">
      <c r="A17" s="15"/>
      <c r="B17" s="85" t="str">
        <f>'Chem&amp;FertInputs&amp;CInsurance'!C28</f>
        <v>In-place</v>
      </c>
      <c r="C17" s="23" t="str">
        <f>'Chem&amp;FertInputs&amp;CInsurance'!D28</f>
        <v>oz</v>
      </c>
      <c r="D17" s="116">
        <f>'Chem&amp;FertInputs&amp;CInsurance'!E28</f>
        <v>0.35649999999999998</v>
      </c>
      <c r="E17" s="133">
        <f>'Chem&amp;FertInputs&amp;CInsurance'!Q28</f>
        <v>0</v>
      </c>
      <c r="F17" s="117" t="str">
        <f t="shared" si="1"/>
        <v>0</v>
      </c>
      <c r="G17" s="165">
        <f>E17/128</f>
        <v>0</v>
      </c>
    </row>
    <row r="18" spans="1:7" ht="20">
      <c r="A18" s="15"/>
      <c r="B18" s="85" t="str">
        <f>'Chem&amp;FertInputs&amp;CInsurance'!C29</f>
        <v xml:space="preserve">M90 </v>
      </c>
      <c r="C18" s="23" t="str">
        <f>'Chem&amp;FertInputs&amp;CInsurance'!D29</f>
        <v>oz</v>
      </c>
      <c r="D18" s="116">
        <f>'Chem&amp;FertInputs&amp;CInsurance'!E29</f>
        <v>0.253</v>
      </c>
      <c r="E18" s="133">
        <f>'Chem&amp;FertInputs&amp;CInsurance'!Q29</f>
        <v>3</v>
      </c>
      <c r="F18" s="117">
        <f t="shared" si="1"/>
        <v>0.75900000000000001</v>
      </c>
      <c r="G18" s="165">
        <f>E18/128</f>
        <v>2.34375E-2</v>
      </c>
    </row>
    <row r="19" spans="1:7" ht="20">
      <c r="A19" s="15"/>
      <c r="B19" s="85" t="str">
        <f>'Chem&amp;FertInputs&amp;CInsurance'!C30</f>
        <v>Surfactant</v>
      </c>
      <c r="C19" s="23" t="str">
        <f>'Chem&amp;FertInputs&amp;CInsurance'!D30</f>
        <v>oz</v>
      </c>
      <c r="D19" s="116">
        <f>'Chem&amp;FertInputs&amp;CInsurance'!E30</f>
        <v>0.26450000000000001</v>
      </c>
      <c r="E19" s="133">
        <f>'Chem&amp;FertInputs&amp;CInsurance'!Q30</f>
        <v>0</v>
      </c>
      <c r="F19" s="117" t="str">
        <f t="shared" si="1"/>
        <v>0</v>
      </c>
      <c r="G19" s="165">
        <f>E19/128</f>
        <v>0</v>
      </c>
    </row>
    <row r="20" spans="1:7" ht="20">
      <c r="A20" s="15"/>
      <c r="B20" s="85" t="str">
        <f>'Chem&amp;FertInputs&amp;CInsurance'!C31</f>
        <v>Syltac sticker</v>
      </c>
      <c r="C20" s="23" t="str">
        <f>'Chem&amp;FertInputs&amp;CInsurance'!D31</f>
        <v>pint</v>
      </c>
      <c r="D20" s="116">
        <f>'Chem&amp;FertInputs&amp;CInsurance'!E31</f>
        <v>7.1874999999999991</v>
      </c>
      <c r="E20" s="133">
        <f>'Chem&amp;FertInputs&amp;CInsurance'!Q31</f>
        <v>0</v>
      </c>
      <c r="F20" s="117" t="str">
        <f t="shared" si="1"/>
        <v>0</v>
      </c>
      <c r="G20" s="165">
        <f>E20/8</f>
        <v>0</v>
      </c>
    </row>
    <row r="21" spans="1:7" ht="20">
      <c r="A21" s="15"/>
      <c r="B21" s="85" t="str">
        <f>'Chem&amp;FertInputs&amp;CInsurance'!C33</f>
        <v>2,4 - D</v>
      </c>
      <c r="C21" s="23" t="str">
        <f>'Chem&amp;FertInputs&amp;CInsurance'!D33</f>
        <v>oz</v>
      </c>
      <c r="D21" s="116">
        <f>'Chem&amp;FertInputs&amp;CInsurance'!E33</f>
        <v>0.33349999999999996</v>
      </c>
      <c r="E21" s="133">
        <f>'Chem&amp;FertInputs&amp;CInsurance'!Q33</f>
        <v>0</v>
      </c>
      <c r="F21" s="117" t="str">
        <f t="shared" si="0"/>
        <v>0</v>
      </c>
      <c r="G21" s="165">
        <f t="shared" ref="G21:G30" si="2">E21/128</f>
        <v>0</v>
      </c>
    </row>
    <row r="22" spans="1:7" ht="20">
      <c r="A22" s="15"/>
      <c r="B22" s="85" t="str">
        <f>'Chem&amp;FertInputs&amp;CInsurance'!C34</f>
        <v>Achieve SC</v>
      </c>
      <c r="C22" s="23" t="str">
        <f>'Chem&amp;FertInputs&amp;CInsurance'!D34</f>
        <v>oz</v>
      </c>
      <c r="D22" s="116">
        <f>'Chem&amp;FertInputs&amp;CInsurance'!E34</f>
        <v>1.3454999999999999</v>
      </c>
      <c r="E22" s="133">
        <f>'Chem&amp;FertInputs&amp;CInsurance'!Q34</f>
        <v>0</v>
      </c>
      <c r="F22" s="117" t="str">
        <f t="shared" si="0"/>
        <v>0</v>
      </c>
      <c r="G22" s="165">
        <f t="shared" si="2"/>
        <v>0</v>
      </c>
    </row>
    <row r="23" spans="1:7" ht="20">
      <c r="A23" s="15"/>
      <c r="B23" s="85" t="str">
        <f>'Chem&amp;FertInputs&amp;CInsurance'!C35</f>
        <v>Affintity TankMix</v>
      </c>
      <c r="C23" s="23" t="str">
        <f>'Chem&amp;FertInputs&amp;CInsurance'!D35</f>
        <v>oz</v>
      </c>
      <c r="D23" s="116">
        <f>'Chem&amp;FertInputs&amp;CInsurance'!E35</f>
        <v>8.9699999999999989</v>
      </c>
      <c r="E23" s="133">
        <f>'Chem&amp;FertInputs&amp;CInsurance'!Q35</f>
        <v>0.75</v>
      </c>
      <c r="F23" s="117">
        <f t="shared" si="0"/>
        <v>6.7274999999999991</v>
      </c>
      <c r="G23" s="165">
        <f t="shared" si="2"/>
        <v>5.859375E-3</v>
      </c>
    </row>
    <row r="24" spans="1:7" ht="20">
      <c r="A24" s="15"/>
      <c r="B24" s="85" t="str">
        <f>'Chem&amp;FertInputs&amp;CInsurance'!C36</f>
        <v xml:space="preserve">Ally </v>
      </c>
      <c r="C24" s="23" t="str">
        <f>'Chem&amp;FertInputs&amp;CInsurance'!D36</f>
        <v>oz</v>
      </c>
      <c r="D24" s="116">
        <f>'Chem&amp;FertInputs&amp;CInsurance'!E36</f>
        <v>1.7249999999999999</v>
      </c>
      <c r="E24" s="133">
        <f>'Chem&amp;FertInputs&amp;CInsurance'!Q36</f>
        <v>0</v>
      </c>
      <c r="F24" s="117" t="str">
        <f t="shared" si="0"/>
        <v>0</v>
      </c>
      <c r="G24" s="165">
        <f t="shared" si="2"/>
        <v>0</v>
      </c>
    </row>
    <row r="25" spans="1:7" ht="20">
      <c r="A25" s="15"/>
      <c r="B25" s="85" t="str">
        <f>'Chem&amp;FertInputs&amp;CInsurance'!C37</f>
        <v>Assure</v>
      </c>
      <c r="C25" s="23" t="str">
        <f>'Chem&amp;FertInputs&amp;CInsurance'!D37</f>
        <v>oz</v>
      </c>
      <c r="D25" s="116">
        <f>'Chem&amp;FertInputs&amp;CInsurance'!E37</f>
        <v>0.98899999999999988</v>
      </c>
      <c r="E25" s="133">
        <f>'Chem&amp;FertInputs&amp;CInsurance'!Q37</f>
        <v>0</v>
      </c>
      <c r="F25" s="117" t="str">
        <f t="shared" si="0"/>
        <v>0</v>
      </c>
      <c r="G25" s="165">
        <f t="shared" si="2"/>
        <v>0</v>
      </c>
    </row>
    <row r="26" spans="1:7" ht="20">
      <c r="A26" s="15"/>
      <c r="B26" s="85" t="str">
        <f>'Chem&amp;FertInputs&amp;CInsurance'!C38</f>
        <v>Axial Star</v>
      </c>
      <c r="C26" s="23" t="str">
        <f>'Chem&amp;FertInputs&amp;CInsurance'!D38</f>
        <v>oz</v>
      </c>
      <c r="D26" s="116">
        <f>'Chem&amp;FertInputs&amp;CInsurance'!E38</f>
        <v>1.3224999999999998</v>
      </c>
      <c r="E26" s="133">
        <f>'Chem&amp;FertInputs&amp;CInsurance'!Q38</f>
        <v>0</v>
      </c>
      <c r="F26" s="117" t="str">
        <f t="shared" si="0"/>
        <v>0</v>
      </c>
      <c r="G26" s="165">
        <f t="shared" si="2"/>
        <v>0</v>
      </c>
    </row>
    <row r="27" spans="1:7" ht="20">
      <c r="A27" s="15"/>
      <c r="B27" s="85" t="str">
        <f>'Chem&amp;FertInputs&amp;CInsurance'!C39</f>
        <v>Axial Bold</v>
      </c>
      <c r="C27" s="23" t="str">
        <f>'Chem&amp;FertInputs&amp;CInsurance'!D39</f>
        <v>oz</v>
      </c>
      <c r="D27" s="116">
        <f>'Chem&amp;FertInputs&amp;CInsurance'!E39</f>
        <v>1.0924999999999998</v>
      </c>
      <c r="E27" s="133">
        <f>'Chem&amp;FertInputs&amp;CInsurance'!Q39</f>
        <v>15</v>
      </c>
      <c r="F27" s="117">
        <f t="shared" si="0"/>
        <v>16.387499999999996</v>
      </c>
      <c r="G27" s="165">
        <f t="shared" si="2"/>
        <v>0.1171875</v>
      </c>
    </row>
    <row r="28" spans="1:7" ht="20">
      <c r="A28" s="15"/>
      <c r="B28" s="85" t="str">
        <f>'Chem&amp;FertInputs&amp;CInsurance'!C40</f>
        <v>Bronate</v>
      </c>
      <c r="C28" s="23" t="str">
        <f>'Chem&amp;FertInputs&amp;CInsurance'!D40</f>
        <v>oz</v>
      </c>
      <c r="D28" s="116">
        <f>'Chem&amp;FertInputs&amp;CInsurance'!E40</f>
        <v>7.911999999999999</v>
      </c>
      <c r="E28" s="133">
        <f>'Chem&amp;FertInputs&amp;CInsurance'!Q40</f>
        <v>0</v>
      </c>
      <c r="F28" s="117" t="str">
        <f t="shared" si="0"/>
        <v>0</v>
      </c>
      <c r="G28" s="165">
        <f t="shared" si="2"/>
        <v>0</v>
      </c>
    </row>
    <row r="29" spans="1:7" ht="20">
      <c r="A29" s="15"/>
      <c r="B29" s="85" t="str">
        <f>'Chem&amp;FertInputs&amp;CInsurance'!C41</f>
        <v xml:space="preserve">Brox M </v>
      </c>
      <c r="C29" s="23" t="str">
        <f>'Chem&amp;FertInputs&amp;CInsurance'!D41</f>
        <v>oz</v>
      </c>
      <c r="D29" s="116">
        <f>'Chem&amp;FertInputs&amp;CInsurance'!E41</f>
        <v>0.42549999999999999</v>
      </c>
      <c r="E29" s="133">
        <f>'Chem&amp;FertInputs&amp;CInsurance'!Q41</f>
        <v>0</v>
      </c>
      <c r="F29" s="117" t="str">
        <f t="shared" si="0"/>
        <v>0</v>
      </c>
      <c r="G29" s="165">
        <f t="shared" si="2"/>
        <v>0</v>
      </c>
    </row>
    <row r="30" spans="1:7" ht="20">
      <c r="A30" s="15"/>
      <c r="B30" s="85" t="str">
        <f>'Chem&amp;FertInputs&amp;CInsurance'!C42</f>
        <v>Capture</v>
      </c>
      <c r="C30" s="23" t="str">
        <f>'Chem&amp;FertInputs&amp;CInsurance'!D42</f>
        <v>oz</v>
      </c>
      <c r="D30" s="116">
        <f>'Chem&amp;FertInputs&amp;CInsurance'!E42</f>
        <v>2.7024999999999997</v>
      </c>
      <c r="E30" s="133">
        <f>'Chem&amp;FertInputs&amp;CInsurance'!Q42</f>
        <v>0</v>
      </c>
      <c r="F30" s="117" t="str">
        <f t="shared" si="0"/>
        <v>0</v>
      </c>
      <c r="G30" s="165">
        <f t="shared" si="2"/>
        <v>0</v>
      </c>
    </row>
    <row r="31" spans="1:7" ht="20">
      <c r="A31" s="15"/>
      <c r="B31" s="85" t="str">
        <f>'Chem&amp;FertInputs&amp;CInsurance'!C43</f>
        <v xml:space="preserve">Dimethoate </v>
      </c>
      <c r="C31" s="23" t="str">
        <f>'Chem&amp;FertInputs&amp;CInsurance'!D43</f>
        <v>pint</v>
      </c>
      <c r="D31" s="116">
        <f>'Chem&amp;FertInputs&amp;CInsurance'!E43</f>
        <v>7.1874999999999991</v>
      </c>
      <c r="E31" s="133">
        <f>'Chem&amp;FertInputs&amp;CInsurance'!Q43</f>
        <v>0</v>
      </c>
      <c r="F31" s="117" t="str">
        <f t="shared" ref="F31" si="3">IF(D31*E31=0,"0",D31*E31)</f>
        <v>0</v>
      </c>
      <c r="G31" s="165">
        <f>E31/8</f>
        <v>0</v>
      </c>
    </row>
    <row r="32" spans="1:7" ht="20">
      <c r="A32" s="15"/>
      <c r="B32" s="85" t="str">
        <f>'Chem&amp;FertInputs&amp;CInsurance'!C44</f>
        <v>Clethodim</v>
      </c>
      <c r="C32" s="23" t="str">
        <f>'Chem&amp;FertInputs&amp;CInsurance'!D44</f>
        <v>oz</v>
      </c>
      <c r="D32" s="116">
        <f>'Chem&amp;FertInputs&amp;CInsurance'!E44</f>
        <v>0.75900000000000001</v>
      </c>
      <c r="E32" s="133">
        <f>'Chem&amp;FertInputs&amp;CInsurance'!Q44</f>
        <v>0</v>
      </c>
      <c r="F32" s="117" t="str">
        <f t="shared" ref="F32" si="4">IF(D32*E32=0,"0",D32*E32)</f>
        <v>0</v>
      </c>
      <c r="G32" s="165">
        <f t="shared" ref="G32:G37" si="5">E32/128</f>
        <v>0</v>
      </c>
    </row>
    <row r="33" spans="1:7" ht="20">
      <c r="A33" s="15"/>
      <c r="B33" s="85" t="str">
        <f>'Chem&amp;FertInputs&amp;CInsurance'!C45</f>
        <v>Discover</v>
      </c>
      <c r="C33" s="23" t="str">
        <f>'Chem&amp;FertInputs&amp;CInsurance'!D45</f>
        <v>oz</v>
      </c>
      <c r="D33" s="116">
        <f>'Chem&amp;FertInputs&amp;CInsurance'!E45</f>
        <v>1.6904999999999999</v>
      </c>
      <c r="E33" s="133">
        <f>'Chem&amp;FertInputs&amp;CInsurance'!Q45</f>
        <v>0</v>
      </c>
      <c r="F33" s="117" t="str">
        <f t="shared" si="0"/>
        <v>0</v>
      </c>
      <c r="G33" s="165">
        <f t="shared" si="5"/>
        <v>0</v>
      </c>
    </row>
    <row r="34" spans="1:7" ht="20">
      <c r="A34" s="15"/>
      <c r="B34" s="85" t="str">
        <f>'Chem&amp;FertInputs&amp;CInsurance'!C46</f>
        <v>FarGO</v>
      </c>
      <c r="C34" s="23" t="str">
        <f>'Chem&amp;FertInputs&amp;CInsurance'!D46</f>
        <v>oz</v>
      </c>
      <c r="D34" s="116">
        <f>'Chem&amp;FertInputs&amp;CInsurance'!E46</f>
        <v>19.158999999999999</v>
      </c>
      <c r="E34" s="133">
        <f>'Chem&amp;FertInputs&amp;CInsurance'!Q46</f>
        <v>0</v>
      </c>
      <c r="F34" s="117" t="str">
        <f t="shared" si="0"/>
        <v>0</v>
      </c>
      <c r="G34" s="165">
        <f t="shared" si="5"/>
        <v>0</v>
      </c>
    </row>
    <row r="35" spans="1:7" ht="20">
      <c r="A35" s="15"/>
      <c r="B35" s="85" t="str">
        <f>'Chem&amp;FertInputs&amp;CInsurance'!C47</f>
        <v>Finesse</v>
      </c>
      <c r="C35" s="23" t="str">
        <f>'Chem&amp;FertInputs&amp;CInsurance'!D47</f>
        <v>oz</v>
      </c>
      <c r="D35" s="116">
        <f>'Chem&amp;FertInputs&amp;CInsurance'!E47</f>
        <v>19.940999999999999</v>
      </c>
      <c r="E35" s="133">
        <f>'Chem&amp;FertInputs&amp;CInsurance'!Q47</f>
        <v>0</v>
      </c>
      <c r="F35" s="117" t="str">
        <f t="shared" si="0"/>
        <v>0</v>
      </c>
      <c r="G35" s="165">
        <f t="shared" si="5"/>
        <v>0</v>
      </c>
    </row>
    <row r="36" spans="1:7" ht="20">
      <c r="A36" s="15"/>
      <c r="B36" s="85" t="str">
        <f>'Chem&amp;FertInputs&amp;CInsurance'!C48</f>
        <v>Glyphosate</v>
      </c>
      <c r="C36" s="23" t="str">
        <f>'Chem&amp;FertInputs&amp;CInsurance'!D48</f>
        <v>oz</v>
      </c>
      <c r="D36" s="116">
        <f>'Chem&amp;FertInputs&amp;CInsurance'!E48</f>
        <v>0.14949999999999999</v>
      </c>
      <c r="E36" s="133">
        <f>'Chem&amp;FertInputs&amp;CInsurance'!Q48</f>
        <v>0</v>
      </c>
      <c r="F36" s="117" t="str">
        <f t="shared" si="0"/>
        <v>0</v>
      </c>
      <c r="G36" s="165">
        <f t="shared" si="5"/>
        <v>0</v>
      </c>
    </row>
    <row r="37" spans="1:7" ht="20">
      <c r="A37" s="15"/>
      <c r="B37" s="85" t="str">
        <f>'Chem&amp;FertInputs&amp;CInsurance'!C49</f>
        <v>Huskie</v>
      </c>
      <c r="C37" s="23" t="str">
        <f>'Chem&amp;FertInputs&amp;CInsurance'!D49</f>
        <v>oz</v>
      </c>
      <c r="D37" s="116">
        <f>'Chem&amp;FertInputs&amp;CInsurance'!E49</f>
        <v>0.88549999999999995</v>
      </c>
      <c r="E37" s="133">
        <f>'Chem&amp;FertInputs&amp;CInsurance'!Q49</f>
        <v>13.7</v>
      </c>
      <c r="F37" s="117">
        <f t="shared" si="0"/>
        <v>12.131349999999999</v>
      </c>
      <c r="G37" s="165">
        <f t="shared" si="5"/>
        <v>0.10703124999999999</v>
      </c>
    </row>
    <row r="38" spans="1:7" ht="20">
      <c r="A38" s="15"/>
      <c r="B38" s="85" t="str">
        <f>'Chem&amp;FertInputs&amp;CInsurance'!C50</f>
        <v>Imidan 70</v>
      </c>
      <c r="C38" s="23" t="str">
        <f>'Chem&amp;FertInputs&amp;CInsurance'!D50</f>
        <v>lb</v>
      </c>
      <c r="D38" s="116">
        <f>'Chem&amp;FertInputs&amp;CInsurance'!E50</f>
        <v>17.295999999999999</v>
      </c>
      <c r="E38" s="133">
        <f>'Chem&amp;FertInputs&amp;CInsurance'!Q50</f>
        <v>0</v>
      </c>
      <c r="F38" s="117" t="str">
        <f t="shared" si="0"/>
        <v>0</v>
      </c>
      <c r="G38" s="165">
        <f>E38/16</f>
        <v>0</v>
      </c>
    </row>
    <row r="39" spans="1:7" ht="20">
      <c r="A39" s="15"/>
      <c r="B39" s="85" t="str">
        <f>'Chem&amp;FertInputs&amp;CInsurance'!C51</f>
        <v xml:space="preserve">Maverick </v>
      </c>
      <c r="C39" s="23" t="str">
        <f>'Chem&amp;FertInputs&amp;CInsurance'!D51</f>
        <v>oz</v>
      </c>
      <c r="D39" s="116">
        <f>'Chem&amp;FertInputs&amp;CInsurance'!E51</f>
        <v>23.885499999999997</v>
      </c>
      <c r="E39" s="133">
        <f>'Chem&amp;FertInputs&amp;CInsurance'!Q51</f>
        <v>0</v>
      </c>
      <c r="F39" s="117" t="str">
        <f t="shared" si="0"/>
        <v>0</v>
      </c>
      <c r="G39" s="165">
        <f t="shared" ref="G39:G51" si="6">E39/128</f>
        <v>0</v>
      </c>
    </row>
    <row r="40" spans="1:7" ht="20">
      <c r="A40" s="15"/>
      <c r="B40" s="85" t="str">
        <f>'Chem&amp;FertInputs&amp;CInsurance'!C52</f>
        <v>Osprey</v>
      </c>
      <c r="C40" s="23" t="str">
        <f>'Chem&amp;FertInputs&amp;CInsurance'!D52</f>
        <v>oz</v>
      </c>
      <c r="D40" s="116">
        <f>'Chem&amp;FertInputs&amp;CInsurance'!E52</f>
        <v>5.0484999999999989</v>
      </c>
      <c r="E40" s="133">
        <f>'Chem&amp;FertInputs&amp;CInsurance'!Q52</f>
        <v>0</v>
      </c>
      <c r="F40" s="117" t="str">
        <f t="shared" si="0"/>
        <v>0</v>
      </c>
      <c r="G40" s="165">
        <f t="shared" si="6"/>
        <v>0</v>
      </c>
    </row>
    <row r="41" spans="1:7" ht="20">
      <c r="A41" s="15"/>
      <c r="B41" s="85" t="str">
        <f>'Chem&amp;FertInputs&amp;CInsurance'!C53</f>
        <v>Poast</v>
      </c>
      <c r="C41" s="23" t="str">
        <f>'Chem&amp;FertInputs&amp;CInsurance'!D53</f>
        <v>oz</v>
      </c>
      <c r="D41" s="116">
        <f>'Chem&amp;FertInputs&amp;CInsurance'!E53</f>
        <v>19.285499999999999</v>
      </c>
      <c r="E41" s="133">
        <f>'Chem&amp;FertInputs&amp;CInsurance'!Q53</f>
        <v>0</v>
      </c>
      <c r="F41" s="117" t="str">
        <f t="shared" ref="F41" si="7">IF(D41*E41=0,"0",D41*E41)</f>
        <v>0</v>
      </c>
      <c r="G41" s="165">
        <f t="shared" si="6"/>
        <v>0</v>
      </c>
    </row>
    <row r="42" spans="1:7" ht="20">
      <c r="A42" s="15"/>
      <c r="B42" s="85" t="str">
        <f>'Chem&amp;FertInputs&amp;CInsurance'!C54</f>
        <v>Power Flex</v>
      </c>
      <c r="C42" s="23" t="str">
        <f>'Chem&amp;FertInputs&amp;CInsurance'!D54</f>
        <v>oz</v>
      </c>
      <c r="D42" s="116">
        <f>'Chem&amp;FertInputs&amp;CInsurance'!E54</f>
        <v>8.9124999999999996</v>
      </c>
      <c r="E42" s="133">
        <f>'Chem&amp;FertInputs&amp;CInsurance'!Q54</f>
        <v>0</v>
      </c>
      <c r="F42" s="117" t="str">
        <f t="shared" si="0"/>
        <v>0</v>
      </c>
      <c r="G42" s="165">
        <f t="shared" si="6"/>
        <v>0</v>
      </c>
    </row>
    <row r="43" spans="1:7" ht="20">
      <c r="A43" s="15"/>
      <c r="B43" s="85" t="str">
        <f>'Chem&amp;FertInputs&amp;CInsurance'!C55</f>
        <v>Priaxor</v>
      </c>
      <c r="C43" s="23" t="str">
        <f>'Chem&amp;FertInputs&amp;CInsurance'!D55</f>
        <v>oz</v>
      </c>
      <c r="D43" s="116">
        <f>'Chem&amp;FertInputs&amp;CInsurance'!E55</f>
        <v>3.4269999999999996</v>
      </c>
      <c r="E43" s="133">
        <f>'Chem&amp;FertInputs&amp;CInsurance'!Q55</f>
        <v>0</v>
      </c>
      <c r="F43" s="117" t="str">
        <f t="shared" si="0"/>
        <v>0</v>
      </c>
      <c r="G43" s="165">
        <f t="shared" si="6"/>
        <v>0</v>
      </c>
    </row>
    <row r="44" spans="1:7" ht="20">
      <c r="A44" s="15"/>
      <c r="B44" s="85" t="str">
        <f>'Chem&amp;FertInputs&amp;CInsurance'!C56</f>
        <v>Prowl</v>
      </c>
      <c r="C44" s="23" t="str">
        <f>'Chem&amp;FertInputs&amp;CInsurance'!D56</f>
        <v>oz</v>
      </c>
      <c r="D44" s="116">
        <f>'Chem&amp;FertInputs&amp;CInsurance'!E56</f>
        <v>0.51749999999999996</v>
      </c>
      <c r="E44" s="133">
        <f>'Chem&amp;FertInputs&amp;CInsurance'!Q56</f>
        <v>0</v>
      </c>
      <c r="F44" s="117" t="str">
        <f t="shared" si="0"/>
        <v>0</v>
      </c>
      <c r="G44" s="165">
        <f t="shared" si="6"/>
        <v>0</v>
      </c>
    </row>
    <row r="45" spans="1:7" ht="20">
      <c r="A45" s="15"/>
      <c r="B45" s="85" t="str">
        <f>'Chem&amp;FertInputs&amp;CInsurance'!C57</f>
        <v>Pursuit</v>
      </c>
      <c r="C45" s="23" t="str">
        <f>'Chem&amp;FertInputs&amp;CInsurance'!D57</f>
        <v>oz</v>
      </c>
      <c r="D45" s="116">
        <f>'Chem&amp;FertInputs&amp;CInsurance'!E57</f>
        <v>4.0594999999999999</v>
      </c>
      <c r="E45" s="133">
        <f>'Chem&amp;FertInputs&amp;CInsurance'!Q57</f>
        <v>0</v>
      </c>
      <c r="F45" s="117" t="str">
        <f t="shared" si="0"/>
        <v>0</v>
      </c>
      <c r="G45" s="165">
        <f t="shared" si="6"/>
        <v>0</v>
      </c>
    </row>
    <row r="46" spans="1:7" ht="20">
      <c r="A46" s="15"/>
      <c r="B46" s="85" t="str">
        <f>'Chem&amp;FertInputs&amp;CInsurance'!C58</f>
        <v xml:space="preserve">Quadris </v>
      </c>
      <c r="C46" s="23" t="str">
        <f>'Chem&amp;FertInputs&amp;CInsurance'!D58</f>
        <v>oz</v>
      </c>
      <c r="D46" s="116">
        <f>'Chem&amp;FertInputs&amp;CInsurance'!E58</f>
        <v>1.127</v>
      </c>
      <c r="E46" s="133">
        <f>'Chem&amp;FertInputs&amp;CInsurance'!Q58</f>
        <v>0</v>
      </c>
      <c r="F46" s="117" t="str">
        <f t="shared" si="0"/>
        <v>0</v>
      </c>
      <c r="G46" s="165">
        <f t="shared" si="6"/>
        <v>0</v>
      </c>
    </row>
    <row r="47" spans="1:7" ht="20">
      <c r="A47" s="15"/>
      <c r="B47" s="85" t="str">
        <f>'Chem&amp;FertInputs&amp;CInsurance'!C59</f>
        <v>Quilt</v>
      </c>
      <c r="C47" s="23" t="str">
        <f>'Chem&amp;FertInputs&amp;CInsurance'!D59</f>
        <v>oz</v>
      </c>
      <c r="D47" s="116">
        <f>'Chem&amp;FertInputs&amp;CInsurance'!E59</f>
        <v>1.4834999999999998</v>
      </c>
      <c r="E47" s="133">
        <f>'Chem&amp;FertInputs&amp;CInsurance'!Q59</f>
        <v>0</v>
      </c>
      <c r="F47" s="117" t="str">
        <f t="shared" si="0"/>
        <v>0</v>
      </c>
      <c r="G47" s="165">
        <f t="shared" si="6"/>
        <v>0</v>
      </c>
    </row>
    <row r="48" spans="1:7" ht="20">
      <c r="A48" s="15"/>
      <c r="B48" s="85" t="str">
        <f>'Chem&amp;FertInputs&amp;CInsurance'!C60</f>
        <v>R11</v>
      </c>
      <c r="C48" s="23" t="str">
        <f>'Chem&amp;FertInputs&amp;CInsurance'!D60</f>
        <v>oz</v>
      </c>
      <c r="D48" s="116">
        <f>'Chem&amp;FertInputs&amp;CInsurance'!E60</f>
        <v>0.26450000000000001</v>
      </c>
      <c r="E48" s="133">
        <f>'Chem&amp;FertInputs&amp;CInsurance'!Q60</f>
        <v>0</v>
      </c>
      <c r="F48" s="117" t="str">
        <f t="shared" si="0"/>
        <v>0</v>
      </c>
      <c r="G48" s="165">
        <f t="shared" si="6"/>
        <v>0</v>
      </c>
    </row>
    <row r="49" spans="1:11" ht="20">
      <c r="A49" s="15"/>
      <c r="B49" s="85" t="str">
        <f>'Chem&amp;FertInputs&amp;CInsurance'!C61</f>
        <v>Starane</v>
      </c>
      <c r="C49" s="23" t="str">
        <f>'Chem&amp;FertInputs&amp;CInsurance'!D61</f>
        <v>oz</v>
      </c>
      <c r="D49" s="116">
        <f>'Chem&amp;FertInputs&amp;CInsurance'!E61</f>
        <v>0.77049999999999996</v>
      </c>
      <c r="E49" s="133">
        <f>'Chem&amp;FertInputs&amp;CInsurance'!Q61</f>
        <v>0</v>
      </c>
      <c r="F49" s="117" t="str">
        <f t="shared" si="0"/>
        <v>0</v>
      </c>
      <c r="G49" s="165">
        <f t="shared" si="6"/>
        <v>0</v>
      </c>
    </row>
    <row r="50" spans="1:11" ht="20">
      <c r="A50" s="15"/>
      <c r="B50" s="85" t="str">
        <f>'Chem&amp;FertInputs&amp;CInsurance'!C62</f>
        <v>Starane + Salvo</v>
      </c>
      <c r="C50" s="23" t="str">
        <f>'Chem&amp;FertInputs&amp;CInsurance'!D62</f>
        <v>oz</v>
      </c>
      <c r="D50" s="116">
        <f>'Chem&amp;FertInputs&amp;CInsurance'!E62</f>
        <v>0.77049999999999996</v>
      </c>
      <c r="E50" s="133">
        <f>'Chem&amp;FertInputs&amp;CInsurance'!Q62</f>
        <v>0</v>
      </c>
      <c r="F50" s="117" t="str">
        <f t="shared" si="0"/>
        <v>0</v>
      </c>
      <c r="G50" s="165">
        <f t="shared" si="6"/>
        <v>0</v>
      </c>
    </row>
    <row r="51" spans="1:11" ht="20">
      <c r="A51" s="15"/>
      <c r="B51" s="85" t="str">
        <f>'Chem&amp;FertInputs&amp;CInsurance'!C63</f>
        <v xml:space="preserve">Starane + Sword </v>
      </c>
      <c r="C51" s="23" t="str">
        <f>'Chem&amp;FertInputs&amp;CInsurance'!D63</f>
        <v>oz</v>
      </c>
      <c r="D51" s="116">
        <f>'Chem&amp;FertInputs&amp;CInsurance'!E63</f>
        <v>0.77049999999999996</v>
      </c>
      <c r="E51" s="133">
        <f>'Chem&amp;FertInputs&amp;CInsurance'!Q63</f>
        <v>0</v>
      </c>
      <c r="F51" s="117" t="str">
        <f t="shared" si="0"/>
        <v>0</v>
      </c>
      <c r="G51" s="165">
        <f t="shared" si="6"/>
        <v>0</v>
      </c>
    </row>
    <row r="52" spans="1:11" ht="20">
      <c r="A52" s="15"/>
      <c r="B52" s="85" t="str">
        <f>'Chem&amp;FertInputs&amp;CInsurance'!C64</f>
        <v xml:space="preserve"> Tilt</v>
      </c>
      <c r="C52" s="23" t="str">
        <f>'Chem&amp;FertInputs&amp;CInsurance'!D64</f>
        <v>oz</v>
      </c>
      <c r="D52" s="116">
        <f>'Chem&amp;FertInputs&amp;CInsurance'!E64</f>
        <v>0.88549999999999995</v>
      </c>
      <c r="E52" s="133">
        <f>'Chem&amp;FertInputs&amp;CInsurance'!Q64</f>
        <v>4</v>
      </c>
      <c r="F52" s="117">
        <f t="shared" ref="F52:F53" si="8">IF(D52*E52=0,"0",D52*E52)</f>
        <v>3.5419999999999998</v>
      </c>
      <c r="G52" s="165">
        <f t="shared" ref="G52:G53" si="9">E52/128</f>
        <v>3.125E-2</v>
      </c>
    </row>
    <row r="53" spans="1:11" ht="20">
      <c r="A53" s="15"/>
      <c r="B53" s="85" t="str">
        <f>'Chem&amp;FertInputs&amp;CInsurance'!C65</f>
        <v xml:space="preserve">Wildcard </v>
      </c>
      <c r="C53" s="23" t="str">
        <f>'Chem&amp;FertInputs&amp;CInsurance'!D65</f>
        <v>oz</v>
      </c>
      <c r="D53" s="116">
        <f>'Chem&amp;FertInputs&amp;CInsurance'!E65</f>
        <v>0.35649999999999998</v>
      </c>
      <c r="E53" s="133">
        <f>'Chem&amp;FertInputs&amp;CInsurance'!Q65</f>
        <v>0</v>
      </c>
      <c r="F53" s="117" t="str">
        <f t="shared" si="8"/>
        <v>0</v>
      </c>
      <c r="G53" s="165">
        <f t="shared" si="9"/>
        <v>0</v>
      </c>
    </row>
    <row r="54" spans="1:11" ht="20">
      <c r="A54" s="15"/>
      <c r="B54" s="85" t="str">
        <f>'Chem&amp;FertInputs&amp;CInsurance'!C66</f>
        <v>Sharpen</v>
      </c>
      <c r="C54" s="23" t="str">
        <f>'Chem&amp;FertInputs&amp;CInsurance'!D66</f>
        <v>oz</v>
      </c>
      <c r="D54" s="116">
        <f>'Chem&amp;FertInputs&amp;CInsurance'!E66</f>
        <v>6.3134999999999994</v>
      </c>
      <c r="E54" s="133">
        <f>'Chem&amp;FertInputs&amp;CInsurance'!Q66</f>
        <v>0</v>
      </c>
      <c r="F54" s="117" t="str">
        <f t="shared" si="0"/>
        <v>0</v>
      </c>
      <c r="G54" s="165">
        <f>E54/128</f>
        <v>0</v>
      </c>
    </row>
    <row r="55" spans="1:11" ht="20">
      <c r="A55" s="15"/>
      <c r="B55" s="85" t="str">
        <f>'Chem&amp;FertInputs&amp;CInsurance'!C67</f>
        <v>Sencor</v>
      </c>
      <c r="C55" s="23" t="str">
        <f>'Chem&amp;FertInputs&amp;CInsurance'!D67</f>
        <v>oz</v>
      </c>
      <c r="D55" s="116">
        <f>'Chem&amp;FertInputs&amp;CInsurance'!E67</f>
        <v>0.45999999999999996</v>
      </c>
      <c r="E55" s="133">
        <f>'Chem&amp;FertInputs&amp;CInsurance'!Q67</f>
        <v>0</v>
      </c>
      <c r="F55" s="117" t="str">
        <f t="shared" si="0"/>
        <v>0</v>
      </c>
      <c r="G55" s="165">
        <f>E55/128</f>
        <v>0</v>
      </c>
    </row>
    <row r="56" spans="1:11" ht="20">
      <c r="A56" s="15"/>
      <c r="B56" s="85" t="str">
        <f>'Chem&amp;FertInputs&amp;CInsurance'!C68</f>
        <v>Warrior</v>
      </c>
      <c r="C56" s="23" t="str">
        <f>'Chem&amp;FertInputs&amp;CInsurance'!D68</f>
        <v>acre</v>
      </c>
      <c r="D56" s="116">
        <f>'Chem&amp;FertInputs&amp;CInsurance'!E68</f>
        <v>3.4499999999999997</v>
      </c>
      <c r="E56" s="133">
        <f>'Chem&amp;FertInputs&amp;CInsurance'!Q68</f>
        <v>0</v>
      </c>
      <c r="F56" s="117" t="str">
        <f t="shared" si="0"/>
        <v>0</v>
      </c>
      <c r="G56" s="165">
        <f>E56/128</f>
        <v>0</v>
      </c>
      <c r="J56" s="173" t="s">
        <v>8</v>
      </c>
    </row>
    <row r="57" spans="1:11" ht="20">
      <c r="A57" s="15"/>
      <c r="B57" s="85" t="str">
        <f>'Chem&amp;FertInputs&amp;CInsurance'!C69</f>
        <v xml:space="preserve"> Lorox</v>
      </c>
      <c r="C57" s="23" t="str">
        <f>'Chem&amp;FertInputs&amp;CInsurance'!D69</f>
        <v>lb</v>
      </c>
      <c r="D57" s="116">
        <f>'Chem&amp;FertInputs&amp;CInsurance'!E69</f>
        <v>26.565000000000001</v>
      </c>
      <c r="E57" s="133">
        <f>'Chem&amp;FertInputs&amp;CInsurance'!Q69</f>
        <v>0</v>
      </c>
      <c r="F57" s="117" t="str">
        <f t="shared" si="0"/>
        <v>0</v>
      </c>
      <c r="G57" s="165">
        <f>E57/128</f>
        <v>0</v>
      </c>
      <c r="J57" s="173" t="s">
        <v>8</v>
      </c>
    </row>
    <row r="58" spans="1:11" ht="20">
      <c r="A58" s="15"/>
      <c r="B58" s="85" t="str">
        <f>'Chem&amp;FertInputs&amp;CInsurance'!C70</f>
        <v xml:space="preserve"> Valor</v>
      </c>
      <c r="C58" s="23" t="str">
        <f>'Chem&amp;FertInputs&amp;CInsurance'!D70</f>
        <v>oz</v>
      </c>
      <c r="D58" s="116">
        <f>'Chem&amp;FertInputs&amp;CInsurance'!E70</f>
        <v>6.6124999999999998</v>
      </c>
      <c r="E58" s="133">
        <f>'Chem&amp;FertInputs&amp;CInsurance'!Q70</f>
        <v>0</v>
      </c>
      <c r="F58" s="117" t="str">
        <f t="shared" ref="F58:F59" si="10">IF(D58*E58=0,"0",D58*E58)</f>
        <v>0</v>
      </c>
      <c r="G58" s="165">
        <f t="shared" ref="G58:G59" si="11">E58/128</f>
        <v>0</v>
      </c>
      <c r="J58" s="173"/>
    </row>
    <row r="59" spans="1:11" ht="20">
      <c r="A59" s="15"/>
      <c r="B59" s="85" t="str">
        <f>'Chem&amp;FertInputs&amp;CInsurance'!C71</f>
        <v xml:space="preserve"> Diagon</v>
      </c>
      <c r="C59" s="23" t="str">
        <f>'Chem&amp;FertInputs&amp;CInsurance'!D71</f>
        <v>oz</v>
      </c>
      <c r="D59" s="116">
        <f>'Chem&amp;FertInputs&amp;CInsurance'!E71</f>
        <v>0.43699999999999994</v>
      </c>
      <c r="E59" s="133">
        <f>'Chem&amp;FertInputs&amp;CInsurance'!Q71</f>
        <v>0</v>
      </c>
      <c r="F59" s="117" t="str">
        <f t="shared" si="10"/>
        <v>0</v>
      </c>
      <c r="G59" s="165">
        <f t="shared" si="11"/>
        <v>0</v>
      </c>
      <c r="J59" s="173"/>
    </row>
    <row r="60" spans="1:11" ht="20">
      <c r="A60" s="15"/>
      <c r="B60" s="85" t="str">
        <f>'Chem&amp;FertInputs&amp;CInsurance'!C72</f>
        <v xml:space="preserve">Spartan </v>
      </c>
      <c r="C60" s="23" t="str">
        <f>'Chem&amp;FertInputs&amp;CInsurance'!D72</f>
        <v>oz</v>
      </c>
      <c r="D60" s="116">
        <f>'Chem&amp;FertInputs&amp;CInsurance'!E72</f>
        <v>2.0469999999999997</v>
      </c>
      <c r="E60" s="133">
        <f>'Chem&amp;FertInputs&amp;CInsurance'!Q72</f>
        <v>0</v>
      </c>
      <c r="F60" s="117" t="str">
        <f t="shared" si="0"/>
        <v>0</v>
      </c>
      <c r="G60" s="165">
        <f>E60/128</f>
        <v>0</v>
      </c>
      <c r="I60" s="224" t="s">
        <v>8</v>
      </c>
      <c r="K60" s="224"/>
    </row>
    <row r="61" spans="1:11" ht="23">
      <c r="A61" s="15"/>
      <c r="B61" s="85" t="str">
        <f>'Chem&amp;FertInputs&amp;CInsurance'!C32</f>
        <v xml:space="preserve">Round Up </v>
      </c>
      <c r="C61" s="23" t="str">
        <f>'Chem&amp;FertInputs&amp;CInsurance'!D32</f>
        <v>oz</v>
      </c>
      <c r="D61" s="116">
        <f>'Chem&amp;FertInputs&amp;CInsurance'!E32</f>
        <v>0.14949999999999999</v>
      </c>
      <c r="E61" s="133">
        <f>'Chem&amp;FertInputs&amp;CInsurance'!Q32</f>
        <v>36</v>
      </c>
      <c r="F61" s="117">
        <f t="shared" si="0"/>
        <v>5.3819999999999997</v>
      </c>
      <c r="G61" s="225">
        <f>E61/128</f>
        <v>0.28125</v>
      </c>
      <c r="H61" s="224" t="s">
        <v>8</v>
      </c>
    </row>
    <row r="62" spans="1:11" ht="20">
      <c r="A62" s="15"/>
      <c r="B62" s="139" t="s">
        <v>86</v>
      </c>
      <c r="C62" s="23"/>
      <c r="D62" s="116"/>
      <c r="E62" s="133"/>
      <c r="F62" s="117"/>
      <c r="G62" s="165">
        <f>SUM(G14:G61)</f>
        <v>0.59257812499999996</v>
      </c>
    </row>
    <row r="63" spans="1:11" ht="20">
      <c r="A63" s="15"/>
      <c r="B63" s="125" t="str">
        <f>CustomRates!B5</f>
        <v>Aerial (Custom)</v>
      </c>
      <c r="C63" s="41" t="str">
        <f>CustomRates!C5</f>
        <v>acre</v>
      </c>
      <c r="D63" s="116">
        <f>CustomRates!O5</f>
        <v>8.9499999999999993</v>
      </c>
      <c r="E63" s="87">
        <f>CustomRates!O6</f>
        <v>0</v>
      </c>
      <c r="F63" s="117" t="str">
        <f t="shared" ref="F63:F70" si="12">IF(D63*E63=0,"0",D63*E63)</f>
        <v>0</v>
      </c>
      <c r="G63" s="224" t="s">
        <v>8</v>
      </c>
      <c r="H63" s="224" t="s">
        <v>8</v>
      </c>
    </row>
    <row r="64" spans="1:11" ht="20">
      <c r="A64" s="15"/>
      <c r="B64" s="125" t="str">
        <f>CustomRates!B7</f>
        <v>Sprayer (Rental 90')</v>
      </c>
      <c r="C64" s="41" t="str">
        <f>CustomRates!C7</f>
        <v>acre</v>
      </c>
      <c r="D64" s="116">
        <f>CustomRates!O7</f>
        <v>8</v>
      </c>
      <c r="E64" s="87">
        <f>CustomRates!O8</f>
        <v>1</v>
      </c>
      <c r="F64" s="117">
        <f t="shared" si="12"/>
        <v>8</v>
      </c>
    </row>
    <row r="65" spans="1:9" ht="20">
      <c r="A65" s="15"/>
      <c r="B65" s="125" t="str">
        <f>CustomRates!B9</f>
        <v>Fertilizer - Anhydrous Applicator (Rent)</v>
      </c>
      <c r="C65" s="41" t="str">
        <f>CustomRates!C9</f>
        <v>acre</v>
      </c>
      <c r="D65" s="116">
        <f>CustomRates!O9</f>
        <v>7</v>
      </c>
      <c r="E65" s="87">
        <f>CustomRates!O10</f>
        <v>0</v>
      </c>
      <c r="F65" s="117" t="str">
        <f t="shared" si="12"/>
        <v>0</v>
      </c>
    </row>
    <row r="66" spans="1:9" ht="20">
      <c r="A66" s="15"/>
      <c r="B66" s="125" t="str">
        <f>CustomRates!B11</f>
        <v>Fertilizer Applicator</v>
      </c>
      <c r="C66" s="41" t="str">
        <f>CustomRates!C11</f>
        <v>acre</v>
      </c>
      <c r="D66" s="116">
        <f>CustomRates!O11</f>
        <v>2</v>
      </c>
      <c r="E66" s="87">
        <f>CustomRates!O12</f>
        <v>0</v>
      </c>
      <c r="F66" s="117" t="str">
        <f t="shared" si="12"/>
        <v>0</v>
      </c>
    </row>
    <row r="67" spans="1:9" ht="20">
      <c r="A67" s="15"/>
      <c r="B67" s="125" t="str">
        <f>CustomRates!B13</f>
        <v>26' Rental Shredder</v>
      </c>
      <c r="C67" s="41" t="str">
        <f>CustomRates!C13</f>
        <v>acre</v>
      </c>
      <c r="D67" s="116">
        <f>CustomRates!O13</f>
        <v>10</v>
      </c>
      <c r="E67" s="87">
        <f>CustomRates!O14</f>
        <v>0</v>
      </c>
      <c r="F67" s="117" t="str">
        <f t="shared" si="12"/>
        <v>0</v>
      </c>
    </row>
    <row r="68" spans="1:9" ht="20">
      <c r="A68" s="15"/>
      <c r="B68" s="125" t="str">
        <f>CustomRates!B15</f>
        <v>36' Ripper Shooter</v>
      </c>
      <c r="C68" s="41" t="str">
        <f>CustomRates!C15</f>
        <v>acre</v>
      </c>
      <c r="D68" s="116">
        <f>CustomRates!O15</f>
        <v>2.5</v>
      </c>
      <c r="E68" s="87">
        <f>CustomRates!O16</f>
        <v>0</v>
      </c>
      <c r="F68" s="117" t="str">
        <f t="shared" si="12"/>
        <v>0</v>
      </c>
    </row>
    <row r="69" spans="1:9" ht="20">
      <c r="A69" s="15"/>
      <c r="B69" s="125" t="str">
        <f>CustomRates!B17</f>
        <v>Custom self-propelled sprayer</v>
      </c>
      <c r="C69" s="41" t="str">
        <f>CustomRates!C17</f>
        <v>acre</v>
      </c>
      <c r="D69" s="116">
        <f>CustomRates!O17</f>
        <v>8</v>
      </c>
      <c r="E69" s="87">
        <f>CustomRates!O18</f>
        <v>0</v>
      </c>
      <c r="F69" s="117" t="str">
        <f t="shared" si="12"/>
        <v>0</v>
      </c>
    </row>
    <row r="70" spans="1:9" ht="20">
      <c r="A70" s="15"/>
      <c r="B70" s="125" t="str">
        <f>CustomRates!B19</f>
        <v>Additional Operation #8 (Custom)</v>
      </c>
      <c r="C70" s="41" t="str">
        <f>CustomRates!C19</f>
        <v>acre</v>
      </c>
      <c r="D70" s="116">
        <f>CustomRates!O19</f>
        <v>0</v>
      </c>
      <c r="E70" s="87">
        <f>CustomRates!O20</f>
        <v>0</v>
      </c>
      <c r="F70" s="117" t="str">
        <f t="shared" si="12"/>
        <v>0</v>
      </c>
    </row>
    <row r="71" spans="1:9" ht="20">
      <c r="A71" s="15"/>
      <c r="B71" s="139" t="s">
        <v>87</v>
      </c>
      <c r="C71" s="41"/>
      <c r="D71" s="116"/>
      <c r="E71" s="87"/>
      <c r="F71" s="117"/>
      <c r="H71" s="1" t="s">
        <v>204</v>
      </c>
      <c r="I71" s="1" t="s">
        <v>135</v>
      </c>
    </row>
    <row r="72" spans="1:9" ht="20">
      <c r="A72" s="15"/>
      <c r="B72" s="85" t="str">
        <f>MachineAssumptions!B7&amp;" - Labor"</f>
        <v>Shredder - Labor</v>
      </c>
      <c r="C72" s="41" t="s">
        <v>246</v>
      </c>
      <c r="D72" s="116">
        <f>MachineAssumptions!$R$7</f>
        <v>1.4996591683708247</v>
      </c>
      <c r="E72" s="87">
        <f>FieldApplications!$N$6</f>
        <v>0</v>
      </c>
      <c r="F72" s="117" t="str">
        <f t="shared" ref="F72:F113" si="13">IF(D72*E72=0,"0",D72*E72)</f>
        <v>0</v>
      </c>
      <c r="G72" s="173" t="s">
        <v>8</v>
      </c>
      <c r="H72" s="246">
        <f>MachineAssumptions!$R$28*E72</f>
        <v>0</v>
      </c>
      <c r="I72" s="166">
        <f>MachineAssumptions!$R$48*E72</f>
        <v>0</v>
      </c>
    </row>
    <row r="73" spans="1:9" ht="20">
      <c r="A73" s="15"/>
      <c r="B73" s="85" t="str">
        <f>MachineAssumptions!B7&amp;" - Fuel, Lube"</f>
        <v>Shredder - Fuel, Lube</v>
      </c>
      <c r="C73" s="41" t="s">
        <v>246</v>
      </c>
      <c r="D73" s="116">
        <f>MachineAssumptions!$S$7</f>
        <v>5.7486934787548281</v>
      </c>
      <c r="E73" s="87">
        <f>FieldApplications!$N$6</f>
        <v>0</v>
      </c>
      <c r="F73" s="117" t="str">
        <f t="shared" si="13"/>
        <v>0</v>
      </c>
      <c r="H73" s="246">
        <f>MachineAssumptions!$S$28*E73</f>
        <v>0</v>
      </c>
      <c r="I73" s="166">
        <f>MachineAssumptions!$S$48*E73</f>
        <v>0</v>
      </c>
    </row>
    <row r="74" spans="1:9" ht="20">
      <c r="A74" s="15"/>
      <c r="B74" s="85" t="str">
        <f>MachineAssumptions!B7&amp;" - Repairs"</f>
        <v>Shredder - Repairs</v>
      </c>
      <c r="C74" s="41" t="s">
        <v>246</v>
      </c>
      <c r="D74" s="116">
        <f>MachineAssumptions!$T$7</f>
        <v>0.46726721181997538</v>
      </c>
      <c r="E74" s="87">
        <f>FieldApplications!$N$6</f>
        <v>0</v>
      </c>
      <c r="F74" s="117" t="str">
        <f t="shared" si="13"/>
        <v>0</v>
      </c>
      <c r="H74" s="246">
        <f>MachineAssumptions!$T$28*E74</f>
        <v>0</v>
      </c>
      <c r="I74" s="166">
        <f>MachineAssumptions!$T$48*E74</f>
        <v>0</v>
      </c>
    </row>
    <row r="75" spans="1:9" ht="20">
      <c r="A75" s="15"/>
      <c r="B75" s="85" t="str">
        <f>MachineAssumptions!B8&amp;" - Labor"</f>
        <v>Harrow - Labor</v>
      </c>
      <c r="C75" s="41" t="s">
        <v>246</v>
      </c>
      <c r="D75" s="116">
        <f>MachineAssumptions!$R$8</f>
        <v>0.59412746734753996</v>
      </c>
      <c r="E75" s="87">
        <f>FieldApplications!$N$7</f>
        <v>0</v>
      </c>
      <c r="F75" s="117" t="str">
        <f t="shared" si="13"/>
        <v>0</v>
      </c>
      <c r="H75" s="246">
        <f>MachineAssumptions!$R$29*E75</f>
        <v>0</v>
      </c>
      <c r="I75" s="166">
        <f>MachineAssumptions!$R$49*E75</f>
        <v>0</v>
      </c>
    </row>
    <row r="76" spans="1:9" ht="20">
      <c r="A76" s="15"/>
      <c r="B76" s="85" t="str">
        <f>MachineAssumptions!B8&amp;" - Fuel, Lube"</f>
        <v>Harrow - Fuel, Lube</v>
      </c>
      <c r="C76" s="41" t="s">
        <v>246</v>
      </c>
      <c r="D76" s="116">
        <f>MachineAssumptions!$S$8</f>
        <v>2.4845330452715308</v>
      </c>
      <c r="E76" s="87">
        <f>FieldApplications!$N$7</f>
        <v>0</v>
      </c>
      <c r="F76" s="117" t="str">
        <f t="shared" si="13"/>
        <v>0</v>
      </c>
      <c r="H76" s="246">
        <f>MachineAssumptions!$S$29*E76</f>
        <v>0</v>
      </c>
      <c r="I76" s="166">
        <f>MachineAssumptions!$S$49*E76</f>
        <v>0</v>
      </c>
    </row>
    <row r="77" spans="1:9" ht="20">
      <c r="A77" s="15"/>
      <c r="B77" s="85" t="str">
        <f>MachineAssumptions!B8&amp;" - Repairs"</f>
        <v>Harrow - Repairs</v>
      </c>
      <c r="C77" s="41" t="s">
        <v>246</v>
      </c>
      <c r="D77" s="116">
        <f>MachineAssumptions!$T$8</f>
        <v>0.14755184964846621</v>
      </c>
      <c r="E77" s="87">
        <f>FieldApplications!$N$7</f>
        <v>0</v>
      </c>
      <c r="F77" s="117" t="str">
        <f t="shared" si="13"/>
        <v>0</v>
      </c>
      <c r="H77" s="246">
        <f>MachineAssumptions!$T$29*E77</f>
        <v>0</v>
      </c>
      <c r="I77" s="166">
        <f>MachineAssumptions!$T$49*E77</f>
        <v>0</v>
      </c>
    </row>
    <row r="78" spans="1:9" ht="20">
      <c r="A78" s="15"/>
      <c r="B78" s="85" t="str">
        <f>MachineAssumptions!B9&amp;" - Labor"</f>
        <v>Chisel plow - Labor</v>
      </c>
      <c r="C78" s="41" t="s">
        <v>246</v>
      </c>
      <c r="D78" s="116">
        <f>MachineAssumptions!$R$9</f>
        <v>0</v>
      </c>
      <c r="E78" s="87">
        <f>FieldApplications!$N$8</f>
        <v>0</v>
      </c>
      <c r="F78" s="117" t="str">
        <f t="shared" si="13"/>
        <v>0</v>
      </c>
      <c r="H78" s="246">
        <f>MachineAssumptions!$R$30*E78</f>
        <v>0</v>
      </c>
      <c r="I78" s="166">
        <f>MachineAssumptions!$R$50*E78</f>
        <v>0</v>
      </c>
    </row>
    <row r="79" spans="1:9" ht="20">
      <c r="A79" s="15"/>
      <c r="B79" s="85" t="str">
        <f>MachineAssumptions!B9&amp;" - Fuel, Lube"</f>
        <v>Chisel plow - Fuel, Lube</v>
      </c>
      <c r="C79" s="41" t="s">
        <v>246</v>
      </c>
      <c r="D79" s="116">
        <f>MachineAssumptions!$S$9</f>
        <v>0</v>
      </c>
      <c r="E79" s="87">
        <f>FieldApplications!$N$8</f>
        <v>0</v>
      </c>
      <c r="F79" s="117" t="str">
        <f t="shared" si="13"/>
        <v>0</v>
      </c>
      <c r="H79" s="246">
        <f>MachineAssumptions!$R$30*E79</f>
        <v>0</v>
      </c>
      <c r="I79" s="166">
        <f>MachineAssumptions!$S$50*E79</f>
        <v>0</v>
      </c>
    </row>
    <row r="80" spans="1:9" ht="20">
      <c r="A80" s="15"/>
      <c r="B80" s="85" t="str">
        <f>MachineAssumptions!B9&amp;" - Repairs"</f>
        <v>Chisel plow - Repairs</v>
      </c>
      <c r="C80" s="41" t="s">
        <v>246</v>
      </c>
      <c r="D80" s="116">
        <f>MachineAssumptions!$T$9</f>
        <v>0</v>
      </c>
      <c r="E80" s="87">
        <f>FieldApplications!$N$8</f>
        <v>0</v>
      </c>
      <c r="F80" s="117" t="str">
        <f t="shared" si="13"/>
        <v>0</v>
      </c>
      <c r="H80" s="246">
        <f>MachineAssumptions!$T$30*E80</f>
        <v>0</v>
      </c>
      <c r="I80" s="166">
        <f>MachineAssumptions!$T$50*E80</f>
        <v>0</v>
      </c>
    </row>
    <row r="81" spans="1:9" ht="20">
      <c r="A81" s="15"/>
      <c r="B81" s="85" t="str">
        <f>MachineAssumptions!B10&amp;" - Labor"</f>
        <v>Moldboard plow - Labor</v>
      </c>
      <c r="C81" s="41" t="s">
        <v>246</v>
      </c>
      <c r="D81" s="116">
        <f>MachineAssumptions!$R$10</f>
        <v>0</v>
      </c>
      <c r="E81" s="87">
        <f>FieldApplications!$N$9</f>
        <v>0</v>
      </c>
      <c r="F81" s="117" t="str">
        <f t="shared" si="13"/>
        <v>0</v>
      </c>
      <c r="H81" s="246">
        <f>MachineAssumptions!$R$31*E81</f>
        <v>0</v>
      </c>
      <c r="I81" s="166">
        <f>MachineAssumptions!$R$51*E81</f>
        <v>0</v>
      </c>
    </row>
    <row r="82" spans="1:9" ht="20">
      <c r="A82" s="15"/>
      <c r="B82" s="85" t="str">
        <f>MachineAssumptions!B10&amp;" - Fuel, Lube"</f>
        <v>Moldboard plow - Fuel, Lube</v>
      </c>
      <c r="C82" s="41" t="s">
        <v>246</v>
      </c>
      <c r="D82" s="116">
        <f>MachineAssumptions!$S$10</f>
        <v>0</v>
      </c>
      <c r="E82" s="87">
        <f>FieldApplications!$N$9</f>
        <v>0</v>
      </c>
      <c r="F82" s="117" t="str">
        <f t="shared" si="13"/>
        <v>0</v>
      </c>
      <c r="H82" s="246">
        <f>MachineAssumptions!$S$31*E82</f>
        <v>0</v>
      </c>
      <c r="I82" s="166">
        <f>MachineAssumptions!$S$51*E82</f>
        <v>0</v>
      </c>
    </row>
    <row r="83" spans="1:9" ht="20">
      <c r="A83" s="15"/>
      <c r="B83" s="85" t="str">
        <f>MachineAssumptions!B10&amp;" - Repairs"</f>
        <v>Moldboard plow - Repairs</v>
      </c>
      <c r="C83" s="41" t="s">
        <v>246</v>
      </c>
      <c r="D83" s="116">
        <f>MachineAssumptions!$T$10</f>
        <v>0</v>
      </c>
      <c r="E83" s="87">
        <f>FieldApplications!$N$9</f>
        <v>0</v>
      </c>
      <c r="F83" s="117" t="str">
        <f t="shared" si="13"/>
        <v>0</v>
      </c>
      <c r="H83" s="246">
        <f>MachineAssumptions!$T$31*E83</f>
        <v>0</v>
      </c>
      <c r="I83" s="166">
        <f>MachineAssumptions!$T$51*E83</f>
        <v>0</v>
      </c>
    </row>
    <row r="84" spans="1:9" ht="20">
      <c r="A84" s="15"/>
      <c r="B84" s="85" t="str">
        <f>MachineAssumptions!B11&amp;" - Labor"</f>
        <v>Cultivator - Labor</v>
      </c>
      <c r="C84" s="41" t="s">
        <v>246</v>
      </c>
      <c r="D84" s="116">
        <f>MachineAssumptions!$R$11</f>
        <v>0</v>
      </c>
      <c r="E84" s="87">
        <f>FieldApplications!$N$10</f>
        <v>0</v>
      </c>
      <c r="F84" s="117" t="str">
        <f t="shared" si="13"/>
        <v>0</v>
      </c>
      <c r="H84" s="246">
        <f>MachineAssumptions!$R$32*E84</f>
        <v>0</v>
      </c>
      <c r="I84" s="166">
        <f>MachineAssumptions!$R$52*E84</f>
        <v>0</v>
      </c>
    </row>
    <row r="85" spans="1:9" ht="20">
      <c r="A85" s="15"/>
      <c r="B85" s="85" t="str">
        <f>MachineAssumptions!B11&amp;" - Fuel, Lube"</f>
        <v>Cultivator - Fuel, Lube</v>
      </c>
      <c r="C85" s="41" t="s">
        <v>246</v>
      </c>
      <c r="D85" s="116">
        <f>MachineAssumptions!$S$11</f>
        <v>0</v>
      </c>
      <c r="E85" s="87">
        <f>FieldApplications!$N$10</f>
        <v>0</v>
      </c>
      <c r="F85" s="117" t="str">
        <f t="shared" si="13"/>
        <v>0</v>
      </c>
      <c r="H85" s="246">
        <f>MachineAssumptions!$S$32*E85</f>
        <v>0</v>
      </c>
      <c r="I85" s="166">
        <f>MachineAssumptions!$S$52*E85</f>
        <v>0</v>
      </c>
    </row>
    <row r="86" spans="1:9" ht="20">
      <c r="A86" s="15"/>
      <c r="B86" s="85" t="str">
        <f>MachineAssumptions!B11&amp;" - Repairs"</f>
        <v>Cultivator - Repairs</v>
      </c>
      <c r="C86" s="41" t="s">
        <v>246</v>
      </c>
      <c r="D86" s="116">
        <f>MachineAssumptions!$T$11</f>
        <v>0</v>
      </c>
      <c r="E86" s="87">
        <f>FieldApplications!$N$10</f>
        <v>0</v>
      </c>
      <c r="F86" s="117" t="str">
        <f t="shared" si="13"/>
        <v>0</v>
      </c>
      <c r="H86" s="246">
        <f>MachineAssumptions!$T$32*E86</f>
        <v>0</v>
      </c>
      <c r="I86" s="166">
        <f>MachineAssumptions!$T$52*E86</f>
        <v>0</v>
      </c>
    </row>
    <row r="87" spans="1:9" ht="20">
      <c r="A87" s="15"/>
      <c r="B87" s="85" t="str">
        <f>MachineAssumptions!B12&amp;" - Labor"</f>
        <v>Cultiweeder - Labor</v>
      </c>
      <c r="C87" s="41" t="s">
        <v>246</v>
      </c>
      <c r="D87" s="116">
        <f>MachineAssumptions!$R$12</f>
        <v>0</v>
      </c>
      <c r="E87" s="87">
        <f>FieldApplications!$N$11</f>
        <v>0</v>
      </c>
      <c r="F87" s="117" t="str">
        <f t="shared" si="13"/>
        <v>0</v>
      </c>
      <c r="H87" s="246">
        <f>MachineAssumptions!$R$33*E87</f>
        <v>0</v>
      </c>
      <c r="I87" s="166">
        <f>MachineAssumptions!$R$53*E87</f>
        <v>0</v>
      </c>
    </row>
    <row r="88" spans="1:9" ht="20">
      <c r="A88" s="15"/>
      <c r="B88" s="85" t="str">
        <f>MachineAssumptions!B12&amp;" - Fuel, Lube"</f>
        <v>Cultiweeder - Fuel, Lube</v>
      </c>
      <c r="C88" s="41" t="s">
        <v>246</v>
      </c>
      <c r="D88" s="116">
        <f>MachineAssumptions!$S$12</f>
        <v>0</v>
      </c>
      <c r="E88" s="87">
        <f>FieldApplications!$N$11</f>
        <v>0</v>
      </c>
      <c r="F88" s="117" t="str">
        <f t="shared" si="13"/>
        <v>0</v>
      </c>
      <c r="H88" s="246">
        <f>MachineAssumptions!$S$33*E88</f>
        <v>0</v>
      </c>
      <c r="I88" s="166">
        <f>MachineAssumptions!$S$53*E88</f>
        <v>0</v>
      </c>
    </row>
    <row r="89" spans="1:9" ht="20">
      <c r="A89" s="15"/>
      <c r="B89" s="85" t="str">
        <f>MachineAssumptions!B12&amp;" - Repairs"</f>
        <v>Cultiweeder - Repairs</v>
      </c>
      <c r="C89" s="41" t="s">
        <v>246</v>
      </c>
      <c r="D89" s="116">
        <f>MachineAssumptions!$T$12</f>
        <v>0</v>
      </c>
      <c r="E89" s="87">
        <f>FieldApplications!$N$11</f>
        <v>0</v>
      </c>
      <c r="F89" s="117" t="str">
        <f t="shared" si="13"/>
        <v>0</v>
      </c>
      <c r="H89" s="246">
        <f>MachineAssumptions!$T$33*E89</f>
        <v>0</v>
      </c>
      <c r="I89" s="166">
        <f>MachineAssumptions!$T$53*E89</f>
        <v>0</v>
      </c>
    </row>
    <row r="90" spans="1:9" ht="20">
      <c r="A90" s="15"/>
      <c r="B90" s="85" t="str">
        <f>MachineAssumptions!B13&amp;" - Labor"</f>
        <v>Drill - Labor</v>
      </c>
      <c r="C90" s="41" t="s">
        <v>246</v>
      </c>
      <c r="D90" s="116">
        <f>MachineAssumptions!$R$13</f>
        <v>1.6703109815354713</v>
      </c>
      <c r="E90" s="87">
        <f>FieldApplications!$N$12</f>
        <v>1</v>
      </c>
      <c r="F90" s="117">
        <f t="shared" si="13"/>
        <v>1.6703109815354713</v>
      </c>
      <c r="H90" s="246">
        <f>MachineAssumptions!$R$34*E90</f>
        <v>1.6703109815354713</v>
      </c>
      <c r="I90" s="166">
        <f>MachineAssumptions!$R$54*E90</f>
        <v>1.6703109815354713</v>
      </c>
    </row>
    <row r="91" spans="1:9" ht="20">
      <c r="A91" s="15"/>
      <c r="B91" s="85" t="str">
        <f>MachineAssumptions!B13&amp;" - Fuel, Lube"</f>
        <v>Drill - Fuel, Lube</v>
      </c>
      <c r="C91" s="41" t="s">
        <v>246</v>
      </c>
      <c r="D91" s="116">
        <f>MachineAssumptions!$S$13</f>
        <v>6.146744412050535</v>
      </c>
      <c r="E91" s="87">
        <f>FieldApplications!$N$12</f>
        <v>1</v>
      </c>
      <c r="F91" s="117">
        <f t="shared" si="13"/>
        <v>6.146744412050535</v>
      </c>
      <c r="H91" s="246">
        <f>MachineAssumptions!$S$34*E91</f>
        <v>6.146744412050535</v>
      </c>
      <c r="I91" s="166">
        <f>MachineAssumptions!$S$54*E91</f>
        <v>6.146744412050535</v>
      </c>
    </row>
    <row r="92" spans="1:9" ht="20">
      <c r="A92" s="15"/>
      <c r="B92" s="85" t="str">
        <f>MachineAssumptions!B13&amp;" - Repairs"</f>
        <v>Drill - Repairs</v>
      </c>
      <c r="C92" s="41" t="s">
        <v>246</v>
      </c>
      <c r="D92" s="116">
        <f>MachineAssumptions!$T$13</f>
        <v>5.740409656342587</v>
      </c>
      <c r="E92" s="87">
        <f>FieldApplications!$N$12</f>
        <v>1</v>
      </c>
      <c r="F92" s="117">
        <f t="shared" si="13"/>
        <v>5.740409656342587</v>
      </c>
      <c r="H92" s="246">
        <f>MachineAssumptions!$T$34*E92</f>
        <v>5.740409656342587</v>
      </c>
      <c r="I92" s="166">
        <f>MachineAssumptions!$T$54*E92</f>
        <v>5.740409656342587</v>
      </c>
    </row>
    <row r="93" spans="1:9" ht="20">
      <c r="A93" s="15"/>
      <c r="B93" s="85" t="str">
        <f>MachineAssumptions!B14&amp;" - Labor"</f>
        <v>Combine w/ 36' header - Labor</v>
      </c>
      <c r="C93" s="41" t="s">
        <v>246</v>
      </c>
      <c r="D93" s="116">
        <f>MachineAssumptions!$R$14</f>
        <v>1.9161092530657748</v>
      </c>
      <c r="E93" s="87">
        <f>FieldApplications!$N$13</f>
        <v>1</v>
      </c>
      <c r="F93" s="117">
        <f t="shared" si="13"/>
        <v>1.9161092530657748</v>
      </c>
      <c r="H93" s="246">
        <f>MachineAssumptions!$R$35*E93</f>
        <v>1.9161092530657748</v>
      </c>
      <c r="I93" s="166">
        <f>MachineAssumptions!$R$55*E93</f>
        <v>1.9161092530657748</v>
      </c>
    </row>
    <row r="94" spans="1:9" ht="20">
      <c r="A94" s="15"/>
      <c r="B94" s="85" t="str">
        <f>MachineAssumptions!B14&amp;" - Fuel, Lube"</f>
        <v>Combine w/ 36' header - Fuel, Lube</v>
      </c>
      <c r="C94" s="41" t="s">
        <v>246</v>
      </c>
      <c r="D94" s="116">
        <f>MachineAssumptions!$S$14</f>
        <v>7.0512820512820511</v>
      </c>
      <c r="E94" s="87">
        <f>FieldApplications!$N$13</f>
        <v>1</v>
      </c>
      <c r="F94" s="117">
        <f t="shared" si="13"/>
        <v>7.0512820512820511</v>
      </c>
      <c r="H94" s="246">
        <f>MachineAssumptions!$S$35*E94</f>
        <v>7.0512820512820511</v>
      </c>
      <c r="I94" s="166">
        <f>MachineAssumptions!$S$55*E94</f>
        <v>7.0512820512820511</v>
      </c>
    </row>
    <row r="95" spans="1:9" ht="20">
      <c r="A95" s="15"/>
      <c r="B95" s="85" t="str">
        <f>MachineAssumptions!B14&amp;" - Repairs"</f>
        <v>Combine w/ 36' header - Repairs</v>
      </c>
      <c r="C95" s="41" t="s">
        <v>246</v>
      </c>
      <c r="D95" s="116">
        <f>MachineAssumptions!$T$14</f>
        <v>6.4258281801385913</v>
      </c>
      <c r="E95" s="87">
        <f>FieldApplications!$N$13</f>
        <v>1</v>
      </c>
      <c r="F95" s="117">
        <f t="shared" si="13"/>
        <v>6.4258281801385913</v>
      </c>
      <c r="H95" s="246">
        <f>MachineAssumptions!$T$35*E95</f>
        <v>6.4258281801385913</v>
      </c>
      <c r="I95" s="166">
        <f>MachineAssumptions!$T$55*E95</f>
        <v>4.0416300769413871</v>
      </c>
    </row>
    <row r="96" spans="1:9" ht="20">
      <c r="A96" s="15"/>
      <c r="B96" s="85" t="str">
        <f>MachineAssumptions!B16&amp;" - Labor"</f>
        <v>Fertilizer Spreader - Labor</v>
      </c>
      <c r="C96" s="41" t="s">
        <v>246</v>
      </c>
      <c r="D96" s="116">
        <f>MachineAssumptions!$R$16</f>
        <v>0</v>
      </c>
      <c r="E96" s="87">
        <f>FieldApplications!$N$14</f>
        <v>0</v>
      </c>
      <c r="F96" s="117" t="str">
        <f t="shared" si="13"/>
        <v>0</v>
      </c>
      <c r="H96" s="246">
        <f>MachineAssumptions!$R$36*E96</f>
        <v>0</v>
      </c>
      <c r="I96" s="166">
        <f>MachineAssumptions!$R$56*E96</f>
        <v>0</v>
      </c>
    </row>
    <row r="97" spans="1:9" ht="20">
      <c r="A97" s="15"/>
      <c r="B97" s="85" t="str">
        <f>MachineAssumptions!B16&amp;" - Fuel, Lube"</f>
        <v>Fertilizer Spreader - Fuel, Lube</v>
      </c>
      <c r="C97" s="41" t="s">
        <v>246</v>
      </c>
      <c r="D97" s="116">
        <f>MachineAssumptions!$S$16</f>
        <v>0</v>
      </c>
      <c r="E97" s="87">
        <f>FieldApplications!$N$14</f>
        <v>0</v>
      </c>
      <c r="F97" s="117" t="str">
        <f t="shared" si="13"/>
        <v>0</v>
      </c>
      <c r="H97" s="246">
        <f>MachineAssumptions!$S$36*E97</f>
        <v>0</v>
      </c>
      <c r="I97" s="166">
        <f>MachineAssumptions!$S$56*E97</f>
        <v>0</v>
      </c>
    </row>
    <row r="98" spans="1:9" ht="20">
      <c r="A98" s="15"/>
      <c r="B98" s="85" t="str">
        <f>MachineAssumptions!B16&amp;" - Repairs"</f>
        <v>Fertilizer Spreader - Repairs</v>
      </c>
      <c r="C98" s="41" t="s">
        <v>246</v>
      </c>
      <c r="D98" s="116">
        <f>MachineAssumptions!$T$16</f>
        <v>0</v>
      </c>
      <c r="E98" s="87">
        <f>FieldApplications!$N$14</f>
        <v>0</v>
      </c>
      <c r="F98" s="117" t="str">
        <f t="shared" si="13"/>
        <v>0</v>
      </c>
      <c r="H98" s="246">
        <f>MachineAssumptions!$T$36*E98</f>
        <v>0</v>
      </c>
      <c r="I98" s="166">
        <f>MachineAssumptions!$T$56*E98</f>
        <v>0</v>
      </c>
    </row>
    <row r="99" spans="1:9" ht="20">
      <c r="A99" s="15"/>
      <c r="B99" s="85" t="str">
        <f>MachineAssumptions!B17&amp;" - Labor"</f>
        <v>Fertilizer tanks and pump - Labor</v>
      </c>
      <c r="C99" s="41" t="s">
        <v>246</v>
      </c>
      <c r="D99" s="116">
        <f>MachineAssumptions!$R$17</f>
        <v>2.2448979591836737</v>
      </c>
      <c r="E99" s="87">
        <f>FieldApplications!$N$15</f>
        <v>1</v>
      </c>
      <c r="F99" s="117">
        <f t="shared" si="13"/>
        <v>2.2448979591836737</v>
      </c>
      <c r="H99" s="246">
        <f>MachineAssumptions!$R$37*E99</f>
        <v>2.2448979591836737</v>
      </c>
      <c r="I99" s="166">
        <f>MachineAssumptions!$R$57*E99</f>
        <v>2.2448979591836737</v>
      </c>
    </row>
    <row r="100" spans="1:9" ht="20">
      <c r="A100" s="15"/>
      <c r="B100" s="85" t="str">
        <f>MachineAssumptions!B17&amp;" - Fuel, Lube"</f>
        <v>Fertilizer tanks and pump - Fuel, Lube</v>
      </c>
      <c r="C100" s="41" t="s">
        <v>246</v>
      </c>
      <c r="D100" s="116">
        <f>MachineAssumptions!$S$17</f>
        <v>9.387755102040817</v>
      </c>
      <c r="E100" s="87">
        <f>FieldApplications!$N$15</f>
        <v>1</v>
      </c>
      <c r="F100" s="117">
        <f t="shared" si="13"/>
        <v>9.387755102040817</v>
      </c>
      <c r="H100" s="246">
        <f>MachineAssumptions!$S$37*E100</f>
        <v>9.387755102040817</v>
      </c>
      <c r="I100" s="166">
        <f>MachineAssumptions!$S$57*E100</f>
        <v>9.387755102040817</v>
      </c>
    </row>
    <row r="101" spans="1:9" ht="20">
      <c r="A101" s="15"/>
      <c r="B101" s="85" t="str">
        <f>MachineAssumptions!B17&amp;" - Repairs"</f>
        <v>Fertilizer tanks and pump - Repairs</v>
      </c>
      <c r="C101" s="41" t="s">
        <v>246</v>
      </c>
      <c r="D101" s="116">
        <f>MachineAssumptions!$T$17</f>
        <v>0</v>
      </c>
      <c r="E101" s="87">
        <f>FieldApplications!$N$15</f>
        <v>1</v>
      </c>
      <c r="F101" s="117" t="str">
        <f t="shared" si="13"/>
        <v>0</v>
      </c>
      <c r="H101" s="246">
        <f>MachineAssumptions!$T$37*E101</f>
        <v>0</v>
      </c>
      <c r="I101" s="166">
        <f>MachineAssumptions!$T$57*E101</f>
        <v>0</v>
      </c>
    </row>
    <row r="102" spans="1:9" ht="20">
      <c r="A102" s="15"/>
      <c r="B102" s="85" t="str">
        <f>MachineAssumptions!B18&amp;" - Labor"</f>
        <v>Boom sprayer - Labor</v>
      </c>
      <c r="C102" s="41" t="s">
        <v>246</v>
      </c>
      <c r="D102" s="116">
        <f>MachineAssumptions!$R$18</f>
        <v>0.4708120318630365</v>
      </c>
      <c r="E102" s="87">
        <f>FieldApplications!$N$16</f>
        <v>3</v>
      </c>
      <c r="F102" s="117">
        <f t="shared" si="13"/>
        <v>1.4124360955891095</v>
      </c>
      <c r="H102" s="246">
        <f>MachineAssumptions!$R$38*E102</f>
        <v>1.4124360955891095</v>
      </c>
      <c r="I102" s="166">
        <f>MachineAssumptions!$R$58*E102</f>
        <v>1.4124360955891095</v>
      </c>
    </row>
    <row r="103" spans="1:9" ht="20">
      <c r="A103" s="15"/>
      <c r="B103" s="85" t="str">
        <f>MachineAssumptions!B18&amp;" - Fuel, Lube"</f>
        <v>Boom sprayer - Fuel, Lube</v>
      </c>
      <c r="C103" s="41" t="s">
        <v>246</v>
      </c>
      <c r="D103" s="116">
        <f>MachineAssumptions!$S$18</f>
        <v>1.8047794554749732</v>
      </c>
      <c r="E103" s="87">
        <f>FieldApplications!$N$16</f>
        <v>3</v>
      </c>
      <c r="F103" s="117">
        <f t="shared" si="13"/>
        <v>5.4143383664249196</v>
      </c>
      <c r="H103" s="246">
        <f>MachineAssumptions!$S$38*E103</f>
        <v>5.4143383664249196</v>
      </c>
      <c r="I103" s="166">
        <f>MachineAssumptions!$S$58*E103</f>
        <v>5.4143383664249196</v>
      </c>
    </row>
    <row r="104" spans="1:9" ht="20">
      <c r="A104" s="15"/>
      <c r="B104" s="85" t="str">
        <f>MachineAssumptions!B18&amp;" - Repairs"</f>
        <v>Boom sprayer - Repairs</v>
      </c>
      <c r="C104" s="41" t="s">
        <v>246</v>
      </c>
      <c r="D104" s="116">
        <f>MachineAssumptions!$T$18</f>
        <v>0.49795949063219769</v>
      </c>
      <c r="E104" s="87">
        <f>FieldApplications!$N$16</f>
        <v>3</v>
      </c>
      <c r="F104" s="117">
        <f t="shared" si="13"/>
        <v>1.493878471896593</v>
      </c>
      <c r="H104" s="246">
        <f>MachineAssumptions!$T$38*E104</f>
        <v>1.5084005569154613</v>
      </c>
      <c r="I104" s="166">
        <f>MachineAssumptions!$T$58*E104</f>
        <v>1.3532484858048683</v>
      </c>
    </row>
    <row r="105" spans="1:9" ht="20">
      <c r="A105" s="15"/>
      <c r="B105" s="85" t="str">
        <f>MachineAssumptions!B15&amp;" - Labor"</f>
        <v>Bankout Wagon - Labor</v>
      </c>
      <c r="C105" s="41" t="s">
        <v>246</v>
      </c>
      <c r="D105" s="116">
        <f>MachineAssumptions!$R$15</f>
        <v>1.6861761426978819</v>
      </c>
      <c r="E105" s="87">
        <f t="shared" ref="E105:E113" si="14">IF($E$93&gt;0,1,0)</f>
        <v>1</v>
      </c>
      <c r="F105" s="117">
        <f t="shared" si="13"/>
        <v>1.6861761426978819</v>
      </c>
      <c r="H105" s="246">
        <f>MachineAssumptions!$R$39*E105</f>
        <v>1.6861761426978819</v>
      </c>
      <c r="I105" s="166">
        <f>MachineAssumptions!$R$59*E105</f>
        <v>1.6861761426978819</v>
      </c>
    </row>
    <row r="106" spans="1:9" ht="20">
      <c r="A106" s="15"/>
      <c r="B106" s="85" t="str">
        <f>MachineAssumptions!B15&amp;" - Fuel, Lube"</f>
        <v>Bankout Wagon - Fuel, Lube</v>
      </c>
      <c r="C106" s="41" t="s">
        <v>246</v>
      </c>
      <c r="D106" s="116">
        <f>MachineAssumptions!$S$15</f>
        <v>7.0512820512820511</v>
      </c>
      <c r="E106" s="87">
        <f t="shared" si="14"/>
        <v>1</v>
      </c>
      <c r="F106" s="117">
        <f t="shared" si="13"/>
        <v>7.0512820512820511</v>
      </c>
      <c r="H106" s="246">
        <f>MachineAssumptions!$S$39*E106</f>
        <v>7.0512820512820511</v>
      </c>
      <c r="I106" s="166">
        <f>MachineAssumptions!$S$59*E106</f>
        <v>7.0512820512820511</v>
      </c>
    </row>
    <row r="107" spans="1:9" ht="20">
      <c r="A107" s="15"/>
      <c r="B107" s="85" t="str">
        <f>MachineAssumptions!B15&amp;" - Repairs"</f>
        <v>Bankout Wagon - Repairs</v>
      </c>
      <c r="C107" s="41" t="s">
        <v>246</v>
      </c>
      <c r="D107" s="116">
        <f>MachineAssumptions!$T$15</f>
        <v>0.5058930256896228</v>
      </c>
      <c r="E107" s="87">
        <f t="shared" si="14"/>
        <v>1</v>
      </c>
      <c r="F107" s="117">
        <f t="shared" si="13"/>
        <v>0.5058930256896228</v>
      </c>
      <c r="H107" s="246">
        <f>MachineAssumptions!$T$39*E107</f>
        <v>0.5058930256896228</v>
      </c>
      <c r="I107" s="166">
        <f>MachineAssumptions!$T$59*E107</f>
        <v>0.43525361955195507</v>
      </c>
    </row>
    <row r="108" spans="1:9" ht="20">
      <c r="A108" s="15"/>
      <c r="B108" s="85" t="str">
        <f>MachineAssumptions!B19&amp;" - Labor"</f>
        <v>Tandem Axle Truck  - Labor</v>
      </c>
      <c r="C108" s="41" t="s">
        <v>246</v>
      </c>
      <c r="D108" s="116">
        <f>MachineAssumptions!$R$19</f>
        <v>3.6</v>
      </c>
      <c r="E108" s="87">
        <f t="shared" si="14"/>
        <v>1</v>
      </c>
      <c r="F108" s="117">
        <f t="shared" si="13"/>
        <v>3.6</v>
      </c>
      <c r="H108" s="246">
        <f>MachineAssumptions!$R$40*E108</f>
        <v>3.6</v>
      </c>
      <c r="I108" s="166">
        <f>MachineAssumptions!$R$60*E108</f>
        <v>3.6</v>
      </c>
    </row>
    <row r="109" spans="1:9" ht="20">
      <c r="A109" s="15"/>
      <c r="B109" s="85" t="str">
        <f>MachineAssumptions!B19&amp;" - Fuel, Lube"</f>
        <v>Tandem Axle Truck  - Fuel, Lube</v>
      </c>
      <c r="C109" s="41" t="s">
        <v>246</v>
      </c>
      <c r="D109" s="116">
        <f>MachineAssumptions!$S$19</f>
        <v>1.1499999999999999</v>
      </c>
      <c r="E109" s="87">
        <f t="shared" si="14"/>
        <v>1</v>
      </c>
      <c r="F109" s="117">
        <f t="shared" si="13"/>
        <v>1.1499999999999999</v>
      </c>
      <c r="H109" s="246">
        <f>MachineAssumptions!$S$40*E109</f>
        <v>1.1499999999999999</v>
      </c>
      <c r="I109" s="166">
        <f>MachineAssumptions!$S$60*E109</f>
        <v>1.1499999999999999</v>
      </c>
    </row>
    <row r="110" spans="1:9" ht="20">
      <c r="A110" s="15"/>
      <c r="B110" s="85" t="str">
        <f>MachineAssumptions!B19&amp;" - Repairs"</f>
        <v>Tandem Axle Truck  - Repairs</v>
      </c>
      <c r="C110" s="41" t="s">
        <v>246</v>
      </c>
      <c r="D110" s="116">
        <f>MachineAssumptions!$T$19</f>
        <v>0.8</v>
      </c>
      <c r="E110" s="87">
        <f t="shared" si="14"/>
        <v>1</v>
      </c>
      <c r="F110" s="117">
        <f t="shared" si="13"/>
        <v>0.8</v>
      </c>
      <c r="H110" s="246">
        <f>MachineAssumptions!$T$40*E110</f>
        <v>0.8</v>
      </c>
      <c r="I110" s="166">
        <f>MachineAssumptions!$T$60*E110</f>
        <v>0.8</v>
      </c>
    </row>
    <row r="111" spans="1:9" ht="20">
      <c r="A111" s="15"/>
      <c r="B111" s="85" t="str">
        <f>MachineAssumptions!B20&amp;" - Labor"</f>
        <v>Tandem Axle Truck  - Labor</v>
      </c>
      <c r="C111" s="41" t="s">
        <v>246</v>
      </c>
      <c r="D111" s="116">
        <f>MachineAssumptions!$R$20</f>
        <v>3.6</v>
      </c>
      <c r="E111" s="87">
        <f t="shared" si="14"/>
        <v>1</v>
      </c>
      <c r="F111" s="117">
        <f t="shared" si="13"/>
        <v>3.6</v>
      </c>
      <c r="G111" s="173" t="s">
        <v>8</v>
      </c>
      <c r="H111" s="416">
        <f>MachineAssumptions!$R$41*E111</f>
        <v>3.6</v>
      </c>
      <c r="I111" s="369">
        <f>MachineAssumptions!$R$61*E111</f>
        <v>3.6</v>
      </c>
    </row>
    <row r="112" spans="1:9" ht="20">
      <c r="A112" s="15"/>
      <c r="B112" s="85" t="str">
        <f>MachineAssumptions!B20&amp;" - Fuel, Lube"</f>
        <v>Tandem Axle Truck  - Fuel, Lube</v>
      </c>
      <c r="C112" s="41" t="s">
        <v>246</v>
      </c>
      <c r="D112" s="116">
        <f>MachineAssumptions!$S$20</f>
        <v>1.72</v>
      </c>
      <c r="E112" s="87">
        <f t="shared" si="14"/>
        <v>1</v>
      </c>
      <c r="F112" s="117">
        <f t="shared" si="13"/>
        <v>1.72</v>
      </c>
      <c r="H112" s="416">
        <f>MachineAssumptions!$S$41*E112</f>
        <v>1.72</v>
      </c>
      <c r="I112" s="369">
        <f>MachineAssumptions!$S$61*E112</f>
        <v>1.72</v>
      </c>
    </row>
    <row r="113" spans="1:13" ht="23">
      <c r="A113" s="15"/>
      <c r="B113" s="85" t="str">
        <f>MachineAssumptions!B20&amp;" - Repairs"</f>
        <v>Tandem Axle Truck  - Repairs</v>
      </c>
      <c r="C113" s="41" t="s">
        <v>246</v>
      </c>
      <c r="D113" s="116">
        <f>MachineAssumptions!$T$20</f>
        <v>0.8</v>
      </c>
      <c r="E113" s="87">
        <f t="shared" si="14"/>
        <v>1</v>
      </c>
      <c r="F113" s="117">
        <f t="shared" si="13"/>
        <v>0.8</v>
      </c>
      <c r="H113" s="248">
        <f>MachineAssumptions!$T$41*E113</f>
        <v>0.8</v>
      </c>
      <c r="I113" s="247">
        <f>MachineAssumptions!$T$61*E113</f>
        <v>0.8</v>
      </c>
    </row>
    <row r="114" spans="1:13" ht="21">
      <c r="A114" s="15"/>
      <c r="B114" s="139" t="s">
        <v>88</v>
      </c>
      <c r="C114" s="41"/>
      <c r="D114" s="116"/>
      <c r="E114" s="87"/>
      <c r="F114" s="117"/>
      <c r="H114" s="249">
        <f>SUM(H74:H113)</f>
        <v>69.831863834238547</v>
      </c>
      <c r="I114" s="249">
        <f>SUM(I74:I113)</f>
        <v>67.221874253793075</v>
      </c>
    </row>
    <row r="115" spans="1:13" ht="20">
      <c r="A115" s="15"/>
      <c r="B115" s="85" t="str">
        <f>'Chem&amp;FertInputs&amp;CInsurance'!B73</f>
        <v>Crop Insurance</v>
      </c>
      <c r="C115" s="23" t="str">
        <f>'Chem&amp;FertInputs&amp;CInsurance'!D73</f>
        <v>acre</v>
      </c>
      <c r="D115" s="116">
        <f>'Chem&amp;FertInputs&amp;CInsurance'!Q73</f>
        <v>20</v>
      </c>
      <c r="E115" s="87">
        <v>1</v>
      </c>
      <c r="F115" s="117">
        <f>IF(D115*E115=0,"0",D115*E115)</f>
        <v>20</v>
      </c>
      <c r="H115" s="1" t="s">
        <v>181</v>
      </c>
      <c r="I115" s="1" t="s">
        <v>181</v>
      </c>
    </row>
    <row r="116" spans="1:13" ht="20">
      <c r="A116" s="15"/>
      <c r="B116" s="85" t="s">
        <v>29</v>
      </c>
      <c r="C116" s="41" t="s">
        <v>83</v>
      </c>
      <c r="D116" s="111">
        <f>MachineAssumptions!D25</f>
        <v>0.05</v>
      </c>
      <c r="E116" s="87"/>
      <c r="F116" s="117">
        <f>SUM(F8:F115)*D116</f>
        <v>11.933534587460983</v>
      </c>
      <c r="H116" s="49">
        <f>(SUM($F8:$F70)+$F115+SUM(H72:H113))*$D116</f>
        <v>11.934260691711927</v>
      </c>
      <c r="I116" s="49">
        <f>(SUM($F8:$F70)+$F115+SUM(I72:I113))*$D116</f>
        <v>11.803761212689654</v>
      </c>
      <c r="J116" s="49">
        <f>F72+F75+F78+F81+F84+F87+F90+F93+F96+F99+F102+F105+F108+F111</f>
        <v>16.129930432071912</v>
      </c>
      <c r="K116" s="1" t="s">
        <v>111</v>
      </c>
      <c r="L116" s="49">
        <f>J116+J117</f>
        <v>54.051332415152288</v>
      </c>
    </row>
    <row r="117" spans="1:13" ht="20">
      <c r="A117" s="15"/>
      <c r="B117" s="85" t="s">
        <v>84</v>
      </c>
      <c r="C117" s="41" t="s">
        <v>83</v>
      </c>
      <c r="D117" s="111">
        <f>MachineAssumptions!D26</f>
        <v>6.7500000000000004E-2</v>
      </c>
      <c r="E117" s="112"/>
      <c r="F117" s="118">
        <f>SUM(F8:F116)*(D117/12*MachineAssumptions!D27)</f>
        <v>12.686838958294459</v>
      </c>
      <c r="H117" s="49">
        <f>(SUM(F8:F70)+(F115+F116+H114))*((D117/12)*MachineAssumptions!D27)</f>
        <v>12.687574138848539</v>
      </c>
      <c r="I117" s="49">
        <f>(SUM(F8:F70)+(F115+F116+I114))*((D117/12)*MachineAssumptions!D27)</f>
        <v>12.555443416338488</v>
      </c>
      <c r="J117" s="49">
        <f>F73+F76+F79+F82+F85+F88+F91+F94+F97+F100+F103+F106+F109+F112</f>
        <v>37.921401983080372</v>
      </c>
      <c r="K117" s="1" t="s">
        <v>4</v>
      </c>
      <c r="L117" s="49">
        <f>F72+F73+F75+F76+F78+F79+F81+F82+F84+F85+F87+F88+F90+F91+F93+F94+F96+F97+F99+F100+F102+F103+F105+F106+F108+F109+F111+F112</f>
        <v>54.051332415152288</v>
      </c>
    </row>
    <row r="118" spans="1:13" ht="20">
      <c r="A118" s="15"/>
      <c r="B118" s="14" t="s">
        <v>85</v>
      </c>
      <c r="C118" s="29"/>
      <c r="D118" s="141"/>
      <c r="E118" s="142"/>
      <c r="F118" s="143">
        <f>SUM(F8:F117)</f>
        <v>263.29106529497511</v>
      </c>
      <c r="J118" s="49">
        <f>F74+F77+F80+F83+F86+F89+F92+F95+F98+F101+F104+F107+F110+F113</f>
        <v>15.766009334067396</v>
      </c>
      <c r="K118" s="1" t="s">
        <v>112</v>
      </c>
      <c r="L118" s="49">
        <f>H74+H77+H80+H83+H86+H89+H92+H95+H98+H101+H104+H107+H110+H113</f>
        <v>15.780531419086264</v>
      </c>
      <c r="M118" s="49">
        <f>I74+I77+I80+I83+I86+I89+I92+I95+I98+I101+I104+I107+I110+I113</f>
        <v>13.1705418386408</v>
      </c>
    </row>
    <row r="119" spans="1:13">
      <c r="A119" s="15"/>
      <c r="B119" s="113"/>
      <c r="C119" s="113"/>
      <c r="D119" s="113"/>
      <c r="E119" s="114"/>
      <c r="F119" s="115"/>
      <c r="G119" s="115"/>
      <c r="H119" s="115"/>
      <c r="J119" s="49">
        <f>SUM(J116:J118)</f>
        <v>69.817341749219679</v>
      </c>
      <c r="K119" s="115"/>
    </row>
    <row r="120" spans="1:13" ht="20">
      <c r="A120" s="15"/>
      <c r="B120" s="132" t="s">
        <v>89</v>
      </c>
      <c r="C120" s="19" t="s">
        <v>2</v>
      </c>
      <c r="D120" s="20" t="s">
        <v>12</v>
      </c>
      <c r="E120" s="21" t="s">
        <v>13</v>
      </c>
      <c r="F120" s="45" t="s">
        <v>0</v>
      </c>
      <c r="H120" s="1" t="s">
        <v>136</v>
      </c>
      <c r="I120" s="1" t="s">
        <v>139</v>
      </c>
    </row>
    <row r="121" spans="1:13" ht="20">
      <c r="A121" s="15"/>
      <c r="B121" s="18" t="str">
        <f>MachineAssumptions!B7&amp;" - Replacement Costs"</f>
        <v>Shredder - Replacement Costs</v>
      </c>
      <c r="C121" s="41" t="str">
        <f>C72</f>
        <v>acre</v>
      </c>
      <c r="D121" s="34">
        <f>MachineAssumptions!U7</f>
        <v>4.3329737628911431</v>
      </c>
      <c r="E121" s="145">
        <f>E72</f>
        <v>0</v>
      </c>
      <c r="F121" s="42" t="str">
        <f t="shared" ref="F121:F134" si="15">IF(D121*E121=0,"0",D121*E121)</f>
        <v>0</v>
      </c>
      <c r="H121" s="166">
        <f>MachineAssumptions!U28*E121</f>
        <v>0</v>
      </c>
      <c r="I121" s="166">
        <f>MachineAssumptions!U48*E121</f>
        <v>0</v>
      </c>
    </row>
    <row r="122" spans="1:13" ht="20">
      <c r="A122" s="15"/>
      <c r="B122" s="18" t="str">
        <f>MachineAssumptions!B8&amp;" - Replacement Costs"</f>
        <v>Harrow - Replacement Costs</v>
      </c>
      <c r="C122" s="41" t="str">
        <f>C75</f>
        <v>acre</v>
      </c>
      <c r="D122" s="34">
        <f>MachineAssumptions!U8</f>
        <v>1.1988479209967022</v>
      </c>
      <c r="E122" s="145">
        <f>E75</f>
        <v>0</v>
      </c>
      <c r="F122" s="42" t="str">
        <f t="shared" si="15"/>
        <v>0</v>
      </c>
      <c r="H122" s="166">
        <f>MachineAssumptions!U29*E122</f>
        <v>0</v>
      </c>
      <c r="I122" s="166">
        <f>MachineAssumptions!U49*E122</f>
        <v>0</v>
      </c>
    </row>
    <row r="123" spans="1:13" ht="20">
      <c r="A123" s="15"/>
      <c r="B123" s="18" t="str">
        <f>MachineAssumptions!B9&amp;" - Replacement Costs"</f>
        <v>Chisel plow - Replacement Costs</v>
      </c>
      <c r="C123" s="41" t="str">
        <f>C78</f>
        <v>acre</v>
      </c>
      <c r="D123" s="34">
        <f>MachineAssumptions!U9</f>
        <v>0</v>
      </c>
      <c r="E123" s="145">
        <f>E78</f>
        <v>0</v>
      </c>
      <c r="F123" s="42" t="str">
        <f t="shared" si="15"/>
        <v>0</v>
      </c>
      <c r="H123" s="166">
        <f>MachineAssumptions!U30*E123</f>
        <v>0</v>
      </c>
      <c r="I123" s="166">
        <f>MachineAssumptions!U50*E123</f>
        <v>0</v>
      </c>
    </row>
    <row r="124" spans="1:13" ht="20">
      <c r="A124" s="15"/>
      <c r="B124" s="18" t="str">
        <f>MachineAssumptions!B10&amp;" - Replacement Costs"</f>
        <v>Moldboard plow - Replacement Costs</v>
      </c>
      <c r="C124" s="41" t="str">
        <f>C81</f>
        <v>acre</v>
      </c>
      <c r="D124" s="34">
        <f>MachineAssumptions!U10</f>
        <v>0</v>
      </c>
      <c r="E124" s="145">
        <f>E81</f>
        <v>0</v>
      </c>
      <c r="F124" s="42" t="str">
        <f t="shared" si="15"/>
        <v>0</v>
      </c>
      <c r="H124" s="166">
        <f>MachineAssumptions!U31*E124</f>
        <v>0</v>
      </c>
      <c r="I124" s="166">
        <f>MachineAssumptions!U51*E124</f>
        <v>0</v>
      </c>
    </row>
    <row r="125" spans="1:13" ht="20">
      <c r="A125" s="15"/>
      <c r="B125" s="18" t="str">
        <f>MachineAssumptions!B11&amp;" - Replacement Costs"</f>
        <v>Cultivator - Replacement Costs</v>
      </c>
      <c r="C125" s="41" t="str">
        <f t="shared" ref="C125:C126" si="16">C82</f>
        <v>acre</v>
      </c>
      <c r="D125" s="34">
        <f>MachineAssumptions!U11</f>
        <v>0</v>
      </c>
      <c r="E125" s="145">
        <f>E84</f>
        <v>0</v>
      </c>
      <c r="F125" s="42" t="str">
        <f t="shared" si="15"/>
        <v>0</v>
      </c>
      <c r="H125" s="166">
        <f>MachineAssumptions!U32*E125</f>
        <v>0</v>
      </c>
      <c r="I125" s="166">
        <f>MachineAssumptions!U52*E125</f>
        <v>0</v>
      </c>
    </row>
    <row r="126" spans="1:13" ht="20">
      <c r="A126" s="15"/>
      <c r="B126" s="18" t="str">
        <f>MachineAssumptions!B12&amp;" - Replacement Costs"</f>
        <v>Cultiweeder - Replacement Costs</v>
      </c>
      <c r="C126" s="41" t="str">
        <f t="shared" si="16"/>
        <v>acre</v>
      </c>
      <c r="D126" s="34">
        <f>MachineAssumptions!U12</f>
        <v>0</v>
      </c>
      <c r="E126" s="145">
        <f>E87</f>
        <v>0</v>
      </c>
      <c r="F126" s="42" t="str">
        <f t="shared" si="15"/>
        <v>0</v>
      </c>
      <c r="H126" s="166">
        <f>MachineAssumptions!U33*E126</f>
        <v>0</v>
      </c>
      <c r="I126" s="166">
        <f>MachineAssumptions!U53*E126</f>
        <v>0</v>
      </c>
    </row>
    <row r="127" spans="1:13" ht="20">
      <c r="A127" s="15"/>
      <c r="B127" s="18" t="str">
        <f>MachineAssumptions!B13&amp;" - Replacement Costs"</f>
        <v>Drill - Replacement Costs</v>
      </c>
      <c r="C127" s="41" t="str">
        <f>C90</f>
        <v>acre</v>
      </c>
      <c r="D127" s="34">
        <f>MachineAssumptions!U13</f>
        <v>7.2419265221735989</v>
      </c>
      <c r="E127" s="145">
        <f>E90</f>
        <v>1</v>
      </c>
      <c r="F127" s="42">
        <f t="shared" si="15"/>
        <v>7.2419265221735989</v>
      </c>
      <c r="H127" s="166">
        <f>MachineAssumptions!U34*E127</f>
        <v>7.2419265221735989</v>
      </c>
      <c r="I127" s="166">
        <f>MachineAssumptions!U54*E127</f>
        <v>7.2419265221735989</v>
      </c>
    </row>
    <row r="128" spans="1:13" ht="20">
      <c r="A128" s="15"/>
      <c r="B128" s="18" t="str">
        <f>MachineAssumptions!B14&amp;" - Replacement Costs"</f>
        <v>Combine w/ 36' header - Replacement Costs</v>
      </c>
      <c r="C128" s="41" t="str">
        <f>C93</f>
        <v>acre</v>
      </c>
      <c r="D128" s="34">
        <f>MachineAssumptions!U14</f>
        <v>9.7031999999999989</v>
      </c>
      <c r="E128" s="145">
        <f>E93</f>
        <v>1</v>
      </c>
      <c r="F128" s="42">
        <f t="shared" si="15"/>
        <v>9.7031999999999989</v>
      </c>
      <c r="H128" s="166">
        <f>MachineAssumptions!U35*E128</f>
        <v>9.7031999999999989</v>
      </c>
      <c r="I128" s="166">
        <f>MachineAssumptions!U55*E128</f>
        <v>9.7032000000000007</v>
      </c>
    </row>
    <row r="129" spans="1:9" ht="20">
      <c r="A129" s="15"/>
      <c r="B129" s="18" t="str">
        <f>MachineAssumptions!B16&amp;" - Replacement Costs"</f>
        <v>Fertilizer Spreader - Replacement Costs</v>
      </c>
      <c r="C129" s="41" t="str">
        <f>C96</f>
        <v>acre</v>
      </c>
      <c r="D129" s="34">
        <f>MachineAssumptions!U16</f>
        <v>0</v>
      </c>
      <c r="E129" s="145">
        <f>E96</f>
        <v>0</v>
      </c>
      <c r="F129" s="42" t="str">
        <f t="shared" si="15"/>
        <v>0</v>
      </c>
      <c r="H129" s="166">
        <f>MachineAssumptions!U36*E129</f>
        <v>0</v>
      </c>
      <c r="I129" s="166">
        <f>MachineAssumptions!U56*E129</f>
        <v>0</v>
      </c>
    </row>
    <row r="130" spans="1:9" ht="20">
      <c r="A130" s="15"/>
      <c r="B130" s="18" t="str">
        <f>MachineAssumptions!B17&amp;" - Replacement Costs"</f>
        <v>Fertilizer tanks and pump - Replacement Costs</v>
      </c>
      <c r="C130" s="41" t="str">
        <f>C99</f>
        <v>acre</v>
      </c>
      <c r="D130" s="34">
        <f>MachineAssumptions!U17</f>
        <v>0.6</v>
      </c>
      <c r="E130" s="145">
        <f>E99</f>
        <v>1</v>
      </c>
      <c r="F130" s="42">
        <f t="shared" si="15"/>
        <v>0.6</v>
      </c>
      <c r="H130" s="166">
        <f>MachineAssumptions!U37*E130</f>
        <v>0.6</v>
      </c>
      <c r="I130" s="166">
        <f>MachineAssumptions!U57*E130</f>
        <v>0.6</v>
      </c>
    </row>
    <row r="131" spans="1:9" ht="20">
      <c r="A131" s="15"/>
      <c r="B131" s="18" t="str">
        <f>MachineAssumptions!B18&amp;" - Replacement Costs"</f>
        <v>Boom sprayer - Replacement Costs</v>
      </c>
      <c r="C131" s="41" t="str">
        <f>C102</f>
        <v>acre</v>
      </c>
      <c r="D131" s="34">
        <f>MachineAssumptions!U18</f>
        <v>0.80913316225248511</v>
      </c>
      <c r="E131" s="145">
        <f>E102</f>
        <v>3</v>
      </c>
      <c r="F131" s="42">
        <f t="shared" si="15"/>
        <v>2.4273994867574551</v>
      </c>
      <c r="H131" s="166">
        <f>MachineAssumptions!U38*E131</f>
        <v>2.4270356342009749</v>
      </c>
      <c r="I131" s="166">
        <f>MachineAssumptions!U58*E131</f>
        <v>2.4273994867574551</v>
      </c>
    </row>
    <row r="132" spans="1:9" ht="20">
      <c r="A132" s="15"/>
      <c r="B132" s="18" t="str">
        <f>MachineAssumptions!B15&amp;" - Replacement Costs"</f>
        <v>Bankout Wagon - Replacement Costs</v>
      </c>
      <c r="C132" s="41" t="str">
        <f>C105</f>
        <v>acre</v>
      </c>
      <c r="D132" s="34">
        <f>MachineAssumptions!U15</f>
        <v>2.9461434675395459</v>
      </c>
      <c r="E132" s="145">
        <f>E105</f>
        <v>1</v>
      </c>
      <c r="F132" s="42">
        <f t="shared" si="15"/>
        <v>2.9461434675395459</v>
      </c>
      <c r="H132" s="166">
        <f>MachineAssumptions!U39*E132</f>
        <v>2.9461434675395459</v>
      </c>
      <c r="I132" s="166">
        <f>MachineAssumptions!U59*E132</f>
        <v>2.9461434675395459</v>
      </c>
    </row>
    <row r="133" spans="1:9" ht="20">
      <c r="A133" s="15"/>
      <c r="B133" s="18" t="str">
        <f>MachineAssumptions!B19&amp;" - Replacement Costs"</f>
        <v>Tandem Axle Truck  - Replacement Costs</v>
      </c>
      <c r="C133" s="41" t="str">
        <f>C108</f>
        <v>acre</v>
      </c>
      <c r="D133" s="34">
        <f>MachineAssumptions!U19</f>
        <v>0.64</v>
      </c>
      <c r="E133" s="145">
        <f>E108</f>
        <v>1</v>
      </c>
      <c r="F133" s="42">
        <f t="shared" si="15"/>
        <v>0.64</v>
      </c>
      <c r="H133" s="166">
        <f>MachineAssumptions!U40*E133</f>
        <v>0.64</v>
      </c>
      <c r="I133" s="166">
        <f>MachineAssumptions!U60*E133</f>
        <v>0.64</v>
      </c>
    </row>
    <row r="134" spans="1:9" ht="23">
      <c r="A134" s="15"/>
      <c r="B134" s="18" t="str">
        <f>MachineAssumptions!B20&amp;" - Replacement Costs"</f>
        <v>Tandem Axle Truck  - Replacement Costs</v>
      </c>
      <c r="C134" s="41" t="str">
        <f t="shared" ref="C134" si="17">C111</f>
        <v>acre</v>
      </c>
      <c r="D134" s="34">
        <f>MachineAssumptions!U20</f>
        <v>0.64</v>
      </c>
      <c r="E134" s="145">
        <f t="shared" ref="E134" si="18">E111</f>
        <v>1</v>
      </c>
      <c r="F134" s="43">
        <f t="shared" si="15"/>
        <v>0.64</v>
      </c>
      <c r="H134" s="247">
        <f>MachineAssumptions!U41*E134</f>
        <v>0.64</v>
      </c>
      <c r="I134" s="247">
        <f>MachineAssumptions!U61*E134</f>
        <v>0.64</v>
      </c>
    </row>
    <row r="135" spans="1:9" ht="20">
      <c r="A135" s="15"/>
      <c r="B135" s="144" t="s">
        <v>38</v>
      </c>
      <c r="C135" s="29"/>
      <c r="D135" s="30"/>
      <c r="E135" s="29"/>
      <c r="F135" s="46">
        <f>SUM(F121:F134)</f>
        <v>24.198669476470602</v>
      </c>
      <c r="H135" s="46">
        <f t="shared" ref="H135:I135" si="19">SUM(H121:H134)</f>
        <v>24.198305623914123</v>
      </c>
      <c r="I135" s="46">
        <f t="shared" si="19"/>
        <v>24.198669476470602</v>
      </c>
    </row>
    <row r="136" spans="1:9" ht="20">
      <c r="A136" s="15"/>
      <c r="B136" s="16"/>
      <c r="C136" s="16"/>
      <c r="D136" s="17"/>
      <c r="E136" s="16"/>
      <c r="F136" s="113"/>
    </row>
    <row r="137" spans="1:9" ht="20">
      <c r="A137" s="15"/>
      <c r="B137" s="14" t="s">
        <v>31</v>
      </c>
      <c r="C137" s="29"/>
      <c r="D137" s="30"/>
      <c r="E137" s="29"/>
      <c r="F137" s="47">
        <f>F118+F135</f>
        <v>287.48973477144574</v>
      </c>
      <c r="H137" s="47">
        <f>SUM(F16:F70)+H114+F115+H116+H117+H135+F8+(H9*D9)+(H10*D10)+(H11*D11)+(H12*D12)+(H13*D13)+(H14*D14)+(H15*D15)</f>
        <v>287.50535428871314</v>
      </c>
      <c r="I137" s="47">
        <f>SUM(F16:F70)+I114+F115+I116+I117+I135+F8+(I9*D9)+(I10*D10)+(I11*D11)+(I12*D12)+(I13*D13)+(I14*D14)+(I15*D15)</f>
        <v>284.63309835929186</v>
      </c>
    </row>
    <row r="138" spans="1:9" ht="21">
      <c r="A138" s="15"/>
      <c r="B138" s="31" t="s">
        <v>32</v>
      </c>
      <c r="C138" s="32"/>
      <c r="D138" s="33"/>
      <c r="E138" s="32"/>
      <c r="F138" s="48">
        <f>F5-F137</f>
        <v>143.61026522855428</v>
      </c>
      <c r="H138" s="250">
        <f>H5-H137</f>
        <v>143.59464571128689</v>
      </c>
      <c r="I138" s="250">
        <f>I5-I137</f>
        <v>146.46690164070816</v>
      </c>
    </row>
    <row r="141" spans="1:9">
      <c r="F141" s="273" t="s">
        <v>8</v>
      </c>
      <c r="G141" s="174"/>
      <c r="H141" s="174">
        <v>39.068403307831957</v>
      </c>
      <c r="I141" s="174">
        <v>39.068403307831957</v>
      </c>
    </row>
  </sheetData>
  <mergeCells count="1">
    <mergeCell ref="B2:F2"/>
  </mergeCells>
  <pageMargins left="0.7" right="0.7" top="0.75" bottom="0.75" header="0.3" footer="0.3"/>
  <pageSetup scale="61" orientation="portrait" r:id="rId1"/>
  <ignoredErrors>
    <ignoredError sqref="B5:E7 F4:F5 C8:E8 B114:F114 B135:F138 B121:C134 E121:F134 B72:B113 D72:F113 B2 B63:G70 B60:G60 C13:G13 B16:F20 B21:G30 B58:G59 B32:G32 B31:F31 B34:G37 B33:F33 B39:G39 B38:F38 B42:G57 B41:F41 B40:F40 B61:F61 B4:E4 B116:F118 B115:D115 E115:F115 C9:G9 C10:G10 C11:G11 C12:G12 C14:F14 C15:F15 B9:B15" unlockedFormula="1"/>
    <ignoredError sqref="D121:D134" formula="1" unlockedFormula="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pageSetUpPr fitToPage="1"/>
  </sheetPr>
  <dimension ref="A1:R141"/>
  <sheetViews>
    <sheetView zoomScale="120" zoomScaleNormal="120" workbookViewId="0">
      <selection activeCell="B2" sqref="B2:F2"/>
    </sheetView>
  </sheetViews>
  <sheetFormatPr baseColWidth="10" defaultColWidth="11.5" defaultRowHeight="15"/>
  <cols>
    <col min="1" max="1" width="4.83203125" customWidth="1"/>
    <col min="2" max="2" width="57.83203125" customWidth="1"/>
    <col min="3" max="6" width="12.83203125" customWidth="1"/>
    <col min="7" max="16" width="11.5" hidden="1" customWidth="1"/>
  </cols>
  <sheetData>
    <row r="1" spans="1:18" s="1" customFormat="1" ht="20">
      <c r="A1" s="352" t="s">
        <v>8</v>
      </c>
      <c r="B1" s="27" t="s">
        <v>8</v>
      </c>
      <c r="C1" s="16"/>
      <c r="D1" s="17"/>
      <c r="E1" s="16"/>
      <c r="F1" s="16"/>
    </row>
    <row r="2" spans="1:18" ht="20">
      <c r="A2" s="15"/>
      <c r="B2" s="807" t="str">
        <f>'Prices_Yields&amp;SeedInputs'!B17&amp;", Cash Costs and Returns of Producing, $/acre."</f>
        <v>SW Winter Wheat after Fallow, Cash Costs and Returns of Producing, $/acre.</v>
      </c>
      <c r="C2" s="807"/>
      <c r="D2" s="807"/>
      <c r="E2" s="807"/>
      <c r="F2" s="807"/>
    </row>
    <row r="3" spans="1:18" ht="20.5" customHeight="1">
      <c r="A3" s="15"/>
      <c r="B3" s="131" t="s">
        <v>11</v>
      </c>
      <c r="C3" s="24" t="s">
        <v>2</v>
      </c>
      <c r="D3" s="25" t="s">
        <v>12</v>
      </c>
      <c r="E3" s="26" t="s">
        <v>13</v>
      </c>
      <c r="F3" s="26" t="s">
        <v>0</v>
      </c>
      <c r="G3" t="s">
        <v>251</v>
      </c>
      <c r="H3" s="1" t="str">
        <f>'Prices_Yields&amp;SeedInputs'!F3</f>
        <v>Incremental Rotation</v>
      </c>
      <c r="I3" s="1" t="str">
        <f>'Prices_Yields&amp;SeedInputs'!G3</f>
        <v>Aspirational Rotation</v>
      </c>
      <c r="Q3" s="674"/>
      <c r="R3" s="674"/>
    </row>
    <row r="4" spans="1:18" ht="20.5" customHeight="1">
      <c r="A4" s="15"/>
      <c r="B4" s="18" t="str">
        <f>'Prices_Yields&amp;SeedInputs'!B17</f>
        <v>SW Winter Wheat after Fallow</v>
      </c>
      <c r="C4" s="22" t="str">
        <f>'Prices_Yields&amp;SeedInputs'!C17</f>
        <v>bu</v>
      </c>
      <c r="D4" s="129">
        <f>'Prices_Yields&amp;SeedInputs'!D17</f>
        <v>4.79</v>
      </c>
      <c r="E4" s="90">
        <f>'Prices_Yields&amp;SeedInputs'!E17</f>
        <v>90</v>
      </c>
      <c r="F4" s="35">
        <f>D4*E4</f>
        <v>431.1</v>
      </c>
      <c r="H4" s="1"/>
      <c r="I4" s="1"/>
      <c r="Q4" s="674"/>
      <c r="R4" s="674"/>
    </row>
    <row r="5" spans="1:18" ht="20.5" customHeight="1">
      <c r="A5" s="15"/>
      <c r="B5" s="14" t="s">
        <v>14</v>
      </c>
      <c r="C5" s="29"/>
      <c r="D5" s="30"/>
      <c r="E5" s="29"/>
      <c r="F5" s="46">
        <f>SUM(F4:F4)</f>
        <v>431.1</v>
      </c>
      <c r="H5" s="1">
        <f>D4*'Prices_Yields&amp;SeedInputs'!F17</f>
        <v>431.1</v>
      </c>
      <c r="I5" s="1">
        <f>D4*'Prices_Yields&amp;SeedInputs'!G17</f>
        <v>431.1</v>
      </c>
      <c r="Q5" s="674"/>
      <c r="R5" s="674"/>
    </row>
    <row r="6" spans="1:18" ht="20.5" customHeight="1">
      <c r="A6" s="15"/>
      <c r="B6" s="16"/>
      <c r="C6" s="16"/>
      <c r="D6" s="17"/>
      <c r="E6" s="16"/>
      <c r="F6" s="44"/>
    </row>
    <row r="7" spans="1:18" ht="20">
      <c r="A7" s="15"/>
      <c r="B7" s="132" t="s">
        <v>37</v>
      </c>
      <c r="C7" s="19" t="s">
        <v>2</v>
      </c>
      <c r="D7" s="20" t="s">
        <v>12</v>
      </c>
      <c r="E7" s="21" t="s">
        <v>13</v>
      </c>
      <c r="F7" s="45" t="s">
        <v>0</v>
      </c>
    </row>
    <row r="8" spans="1:18" s="1" customFormat="1" ht="20">
      <c r="A8" s="15"/>
      <c r="B8" s="85" t="s">
        <v>169</v>
      </c>
      <c r="C8" s="119" t="str">
        <f>'Prices_Yields&amp;SeedInputs'!H17</f>
        <v>pound</v>
      </c>
      <c r="D8" s="120">
        <f>'Prices_Yields&amp;SeedInputs'!I17</f>
        <v>0.25</v>
      </c>
      <c r="E8" s="133">
        <f>'Prices_Yields&amp;SeedInputs'!J17</f>
        <v>90</v>
      </c>
      <c r="F8" s="117">
        <f t="shared" ref="F8:F61" si="0">IF(D8*E8=0,"0",D8*E8)</f>
        <v>22.5</v>
      </c>
    </row>
    <row r="9" spans="1:18" s="1" customFormat="1" ht="20">
      <c r="A9" s="15"/>
      <c r="B9" s="85" t="str">
        <f>'Chem&amp;FertInputs&amp;CInsurance'!B6</f>
        <v>Fertilizer - Nitrogen-</v>
      </c>
      <c r="C9" s="23" t="str">
        <f>'Chem&amp;FertInputs&amp;CInsurance'!D6</f>
        <v>pound</v>
      </c>
      <c r="D9" s="116">
        <f>'Chem&amp;FertInputs&amp;CInsurance'!E6</f>
        <v>0.48749999999999999</v>
      </c>
      <c r="E9" s="133">
        <f>'Chem&amp;FertInputs&amp;CInsurance'!R6</f>
        <v>93</v>
      </c>
      <c r="F9" s="117">
        <f t="shared" si="0"/>
        <v>45.337499999999999</v>
      </c>
      <c r="H9" s="1">
        <f>'Chem&amp;FertInputs&amp;CInsurance'!R7</f>
        <v>93</v>
      </c>
      <c r="I9" s="1">
        <f>'Chem&amp;FertInputs&amp;CInsurance'!R8</f>
        <v>93</v>
      </c>
    </row>
    <row r="10" spans="1:18" s="1" customFormat="1" ht="20">
      <c r="A10" s="15"/>
      <c r="B10" s="85" t="str">
        <f>'Chem&amp;FertInputs&amp;CInsurance'!B9</f>
        <v>Fertilizer - Anhydrous Ammonia-</v>
      </c>
      <c r="C10" s="23" t="str">
        <f>'Chem&amp;FertInputs&amp;CInsurance'!D9</f>
        <v>pound</v>
      </c>
      <c r="D10" s="116">
        <f>'Chem&amp;FertInputs&amp;CInsurance'!E9</f>
        <v>0.75770000000000004</v>
      </c>
      <c r="E10" s="133">
        <f>'Chem&amp;FertInputs&amp;CInsurance'!R9</f>
        <v>0</v>
      </c>
      <c r="F10" s="117" t="str">
        <f t="shared" si="0"/>
        <v>0</v>
      </c>
      <c r="H10" s="1">
        <f>'Chem&amp;FertInputs&amp;CInsurance'!R10</f>
        <v>0</v>
      </c>
      <c r="I10" s="1">
        <f>'Chem&amp;FertInputs&amp;CInsurance'!R11</f>
        <v>0</v>
      </c>
    </row>
    <row r="11" spans="1:18" s="1" customFormat="1" ht="20">
      <c r="A11" s="15"/>
      <c r="B11" s="85" t="str">
        <f>'Chem&amp;FertInputs&amp;CInsurance'!B12</f>
        <v xml:space="preserve">Fertilizer - Phosphorus- </v>
      </c>
      <c r="C11" s="23" t="str">
        <f>'Chem&amp;FertInputs&amp;CInsurance'!D12</f>
        <v>pound</v>
      </c>
      <c r="D11" s="116">
        <f>'Chem&amp;FertInputs&amp;CInsurance'!E12</f>
        <v>0.47499999999999998</v>
      </c>
      <c r="E11" s="133">
        <f>'Chem&amp;FertInputs&amp;CInsurance'!R12</f>
        <v>23</v>
      </c>
      <c r="F11" s="117">
        <f t="shared" si="0"/>
        <v>10.924999999999999</v>
      </c>
      <c r="H11" s="1">
        <f>'Chem&amp;FertInputs&amp;CInsurance'!R13</f>
        <v>23</v>
      </c>
      <c r="I11" s="1">
        <f>'Chem&amp;FertInputs&amp;CInsurance'!R14</f>
        <v>23</v>
      </c>
    </row>
    <row r="12" spans="1:18" s="1" customFormat="1" ht="20">
      <c r="A12" s="15"/>
      <c r="B12" s="85" t="str">
        <f>'Chem&amp;FertInputs&amp;CInsurance'!B15</f>
        <v>Fertilizer - Potassium-</v>
      </c>
      <c r="C12" s="23" t="str">
        <f>'Chem&amp;FertInputs&amp;CInsurance'!D15</f>
        <v>pound</v>
      </c>
      <c r="D12" s="116">
        <f>'Chem&amp;FertInputs&amp;CInsurance'!E15</f>
        <v>0.441</v>
      </c>
      <c r="E12" s="133">
        <f>'Chem&amp;FertInputs&amp;CInsurance'!R15</f>
        <v>30</v>
      </c>
      <c r="F12" s="117">
        <f t="shared" si="0"/>
        <v>13.23</v>
      </c>
      <c r="H12" s="1">
        <f>'Chem&amp;FertInputs&amp;CInsurance'!R16</f>
        <v>30</v>
      </c>
      <c r="I12" s="1">
        <f>'Chem&amp;FertInputs&amp;CInsurance'!R17</f>
        <v>30</v>
      </c>
    </row>
    <row r="13" spans="1:18" s="1" customFormat="1" ht="20">
      <c r="A13" s="15"/>
      <c r="B13" s="85" t="str">
        <f>'Chem&amp;FertInputs&amp;CInsurance'!B18</f>
        <v>Fertilizer - Sulfur-</v>
      </c>
      <c r="C13" s="23" t="str">
        <f>'Chem&amp;FertInputs&amp;CInsurance'!D18</f>
        <v>pound</v>
      </c>
      <c r="D13" s="116">
        <f>'Chem&amp;FertInputs&amp;CInsurance'!E18</f>
        <v>0.2555</v>
      </c>
      <c r="E13" s="133">
        <f>'Chem&amp;FertInputs&amp;CInsurance'!R18</f>
        <v>9</v>
      </c>
      <c r="F13" s="117">
        <f t="shared" si="0"/>
        <v>2.2995000000000001</v>
      </c>
      <c r="H13" s="1">
        <f>'Chem&amp;FertInputs&amp;CInsurance'!R19</f>
        <v>9</v>
      </c>
      <c r="I13" s="1">
        <f>'Chem&amp;FertInputs&amp;CInsurance'!R20</f>
        <v>9</v>
      </c>
    </row>
    <row r="14" spans="1:18" s="1" customFormat="1" ht="20">
      <c r="A14" s="15"/>
      <c r="B14" s="85" t="str">
        <f>'Chem&amp;FertInputs&amp;CInsurance'!B21</f>
        <v>Adjuvant - Ammonium Sulfate liquid-</v>
      </c>
      <c r="C14" s="23" t="str">
        <f>'Chem&amp;FertInputs&amp;CInsurance'!D21</f>
        <v>oz</v>
      </c>
      <c r="D14" s="116">
        <f>'Chem&amp;FertInputs&amp;CInsurance'!E21</f>
        <v>0.48</v>
      </c>
      <c r="E14" s="133">
        <f>'Chem&amp;FertInputs&amp;CInsurance'!R21</f>
        <v>3.4</v>
      </c>
      <c r="F14" s="117">
        <f t="shared" ref="F14:F20" si="1">IF(D14*E14=0,"0",D14*E14)</f>
        <v>1.6319999999999999</v>
      </c>
      <c r="G14" s="165">
        <f>E14/128</f>
        <v>2.6562499999999999E-2</v>
      </c>
      <c r="H14" s="1">
        <f>'Chem&amp;FertInputs&amp;CInsurance'!R22</f>
        <v>3.4</v>
      </c>
      <c r="I14" s="1">
        <f>'Chem&amp;FertInputs&amp;CInsurance'!R23</f>
        <v>3.4</v>
      </c>
      <c r="J14" s="49">
        <f>SUM(F14:F61)</f>
        <v>46.56134999999999</v>
      </c>
    </row>
    <row r="15" spans="1:18" s="1" customFormat="1" ht="20">
      <c r="A15" s="15"/>
      <c r="B15" s="85" t="str">
        <f>'Chem&amp;FertInputs&amp;CInsurance'!B24</f>
        <v>Adjuvant - Ammonium Sulfate  (other)-</v>
      </c>
      <c r="C15" s="23" t="str">
        <f>'Chem&amp;FertInputs&amp;CInsurance'!D24</f>
        <v>pound</v>
      </c>
      <c r="D15" s="116">
        <f>'Chem&amp;FertInputs&amp;CInsurance'!E24</f>
        <v>0.71</v>
      </c>
      <c r="E15" s="133">
        <f>'Chem&amp;FertInputs&amp;CInsurance'!R24</f>
        <v>0</v>
      </c>
      <c r="F15" s="117" t="str">
        <f t="shared" si="1"/>
        <v>0</v>
      </c>
      <c r="G15" s="165">
        <f>E15/16</f>
        <v>0</v>
      </c>
      <c r="H15" s="1">
        <f>'Chem&amp;FertInputs&amp;CInsurance'!R25</f>
        <v>0</v>
      </c>
      <c r="I15" s="1">
        <f>'Chem&amp;FertInputs&amp;CInsurance'!R26</f>
        <v>0</v>
      </c>
    </row>
    <row r="16" spans="1:18" s="1" customFormat="1" ht="20">
      <c r="A16" s="15"/>
      <c r="B16" s="85" t="str">
        <f>'Chem&amp;FertInputs&amp;CInsurance'!C27</f>
        <v xml:space="preserve">crop oil concentrate </v>
      </c>
      <c r="C16" s="23" t="str">
        <f>'Chem&amp;FertInputs&amp;CInsurance'!D27</f>
        <v>pint</v>
      </c>
      <c r="D16" s="116">
        <f>'Chem&amp;FertInputs&amp;CInsurance'!E27</f>
        <v>1.6559999999999999</v>
      </c>
      <c r="E16" s="133">
        <f>'Chem&amp;FertInputs&amp;CInsurance'!R27</f>
        <v>0</v>
      </c>
      <c r="F16" s="117" t="str">
        <f t="shared" si="1"/>
        <v>0</v>
      </c>
      <c r="G16" s="165">
        <f>E16/8</f>
        <v>0</v>
      </c>
    </row>
    <row r="17" spans="1:7" s="1" customFormat="1" ht="20">
      <c r="A17" s="15"/>
      <c r="B17" s="85" t="str">
        <f>'Chem&amp;FertInputs&amp;CInsurance'!C28</f>
        <v>In-place</v>
      </c>
      <c r="C17" s="23" t="str">
        <f>'Chem&amp;FertInputs&amp;CInsurance'!D28</f>
        <v>oz</v>
      </c>
      <c r="D17" s="116">
        <f>'Chem&amp;FertInputs&amp;CInsurance'!E28</f>
        <v>0.35649999999999998</v>
      </c>
      <c r="E17" s="133">
        <f>'Chem&amp;FertInputs&amp;CInsurance'!R28</f>
        <v>0</v>
      </c>
      <c r="F17" s="117" t="str">
        <f t="shared" si="1"/>
        <v>0</v>
      </c>
      <c r="G17" s="165">
        <f>E17/128</f>
        <v>0</v>
      </c>
    </row>
    <row r="18" spans="1:7" s="1" customFormat="1" ht="20">
      <c r="A18" s="15"/>
      <c r="B18" s="85" t="str">
        <f>'Chem&amp;FertInputs&amp;CInsurance'!C29</f>
        <v xml:space="preserve">M90 </v>
      </c>
      <c r="C18" s="23" t="str">
        <f>'Chem&amp;FertInputs&amp;CInsurance'!D29</f>
        <v>oz</v>
      </c>
      <c r="D18" s="116">
        <f>'Chem&amp;FertInputs&amp;CInsurance'!E29</f>
        <v>0.253</v>
      </c>
      <c r="E18" s="133">
        <f>'Chem&amp;FertInputs&amp;CInsurance'!R29</f>
        <v>3</v>
      </c>
      <c r="F18" s="117">
        <f t="shared" si="1"/>
        <v>0.75900000000000001</v>
      </c>
      <c r="G18" s="165">
        <f>E18/128</f>
        <v>2.34375E-2</v>
      </c>
    </row>
    <row r="19" spans="1:7" s="1" customFormat="1" ht="20">
      <c r="A19" s="15"/>
      <c r="B19" s="85" t="str">
        <f>'Chem&amp;FertInputs&amp;CInsurance'!C30</f>
        <v>Surfactant</v>
      </c>
      <c r="C19" s="23" t="str">
        <f>'Chem&amp;FertInputs&amp;CInsurance'!D30</f>
        <v>oz</v>
      </c>
      <c r="D19" s="116">
        <f>'Chem&amp;FertInputs&amp;CInsurance'!E30</f>
        <v>0.26450000000000001</v>
      </c>
      <c r="E19" s="133">
        <f>'Chem&amp;FertInputs&amp;CInsurance'!R30</f>
        <v>0</v>
      </c>
      <c r="F19" s="117" t="str">
        <f t="shared" si="1"/>
        <v>0</v>
      </c>
      <c r="G19" s="165">
        <f>E19/128</f>
        <v>0</v>
      </c>
    </row>
    <row r="20" spans="1:7" s="1" customFormat="1" ht="20">
      <c r="A20" s="15"/>
      <c r="B20" s="85" t="str">
        <f>'Chem&amp;FertInputs&amp;CInsurance'!C31</f>
        <v>Syltac sticker</v>
      </c>
      <c r="C20" s="23" t="str">
        <f>'Chem&amp;FertInputs&amp;CInsurance'!D31</f>
        <v>pint</v>
      </c>
      <c r="D20" s="116">
        <f>'Chem&amp;FertInputs&amp;CInsurance'!E31</f>
        <v>7.1874999999999991</v>
      </c>
      <c r="E20" s="133">
        <f>'Chem&amp;FertInputs&amp;CInsurance'!R31</f>
        <v>0</v>
      </c>
      <c r="F20" s="117" t="str">
        <f t="shared" si="1"/>
        <v>0</v>
      </c>
      <c r="G20" s="165">
        <f>E20/8</f>
        <v>0</v>
      </c>
    </row>
    <row r="21" spans="1:7" s="1" customFormat="1" ht="20">
      <c r="A21" s="15"/>
      <c r="B21" s="85" t="str">
        <f>'Chem&amp;FertInputs&amp;CInsurance'!C33</f>
        <v>2,4 - D</v>
      </c>
      <c r="C21" s="23" t="str">
        <f>'Chem&amp;FertInputs&amp;CInsurance'!D33</f>
        <v>oz</v>
      </c>
      <c r="D21" s="116">
        <f>'Chem&amp;FertInputs&amp;CInsurance'!E33</f>
        <v>0.33349999999999996</v>
      </c>
      <c r="E21" s="133">
        <f>'Chem&amp;FertInputs&amp;CInsurance'!R33</f>
        <v>0</v>
      </c>
      <c r="F21" s="117" t="str">
        <f t="shared" si="0"/>
        <v>0</v>
      </c>
      <c r="G21" s="165">
        <f t="shared" ref="G21:G30" si="2">E21/128</f>
        <v>0</v>
      </c>
    </row>
    <row r="22" spans="1:7" s="1" customFormat="1" ht="20">
      <c r="A22" s="15"/>
      <c r="B22" s="85" t="str">
        <f>'Chem&amp;FertInputs&amp;CInsurance'!C34</f>
        <v>Achieve SC</v>
      </c>
      <c r="C22" s="23" t="str">
        <f>'Chem&amp;FertInputs&amp;CInsurance'!D34</f>
        <v>oz</v>
      </c>
      <c r="D22" s="116">
        <f>'Chem&amp;FertInputs&amp;CInsurance'!E34</f>
        <v>1.3454999999999999</v>
      </c>
      <c r="E22" s="133">
        <f>'Chem&amp;FertInputs&amp;CInsurance'!R34</f>
        <v>0</v>
      </c>
      <c r="F22" s="117" t="str">
        <f t="shared" si="0"/>
        <v>0</v>
      </c>
      <c r="G22" s="165">
        <f t="shared" si="2"/>
        <v>0</v>
      </c>
    </row>
    <row r="23" spans="1:7" s="1" customFormat="1" ht="20">
      <c r="A23" s="15"/>
      <c r="B23" s="85" t="str">
        <f>'Chem&amp;FertInputs&amp;CInsurance'!C35</f>
        <v>Affintity TankMix</v>
      </c>
      <c r="C23" s="23" t="str">
        <f>'Chem&amp;FertInputs&amp;CInsurance'!D35</f>
        <v>oz</v>
      </c>
      <c r="D23" s="116">
        <f>'Chem&amp;FertInputs&amp;CInsurance'!E35</f>
        <v>8.9699999999999989</v>
      </c>
      <c r="E23" s="133">
        <f>'Chem&amp;FertInputs&amp;CInsurance'!R35</f>
        <v>0.75</v>
      </c>
      <c r="F23" s="117">
        <f t="shared" si="0"/>
        <v>6.7274999999999991</v>
      </c>
      <c r="G23" s="165">
        <f t="shared" si="2"/>
        <v>5.859375E-3</v>
      </c>
    </row>
    <row r="24" spans="1:7" s="1" customFormat="1" ht="20">
      <c r="A24" s="15"/>
      <c r="B24" s="85" t="str">
        <f>'Chem&amp;FertInputs&amp;CInsurance'!C36</f>
        <v xml:space="preserve">Ally </v>
      </c>
      <c r="C24" s="23" t="str">
        <f>'Chem&amp;FertInputs&amp;CInsurance'!D36</f>
        <v>oz</v>
      </c>
      <c r="D24" s="116">
        <f>'Chem&amp;FertInputs&amp;CInsurance'!E36</f>
        <v>1.7249999999999999</v>
      </c>
      <c r="E24" s="133">
        <f>'Chem&amp;FertInputs&amp;CInsurance'!R36</f>
        <v>0</v>
      </c>
      <c r="F24" s="117" t="str">
        <f t="shared" si="0"/>
        <v>0</v>
      </c>
      <c r="G24" s="165">
        <f t="shared" si="2"/>
        <v>0</v>
      </c>
    </row>
    <row r="25" spans="1:7" s="1" customFormat="1" ht="20">
      <c r="A25" s="15"/>
      <c r="B25" s="85" t="str">
        <f>'Chem&amp;FertInputs&amp;CInsurance'!C37</f>
        <v>Assure</v>
      </c>
      <c r="C25" s="23" t="str">
        <f>'Chem&amp;FertInputs&amp;CInsurance'!D37</f>
        <v>oz</v>
      </c>
      <c r="D25" s="116">
        <f>'Chem&amp;FertInputs&amp;CInsurance'!E37</f>
        <v>0.98899999999999988</v>
      </c>
      <c r="E25" s="133">
        <f>'Chem&amp;FertInputs&amp;CInsurance'!R37</f>
        <v>0</v>
      </c>
      <c r="F25" s="117" t="str">
        <f t="shared" si="0"/>
        <v>0</v>
      </c>
      <c r="G25" s="165">
        <f t="shared" si="2"/>
        <v>0</v>
      </c>
    </row>
    <row r="26" spans="1:7" s="1" customFormat="1" ht="20">
      <c r="A26" s="15"/>
      <c r="B26" s="85" t="str">
        <f>'Chem&amp;FertInputs&amp;CInsurance'!C38</f>
        <v>Axial Star</v>
      </c>
      <c r="C26" s="23" t="str">
        <f>'Chem&amp;FertInputs&amp;CInsurance'!D38</f>
        <v>oz</v>
      </c>
      <c r="D26" s="116">
        <f>'Chem&amp;FertInputs&amp;CInsurance'!E38</f>
        <v>1.3224999999999998</v>
      </c>
      <c r="E26" s="133">
        <f>'Chem&amp;FertInputs&amp;CInsurance'!R38</f>
        <v>0</v>
      </c>
      <c r="F26" s="117" t="str">
        <f t="shared" si="0"/>
        <v>0</v>
      </c>
      <c r="G26" s="165">
        <f t="shared" si="2"/>
        <v>0</v>
      </c>
    </row>
    <row r="27" spans="1:7" s="1" customFormat="1" ht="20">
      <c r="A27" s="15"/>
      <c r="B27" s="85" t="str">
        <f>'Chem&amp;FertInputs&amp;CInsurance'!C39</f>
        <v>Axial Bold</v>
      </c>
      <c r="C27" s="23" t="str">
        <f>'Chem&amp;FertInputs&amp;CInsurance'!D39</f>
        <v>oz</v>
      </c>
      <c r="D27" s="116">
        <f>'Chem&amp;FertInputs&amp;CInsurance'!E39</f>
        <v>1.0924999999999998</v>
      </c>
      <c r="E27" s="133">
        <f>'Chem&amp;FertInputs&amp;CInsurance'!R39</f>
        <v>15</v>
      </c>
      <c r="F27" s="117">
        <f t="shared" si="0"/>
        <v>16.387499999999996</v>
      </c>
      <c r="G27" s="165">
        <f t="shared" si="2"/>
        <v>0.1171875</v>
      </c>
    </row>
    <row r="28" spans="1:7" s="1" customFormat="1" ht="20">
      <c r="A28" s="15"/>
      <c r="B28" s="85" t="str">
        <f>'Chem&amp;FertInputs&amp;CInsurance'!C40</f>
        <v>Bronate</v>
      </c>
      <c r="C28" s="23" t="str">
        <f>'Chem&amp;FertInputs&amp;CInsurance'!D40</f>
        <v>oz</v>
      </c>
      <c r="D28" s="116">
        <f>'Chem&amp;FertInputs&amp;CInsurance'!E40</f>
        <v>7.911999999999999</v>
      </c>
      <c r="E28" s="133">
        <f>'Chem&amp;FertInputs&amp;CInsurance'!R40</f>
        <v>0</v>
      </c>
      <c r="F28" s="117" t="str">
        <f t="shared" si="0"/>
        <v>0</v>
      </c>
      <c r="G28" s="165">
        <f t="shared" si="2"/>
        <v>0</v>
      </c>
    </row>
    <row r="29" spans="1:7" s="1" customFormat="1" ht="20">
      <c r="A29" s="15"/>
      <c r="B29" s="85" t="str">
        <f>'Chem&amp;FertInputs&amp;CInsurance'!C41</f>
        <v xml:space="preserve">Brox M </v>
      </c>
      <c r="C29" s="23" t="str">
        <f>'Chem&amp;FertInputs&amp;CInsurance'!D41</f>
        <v>oz</v>
      </c>
      <c r="D29" s="116">
        <f>'Chem&amp;FertInputs&amp;CInsurance'!E41</f>
        <v>0.42549999999999999</v>
      </c>
      <c r="E29" s="133">
        <f>'Chem&amp;FertInputs&amp;CInsurance'!R41</f>
        <v>0</v>
      </c>
      <c r="F29" s="117" t="str">
        <f t="shared" si="0"/>
        <v>0</v>
      </c>
      <c r="G29" s="165">
        <f t="shared" si="2"/>
        <v>0</v>
      </c>
    </row>
    <row r="30" spans="1:7" s="1" customFormat="1" ht="20">
      <c r="A30" s="15"/>
      <c r="B30" s="85" t="str">
        <f>'Chem&amp;FertInputs&amp;CInsurance'!C42</f>
        <v>Capture</v>
      </c>
      <c r="C30" s="23" t="str">
        <f>'Chem&amp;FertInputs&amp;CInsurance'!D42</f>
        <v>oz</v>
      </c>
      <c r="D30" s="116">
        <f>'Chem&amp;FertInputs&amp;CInsurance'!E42</f>
        <v>2.7024999999999997</v>
      </c>
      <c r="E30" s="133">
        <f>'Chem&amp;FertInputs&amp;CInsurance'!R42</f>
        <v>0</v>
      </c>
      <c r="F30" s="117" t="str">
        <f t="shared" si="0"/>
        <v>0</v>
      </c>
      <c r="G30" s="165">
        <f t="shared" si="2"/>
        <v>0</v>
      </c>
    </row>
    <row r="31" spans="1:7" s="1" customFormat="1" ht="20">
      <c r="A31" s="15"/>
      <c r="B31" s="85" t="str">
        <f>'Chem&amp;FertInputs&amp;CInsurance'!C43</f>
        <v xml:space="preserve">Dimethoate </v>
      </c>
      <c r="C31" s="23" t="str">
        <f>'Chem&amp;FertInputs&amp;CInsurance'!D43</f>
        <v>pint</v>
      </c>
      <c r="D31" s="116">
        <f>'Chem&amp;FertInputs&amp;CInsurance'!E43</f>
        <v>7.1874999999999991</v>
      </c>
      <c r="E31" s="133">
        <f>'Chem&amp;FertInputs&amp;CInsurance'!R43</f>
        <v>0</v>
      </c>
      <c r="F31" s="117" t="str">
        <f t="shared" si="0"/>
        <v>0</v>
      </c>
      <c r="G31" s="165">
        <f>E31/8</f>
        <v>0</v>
      </c>
    </row>
    <row r="32" spans="1:7" s="1" customFormat="1" ht="20">
      <c r="A32" s="15"/>
      <c r="B32" s="85" t="str">
        <f>'Chem&amp;FertInputs&amp;CInsurance'!C44</f>
        <v>Clethodim</v>
      </c>
      <c r="C32" s="23" t="str">
        <f>'Chem&amp;FertInputs&amp;CInsurance'!D44</f>
        <v>oz</v>
      </c>
      <c r="D32" s="116">
        <f>'Chem&amp;FertInputs&amp;CInsurance'!E44</f>
        <v>0.75900000000000001</v>
      </c>
      <c r="E32" s="133">
        <f>'Chem&amp;FertInputs&amp;CInsurance'!R44</f>
        <v>0</v>
      </c>
      <c r="F32" s="117" t="str">
        <f t="shared" ref="F32" si="3">IF(D32*E32=0,"0",D32*E32)</f>
        <v>0</v>
      </c>
      <c r="G32" s="165">
        <f t="shared" ref="G32:G37" si="4">E32/128</f>
        <v>0</v>
      </c>
    </row>
    <row r="33" spans="1:7" s="1" customFormat="1" ht="20">
      <c r="A33" s="15"/>
      <c r="B33" s="85" t="str">
        <f>'Chem&amp;FertInputs&amp;CInsurance'!C45</f>
        <v>Discover</v>
      </c>
      <c r="C33" s="23" t="str">
        <f>'Chem&amp;FertInputs&amp;CInsurance'!D45</f>
        <v>oz</v>
      </c>
      <c r="D33" s="116">
        <f>'Chem&amp;FertInputs&amp;CInsurance'!E45</f>
        <v>1.6904999999999999</v>
      </c>
      <c r="E33" s="133">
        <f>'Chem&amp;FertInputs&amp;CInsurance'!R45</f>
        <v>0</v>
      </c>
      <c r="F33" s="117" t="str">
        <f t="shared" si="0"/>
        <v>0</v>
      </c>
      <c r="G33" s="165">
        <f t="shared" si="4"/>
        <v>0</v>
      </c>
    </row>
    <row r="34" spans="1:7" s="1" customFormat="1" ht="20">
      <c r="A34" s="15"/>
      <c r="B34" s="85" t="str">
        <f>'Chem&amp;FertInputs&amp;CInsurance'!C46</f>
        <v>FarGO</v>
      </c>
      <c r="C34" s="23" t="str">
        <f>'Chem&amp;FertInputs&amp;CInsurance'!D46</f>
        <v>oz</v>
      </c>
      <c r="D34" s="116">
        <f>'Chem&amp;FertInputs&amp;CInsurance'!E46</f>
        <v>19.158999999999999</v>
      </c>
      <c r="E34" s="133">
        <f>'Chem&amp;FertInputs&amp;CInsurance'!R46</f>
        <v>0</v>
      </c>
      <c r="F34" s="117" t="str">
        <f t="shared" si="0"/>
        <v>0</v>
      </c>
      <c r="G34" s="165">
        <f t="shared" si="4"/>
        <v>0</v>
      </c>
    </row>
    <row r="35" spans="1:7" s="1" customFormat="1" ht="20">
      <c r="A35" s="15"/>
      <c r="B35" s="85" t="str">
        <f>'Chem&amp;FertInputs&amp;CInsurance'!C47</f>
        <v>Finesse</v>
      </c>
      <c r="C35" s="23" t="str">
        <f>'Chem&amp;FertInputs&amp;CInsurance'!D47</f>
        <v>oz</v>
      </c>
      <c r="D35" s="116">
        <f>'Chem&amp;FertInputs&amp;CInsurance'!E47</f>
        <v>19.940999999999999</v>
      </c>
      <c r="E35" s="133">
        <f>'Chem&amp;FertInputs&amp;CInsurance'!R47</f>
        <v>0</v>
      </c>
      <c r="F35" s="117" t="str">
        <f t="shared" si="0"/>
        <v>0</v>
      </c>
      <c r="G35" s="165">
        <f t="shared" si="4"/>
        <v>0</v>
      </c>
    </row>
    <row r="36" spans="1:7" s="1" customFormat="1" ht="20">
      <c r="A36" s="15"/>
      <c r="B36" s="85" t="str">
        <f>'Chem&amp;FertInputs&amp;CInsurance'!C48</f>
        <v>Glyphosate</v>
      </c>
      <c r="C36" s="23" t="str">
        <f>'Chem&amp;FertInputs&amp;CInsurance'!D48</f>
        <v>oz</v>
      </c>
      <c r="D36" s="116">
        <f>'Chem&amp;FertInputs&amp;CInsurance'!E48</f>
        <v>0.14949999999999999</v>
      </c>
      <c r="E36" s="133">
        <f>'Chem&amp;FertInputs&amp;CInsurance'!R48</f>
        <v>0</v>
      </c>
      <c r="F36" s="117" t="str">
        <f t="shared" si="0"/>
        <v>0</v>
      </c>
      <c r="G36" s="165">
        <f t="shared" si="4"/>
        <v>0</v>
      </c>
    </row>
    <row r="37" spans="1:7" s="1" customFormat="1" ht="20">
      <c r="A37" s="15"/>
      <c r="B37" s="85" t="str">
        <f>'Chem&amp;FertInputs&amp;CInsurance'!C49</f>
        <v>Huskie</v>
      </c>
      <c r="C37" s="23" t="str">
        <f>'Chem&amp;FertInputs&amp;CInsurance'!D49</f>
        <v>oz</v>
      </c>
      <c r="D37" s="116">
        <f>'Chem&amp;FertInputs&amp;CInsurance'!E49</f>
        <v>0.88549999999999995</v>
      </c>
      <c r="E37" s="133">
        <f>'Chem&amp;FertInputs&amp;CInsurance'!R49</f>
        <v>13.7</v>
      </c>
      <c r="F37" s="117">
        <f t="shared" si="0"/>
        <v>12.131349999999999</v>
      </c>
      <c r="G37" s="165">
        <f t="shared" si="4"/>
        <v>0.10703124999999999</v>
      </c>
    </row>
    <row r="38" spans="1:7" s="1" customFormat="1" ht="20">
      <c r="A38" s="15"/>
      <c r="B38" s="85" t="str">
        <f>'Chem&amp;FertInputs&amp;CInsurance'!C50</f>
        <v>Imidan 70</v>
      </c>
      <c r="C38" s="23" t="str">
        <f>'Chem&amp;FertInputs&amp;CInsurance'!D50</f>
        <v>lb</v>
      </c>
      <c r="D38" s="116">
        <f>'Chem&amp;FertInputs&amp;CInsurance'!E50</f>
        <v>17.295999999999999</v>
      </c>
      <c r="E38" s="133">
        <f>'Chem&amp;FertInputs&amp;CInsurance'!R50</f>
        <v>0</v>
      </c>
      <c r="F38" s="117" t="str">
        <f t="shared" si="0"/>
        <v>0</v>
      </c>
      <c r="G38" s="165">
        <f>E38/16</f>
        <v>0</v>
      </c>
    </row>
    <row r="39" spans="1:7" s="1" customFormat="1" ht="20">
      <c r="A39" s="15"/>
      <c r="B39" s="85" t="str">
        <f>'Chem&amp;FertInputs&amp;CInsurance'!C51</f>
        <v xml:space="preserve">Maverick </v>
      </c>
      <c r="C39" s="23" t="str">
        <f>'Chem&amp;FertInputs&amp;CInsurance'!D51</f>
        <v>oz</v>
      </c>
      <c r="D39" s="116">
        <f>'Chem&amp;FertInputs&amp;CInsurance'!E51</f>
        <v>23.885499999999997</v>
      </c>
      <c r="E39" s="133">
        <f>'Chem&amp;FertInputs&amp;CInsurance'!R51</f>
        <v>0</v>
      </c>
      <c r="F39" s="117" t="str">
        <f t="shared" si="0"/>
        <v>0</v>
      </c>
      <c r="G39" s="165">
        <f t="shared" ref="G39:G51" si="5">E39/128</f>
        <v>0</v>
      </c>
    </row>
    <row r="40" spans="1:7" s="1" customFormat="1" ht="20">
      <c r="A40" s="15"/>
      <c r="B40" s="85" t="str">
        <f>'Chem&amp;FertInputs&amp;CInsurance'!C52</f>
        <v>Osprey</v>
      </c>
      <c r="C40" s="23" t="str">
        <f>'Chem&amp;FertInputs&amp;CInsurance'!D52</f>
        <v>oz</v>
      </c>
      <c r="D40" s="116">
        <f>'Chem&amp;FertInputs&amp;CInsurance'!E52</f>
        <v>5.0484999999999989</v>
      </c>
      <c r="E40" s="133">
        <f>'Chem&amp;FertInputs&amp;CInsurance'!R52</f>
        <v>0</v>
      </c>
      <c r="F40" s="117" t="str">
        <f t="shared" si="0"/>
        <v>0</v>
      </c>
      <c r="G40" s="165">
        <f t="shared" si="5"/>
        <v>0</v>
      </c>
    </row>
    <row r="41" spans="1:7" s="1" customFormat="1" ht="20">
      <c r="A41" s="15"/>
      <c r="B41" s="85" t="str">
        <f>'Chem&amp;FertInputs&amp;CInsurance'!C53</f>
        <v>Poast</v>
      </c>
      <c r="C41" s="23" t="str">
        <f>'Chem&amp;FertInputs&amp;CInsurance'!D53</f>
        <v>oz</v>
      </c>
      <c r="D41" s="116">
        <f>'Chem&amp;FertInputs&amp;CInsurance'!E53</f>
        <v>19.285499999999999</v>
      </c>
      <c r="E41" s="133">
        <f>'Chem&amp;FertInputs&amp;CInsurance'!R53</f>
        <v>0</v>
      </c>
      <c r="F41" s="117" t="str">
        <f t="shared" ref="F41" si="6">IF(D41*E41=0,"0",D41*E41)</f>
        <v>0</v>
      </c>
      <c r="G41" s="165">
        <f t="shared" si="5"/>
        <v>0</v>
      </c>
    </row>
    <row r="42" spans="1:7" s="1" customFormat="1" ht="20">
      <c r="A42" s="15"/>
      <c r="B42" s="85" t="str">
        <f>'Chem&amp;FertInputs&amp;CInsurance'!C54</f>
        <v>Power Flex</v>
      </c>
      <c r="C42" s="23" t="str">
        <f>'Chem&amp;FertInputs&amp;CInsurance'!D54</f>
        <v>oz</v>
      </c>
      <c r="D42" s="116">
        <f>'Chem&amp;FertInputs&amp;CInsurance'!E54</f>
        <v>8.9124999999999996</v>
      </c>
      <c r="E42" s="133">
        <f>'Chem&amp;FertInputs&amp;CInsurance'!R54</f>
        <v>0</v>
      </c>
      <c r="F42" s="117" t="str">
        <f t="shared" si="0"/>
        <v>0</v>
      </c>
      <c r="G42" s="165">
        <f t="shared" si="5"/>
        <v>0</v>
      </c>
    </row>
    <row r="43" spans="1:7" s="1" customFormat="1" ht="20">
      <c r="A43" s="15"/>
      <c r="B43" s="85" t="str">
        <f>'Chem&amp;FertInputs&amp;CInsurance'!C55</f>
        <v>Priaxor</v>
      </c>
      <c r="C43" s="23" t="str">
        <f>'Chem&amp;FertInputs&amp;CInsurance'!D55</f>
        <v>oz</v>
      </c>
      <c r="D43" s="116">
        <f>'Chem&amp;FertInputs&amp;CInsurance'!E55</f>
        <v>3.4269999999999996</v>
      </c>
      <c r="E43" s="133">
        <f>'Chem&amp;FertInputs&amp;CInsurance'!R55</f>
        <v>0</v>
      </c>
      <c r="F43" s="117" t="str">
        <f t="shared" si="0"/>
        <v>0</v>
      </c>
      <c r="G43" s="165">
        <f t="shared" si="5"/>
        <v>0</v>
      </c>
    </row>
    <row r="44" spans="1:7" s="1" customFormat="1" ht="20">
      <c r="A44" s="15"/>
      <c r="B44" s="85" t="str">
        <f>'Chem&amp;FertInputs&amp;CInsurance'!C56</f>
        <v>Prowl</v>
      </c>
      <c r="C44" s="23" t="str">
        <f>'Chem&amp;FertInputs&amp;CInsurance'!D56</f>
        <v>oz</v>
      </c>
      <c r="D44" s="116">
        <f>'Chem&amp;FertInputs&amp;CInsurance'!E56</f>
        <v>0.51749999999999996</v>
      </c>
      <c r="E44" s="133">
        <f>'Chem&amp;FertInputs&amp;CInsurance'!R56</f>
        <v>0</v>
      </c>
      <c r="F44" s="117" t="str">
        <f t="shared" si="0"/>
        <v>0</v>
      </c>
      <c r="G44" s="165">
        <f t="shared" si="5"/>
        <v>0</v>
      </c>
    </row>
    <row r="45" spans="1:7" s="1" customFormat="1" ht="20">
      <c r="A45" s="15"/>
      <c r="B45" s="85" t="str">
        <f>'Chem&amp;FertInputs&amp;CInsurance'!C57</f>
        <v>Pursuit</v>
      </c>
      <c r="C45" s="23" t="str">
        <f>'Chem&amp;FertInputs&amp;CInsurance'!D57</f>
        <v>oz</v>
      </c>
      <c r="D45" s="116">
        <f>'Chem&amp;FertInputs&amp;CInsurance'!E57</f>
        <v>4.0594999999999999</v>
      </c>
      <c r="E45" s="133">
        <f>'Chem&amp;FertInputs&amp;CInsurance'!R57</f>
        <v>0</v>
      </c>
      <c r="F45" s="117" t="str">
        <f t="shared" si="0"/>
        <v>0</v>
      </c>
      <c r="G45" s="165">
        <f t="shared" si="5"/>
        <v>0</v>
      </c>
    </row>
    <row r="46" spans="1:7" s="1" customFormat="1" ht="20">
      <c r="A46" s="15"/>
      <c r="B46" s="85" t="str">
        <f>'Chem&amp;FertInputs&amp;CInsurance'!C58</f>
        <v xml:space="preserve">Quadris </v>
      </c>
      <c r="C46" s="23" t="str">
        <f>'Chem&amp;FertInputs&amp;CInsurance'!D58</f>
        <v>oz</v>
      </c>
      <c r="D46" s="116">
        <f>'Chem&amp;FertInputs&amp;CInsurance'!E58</f>
        <v>1.127</v>
      </c>
      <c r="E46" s="133">
        <f>'Chem&amp;FertInputs&amp;CInsurance'!R58</f>
        <v>0</v>
      </c>
      <c r="F46" s="117" t="str">
        <f t="shared" si="0"/>
        <v>0</v>
      </c>
      <c r="G46" s="165">
        <f t="shared" si="5"/>
        <v>0</v>
      </c>
    </row>
    <row r="47" spans="1:7" s="1" customFormat="1" ht="20">
      <c r="A47" s="15"/>
      <c r="B47" s="85" t="str">
        <f>'Chem&amp;FertInputs&amp;CInsurance'!C59</f>
        <v>Quilt</v>
      </c>
      <c r="C47" s="23" t="str">
        <f>'Chem&amp;FertInputs&amp;CInsurance'!D59</f>
        <v>oz</v>
      </c>
      <c r="D47" s="116">
        <f>'Chem&amp;FertInputs&amp;CInsurance'!E59</f>
        <v>1.4834999999999998</v>
      </c>
      <c r="E47" s="133">
        <f>'Chem&amp;FertInputs&amp;CInsurance'!R59</f>
        <v>0</v>
      </c>
      <c r="F47" s="117" t="str">
        <f t="shared" si="0"/>
        <v>0</v>
      </c>
      <c r="G47" s="165">
        <f t="shared" si="5"/>
        <v>0</v>
      </c>
    </row>
    <row r="48" spans="1:7" s="1" customFormat="1" ht="20">
      <c r="A48" s="15"/>
      <c r="B48" s="85" t="str">
        <f>'Chem&amp;FertInputs&amp;CInsurance'!C60</f>
        <v>R11</v>
      </c>
      <c r="C48" s="23" t="str">
        <f>'Chem&amp;FertInputs&amp;CInsurance'!D60</f>
        <v>oz</v>
      </c>
      <c r="D48" s="116">
        <f>'Chem&amp;FertInputs&amp;CInsurance'!E60</f>
        <v>0.26450000000000001</v>
      </c>
      <c r="E48" s="133">
        <f>'Chem&amp;FertInputs&amp;CInsurance'!R60</f>
        <v>0</v>
      </c>
      <c r="F48" s="117" t="str">
        <f t="shared" si="0"/>
        <v>0</v>
      </c>
      <c r="G48" s="165">
        <f t="shared" si="5"/>
        <v>0</v>
      </c>
    </row>
    <row r="49" spans="1:12" s="1" customFormat="1" ht="20">
      <c r="A49" s="15"/>
      <c r="B49" s="85" t="str">
        <f>'Chem&amp;FertInputs&amp;CInsurance'!C61</f>
        <v>Starane</v>
      </c>
      <c r="C49" s="23" t="str">
        <f>'Chem&amp;FertInputs&amp;CInsurance'!D61</f>
        <v>oz</v>
      </c>
      <c r="D49" s="116">
        <f>'Chem&amp;FertInputs&amp;CInsurance'!E61</f>
        <v>0.77049999999999996</v>
      </c>
      <c r="E49" s="133">
        <f>'Chem&amp;FertInputs&amp;CInsurance'!R61</f>
        <v>0</v>
      </c>
      <c r="F49" s="117" t="str">
        <f t="shared" si="0"/>
        <v>0</v>
      </c>
      <c r="G49" s="165">
        <f t="shared" si="5"/>
        <v>0</v>
      </c>
    </row>
    <row r="50" spans="1:12" s="1" customFormat="1" ht="20">
      <c r="A50" s="15"/>
      <c r="B50" s="85" t="str">
        <f>'Chem&amp;FertInputs&amp;CInsurance'!C62</f>
        <v>Starane + Salvo</v>
      </c>
      <c r="C50" s="23" t="str">
        <f>'Chem&amp;FertInputs&amp;CInsurance'!D62</f>
        <v>oz</v>
      </c>
      <c r="D50" s="116">
        <f>'Chem&amp;FertInputs&amp;CInsurance'!E62</f>
        <v>0.77049999999999996</v>
      </c>
      <c r="E50" s="133">
        <f>'Chem&amp;FertInputs&amp;CInsurance'!R62</f>
        <v>0</v>
      </c>
      <c r="F50" s="117" t="str">
        <f t="shared" si="0"/>
        <v>0</v>
      </c>
      <c r="G50" s="165">
        <f t="shared" si="5"/>
        <v>0</v>
      </c>
    </row>
    <row r="51" spans="1:12" s="1" customFormat="1" ht="20">
      <c r="A51" s="15"/>
      <c r="B51" s="85" t="str">
        <f>'Chem&amp;FertInputs&amp;CInsurance'!C63</f>
        <v xml:space="preserve">Starane + Sword </v>
      </c>
      <c r="C51" s="23" t="str">
        <f>'Chem&amp;FertInputs&amp;CInsurance'!D63</f>
        <v>oz</v>
      </c>
      <c r="D51" s="116">
        <f>'Chem&amp;FertInputs&amp;CInsurance'!E63</f>
        <v>0.77049999999999996</v>
      </c>
      <c r="E51" s="133">
        <f>'Chem&amp;FertInputs&amp;CInsurance'!R63</f>
        <v>0</v>
      </c>
      <c r="F51" s="117" t="str">
        <f t="shared" si="0"/>
        <v>0</v>
      </c>
      <c r="G51" s="165">
        <f t="shared" si="5"/>
        <v>0</v>
      </c>
    </row>
    <row r="52" spans="1:12" s="1" customFormat="1" ht="20">
      <c r="A52" s="15"/>
      <c r="B52" s="85" t="str">
        <f>'Chem&amp;FertInputs&amp;CInsurance'!C64</f>
        <v xml:space="preserve"> Tilt</v>
      </c>
      <c r="C52" s="23" t="str">
        <f>'Chem&amp;FertInputs&amp;CInsurance'!D64</f>
        <v>oz</v>
      </c>
      <c r="D52" s="116">
        <f>'Chem&amp;FertInputs&amp;CInsurance'!E64</f>
        <v>0.88549999999999995</v>
      </c>
      <c r="E52" s="133">
        <f>'Chem&amp;FertInputs&amp;CInsurance'!R64</f>
        <v>4</v>
      </c>
      <c r="F52" s="117">
        <f t="shared" ref="F52" si="7">IF(D52*E52=0,"0",D52*E52)</f>
        <v>3.5419999999999998</v>
      </c>
      <c r="G52" s="165">
        <f t="shared" ref="G52:G53" si="8">E52/128</f>
        <v>3.125E-2</v>
      </c>
    </row>
    <row r="53" spans="1:12" s="1" customFormat="1" ht="20">
      <c r="A53" s="15"/>
      <c r="B53" s="85" t="str">
        <f>'Chem&amp;FertInputs&amp;CInsurance'!C65</f>
        <v xml:space="preserve">Wildcard </v>
      </c>
      <c r="C53" s="23" t="str">
        <f>'Chem&amp;FertInputs&amp;CInsurance'!D65</f>
        <v>oz</v>
      </c>
      <c r="D53" s="116">
        <f>'Chem&amp;FertInputs&amp;CInsurance'!E65</f>
        <v>0.35649999999999998</v>
      </c>
      <c r="E53" s="133">
        <f>'Chem&amp;FertInputs&amp;CInsurance'!R65</f>
        <v>0</v>
      </c>
      <c r="F53" s="117" t="str">
        <f t="shared" ref="F53" si="9">IF(D53*E53=0,"0",D53*E53)</f>
        <v>0</v>
      </c>
      <c r="G53" s="165">
        <f t="shared" si="8"/>
        <v>0</v>
      </c>
    </row>
    <row r="54" spans="1:12" s="1" customFormat="1" ht="20">
      <c r="A54" s="15"/>
      <c r="B54" s="85" t="str">
        <f>'Chem&amp;FertInputs&amp;CInsurance'!C66</f>
        <v>Sharpen</v>
      </c>
      <c r="C54" s="23" t="str">
        <f>'Chem&amp;FertInputs&amp;CInsurance'!D66</f>
        <v>oz</v>
      </c>
      <c r="D54" s="116">
        <f>'Chem&amp;FertInputs&amp;CInsurance'!E66</f>
        <v>6.3134999999999994</v>
      </c>
      <c r="E54" s="133">
        <f>'Chem&amp;FertInputs&amp;CInsurance'!R66</f>
        <v>0</v>
      </c>
      <c r="F54" s="117" t="str">
        <f t="shared" si="0"/>
        <v>0</v>
      </c>
      <c r="G54" s="165">
        <f>E54/128</f>
        <v>0</v>
      </c>
    </row>
    <row r="55" spans="1:12" s="1" customFormat="1" ht="20">
      <c r="A55" s="15"/>
      <c r="B55" s="85" t="str">
        <f>'Chem&amp;FertInputs&amp;CInsurance'!C67</f>
        <v>Sencor</v>
      </c>
      <c r="C55" s="23" t="str">
        <f>'Chem&amp;FertInputs&amp;CInsurance'!D67</f>
        <v>oz</v>
      </c>
      <c r="D55" s="116">
        <f>'Chem&amp;FertInputs&amp;CInsurance'!E67</f>
        <v>0.45999999999999996</v>
      </c>
      <c r="E55" s="133">
        <f>'Chem&amp;FertInputs&amp;CInsurance'!R67</f>
        <v>0</v>
      </c>
      <c r="F55" s="117" t="str">
        <f t="shared" si="0"/>
        <v>0</v>
      </c>
      <c r="G55" s="165">
        <f>E55/128</f>
        <v>0</v>
      </c>
    </row>
    <row r="56" spans="1:12" s="1" customFormat="1" ht="20">
      <c r="A56" s="15"/>
      <c r="B56" s="85" t="str">
        <f>'Chem&amp;FertInputs&amp;CInsurance'!C68</f>
        <v>Warrior</v>
      </c>
      <c r="C56" s="23" t="str">
        <f>'Chem&amp;FertInputs&amp;CInsurance'!D68</f>
        <v>acre</v>
      </c>
      <c r="D56" s="116">
        <f>'Chem&amp;FertInputs&amp;CInsurance'!E68</f>
        <v>3.4499999999999997</v>
      </c>
      <c r="E56" s="133">
        <f>'Chem&amp;FertInputs&amp;CInsurance'!R68</f>
        <v>0</v>
      </c>
      <c r="F56" s="117" t="str">
        <f t="shared" si="0"/>
        <v>0</v>
      </c>
      <c r="G56" s="165">
        <f>E56/128</f>
        <v>0</v>
      </c>
      <c r="J56" s="173" t="s">
        <v>8</v>
      </c>
    </row>
    <row r="57" spans="1:12" s="1" customFormat="1" ht="20">
      <c r="A57" s="15"/>
      <c r="B57" s="85" t="str">
        <f>'Chem&amp;FertInputs&amp;CInsurance'!C69</f>
        <v xml:space="preserve"> Lorox</v>
      </c>
      <c r="C57" s="23" t="str">
        <f>'Chem&amp;FertInputs&amp;CInsurance'!D69</f>
        <v>lb</v>
      </c>
      <c r="D57" s="116">
        <f>'Chem&amp;FertInputs&amp;CInsurance'!E69</f>
        <v>26.565000000000001</v>
      </c>
      <c r="E57" s="133">
        <f>'Chem&amp;FertInputs&amp;CInsurance'!R69</f>
        <v>0</v>
      </c>
      <c r="F57" s="117" t="str">
        <f t="shared" si="0"/>
        <v>0</v>
      </c>
      <c r="G57" s="165">
        <f>E57/128</f>
        <v>0</v>
      </c>
      <c r="J57" s="173" t="s">
        <v>8</v>
      </c>
    </row>
    <row r="58" spans="1:12" s="1" customFormat="1" ht="20">
      <c r="A58" s="15"/>
      <c r="B58" s="85" t="str">
        <f>'Chem&amp;FertInputs&amp;CInsurance'!C70</f>
        <v xml:space="preserve"> Valor</v>
      </c>
      <c r="C58" s="23" t="str">
        <f>'Chem&amp;FertInputs&amp;CInsurance'!D70</f>
        <v>oz</v>
      </c>
      <c r="D58" s="116">
        <f>'Chem&amp;FertInputs&amp;CInsurance'!E70</f>
        <v>6.6124999999999998</v>
      </c>
      <c r="E58" s="133">
        <f>'Chem&amp;FertInputs&amp;CInsurance'!R70</f>
        <v>0</v>
      </c>
      <c r="F58" s="117" t="str">
        <f t="shared" ref="F58:F59" si="10">IF(D58*E58=0,"0",D58*E58)</f>
        <v>0</v>
      </c>
      <c r="G58" s="165">
        <f t="shared" ref="G58:G59" si="11">E58/128</f>
        <v>0</v>
      </c>
      <c r="J58" s="173"/>
    </row>
    <row r="59" spans="1:12" s="1" customFormat="1" ht="20">
      <c r="A59" s="15"/>
      <c r="B59" s="85" t="str">
        <f>'Chem&amp;FertInputs&amp;CInsurance'!C71</f>
        <v xml:space="preserve"> Diagon</v>
      </c>
      <c r="C59" s="23" t="str">
        <f>'Chem&amp;FertInputs&amp;CInsurance'!D71</f>
        <v>oz</v>
      </c>
      <c r="D59" s="116">
        <f>'Chem&amp;FertInputs&amp;CInsurance'!E71</f>
        <v>0.43699999999999994</v>
      </c>
      <c r="E59" s="133">
        <f>'Chem&amp;FertInputs&amp;CInsurance'!R71</f>
        <v>0</v>
      </c>
      <c r="F59" s="117" t="str">
        <f t="shared" si="10"/>
        <v>0</v>
      </c>
      <c r="G59" s="165">
        <f t="shared" si="11"/>
        <v>0</v>
      </c>
      <c r="J59" s="173"/>
    </row>
    <row r="60" spans="1:12" s="1" customFormat="1" ht="20">
      <c r="A60" s="15"/>
      <c r="B60" s="85" t="str">
        <f>'Chem&amp;FertInputs&amp;CInsurance'!C72</f>
        <v xml:space="preserve">Spartan </v>
      </c>
      <c r="C60" s="23" t="str">
        <f>'Chem&amp;FertInputs&amp;CInsurance'!D72</f>
        <v>oz</v>
      </c>
      <c r="D60" s="116">
        <f>'Chem&amp;FertInputs&amp;CInsurance'!E72</f>
        <v>2.0469999999999997</v>
      </c>
      <c r="E60" s="133">
        <f>'Chem&amp;FertInputs&amp;CInsurance'!R72</f>
        <v>0</v>
      </c>
      <c r="F60" s="117" t="str">
        <f t="shared" si="0"/>
        <v>0</v>
      </c>
      <c r="G60" s="165">
        <f>E60/128</f>
        <v>0</v>
      </c>
      <c r="I60" s="224" t="s">
        <v>8</v>
      </c>
      <c r="K60" s="224"/>
    </row>
    <row r="61" spans="1:12" s="1" customFormat="1" ht="23">
      <c r="A61" s="15"/>
      <c r="B61" s="85" t="str">
        <f>'Chem&amp;FertInputs&amp;CInsurance'!C32</f>
        <v xml:space="preserve">Round Up </v>
      </c>
      <c r="C61" s="23" t="str">
        <f>'Chem&amp;FertInputs&amp;CInsurance'!D32</f>
        <v>oz</v>
      </c>
      <c r="D61" s="116">
        <f>'Chem&amp;FertInputs&amp;CInsurance'!E32</f>
        <v>0.14949999999999999</v>
      </c>
      <c r="E61" s="133">
        <f>'Chem&amp;FertInputs&amp;CInsurance'!R32</f>
        <v>36</v>
      </c>
      <c r="F61" s="117">
        <f t="shared" si="0"/>
        <v>5.3819999999999997</v>
      </c>
      <c r="G61" s="225">
        <f>E61/128</f>
        <v>0.28125</v>
      </c>
      <c r="H61" s="224" t="s">
        <v>8</v>
      </c>
    </row>
    <row r="62" spans="1:12" s="1" customFormat="1" ht="20">
      <c r="A62" s="15"/>
      <c r="B62" s="139" t="s">
        <v>86</v>
      </c>
      <c r="C62" s="23"/>
      <c r="D62" s="116"/>
      <c r="E62" s="133"/>
      <c r="F62" s="117"/>
      <c r="G62" s="165">
        <f>SUM(G14:G61)</f>
        <v>0.59257812499999996</v>
      </c>
    </row>
    <row r="63" spans="1:12" ht="20">
      <c r="A63" s="15"/>
      <c r="B63" s="125" t="str">
        <f>CustomRates!B5</f>
        <v>Aerial (Custom)</v>
      </c>
      <c r="C63" s="41" t="str">
        <f>CustomRates!C5</f>
        <v>acre</v>
      </c>
      <c r="D63" s="116">
        <f>CustomRates!P5</f>
        <v>8.9499999999999993</v>
      </c>
      <c r="E63" s="87">
        <f>CustomRates!P6</f>
        <v>0</v>
      </c>
      <c r="F63" s="117" t="str">
        <f t="shared" ref="F63:F70" si="12">IF(D63*E63=0,"0",D63*E63)</f>
        <v>0</v>
      </c>
      <c r="G63" s="224" t="s">
        <v>8</v>
      </c>
      <c r="H63" s="224" t="s">
        <v>8</v>
      </c>
      <c r="I63" s="1"/>
      <c r="J63" s="1"/>
      <c r="K63" s="1"/>
      <c r="L63" s="1"/>
    </row>
    <row r="64" spans="1:12" s="1" customFormat="1" ht="20">
      <c r="A64" s="15"/>
      <c r="B64" s="125" t="str">
        <f>CustomRates!B7</f>
        <v>Sprayer (Rental 90')</v>
      </c>
      <c r="C64" s="41" t="str">
        <f>CustomRates!C7</f>
        <v>acre</v>
      </c>
      <c r="D64" s="116">
        <f>CustomRates!P7</f>
        <v>8</v>
      </c>
      <c r="E64" s="87">
        <f>CustomRates!P8</f>
        <v>1</v>
      </c>
      <c r="F64" s="117">
        <f t="shared" si="12"/>
        <v>8</v>
      </c>
    </row>
    <row r="65" spans="1:9" s="1" customFormat="1" ht="20">
      <c r="A65" s="15"/>
      <c r="B65" s="125" t="str">
        <f>CustomRates!B9</f>
        <v>Fertilizer - Anhydrous Applicator (Rent)</v>
      </c>
      <c r="C65" s="41" t="str">
        <f>CustomRates!C9</f>
        <v>acre</v>
      </c>
      <c r="D65" s="116">
        <f>CustomRates!P9</f>
        <v>7</v>
      </c>
      <c r="E65" s="87">
        <f>CustomRates!P10</f>
        <v>0</v>
      </c>
      <c r="F65" s="117" t="str">
        <f t="shared" si="12"/>
        <v>0</v>
      </c>
    </row>
    <row r="66" spans="1:9" s="1" customFormat="1" ht="20">
      <c r="A66" s="15"/>
      <c r="B66" s="125" t="str">
        <f>CustomRates!B11</f>
        <v>Fertilizer Applicator</v>
      </c>
      <c r="C66" s="41" t="str">
        <f>CustomRates!C11</f>
        <v>acre</v>
      </c>
      <c r="D66" s="116">
        <f>CustomRates!P11</f>
        <v>2</v>
      </c>
      <c r="E66" s="87">
        <f>CustomRates!P12</f>
        <v>0</v>
      </c>
      <c r="F66" s="117" t="str">
        <f t="shared" si="12"/>
        <v>0</v>
      </c>
    </row>
    <row r="67" spans="1:9" s="1" customFormat="1" ht="20">
      <c r="A67" s="15"/>
      <c r="B67" s="125" t="str">
        <f>CustomRates!B13</f>
        <v>26' Rental Shredder</v>
      </c>
      <c r="C67" s="41" t="str">
        <f>CustomRates!C13</f>
        <v>acre</v>
      </c>
      <c r="D67" s="116">
        <f>CustomRates!P13</f>
        <v>10</v>
      </c>
      <c r="E67" s="87">
        <f>CustomRates!P14</f>
        <v>0</v>
      </c>
      <c r="F67" s="117" t="str">
        <f t="shared" si="12"/>
        <v>0</v>
      </c>
    </row>
    <row r="68" spans="1:9" s="1" customFormat="1" ht="20">
      <c r="A68" s="15"/>
      <c r="B68" s="125" t="str">
        <f>CustomRates!B15</f>
        <v>36' Ripper Shooter</v>
      </c>
      <c r="C68" s="41" t="str">
        <f>CustomRates!C15</f>
        <v>acre</v>
      </c>
      <c r="D68" s="116">
        <f>CustomRates!P15</f>
        <v>2.5</v>
      </c>
      <c r="E68" s="87">
        <f>CustomRates!P16</f>
        <v>0</v>
      </c>
      <c r="F68" s="117" t="str">
        <f t="shared" si="12"/>
        <v>0</v>
      </c>
    </row>
    <row r="69" spans="1:9" s="1" customFormat="1" ht="20">
      <c r="A69" s="15"/>
      <c r="B69" s="125" t="str">
        <f>CustomRates!B17</f>
        <v>Custom self-propelled sprayer</v>
      </c>
      <c r="C69" s="41" t="str">
        <f>CustomRates!C17</f>
        <v>acre</v>
      </c>
      <c r="D69" s="116">
        <f>CustomRates!P17</f>
        <v>8</v>
      </c>
      <c r="E69" s="87">
        <f>CustomRates!P18</f>
        <v>0</v>
      </c>
      <c r="F69" s="117" t="str">
        <f t="shared" si="12"/>
        <v>0</v>
      </c>
    </row>
    <row r="70" spans="1:9" s="1" customFormat="1" ht="20">
      <c r="A70" s="15"/>
      <c r="B70" s="125" t="str">
        <f>CustomRates!B19</f>
        <v>Additional Operation #8 (Custom)</v>
      </c>
      <c r="C70" s="41" t="str">
        <f>CustomRates!C19</f>
        <v>acre</v>
      </c>
      <c r="D70" s="116">
        <f>CustomRates!P19</f>
        <v>0</v>
      </c>
      <c r="E70" s="87">
        <f>CustomRates!P20</f>
        <v>0</v>
      </c>
      <c r="F70" s="117" t="str">
        <f t="shared" si="12"/>
        <v>0</v>
      </c>
      <c r="H70" s="808" t="s">
        <v>252</v>
      </c>
      <c r="I70" s="808"/>
    </row>
    <row r="71" spans="1:9" s="1" customFormat="1" ht="20">
      <c r="A71" s="15"/>
      <c r="B71" s="139" t="s">
        <v>87</v>
      </c>
      <c r="C71" s="41"/>
      <c r="D71" s="116"/>
      <c r="E71" s="87"/>
      <c r="F71" s="117"/>
      <c r="H71" s="1" t="s">
        <v>204</v>
      </c>
      <c r="I71" s="1" t="s">
        <v>135</v>
      </c>
    </row>
    <row r="72" spans="1:9" s="1" customFormat="1" ht="20">
      <c r="A72" s="15"/>
      <c r="B72" s="85" t="str">
        <f>MachineAssumptions!B7&amp;" - Labor"</f>
        <v>Shredder - Labor</v>
      </c>
      <c r="C72" s="41" t="s">
        <v>246</v>
      </c>
      <c r="D72" s="116">
        <f>MachineAssumptions!$R$7</f>
        <v>1.4996591683708247</v>
      </c>
      <c r="E72" s="87">
        <f>FieldApplications!$O$6</f>
        <v>0</v>
      </c>
      <c r="F72" s="117" t="str">
        <f t="shared" ref="F72:F113" si="13">IF(D72*E72=0,"0",D72*E72)</f>
        <v>0</v>
      </c>
      <c r="G72" s="173" t="s">
        <v>8</v>
      </c>
      <c r="H72" s="246">
        <f>MachineAssumptions!$R$28*E72</f>
        <v>0</v>
      </c>
      <c r="I72" s="166">
        <f>MachineAssumptions!$R$48*E72</f>
        <v>0</v>
      </c>
    </row>
    <row r="73" spans="1:9" s="1" customFormat="1" ht="20">
      <c r="A73" s="15"/>
      <c r="B73" s="85" t="str">
        <f>MachineAssumptions!B7&amp;" - Fuel, Lube"</f>
        <v>Shredder - Fuel, Lube</v>
      </c>
      <c r="C73" s="41" t="s">
        <v>246</v>
      </c>
      <c r="D73" s="116">
        <f>MachineAssumptions!$S$7</f>
        <v>5.7486934787548281</v>
      </c>
      <c r="E73" s="87">
        <f>FieldApplications!$O$6</f>
        <v>0</v>
      </c>
      <c r="F73" s="117" t="str">
        <f t="shared" si="13"/>
        <v>0</v>
      </c>
      <c r="H73" s="246">
        <f>MachineAssumptions!$S$28*E73</f>
        <v>0</v>
      </c>
      <c r="I73" s="166">
        <f>MachineAssumptions!$S$48*E73</f>
        <v>0</v>
      </c>
    </row>
    <row r="74" spans="1:9" s="1" customFormat="1" ht="20">
      <c r="A74" s="15"/>
      <c r="B74" s="85" t="str">
        <f>MachineAssumptions!B7&amp;" - Repairs"</f>
        <v>Shredder - Repairs</v>
      </c>
      <c r="C74" s="41" t="s">
        <v>246</v>
      </c>
      <c r="D74" s="116">
        <f>MachineAssumptions!$T$7</f>
        <v>0.46726721181997538</v>
      </c>
      <c r="E74" s="87">
        <f>FieldApplications!$O$6</f>
        <v>0</v>
      </c>
      <c r="F74" s="117" t="str">
        <f t="shared" si="13"/>
        <v>0</v>
      </c>
      <c r="H74" s="246">
        <f>MachineAssumptions!$T$28*E74</f>
        <v>0</v>
      </c>
      <c r="I74" s="166">
        <f>MachineAssumptions!$T$48*E74</f>
        <v>0</v>
      </c>
    </row>
    <row r="75" spans="1:9" s="1" customFormat="1" ht="20">
      <c r="A75" s="15"/>
      <c r="B75" s="85" t="str">
        <f>MachineAssumptions!B8&amp;" - Labor"</f>
        <v>Harrow - Labor</v>
      </c>
      <c r="C75" s="41" t="s">
        <v>246</v>
      </c>
      <c r="D75" s="116">
        <f>MachineAssumptions!$R$8</f>
        <v>0.59412746734753996</v>
      </c>
      <c r="E75" s="87">
        <f>FieldApplications!$O$7</f>
        <v>0</v>
      </c>
      <c r="F75" s="117" t="str">
        <f t="shared" si="13"/>
        <v>0</v>
      </c>
      <c r="H75" s="246">
        <f>MachineAssumptions!$R$29*E75</f>
        <v>0</v>
      </c>
      <c r="I75" s="166">
        <f>MachineAssumptions!$R$49*E75</f>
        <v>0</v>
      </c>
    </row>
    <row r="76" spans="1:9" s="1" customFormat="1" ht="20">
      <c r="A76" s="15"/>
      <c r="B76" s="85" t="str">
        <f>MachineAssumptions!B8&amp;" - Fuel, Lube"</f>
        <v>Harrow - Fuel, Lube</v>
      </c>
      <c r="C76" s="41" t="s">
        <v>246</v>
      </c>
      <c r="D76" s="116">
        <f>MachineAssumptions!$S$8</f>
        <v>2.4845330452715308</v>
      </c>
      <c r="E76" s="87">
        <f>FieldApplications!$O$7</f>
        <v>0</v>
      </c>
      <c r="F76" s="117" t="str">
        <f t="shared" si="13"/>
        <v>0</v>
      </c>
      <c r="H76" s="246">
        <f>MachineAssumptions!$S$29*E76</f>
        <v>0</v>
      </c>
      <c r="I76" s="166">
        <f>MachineAssumptions!$S$49*E76</f>
        <v>0</v>
      </c>
    </row>
    <row r="77" spans="1:9" s="1" customFormat="1" ht="20">
      <c r="A77" s="15"/>
      <c r="B77" s="85" t="str">
        <f>MachineAssumptions!B8&amp;" - Repairs"</f>
        <v>Harrow - Repairs</v>
      </c>
      <c r="C77" s="41" t="s">
        <v>246</v>
      </c>
      <c r="D77" s="116">
        <f>MachineAssumptions!$T$8</f>
        <v>0.14755184964846621</v>
      </c>
      <c r="E77" s="87">
        <f>FieldApplications!$O$7</f>
        <v>0</v>
      </c>
      <c r="F77" s="117" t="str">
        <f t="shared" si="13"/>
        <v>0</v>
      </c>
      <c r="H77" s="246">
        <f>MachineAssumptions!$T$29*E77</f>
        <v>0</v>
      </c>
      <c r="I77" s="166">
        <f>MachineAssumptions!$T$49*E77</f>
        <v>0</v>
      </c>
    </row>
    <row r="78" spans="1:9" s="1" customFormat="1" ht="20">
      <c r="A78" s="15"/>
      <c r="B78" s="85" t="str">
        <f>MachineAssumptions!B9&amp;" - Labor"</f>
        <v>Chisel plow - Labor</v>
      </c>
      <c r="C78" s="41" t="s">
        <v>246</v>
      </c>
      <c r="D78" s="116">
        <f>MachineAssumptions!$R$9</f>
        <v>0</v>
      </c>
      <c r="E78" s="87">
        <f>FieldApplications!$O$8</f>
        <v>0</v>
      </c>
      <c r="F78" s="117" t="str">
        <f t="shared" si="13"/>
        <v>0</v>
      </c>
      <c r="H78" s="246">
        <f>MachineAssumptions!$R$30*E78</f>
        <v>0</v>
      </c>
      <c r="I78" s="166">
        <f>MachineAssumptions!$R$50*E78</f>
        <v>0</v>
      </c>
    </row>
    <row r="79" spans="1:9" s="1" customFormat="1" ht="20">
      <c r="A79" s="15"/>
      <c r="B79" s="85" t="str">
        <f>MachineAssumptions!B9&amp;" - Fuel, Lube"</f>
        <v>Chisel plow - Fuel, Lube</v>
      </c>
      <c r="C79" s="41" t="s">
        <v>246</v>
      </c>
      <c r="D79" s="116">
        <f>MachineAssumptions!$S$9</f>
        <v>0</v>
      </c>
      <c r="E79" s="87">
        <f>FieldApplications!$O$8</f>
        <v>0</v>
      </c>
      <c r="F79" s="117" t="str">
        <f t="shared" si="13"/>
        <v>0</v>
      </c>
      <c r="H79" s="246">
        <f>MachineAssumptions!$R$30*E79</f>
        <v>0</v>
      </c>
      <c r="I79" s="166">
        <f>MachineAssumptions!$S$50*E79</f>
        <v>0</v>
      </c>
    </row>
    <row r="80" spans="1:9" s="1" customFormat="1" ht="20">
      <c r="A80" s="15"/>
      <c r="B80" s="85" t="str">
        <f>MachineAssumptions!B9&amp;" - Repairs"</f>
        <v>Chisel plow - Repairs</v>
      </c>
      <c r="C80" s="41" t="s">
        <v>246</v>
      </c>
      <c r="D80" s="116">
        <f>MachineAssumptions!$T$9</f>
        <v>0</v>
      </c>
      <c r="E80" s="87">
        <f>FieldApplications!$O$8</f>
        <v>0</v>
      </c>
      <c r="F80" s="117" t="str">
        <f t="shared" si="13"/>
        <v>0</v>
      </c>
      <c r="H80" s="246">
        <f>MachineAssumptions!$T$30*E80</f>
        <v>0</v>
      </c>
      <c r="I80" s="166">
        <f>MachineAssumptions!$T$50*E80</f>
        <v>0</v>
      </c>
    </row>
    <row r="81" spans="1:9" s="1" customFormat="1" ht="20">
      <c r="A81" s="15"/>
      <c r="B81" s="85" t="str">
        <f>MachineAssumptions!B10&amp;" - Labor"</f>
        <v>Moldboard plow - Labor</v>
      </c>
      <c r="C81" s="41" t="s">
        <v>246</v>
      </c>
      <c r="D81" s="116">
        <f>MachineAssumptions!$R$10</f>
        <v>0</v>
      </c>
      <c r="E81" s="87">
        <f>FieldApplications!$O$9</f>
        <v>0</v>
      </c>
      <c r="F81" s="117" t="str">
        <f t="shared" si="13"/>
        <v>0</v>
      </c>
      <c r="H81" s="246">
        <f>MachineAssumptions!$R$31*E81</f>
        <v>0</v>
      </c>
      <c r="I81" s="166">
        <f>MachineAssumptions!$R$51*E81</f>
        <v>0</v>
      </c>
    </row>
    <row r="82" spans="1:9" s="1" customFormat="1" ht="20">
      <c r="A82" s="15"/>
      <c r="B82" s="85" t="str">
        <f>MachineAssumptions!B10&amp;" - Fuel, Lube"</f>
        <v>Moldboard plow - Fuel, Lube</v>
      </c>
      <c r="C82" s="41" t="s">
        <v>246</v>
      </c>
      <c r="D82" s="116">
        <f>MachineAssumptions!$S$10</f>
        <v>0</v>
      </c>
      <c r="E82" s="87">
        <f>FieldApplications!$O$9</f>
        <v>0</v>
      </c>
      <c r="F82" s="117" t="str">
        <f t="shared" si="13"/>
        <v>0</v>
      </c>
      <c r="H82" s="246">
        <f>MachineAssumptions!$S$31*E82</f>
        <v>0</v>
      </c>
      <c r="I82" s="166">
        <f>MachineAssumptions!$S$51*E82</f>
        <v>0</v>
      </c>
    </row>
    <row r="83" spans="1:9" s="1" customFormat="1" ht="20">
      <c r="A83" s="15"/>
      <c r="B83" s="85" t="str">
        <f>MachineAssumptions!B10&amp;" - Repairs"</f>
        <v>Moldboard plow - Repairs</v>
      </c>
      <c r="C83" s="41" t="s">
        <v>246</v>
      </c>
      <c r="D83" s="116">
        <f>MachineAssumptions!$T$10</f>
        <v>0</v>
      </c>
      <c r="E83" s="87">
        <f>FieldApplications!$O$9</f>
        <v>0</v>
      </c>
      <c r="F83" s="117" t="str">
        <f t="shared" si="13"/>
        <v>0</v>
      </c>
      <c r="H83" s="246">
        <f>MachineAssumptions!$T$31*E83</f>
        <v>0</v>
      </c>
      <c r="I83" s="166">
        <f>MachineAssumptions!$T$51*E83</f>
        <v>0</v>
      </c>
    </row>
    <row r="84" spans="1:9" s="1" customFormat="1" ht="20">
      <c r="A84" s="15"/>
      <c r="B84" s="85" t="str">
        <f>MachineAssumptions!B11&amp;" - Labor"</f>
        <v>Cultivator - Labor</v>
      </c>
      <c r="C84" s="41" t="s">
        <v>246</v>
      </c>
      <c r="D84" s="116">
        <f>MachineAssumptions!$R$11</f>
        <v>0</v>
      </c>
      <c r="E84" s="87">
        <f>FieldApplications!$O$10</f>
        <v>0</v>
      </c>
      <c r="F84" s="117" t="str">
        <f t="shared" ref="F84:F89" si="14">IF(D84*E84=0,"0",D84*E84)</f>
        <v>0</v>
      </c>
      <c r="H84" s="246">
        <f>MachineAssumptions!$R$32*E84</f>
        <v>0</v>
      </c>
      <c r="I84" s="166">
        <f>MachineAssumptions!$R$52*E84</f>
        <v>0</v>
      </c>
    </row>
    <row r="85" spans="1:9" s="1" customFormat="1" ht="20">
      <c r="A85" s="15"/>
      <c r="B85" s="85" t="str">
        <f>MachineAssumptions!B11&amp;" - Fuel, Lube"</f>
        <v>Cultivator - Fuel, Lube</v>
      </c>
      <c r="C85" s="41" t="s">
        <v>246</v>
      </c>
      <c r="D85" s="116">
        <f>MachineAssumptions!$S$11</f>
        <v>0</v>
      </c>
      <c r="E85" s="87">
        <f>FieldApplications!$O$10</f>
        <v>0</v>
      </c>
      <c r="F85" s="117" t="str">
        <f t="shared" si="14"/>
        <v>0</v>
      </c>
      <c r="H85" s="246">
        <f>MachineAssumptions!$S$32*E85</f>
        <v>0</v>
      </c>
      <c r="I85" s="166">
        <f>MachineAssumptions!$S$52*E85</f>
        <v>0</v>
      </c>
    </row>
    <row r="86" spans="1:9" s="1" customFormat="1" ht="20">
      <c r="A86" s="15"/>
      <c r="B86" s="85" t="str">
        <f>MachineAssumptions!B11&amp;" - Repairs"</f>
        <v>Cultivator - Repairs</v>
      </c>
      <c r="C86" s="41" t="s">
        <v>246</v>
      </c>
      <c r="D86" s="116">
        <f>MachineAssumptions!$T$11</f>
        <v>0</v>
      </c>
      <c r="E86" s="87">
        <f>FieldApplications!$O$10</f>
        <v>0</v>
      </c>
      <c r="F86" s="117" t="str">
        <f t="shared" si="14"/>
        <v>0</v>
      </c>
      <c r="H86" s="246">
        <f>MachineAssumptions!$T$32*E86</f>
        <v>0</v>
      </c>
      <c r="I86" s="166">
        <f>MachineAssumptions!$T$52*E86</f>
        <v>0</v>
      </c>
    </row>
    <row r="87" spans="1:9" s="1" customFormat="1" ht="20">
      <c r="A87" s="15"/>
      <c r="B87" s="85" t="str">
        <f>MachineAssumptions!B12&amp;" - Labor"</f>
        <v>Cultiweeder - Labor</v>
      </c>
      <c r="C87" s="41" t="s">
        <v>246</v>
      </c>
      <c r="D87" s="116">
        <f>MachineAssumptions!$R$12</f>
        <v>0</v>
      </c>
      <c r="E87" s="87">
        <f>FieldApplications!$O$11</f>
        <v>0</v>
      </c>
      <c r="F87" s="117" t="str">
        <f t="shared" si="14"/>
        <v>0</v>
      </c>
      <c r="H87" s="246">
        <f>MachineAssumptions!$R$33*E87</f>
        <v>0</v>
      </c>
      <c r="I87" s="166">
        <f>MachineAssumptions!$R$53*E87</f>
        <v>0</v>
      </c>
    </row>
    <row r="88" spans="1:9" s="1" customFormat="1" ht="20">
      <c r="A88" s="15"/>
      <c r="B88" s="85" t="str">
        <f>MachineAssumptions!B12&amp;" - Fuel, Lube"</f>
        <v>Cultiweeder - Fuel, Lube</v>
      </c>
      <c r="C88" s="41" t="s">
        <v>246</v>
      </c>
      <c r="D88" s="116">
        <f>MachineAssumptions!$S$12</f>
        <v>0</v>
      </c>
      <c r="E88" s="87">
        <f>FieldApplications!$O$11</f>
        <v>0</v>
      </c>
      <c r="F88" s="117" t="str">
        <f t="shared" si="14"/>
        <v>0</v>
      </c>
      <c r="H88" s="246">
        <f>MachineAssumptions!$S$33*E88</f>
        <v>0</v>
      </c>
      <c r="I88" s="166">
        <f>MachineAssumptions!$S$53*E88</f>
        <v>0</v>
      </c>
    </row>
    <row r="89" spans="1:9" s="1" customFormat="1" ht="20">
      <c r="A89" s="15"/>
      <c r="B89" s="85" t="str">
        <f>MachineAssumptions!B12&amp;" - Repairs"</f>
        <v>Cultiweeder - Repairs</v>
      </c>
      <c r="C89" s="41" t="s">
        <v>246</v>
      </c>
      <c r="D89" s="116">
        <f>MachineAssumptions!$T$12</f>
        <v>0</v>
      </c>
      <c r="E89" s="87">
        <f>FieldApplications!$O$11</f>
        <v>0</v>
      </c>
      <c r="F89" s="117" t="str">
        <f t="shared" si="14"/>
        <v>0</v>
      </c>
      <c r="H89" s="246">
        <f>MachineAssumptions!$T$33*E89</f>
        <v>0</v>
      </c>
      <c r="I89" s="166">
        <f>MachineAssumptions!$T$53*E89</f>
        <v>0</v>
      </c>
    </row>
    <row r="90" spans="1:9" s="1" customFormat="1" ht="20">
      <c r="A90" s="15"/>
      <c r="B90" s="85" t="str">
        <f>MachineAssumptions!B13&amp;" - Labor"</f>
        <v>Drill - Labor</v>
      </c>
      <c r="C90" s="41" t="s">
        <v>246</v>
      </c>
      <c r="D90" s="116">
        <f>MachineAssumptions!$R$13</f>
        <v>1.6703109815354713</v>
      </c>
      <c r="E90" s="87">
        <f>FieldApplications!$O$12</f>
        <v>1</v>
      </c>
      <c r="F90" s="117">
        <f t="shared" si="13"/>
        <v>1.6703109815354713</v>
      </c>
      <c r="H90" s="246">
        <f>MachineAssumptions!$R$34*E90</f>
        <v>1.6703109815354713</v>
      </c>
      <c r="I90" s="166">
        <f>MachineAssumptions!$R$54*E90</f>
        <v>1.6703109815354713</v>
      </c>
    </row>
    <row r="91" spans="1:9" s="1" customFormat="1" ht="20">
      <c r="A91" s="15"/>
      <c r="B91" s="85" t="str">
        <f>MachineAssumptions!B13&amp;" - Fuel, Lube"</f>
        <v>Drill - Fuel, Lube</v>
      </c>
      <c r="C91" s="41" t="s">
        <v>246</v>
      </c>
      <c r="D91" s="116">
        <f>MachineAssumptions!$S$13</f>
        <v>6.146744412050535</v>
      </c>
      <c r="E91" s="87">
        <f>FieldApplications!$O$12</f>
        <v>1</v>
      </c>
      <c r="F91" s="117">
        <f t="shared" si="13"/>
        <v>6.146744412050535</v>
      </c>
      <c r="H91" s="246">
        <f>MachineAssumptions!$S$34*E91</f>
        <v>6.146744412050535</v>
      </c>
      <c r="I91" s="166">
        <f>MachineAssumptions!$S$54*E91</f>
        <v>6.146744412050535</v>
      </c>
    </row>
    <row r="92" spans="1:9" s="1" customFormat="1" ht="20">
      <c r="A92" s="15"/>
      <c r="B92" s="85" t="str">
        <f>MachineAssumptions!B13&amp;" - Repairs"</f>
        <v>Drill - Repairs</v>
      </c>
      <c r="C92" s="41" t="s">
        <v>246</v>
      </c>
      <c r="D92" s="116">
        <f>MachineAssumptions!$T$13</f>
        <v>5.740409656342587</v>
      </c>
      <c r="E92" s="87">
        <f>FieldApplications!$O$12</f>
        <v>1</v>
      </c>
      <c r="F92" s="117">
        <f t="shared" si="13"/>
        <v>5.740409656342587</v>
      </c>
      <c r="H92" s="246">
        <f>MachineAssumptions!$T$34*E92</f>
        <v>5.740409656342587</v>
      </c>
      <c r="I92" s="166">
        <f>MachineAssumptions!$T$54*E92</f>
        <v>5.740409656342587</v>
      </c>
    </row>
    <row r="93" spans="1:9" s="1" customFormat="1" ht="20">
      <c r="A93" s="15"/>
      <c r="B93" s="85" t="str">
        <f>MachineAssumptions!B14&amp;" - Labor"</f>
        <v>Combine w/ 36' header - Labor</v>
      </c>
      <c r="C93" s="41" t="s">
        <v>246</v>
      </c>
      <c r="D93" s="116">
        <f>MachineAssumptions!$R$14</f>
        <v>1.9161092530657748</v>
      </c>
      <c r="E93" s="87">
        <f>FieldApplications!$O$13</f>
        <v>1</v>
      </c>
      <c r="F93" s="117">
        <f t="shared" si="13"/>
        <v>1.9161092530657748</v>
      </c>
      <c r="H93" s="246">
        <f>MachineAssumptions!$R$35*E93</f>
        <v>1.9161092530657748</v>
      </c>
      <c r="I93" s="166">
        <f>MachineAssumptions!$R$55*E93</f>
        <v>1.9161092530657748</v>
      </c>
    </row>
    <row r="94" spans="1:9" s="1" customFormat="1" ht="20">
      <c r="A94" s="15"/>
      <c r="B94" s="85" t="str">
        <f>MachineAssumptions!B14&amp;" - Fuel, Lube"</f>
        <v>Combine w/ 36' header - Fuel, Lube</v>
      </c>
      <c r="C94" s="41" t="s">
        <v>246</v>
      </c>
      <c r="D94" s="116">
        <f>MachineAssumptions!$S$14</f>
        <v>7.0512820512820511</v>
      </c>
      <c r="E94" s="87">
        <f>FieldApplications!$O$13</f>
        <v>1</v>
      </c>
      <c r="F94" s="117">
        <f t="shared" si="13"/>
        <v>7.0512820512820511</v>
      </c>
      <c r="H94" s="246">
        <f>MachineAssumptions!$S$35*E94</f>
        <v>7.0512820512820511</v>
      </c>
      <c r="I94" s="166">
        <f>MachineAssumptions!$S$55*E94</f>
        <v>7.0512820512820511</v>
      </c>
    </row>
    <row r="95" spans="1:9" s="1" customFormat="1" ht="20">
      <c r="A95" s="15"/>
      <c r="B95" s="85" t="str">
        <f>MachineAssumptions!B14&amp;" - Repairs"</f>
        <v>Combine w/ 36' header - Repairs</v>
      </c>
      <c r="C95" s="41" t="s">
        <v>246</v>
      </c>
      <c r="D95" s="116">
        <f>MachineAssumptions!$T$14</f>
        <v>6.4258281801385913</v>
      </c>
      <c r="E95" s="87">
        <f>FieldApplications!$O$13</f>
        <v>1</v>
      </c>
      <c r="F95" s="117">
        <f t="shared" si="13"/>
        <v>6.4258281801385913</v>
      </c>
      <c r="H95" s="246">
        <f>MachineAssumptions!$T$35*E95</f>
        <v>6.4258281801385913</v>
      </c>
      <c r="I95" s="166">
        <f>MachineAssumptions!$T$55*E95</f>
        <v>4.0416300769413871</v>
      </c>
    </row>
    <row r="96" spans="1:9" s="1" customFormat="1" ht="20">
      <c r="A96" s="15"/>
      <c r="B96" s="85" t="str">
        <f>MachineAssumptions!B16&amp;" - Labor"</f>
        <v>Fertilizer Spreader - Labor</v>
      </c>
      <c r="C96" s="41" t="s">
        <v>246</v>
      </c>
      <c r="D96" s="116">
        <f>MachineAssumptions!$R$16</f>
        <v>0</v>
      </c>
      <c r="E96" s="87">
        <f>FieldApplications!$O$14</f>
        <v>0</v>
      </c>
      <c r="F96" s="117" t="str">
        <f t="shared" si="13"/>
        <v>0</v>
      </c>
      <c r="H96" s="246">
        <f>MachineAssumptions!$R$36*E96</f>
        <v>0</v>
      </c>
      <c r="I96" s="166">
        <f>MachineAssumptions!$R$56*E96</f>
        <v>0</v>
      </c>
    </row>
    <row r="97" spans="1:9" s="1" customFormat="1" ht="20">
      <c r="A97" s="15"/>
      <c r="B97" s="85" t="str">
        <f>MachineAssumptions!B16&amp;" - Fuel, Lube"</f>
        <v>Fertilizer Spreader - Fuel, Lube</v>
      </c>
      <c r="C97" s="41" t="s">
        <v>246</v>
      </c>
      <c r="D97" s="116">
        <f>MachineAssumptions!$S$16</f>
        <v>0</v>
      </c>
      <c r="E97" s="87">
        <f>FieldApplications!$O$14</f>
        <v>0</v>
      </c>
      <c r="F97" s="117" t="str">
        <f t="shared" si="13"/>
        <v>0</v>
      </c>
      <c r="H97" s="246">
        <f>MachineAssumptions!$S$36*E97</f>
        <v>0</v>
      </c>
      <c r="I97" s="166">
        <f>MachineAssumptions!$S$56*E97</f>
        <v>0</v>
      </c>
    </row>
    <row r="98" spans="1:9" s="1" customFormat="1" ht="20">
      <c r="A98" s="15"/>
      <c r="B98" s="85" t="str">
        <f>MachineAssumptions!B16&amp;" - Repairs"</f>
        <v>Fertilizer Spreader - Repairs</v>
      </c>
      <c r="C98" s="41" t="s">
        <v>246</v>
      </c>
      <c r="D98" s="116">
        <f>MachineAssumptions!$T$16</f>
        <v>0</v>
      </c>
      <c r="E98" s="87">
        <f>FieldApplications!$O$14</f>
        <v>0</v>
      </c>
      <c r="F98" s="117" t="str">
        <f t="shared" si="13"/>
        <v>0</v>
      </c>
      <c r="H98" s="246">
        <f>MachineAssumptions!$T$36*E98</f>
        <v>0</v>
      </c>
      <c r="I98" s="166">
        <f>MachineAssumptions!$T$56*E98</f>
        <v>0</v>
      </c>
    </row>
    <row r="99" spans="1:9" s="1" customFormat="1" ht="20">
      <c r="A99" s="15"/>
      <c r="B99" s="85" t="str">
        <f>MachineAssumptions!B17&amp;" - Labor"</f>
        <v>Fertilizer tanks and pump - Labor</v>
      </c>
      <c r="C99" s="41" t="s">
        <v>246</v>
      </c>
      <c r="D99" s="116">
        <f>MachineAssumptions!$R$17</f>
        <v>2.2448979591836737</v>
      </c>
      <c r="E99" s="87">
        <f>FieldApplications!$O$15</f>
        <v>1</v>
      </c>
      <c r="F99" s="117">
        <f t="shared" si="13"/>
        <v>2.2448979591836737</v>
      </c>
      <c r="H99" s="246">
        <f>MachineAssumptions!$R$37*E99</f>
        <v>2.2448979591836737</v>
      </c>
      <c r="I99" s="166">
        <f>MachineAssumptions!$R$57*E99</f>
        <v>2.2448979591836737</v>
      </c>
    </row>
    <row r="100" spans="1:9" s="1" customFormat="1" ht="20">
      <c r="A100" s="15"/>
      <c r="B100" s="85" t="str">
        <f>MachineAssumptions!B17&amp;" - Fuel, Lube"</f>
        <v>Fertilizer tanks and pump - Fuel, Lube</v>
      </c>
      <c r="C100" s="41" t="s">
        <v>246</v>
      </c>
      <c r="D100" s="116">
        <f>MachineAssumptions!$S$17</f>
        <v>9.387755102040817</v>
      </c>
      <c r="E100" s="87">
        <f>FieldApplications!$O$15</f>
        <v>1</v>
      </c>
      <c r="F100" s="117">
        <f t="shared" si="13"/>
        <v>9.387755102040817</v>
      </c>
      <c r="H100" s="246">
        <f>MachineAssumptions!$S$37*E100</f>
        <v>9.387755102040817</v>
      </c>
      <c r="I100" s="166">
        <f>MachineAssumptions!$S$57*E100</f>
        <v>9.387755102040817</v>
      </c>
    </row>
    <row r="101" spans="1:9" s="1" customFormat="1" ht="20">
      <c r="A101" s="15"/>
      <c r="B101" s="85" t="str">
        <f>MachineAssumptions!B17&amp;" - Repairs"</f>
        <v>Fertilizer tanks and pump - Repairs</v>
      </c>
      <c r="C101" s="41" t="s">
        <v>246</v>
      </c>
      <c r="D101" s="116">
        <f>MachineAssumptions!$T$17</f>
        <v>0</v>
      </c>
      <c r="E101" s="87">
        <f>FieldApplications!$O$15</f>
        <v>1</v>
      </c>
      <c r="F101" s="117" t="str">
        <f t="shared" si="13"/>
        <v>0</v>
      </c>
      <c r="H101" s="246">
        <f>MachineAssumptions!$T$37*E101</f>
        <v>0</v>
      </c>
      <c r="I101" s="166">
        <f>MachineAssumptions!$T$57*E101</f>
        <v>0</v>
      </c>
    </row>
    <row r="102" spans="1:9" s="1" customFormat="1" ht="20">
      <c r="A102" s="15"/>
      <c r="B102" s="85" t="str">
        <f>MachineAssumptions!B18&amp;" - Labor"</f>
        <v>Boom sprayer - Labor</v>
      </c>
      <c r="C102" s="41" t="s">
        <v>246</v>
      </c>
      <c r="D102" s="116">
        <f>MachineAssumptions!$R$18</f>
        <v>0.4708120318630365</v>
      </c>
      <c r="E102" s="87">
        <f>FieldApplications!$O$16</f>
        <v>3</v>
      </c>
      <c r="F102" s="117">
        <f t="shared" si="13"/>
        <v>1.4124360955891095</v>
      </c>
      <c r="H102" s="246">
        <f>MachineAssumptions!$R$38*E102</f>
        <v>1.4124360955891095</v>
      </c>
      <c r="I102" s="166">
        <f>MachineAssumptions!$R$58*E102</f>
        <v>1.4124360955891095</v>
      </c>
    </row>
    <row r="103" spans="1:9" s="1" customFormat="1" ht="20">
      <c r="A103" s="15"/>
      <c r="B103" s="85" t="str">
        <f>MachineAssumptions!B18&amp;" - Fuel, Lube"</f>
        <v>Boom sprayer - Fuel, Lube</v>
      </c>
      <c r="C103" s="41" t="s">
        <v>246</v>
      </c>
      <c r="D103" s="116">
        <f>MachineAssumptions!$S$18</f>
        <v>1.8047794554749732</v>
      </c>
      <c r="E103" s="87">
        <f>FieldApplications!$O$16</f>
        <v>3</v>
      </c>
      <c r="F103" s="117">
        <f t="shared" si="13"/>
        <v>5.4143383664249196</v>
      </c>
      <c r="H103" s="246">
        <f>MachineAssumptions!$S$38*E103</f>
        <v>5.4143383664249196</v>
      </c>
      <c r="I103" s="166">
        <f>MachineAssumptions!$S$58*E103</f>
        <v>5.4143383664249196</v>
      </c>
    </row>
    <row r="104" spans="1:9" s="1" customFormat="1" ht="20">
      <c r="A104" s="15"/>
      <c r="B104" s="85" t="str">
        <f>MachineAssumptions!B18&amp;" - Repairs"</f>
        <v>Boom sprayer - Repairs</v>
      </c>
      <c r="C104" s="41" t="s">
        <v>246</v>
      </c>
      <c r="D104" s="116">
        <f>MachineAssumptions!$T$18</f>
        <v>0.49795949063219769</v>
      </c>
      <c r="E104" s="87">
        <f>FieldApplications!$O$16</f>
        <v>3</v>
      </c>
      <c r="F104" s="117">
        <f t="shared" si="13"/>
        <v>1.493878471896593</v>
      </c>
      <c r="H104" s="246">
        <f>MachineAssumptions!$T$38*E104</f>
        <v>1.5084005569154613</v>
      </c>
      <c r="I104" s="166">
        <f>MachineAssumptions!$T$58*E104</f>
        <v>1.3532484858048683</v>
      </c>
    </row>
    <row r="105" spans="1:9" s="1" customFormat="1" ht="20">
      <c r="A105" s="15"/>
      <c r="B105" s="85" t="str">
        <f>MachineAssumptions!B15&amp;" - Labor"</f>
        <v>Bankout Wagon - Labor</v>
      </c>
      <c r="C105" s="41" t="s">
        <v>246</v>
      </c>
      <c r="D105" s="116">
        <f>MachineAssumptions!$R$15</f>
        <v>1.6861761426978819</v>
      </c>
      <c r="E105" s="87">
        <f t="shared" ref="E105:E113" si="15">IF($E$93&gt;0,1,0)</f>
        <v>1</v>
      </c>
      <c r="F105" s="117">
        <f t="shared" si="13"/>
        <v>1.6861761426978819</v>
      </c>
      <c r="H105" s="246">
        <f>MachineAssumptions!$R$39*E105</f>
        <v>1.6861761426978819</v>
      </c>
      <c r="I105" s="166">
        <f>MachineAssumptions!$R$59*E105</f>
        <v>1.6861761426978819</v>
      </c>
    </row>
    <row r="106" spans="1:9" s="1" customFormat="1" ht="20">
      <c r="A106" s="15"/>
      <c r="B106" s="85" t="str">
        <f>MachineAssumptions!B15&amp;" - Fuel, Lube"</f>
        <v>Bankout Wagon - Fuel, Lube</v>
      </c>
      <c r="C106" s="41" t="s">
        <v>246</v>
      </c>
      <c r="D106" s="116">
        <f>MachineAssumptions!$S$15</f>
        <v>7.0512820512820511</v>
      </c>
      <c r="E106" s="87">
        <f t="shared" si="15"/>
        <v>1</v>
      </c>
      <c r="F106" s="117">
        <f t="shared" si="13"/>
        <v>7.0512820512820511</v>
      </c>
      <c r="H106" s="246">
        <f>MachineAssumptions!$S$39*E106</f>
        <v>7.0512820512820511</v>
      </c>
      <c r="I106" s="166">
        <f>MachineAssumptions!$S$59*E106</f>
        <v>7.0512820512820511</v>
      </c>
    </row>
    <row r="107" spans="1:9" s="1" customFormat="1" ht="20">
      <c r="A107" s="15"/>
      <c r="B107" s="85" t="str">
        <f>MachineAssumptions!B15&amp;" - Repairs"</f>
        <v>Bankout Wagon - Repairs</v>
      </c>
      <c r="C107" s="41" t="s">
        <v>246</v>
      </c>
      <c r="D107" s="116">
        <f>MachineAssumptions!$T$15</f>
        <v>0.5058930256896228</v>
      </c>
      <c r="E107" s="87">
        <f t="shared" si="15"/>
        <v>1</v>
      </c>
      <c r="F107" s="117">
        <f t="shared" si="13"/>
        <v>0.5058930256896228</v>
      </c>
      <c r="H107" s="246">
        <f>MachineAssumptions!$T$39*E107</f>
        <v>0.5058930256896228</v>
      </c>
      <c r="I107" s="166">
        <f>MachineAssumptions!$T$59*E107</f>
        <v>0.43525361955195507</v>
      </c>
    </row>
    <row r="108" spans="1:9" s="1" customFormat="1" ht="20">
      <c r="A108" s="15"/>
      <c r="B108" s="85" t="str">
        <f>MachineAssumptions!B19&amp;" - Labor"</f>
        <v>Tandem Axle Truck  - Labor</v>
      </c>
      <c r="C108" s="41" t="s">
        <v>246</v>
      </c>
      <c r="D108" s="116">
        <f>MachineAssumptions!$R$19</f>
        <v>3.6</v>
      </c>
      <c r="E108" s="87">
        <f t="shared" si="15"/>
        <v>1</v>
      </c>
      <c r="F108" s="117">
        <f t="shared" si="13"/>
        <v>3.6</v>
      </c>
      <c r="H108" s="246">
        <f>MachineAssumptions!$R$40*E108</f>
        <v>3.6</v>
      </c>
      <c r="I108" s="166">
        <f>MachineAssumptions!$R$60*E108</f>
        <v>3.6</v>
      </c>
    </row>
    <row r="109" spans="1:9" s="1" customFormat="1" ht="20">
      <c r="A109" s="15"/>
      <c r="B109" s="85" t="str">
        <f>MachineAssumptions!B19&amp;" - Fuel, Lube"</f>
        <v>Tandem Axle Truck  - Fuel, Lube</v>
      </c>
      <c r="C109" s="41" t="s">
        <v>246</v>
      </c>
      <c r="D109" s="116">
        <f>MachineAssumptions!$S$19</f>
        <v>1.1499999999999999</v>
      </c>
      <c r="E109" s="87">
        <f t="shared" si="15"/>
        <v>1</v>
      </c>
      <c r="F109" s="117">
        <f t="shared" si="13"/>
        <v>1.1499999999999999</v>
      </c>
      <c r="H109" s="246">
        <f>MachineAssumptions!$S$40*E109</f>
        <v>1.1499999999999999</v>
      </c>
      <c r="I109" s="166">
        <f>MachineAssumptions!$S$60*E109</f>
        <v>1.1499999999999999</v>
      </c>
    </row>
    <row r="110" spans="1:9" s="1" customFormat="1" ht="20">
      <c r="A110" s="15"/>
      <c r="B110" s="85" t="str">
        <f>MachineAssumptions!B19&amp;" - Repairs"</f>
        <v>Tandem Axle Truck  - Repairs</v>
      </c>
      <c r="C110" s="41" t="s">
        <v>246</v>
      </c>
      <c r="D110" s="116">
        <f>MachineAssumptions!$T$19</f>
        <v>0.8</v>
      </c>
      <c r="E110" s="87">
        <f t="shared" si="15"/>
        <v>1</v>
      </c>
      <c r="F110" s="117">
        <f t="shared" si="13"/>
        <v>0.8</v>
      </c>
      <c r="H110" s="246">
        <f>MachineAssumptions!$T$40*E110</f>
        <v>0.8</v>
      </c>
      <c r="I110" s="166">
        <f>MachineAssumptions!$T$60*E110</f>
        <v>0.8</v>
      </c>
    </row>
    <row r="111" spans="1:9" s="1" customFormat="1" ht="20">
      <c r="A111" s="15"/>
      <c r="B111" s="85" t="str">
        <f>MachineAssumptions!B20&amp;" - Labor"</f>
        <v>Tandem Axle Truck  - Labor</v>
      </c>
      <c r="C111" s="41" t="s">
        <v>246</v>
      </c>
      <c r="D111" s="116">
        <f>MachineAssumptions!$R$20</f>
        <v>3.6</v>
      </c>
      <c r="E111" s="87">
        <f t="shared" si="15"/>
        <v>1</v>
      </c>
      <c r="F111" s="117">
        <f t="shared" si="13"/>
        <v>3.6</v>
      </c>
      <c r="G111" s="173" t="s">
        <v>8</v>
      </c>
      <c r="H111" s="416">
        <f>MachineAssumptions!$R$41*E111</f>
        <v>3.6</v>
      </c>
      <c r="I111" s="369">
        <f>MachineAssumptions!$R$61*E111</f>
        <v>3.6</v>
      </c>
    </row>
    <row r="112" spans="1:9" s="1" customFormat="1" ht="20">
      <c r="A112" s="15"/>
      <c r="B112" s="85" t="str">
        <f>MachineAssumptions!B20&amp;" - Fuel, Lube"</f>
        <v>Tandem Axle Truck  - Fuel, Lube</v>
      </c>
      <c r="C112" s="41" t="s">
        <v>246</v>
      </c>
      <c r="D112" s="116">
        <f>MachineAssumptions!$S$20</f>
        <v>1.72</v>
      </c>
      <c r="E112" s="87">
        <f t="shared" si="15"/>
        <v>1</v>
      </c>
      <c r="F112" s="117">
        <f t="shared" si="13"/>
        <v>1.72</v>
      </c>
      <c r="H112" s="416">
        <f>MachineAssumptions!$S$41*E112</f>
        <v>1.72</v>
      </c>
      <c r="I112" s="369">
        <f>MachineAssumptions!$S$61*E112</f>
        <v>1.72</v>
      </c>
    </row>
    <row r="113" spans="1:14" s="1" customFormat="1" ht="23">
      <c r="A113" s="15"/>
      <c r="B113" s="85" t="str">
        <f>MachineAssumptions!B20&amp;" - Repairs"</f>
        <v>Tandem Axle Truck  - Repairs</v>
      </c>
      <c r="C113" s="41" t="s">
        <v>246</v>
      </c>
      <c r="D113" s="116">
        <f>MachineAssumptions!$T$20</f>
        <v>0.8</v>
      </c>
      <c r="E113" s="87">
        <f t="shared" si="15"/>
        <v>1</v>
      </c>
      <c r="F113" s="117">
        <f t="shared" si="13"/>
        <v>0.8</v>
      </c>
      <c r="H113" s="248">
        <f>MachineAssumptions!$T$41*E113</f>
        <v>0.8</v>
      </c>
      <c r="I113" s="247">
        <f>MachineAssumptions!$T$61*E113</f>
        <v>0.8</v>
      </c>
    </row>
    <row r="114" spans="1:14" s="1" customFormat="1" ht="21">
      <c r="A114" s="15"/>
      <c r="B114" s="139" t="s">
        <v>88</v>
      </c>
      <c r="C114" s="41"/>
      <c r="D114" s="116"/>
      <c r="E114" s="87"/>
      <c r="F114" s="117"/>
      <c r="H114" s="249">
        <f>SUM(H74:H113)</f>
        <v>69.831863834238547</v>
      </c>
      <c r="I114" s="249">
        <f>SUM(I74:I113)</f>
        <v>67.221874253793075</v>
      </c>
    </row>
    <row r="115" spans="1:14" ht="20">
      <c r="A115" s="15"/>
      <c r="B115" s="85" t="str">
        <f>'Chem&amp;FertInputs&amp;CInsurance'!B73</f>
        <v>Crop Insurance</v>
      </c>
      <c r="C115" s="23" t="str">
        <f>'Chem&amp;FertInputs&amp;CInsurance'!D73</f>
        <v>acre</v>
      </c>
      <c r="D115" s="116">
        <f>'Chem&amp;FertInputs&amp;CInsurance'!R73</f>
        <v>20</v>
      </c>
      <c r="E115" s="87">
        <v>1</v>
      </c>
      <c r="F115" s="117">
        <f>IF(D115*E115=0,"0",D115*E115)</f>
        <v>20</v>
      </c>
      <c r="H115" s="1" t="s">
        <v>181</v>
      </c>
      <c r="I115" s="1" t="s">
        <v>181</v>
      </c>
      <c r="J115" s="1"/>
    </row>
    <row r="116" spans="1:14" ht="20">
      <c r="A116" s="15"/>
      <c r="B116" s="85" t="s">
        <v>29</v>
      </c>
      <c r="C116" s="41" t="s">
        <v>83</v>
      </c>
      <c r="D116" s="111">
        <f>MachineAssumptions!D25</f>
        <v>0.05</v>
      </c>
      <c r="E116" s="87"/>
      <c r="F116" s="117">
        <f>SUM(F8:F115)*D116</f>
        <v>11.933534587460983</v>
      </c>
      <c r="H116" s="49">
        <f>(SUM($F8:$F70)+$F115+SUM(H72:H113))*$D116</f>
        <v>11.934260691711927</v>
      </c>
      <c r="I116" s="49">
        <f>(SUM($F8:$F70)+$F115+SUM(I72:I113))*$D116</f>
        <v>11.803761212689654</v>
      </c>
      <c r="J116" s="49">
        <f>F72+F75+F78+F81+F84+F87+F90+F93+F96+F99+F102+F105+F108+F111</f>
        <v>16.129930432071912</v>
      </c>
      <c r="K116" s="1" t="s">
        <v>111</v>
      </c>
      <c r="L116" s="49">
        <f>J116+J117</f>
        <v>54.051332415152288</v>
      </c>
      <c r="M116" s="1"/>
      <c r="N116" s="1"/>
    </row>
    <row r="117" spans="1:14" ht="20">
      <c r="A117" s="15"/>
      <c r="B117" s="85" t="s">
        <v>84</v>
      </c>
      <c r="C117" s="41" t="s">
        <v>83</v>
      </c>
      <c r="D117" s="111">
        <f>MachineAssumptions!D26</f>
        <v>6.7500000000000004E-2</v>
      </c>
      <c r="E117" s="112"/>
      <c r="F117" s="118">
        <f>SUM(F8:F116)*(D117/12*MachineAssumptions!D27)</f>
        <v>12.686838958294459</v>
      </c>
      <c r="H117" s="49">
        <f>(SUM(F8:F70)+(F115+F116+H114))*((D117/12)*MachineAssumptions!D27)</f>
        <v>12.687574138848539</v>
      </c>
      <c r="I117" s="49">
        <f>(SUM(F8:F70)+(F115+F116+I114))*((D117/12)*MachineAssumptions!D27)</f>
        <v>12.555443416338488</v>
      </c>
      <c r="J117" s="49">
        <f>F73+F76+F79+F82+F85+F88+F91+F94+F97+F100+F103+F106+F109+F112</f>
        <v>37.921401983080372</v>
      </c>
      <c r="K117" s="1" t="s">
        <v>4</v>
      </c>
      <c r="L117" s="49">
        <f>F72+F73+F75+F76+F78+F79+F81+F82+F84+F85+F87+F88+F90+F91+F93+F94+F96+F97+F99+F100+F102+F103+F105+F106+F108+F109+F111+F112</f>
        <v>54.051332415152288</v>
      </c>
      <c r="M117" s="1"/>
    </row>
    <row r="118" spans="1:14" s="1" customFormat="1" ht="20">
      <c r="A118" s="15"/>
      <c r="B118" s="14" t="s">
        <v>85</v>
      </c>
      <c r="C118" s="29"/>
      <c r="D118" s="141"/>
      <c r="E118" s="142"/>
      <c r="F118" s="143">
        <f>SUM(F8:F117)</f>
        <v>263.29106529497511</v>
      </c>
      <c r="J118" s="49">
        <f>F74+F77+F80+F83+F86+F89+F92+F95+F98+F101+F104+F107+F110+F113</f>
        <v>15.766009334067396</v>
      </c>
      <c r="K118" s="1" t="s">
        <v>112</v>
      </c>
      <c r="L118" s="49">
        <f>H74+H77+H80+H83+H86+H89+H92+H95+H98+H101+H104+H107+H110+H113</f>
        <v>15.780531419086264</v>
      </c>
      <c r="M118" s="49">
        <f>I74+I77+I80+I83+I86+I89+I92+I95+I98+I101+I104+I107+I110+I113</f>
        <v>13.1705418386408</v>
      </c>
    </row>
    <row r="119" spans="1:14" s="1" customFormat="1">
      <c r="A119" s="15"/>
      <c r="B119" s="113"/>
      <c r="C119" s="113"/>
      <c r="D119" s="113"/>
      <c r="E119" s="114"/>
      <c r="F119" s="115"/>
      <c r="G119" s="115"/>
      <c r="H119" s="115"/>
      <c r="J119" s="49">
        <f>SUM(J116:J118)</f>
        <v>69.817341749219679</v>
      </c>
      <c r="K119" s="115"/>
    </row>
    <row r="120" spans="1:14" s="1" customFormat="1" ht="20">
      <c r="A120" s="15"/>
      <c r="B120" s="132" t="s">
        <v>89</v>
      </c>
      <c r="C120" s="19" t="s">
        <v>2</v>
      </c>
      <c r="D120" s="20" t="s">
        <v>12</v>
      </c>
      <c r="E120" s="21" t="s">
        <v>13</v>
      </c>
      <c r="F120" s="45" t="s">
        <v>0</v>
      </c>
      <c r="H120" s="1" t="s">
        <v>136</v>
      </c>
      <c r="I120" s="1" t="s">
        <v>139</v>
      </c>
    </row>
    <row r="121" spans="1:14" s="1" customFormat="1" ht="20">
      <c r="A121" s="15"/>
      <c r="B121" s="18" t="str">
        <f>MachineAssumptions!B7&amp;" - Replacement Costs"</f>
        <v>Shredder - Replacement Costs</v>
      </c>
      <c r="C121" s="41" t="str">
        <f>C72</f>
        <v>acre</v>
      </c>
      <c r="D121" s="34">
        <f>MachineAssumptions!U7</f>
        <v>4.3329737628911431</v>
      </c>
      <c r="E121" s="145">
        <f>E72</f>
        <v>0</v>
      </c>
      <c r="F121" s="42" t="str">
        <f t="shared" ref="F121:F134" si="16">IF(D121*E121=0,"0",D121*E121)</f>
        <v>0</v>
      </c>
      <c r="H121" s="166">
        <f>MachineAssumptions!U28*E121</f>
        <v>0</v>
      </c>
      <c r="I121" s="166">
        <f>MachineAssumptions!U48*E121</f>
        <v>0</v>
      </c>
    </row>
    <row r="122" spans="1:14" s="1" customFormat="1" ht="20">
      <c r="A122" s="15"/>
      <c r="B122" s="18" t="str">
        <f>MachineAssumptions!B8&amp;" - Replacement Costs"</f>
        <v>Harrow - Replacement Costs</v>
      </c>
      <c r="C122" s="41" t="str">
        <f>C75</f>
        <v>acre</v>
      </c>
      <c r="D122" s="34">
        <f>MachineAssumptions!U8</f>
        <v>1.1988479209967022</v>
      </c>
      <c r="E122" s="145">
        <f>E75</f>
        <v>0</v>
      </c>
      <c r="F122" s="42" t="str">
        <f t="shared" si="16"/>
        <v>0</v>
      </c>
      <c r="H122" s="166">
        <f>MachineAssumptions!U29*E122</f>
        <v>0</v>
      </c>
      <c r="I122" s="166">
        <f>MachineAssumptions!U49*E122</f>
        <v>0</v>
      </c>
    </row>
    <row r="123" spans="1:14" ht="20">
      <c r="A123" s="15"/>
      <c r="B123" s="18" t="str">
        <f>MachineAssumptions!B9&amp;" - Replacement Costs"</f>
        <v>Chisel plow - Replacement Costs</v>
      </c>
      <c r="C123" s="41" t="str">
        <f>C78</f>
        <v>acre</v>
      </c>
      <c r="D123" s="34">
        <f>MachineAssumptions!U9</f>
        <v>0</v>
      </c>
      <c r="E123" s="145">
        <f>E78</f>
        <v>0</v>
      </c>
      <c r="F123" s="42" t="str">
        <f t="shared" si="16"/>
        <v>0</v>
      </c>
      <c r="H123" s="166">
        <f>MachineAssumptions!U30*E123</f>
        <v>0</v>
      </c>
      <c r="I123" s="166">
        <f>MachineAssumptions!U50*E123</f>
        <v>0</v>
      </c>
      <c r="K123" s="1"/>
    </row>
    <row r="124" spans="1:14" ht="20">
      <c r="A124" s="15"/>
      <c r="B124" s="18" t="str">
        <f>MachineAssumptions!B10&amp;" - Replacement Costs"</f>
        <v>Moldboard plow - Replacement Costs</v>
      </c>
      <c r="C124" s="41" t="str">
        <f>C81</f>
        <v>acre</v>
      </c>
      <c r="D124" s="34">
        <f>MachineAssumptions!U10</f>
        <v>0</v>
      </c>
      <c r="E124" s="145">
        <f>E81</f>
        <v>0</v>
      </c>
      <c r="F124" s="42" t="str">
        <f t="shared" si="16"/>
        <v>0</v>
      </c>
      <c r="H124" s="166">
        <f>MachineAssumptions!U31*E124</f>
        <v>0</v>
      </c>
      <c r="I124" s="166">
        <f>MachineAssumptions!U51*E124</f>
        <v>0</v>
      </c>
      <c r="K124" s="1"/>
    </row>
    <row r="125" spans="1:14" s="1" customFormat="1" ht="20">
      <c r="A125" s="15"/>
      <c r="B125" s="18" t="str">
        <f>MachineAssumptions!B11&amp;" - Replacement Costs"</f>
        <v>Cultivator - Replacement Costs</v>
      </c>
      <c r="C125" s="41" t="str">
        <f t="shared" ref="C125:C126" si="17">C82</f>
        <v>acre</v>
      </c>
      <c r="D125" s="34">
        <f>MachineAssumptions!U11</f>
        <v>0</v>
      </c>
      <c r="E125" s="145">
        <f>E84</f>
        <v>0</v>
      </c>
      <c r="F125" s="42" t="str">
        <f t="shared" ref="F125:F126" si="18">IF(D125*E125=0,"0",D125*E125)</f>
        <v>0</v>
      </c>
      <c r="H125" s="166">
        <f>MachineAssumptions!U32*E125</f>
        <v>0</v>
      </c>
      <c r="I125" s="166">
        <f>MachineAssumptions!U52*E125</f>
        <v>0</v>
      </c>
    </row>
    <row r="126" spans="1:14" s="1" customFormat="1" ht="20">
      <c r="A126" s="15"/>
      <c r="B126" s="18" t="str">
        <f>MachineAssumptions!B12&amp;" - Replacement Costs"</f>
        <v>Cultiweeder - Replacement Costs</v>
      </c>
      <c r="C126" s="41" t="str">
        <f t="shared" si="17"/>
        <v>acre</v>
      </c>
      <c r="D126" s="34">
        <f>MachineAssumptions!U12</f>
        <v>0</v>
      </c>
      <c r="E126" s="145">
        <f>E87</f>
        <v>0</v>
      </c>
      <c r="F126" s="42" t="str">
        <f t="shared" si="18"/>
        <v>0</v>
      </c>
      <c r="H126" s="166">
        <f>MachineAssumptions!U33*E126</f>
        <v>0</v>
      </c>
      <c r="I126" s="166">
        <f>MachineAssumptions!U53*E126</f>
        <v>0</v>
      </c>
    </row>
    <row r="127" spans="1:14" ht="20">
      <c r="A127" s="15"/>
      <c r="B127" s="18" t="str">
        <f>MachineAssumptions!B13&amp;" - Replacement Costs"</f>
        <v>Drill - Replacement Costs</v>
      </c>
      <c r="C127" s="41" t="str">
        <f>C90</f>
        <v>acre</v>
      </c>
      <c r="D127" s="34">
        <f>MachineAssumptions!U13</f>
        <v>7.2419265221735989</v>
      </c>
      <c r="E127" s="145">
        <f>E90</f>
        <v>1</v>
      </c>
      <c r="F127" s="42">
        <f t="shared" si="16"/>
        <v>7.2419265221735989</v>
      </c>
      <c r="H127" s="166">
        <f>MachineAssumptions!U34*E127</f>
        <v>7.2419265221735989</v>
      </c>
      <c r="I127" s="166">
        <f>MachineAssumptions!U54*E127</f>
        <v>7.2419265221735989</v>
      </c>
      <c r="K127" s="1"/>
    </row>
    <row r="128" spans="1:14" ht="20">
      <c r="A128" s="15"/>
      <c r="B128" s="18" t="str">
        <f>MachineAssumptions!B14&amp;" - Replacement Costs"</f>
        <v>Combine w/ 36' header - Replacement Costs</v>
      </c>
      <c r="C128" s="41" t="str">
        <f>C93</f>
        <v>acre</v>
      </c>
      <c r="D128" s="34">
        <f>MachineAssumptions!U14</f>
        <v>9.7031999999999989</v>
      </c>
      <c r="E128" s="145">
        <f>E93</f>
        <v>1</v>
      </c>
      <c r="F128" s="42">
        <f t="shared" si="16"/>
        <v>9.7031999999999989</v>
      </c>
      <c r="H128" s="166">
        <f>MachineAssumptions!U35*E128</f>
        <v>9.7031999999999989</v>
      </c>
      <c r="I128" s="166">
        <f>MachineAssumptions!U55*E128</f>
        <v>9.7032000000000007</v>
      </c>
      <c r="K128" s="1"/>
    </row>
    <row r="129" spans="1:16" s="1" customFormat="1" ht="20">
      <c r="A129" s="15"/>
      <c r="B129" s="18" t="str">
        <f>MachineAssumptions!B16&amp;" - Replacement Costs"</f>
        <v>Fertilizer Spreader - Replacement Costs</v>
      </c>
      <c r="C129" s="41" t="str">
        <f>C96</f>
        <v>acre</v>
      </c>
      <c r="D129" s="34">
        <f>MachineAssumptions!U16</f>
        <v>0</v>
      </c>
      <c r="E129" s="145">
        <f>E96</f>
        <v>0</v>
      </c>
      <c r="F129" s="42" t="str">
        <f t="shared" si="16"/>
        <v>0</v>
      </c>
      <c r="H129" s="166">
        <f>MachineAssumptions!U36*E129</f>
        <v>0</v>
      </c>
      <c r="I129" s="166">
        <f>MachineAssumptions!U56*E129</f>
        <v>0</v>
      </c>
    </row>
    <row r="130" spans="1:16" s="1" customFormat="1" ht="20">
      <c r="A130" s="15"/>
      <c r="B130" s="18" t="str">
        <f>MachineAssumptions!B17&amp;" - Replacement Costs"</f>
        <v>Fertilizer tanks and pump - Replacement Costs</v>
      </c>
      <c r="C130" s="41" t="str">
        <f>C99</f>
        <v>acre</v>
      </c>
      <c r="D130" s="34">
        <f>MachineAssumptions!U17</f>
        <v>0.6</v>
      </c>
      <c r="E130" s="145">
        <f>E99</f>
        <v>1</v>
      </c>
      <c r="F130" s="42">
        <f t="shared" si="16"/>
        <v>0.6</v>
      </c>
      <c r="H130" s="166">
        <f>MachineAssumptions!U37*E130</f>
        <v>0.6</v>
      </c>
      <c r="I130" s="166">
        <f>MachineAssumptions!U57*E130</f>
        <v>0.6</v>
      </c>
    </row>
    <row r="131" spans="1:16" s="1" customFormat="1" ht="20">
      <c r="A131" s="15"/>
      <c r="B131" s="18" t="str">
        <f>MachineAssumptions!B18&amp;" - Replacement Costs"</f>
        <v>Boom sprayer - Replacement Costs</v>
      </c>
      <c r="C131" s="41" t="str">
        <f>C102</f>
        <v>acre</v>
      </c>
      <c r="D131" s="34">
        <f>MachineAssumptions!U18</f>
        <v>0.80913316225248511</v>
      </c>
      <c r="E131" s="145">
        <f>E102</f>
        <v>3</v>
      </c>
      <c r="F131" s="42">
        <f t="shared" si="16"/>
        <v>2.4273994867574551</v>
      </c>
      <c r="H131" s="166">
        <f>MachineAssumptions!U38*E131</f>
        <v>2.4270356342009749</v>
      </c>
      <c r="I131" s="166">
        <f>MachineAssumptions!U58*E131</f>
        <v>2.4273994867574551</v>
      </c>
    </row>
    <row r="132" spans="1:16" s="1" customFormat="1" ht="20">
      <c r="A132" s="15"/>
      <c r="B132" s="18" t="str">
        <f>MachineAssumptions!B15&amp;" - Replacement Costs"</f>
        <v>Bankout Wagon - Replacement Costs</v>
      </c>
      <c r="C132" s="41" t="str">
        <f>C105</f>
        <v>acre</v>
      </c>
      <c r="D132" s="34">
        <f>MachineAssumptions!U15</f>
        <v>2.9461434675395459</v>
      </c>
      <c r="E132" s="145">
        <f>E105</f>
        <v>1</v>
      </c>
      <c r="F132" s="42">
        <f t="shared" si="16"/>
        <v>2.9461434675395459</v>
      </c>
      <c r="H132" s="166">
        <f>MachineAssumptions!U39*E132</f>
        <v>2.9461434675395459</v>
      </c>
      <c r="I132" s="166">
        <f>MachineAssumptions!U59*E132</f>
        <v>2.9461434675395459</v>
      </c>
    </row>
    <row r="133" spans="1:16" s="1" customFormat="1" ht="20">
      <c r="A133" s="15"/>
      <c r="B133" s="18" t="str">
        <f>MachineAssumptions!B19&amp;" - Replacement Costs"</f>
        <v>Tandem Axle Truck  - Replacement Costs</v>
      </c>
      <c r="C133" s="41" t="str">
        <f>C108</f>
        <v>acre</v>
      </c>
      <c r="D133" s="34">
        <f>MachineAssumptions!U19</f>
        <v>0.64</v>
      </c>
      <c r="E133" s="145">
        <f>E108</f>
        <v>1</v>
      </c>
      <c r="F133" s="42">
        <f t="shared" si="16"/>
        <v>0.64</v>
      </c>
      <c r="H133" s="166">
        <f>MachineAssumptions!U40*E133</f>
        <v>0.64</v>
      </c>
      <c r="I133" s="166">
        <f>MachineAssumptions!U60*E133</f>
        <v>0.64</v>
      </c>
    </row>
    <row r="134" spans="1:16" s="1" customFormat="1" ht="23">
      <c r="A134" s="15"/>
      <c r="B134" s="18" t="str">
        <f>MachineAssumptions!B20&amp;" - Replacement Costs"</f>
        <v>Tandem Axle Truck  - Replacement Costs</v>
      </c>
      <c r="C134" s="41" t="str">
        <f t="shared" ref="C134" si="19">C111</f>
        <v>acre</v>
      </c>
      <c r="D134" s="34">
        <f>MachineAssumptions!U20</f>
        <v>0.64</v>
      </c>
      <c r="E134" s="145">
        <f t="shared" ref="E134" si="20">E111</f>
        <v>1</v>
      </c>
      <c r="F134" s="43">
        <f t="shared" si="16"/>
        <v>0.64</v>
      </c>
      <c r="H134" s="247">
        <f>MachineAssumptions!U41*E134</f>
        <v>0.64</v>
      </c>
      <c r="I134" s="247">
        <f>MachineAssumptions!U61*E134</f>
        <v>0.64</v>
      </c>
    </row>
    <row r="135" spans="1:16" s="1" customFormat="1" ht="20">
      <c r="A135" s="15"/>
      <c r="B135" s="144" t="s">
        <v>38</v>
      </c>
      <c r="C135" s="29"/>
      <c r="D135" s="30"/>
      <c r="E135" s="29"/>
      <c r="F135" s="46">
        <f>SUM(F121:F134)</f>
        <v>24.198669476470602</v>
      </c>
      <c r="H135" s="46">
        <f t="shared" ref="H135:I135" si="21">SUM(H121:H134)</f>
        <v>24.198305623914123</v>
      </c>
      <c r="I135" s="46">
        <f t="shared" si="21"/>
        <v>24.198669476470602</v>
      </c>
    </row>
    <row r="136" spans="1:16" ht="20">
      <c r="A136" s="15"/>
      <c r="B136" s="16"/>
      <c r="C136" s="16"/>
      <c r="D136" s="17"/>
      <c r="E136" s="16"/>
      <c r="F136" s="113"/>
      <c r="K136" s="1"/>
    </row>
    <row r="137" spans="1:16" ht="20">
      <c r="A137" s="15"/>
      <c r="B137" s="14" t="s">
        <v>31</v>
      </c>
      <c r="C137" s="29"/>
      <c r="D137" s="30"/>
      <c r="E137" s="29"/>
      <c r="F137" s="47">
        <f>F118+F135</f>
        <v>287.48973477144574</v>
      </c>
      <c r="H137" s="47">
        <f>SUM(F16:F70)+H114+F115+H116+H117+H135+F8+(H9*D9)+(H10*D10)+(H11*D11)+(H12*D12)+(H13*D13)+(H14*D14)+(H15*D15)</f>
        <v>287.50535428871314</v>
      </c>
      <c r="I137" s="47">
        <f>SUM(F16:F70)+I114+F115+I116+I117+I135+F8+(I9*D9)+(I10*D10)+(I11*D11)+(I12*D12)+(I13*D13)+(I14*D14)+(I15*D15)</f>
        <v>284.63309835929186</v>
      </c>
    </row>
    <row r="138" spans="1:16" ht="21">
      <c r="A138" s="15"/>
      <c r="B138" s="31" t="s">
        <v>32</v>
      </c>
      <c r="C138" s="32"/>
      <c r="D138" s="33"/>
      <c r="E138" s="32"/>
      <c r="F138" s="48">
        <f>F5-F137</f>
        <v>143.61026522855428</v>
      </c>
      <c r="H138" s="250">
        <f>H5-H137</f>
        <v>143.59464571128689</v>
      </c>
      <c r="I138" s="250">
        <f>I5-I137</f>
        <v>146.46690164070816</v>
      </c>
    </row>
    <row r="140" spans="1:16">
      <c r="G140" s="1"/>
      <c r="H140" s="1"/>
      <c r="I140" s="1"/>
      <c r="J140" s="1"/>
      <c r="K140" s="1"/>
      <c r="L140" s="1"/>
      <c r="M140" s="1"/>
      <c r="N140" s="1"/>
      <c r="O140" s="1"/>
      <c r="P140" s="1"/>
    </row>
    <row r="141" spans="1:16">
      <c r="F141" s="1"/>
      <c r="G141" s="1"/>
      <c r="H141" s="1"/>
      <c r="I141" s="1"/>
      <c r="J141" s="1"/>
      <c r="K141" s="1"/>
      <c r="L141" s="1"/>
      <c r="M141" s="1"/>
      <c r="N141" s="1"/>
      <c r="O141" s="1"/>
      <c r="P141" s="1"/>
    </row>
  </sheetData>
  <mergeCells count="2">
    <mergeCell ref="B2:F2"/>
    <mergeCell ref="H70:I70"/>
  </mergeCells>
  <phoneticPr fontId="61" type="noConversion"/>
  <pageMargins left="0.7" right="0.7" top="0.75" bottom="0.75" header="0.3" footer="0.3"/>
  <pageSetup scale="29" orientation="portrait" r:id="rId1"/>
  <ignoredErrors>
    <ignoredError sqref="B135:F138 B114:F114 B62:F62 B71:F71 B63:E70 B116:E116 B115:E115 D72:E113 B72:B113 B121:C134 E121:F134 C13:E13 B118:F120 B117:E117 C8:E8 B2 B4:F7 B61:E61 B16:F20 B21:E31 B32:F32 B33:E40 B54:E57 B42:E51 B60:E60 B41:F41 F60 B52:F53 F42:F51 B58:F59 F54:F57 C9:E9 C10:E10 C11:E11 C12:E12 C14:F14 C15:F15 B9:B15" unlockedFormula="1"/>
    <ignoredError sqref="D127:D134 D121:D124 D125:D126" formula="1" unlockedFormula="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40DD8-0C9D-2F42-8091-DB92D976A7A9}">
  <sheetPr codeName="Sheet25">
    <pageSetUpPr fitToPage="1"/>
  </sheetPr>
  <dimension ref="A1:R138"/>
  <sheetViews>
    <sheetView zoomScale="120" zoomScaleNormal="120" workbookViewId="0">
      <selection activeCell="B2" sqref="B2:F2"/>
    </sheetView>
  </sheetViews>
  <sheetFormatPr baseColWidth="10" defaultColWidth="11.5" defaultRowHeight="15"/>
  <cols>
    <col min="1" max="1" width="4.83203125" style="1" customWidth="1"/>
    <col min="2" max="2" width="57.83203125" style="1" customWidth="1"/>
    <col min="3" max="6" width="12.83203125" style="1" customWidth="1"/>
    <col min="7" max="15" width="11.5" style="1" hidden="1" customWidth="1"/>
    <col min="16" max="16" width="0" style="1" hidden="1" customWidth="1"/>
    <col min="17" max="16384" width="11.5" style="1"/>
  </cols>
  <sheetData>
    <row r="1" spans="1:18" ht="20">
      <c r="A1" s="364" t="s">
        <v>8</v>
      </c>
      <c r="B1" s="27"/>
      <c r="C1" s="16"/>
      <c r="D1" s="17"/>
      <c r="E1" s="16"/>
      <c r="F1" s="16"/>
    </row>
    <row r="2" spans="1:18" ht="20">
      <c r="A2" s="2"/>
      <c r="B2" s="807" t="str">
        <f>'Prices_Yields&amp;SeedInputs'!B18&amp;", Cash Costs and Returns of Producing, $/acre."</f>
        <v>Chem-Fallow, Cash Costs and Returns of Producing, $/acre.</v>
      </c>
      <c r="C2" s="807"/>
      <c r="D2" s="807"/>
      <c r="E2" s="807"/>
      <c r="F2" s="807"/>
    </row>
    <row r="3" spans="1:18" ht="20">
      <c r="A3" s="2"/>
      <c r="B3" s="131" t="s">
        <v>11</v>
      </c>
      <c r="C3" s="24" t="s">
        <v>2</v>
      </c>
      <c r="D3" s="25" t="s">
        <v>12</v>
      </c>
      <c r="E3" s="26" t="s">
        <v>13</v>
      </c>
      <c r="F3" s="26" t="s">
        <v>0</v>
      </c>
      <c r="H3" s="1" t="str">
        <f>'Prices_Yields&amp;SeedInputs'!F3</f>
        <v>Incremental Rotation</v>
      </c>
      <c r="I3" s="1" t="str">
        <f>'Prices_Yields&amp;SeedInputs'!G3</f>
        <v>Aspirational Rotation</v>
      </c>
      <c r="Q3" s="674"/>
      <c r="R3" s="674"/>
    </row>
    <row r="4" spans="1:18" ht="20">
      <c r="A4" s="2"/>
      <c r="B4" s="127" t="str">
        <f>'Prices_Yields&amp;SeedInputs'!B18</f>
        <v>Chem-Fallow</v>
      </c>
      <c r="C4" s="22" t="str">
        <f>'Prices_Yields&amp;SeedInputs'!C18</f>
        <v>acre</v>
      </c>
      <c r="D4" s="17">
        <f>'Prices_Yields&amp;SeedInputs'!D18</f>
        <v>0</v>
      </c>
      <c r="E4" s="90">
        <f>'Prices_Yields&amp;SeedInputs'!E18</f>
        <v>0</v>
      </c>
      <c r="F4" s="35">
        <f>D4*E4</f>
        <v>0</v>
      </c>
      <c r="Q4" s="674"/>
      <c r="R4" s="674"/>
    </row>
    <row r="5" spans="1:18" ht="20">
      <c r="A5" s="2"/>
      <c r="B5" s="14" t="s">
        <v>14</v>
      </c>
      <c r="C5" s="29"/>
      <c r="D5" s="30"/>
      <c r="E5" s="29"/>
      <c r="F5" s="46">
        <f>SUM(F4:F4)</f>
        <v>0</v>
      </c>
      <c r="H5" s="1">
        <f>D4*'Prices_Yields&amp;SeedInputs'!F18</f>
        <v>0</v>
      </c>
      <c r="I5" s="1">
        <f>D4*'Prices_Yields&amp;SeedInputs'!G18</f>
        <v>0</v>
      </c>
      <c r="Q5" s="674"/>
      <c r="R5" s="674"/>
    </row>
    <row r="6" spans="1:18" ht="20">
      <c r="A6" s="2"/>
      <c r="B6" s="16"/>
      <c r="C6" s="16"/>
      <c r="D6" s="17"/>
      <c r="E6" s="16"/>
      <c r="F6" s="44"/>
    </row>
    <row r="7" spans="1:18" ht="20">
      <c r="A7" s="2"/>
      <c r="B7" s="132" t="s">
        <v>37</v>
      </c>
      <c r="C7" s="19" t="s">
        <v>2</v>
      </c>
      <c r="D7" s="20" t="s">
        <v>12</v>
      </c>
      <c r="E7" s="21" t="s">
        <v>13</v>
      </c>
      <c r="F7" s="45" t="s">
        <v>0</v>
      </c>
    </row>
    <row r="8" spans="1:18" ht="20">
      <c r="A8" s="2"/>
      <c r="B8" s="270" t="s">
        <v>8</v>
      </c>
      <c r="C8" s="179"/>
      <c r="D8" s="180"/>
      <c r="E8" s="181"/>
      <c r="F8" s="182"/>
    </row>
    <row r="9" spans="1:18" ht="20">
      <c r="A9" s="2"/>
      <c r="B9" s="85" t="str">
        <f>'Chem&amp;FertInputs&amp;CInsurance'!B6</f>
        <v>Fertilizer - Nitrogen-</v>
      </c>
      <c r="C9" s="23" t="str">
        <f>'Chem&amp;FertInputs&amp;CInsurance'!D6</f>
        <v>pound</v>
      </c>
      <c r="D9" s="116">
        <f>'Chem&amp;FertInputs&amp;CInsurance'!E6</f>
        <v>0.48749999999999999</v>
      </c>
      <c r="E9" s="175">
        <f>'Chem&amp;FertInputs&amp;CInsurance'!S6</f>
        <v>0</v>
      </c>
      <c r="F9" s="117" t="str">
        <f t="shared" ref="F9:F61" si="0">IF(D9*E9=0,"0",D9*E9)</f>
        <v>0</v>
      </c>
      <c r="H9" s="1">
        <f>'Chem&amp;FertInputs&amp;CInsurance'!S7</f>
        <v>0</v>
      </c>
      <c r="I9" s="1">
        <f>'Chem&amp;FertInputs&amp;CInsurance'!S8</f>
        <v>0</v>
      </c>
    </row>
    <row r="10" spans="1:18" ht="20">
      <c r="A10" s="2"/>
      <c r="B10" s="85" t="str">
        <f>'Chem&amp;FertInputs&amp;CInsurance'!B9</f>
        <v>Fertilizer - Anhydrous Ammonia-</v>
      </c>
      <c r="C10" s="23" t="str">
        <f>'Chem&amp;FertInputs&amp;CInsurance'!D9</f>
        <v>pound</v>
      </c>
      <c r="D10" s="116">
        <f>'Chem&amp;FertInputs&amp;CInsurance'!E9</f>
        <v>0.75770000000000004</v>
      </c>
      <c r="E10" s="133">
        <f>'Chem&amp;FertInputs&amp;CInsurance'!S9</f>
        <v>0</v>
      </c>
      <c r="F10" s="117" t="str">
        <f t="shared" si="0"/>
        <v>0</v>
      </c>
      <c r="H10" s="1">
        <f>'Chem&amp;FertInputs&amp;CInsurance'!S10</f>
        <v>0</v>
      </c>
      <c r="I10" s="1">
        <f>'Chem&amp;FertInputs&amp;CInsurance'!S11</f>
        <v>0</v>
      </c>
    </row>
    <row r="11" spans="1:18" ht="20">
      <c r="A11" s="2"/>
      <c r="B11" s="85" t="str">
        <f>'Chem&amp;FertInputs&amp;CInsurance'!B12</f>
        <v xml:space="preserve">Fertilizer - Phosphorus- </v>
      </c>
      <c r="C11" s="23" t="str">
        <f>'Chem&amp;FertInputs&amp;CInsurance'!D12</f>
        <v>pound</v>
      </c>
      <c r="D11" s="116">
        <f>'Chem&amp;FertInputs&amp;CInsurance'!E12</f>
        <v>0.47499999999999998</v>
      </c>
      <c r="E11" s="133">
        <f>'Chem&amp;FertInputs&amp;CInsurance'!S12</f>
        <v>0</v>
      </c>
      <c r="F11" s="117" t="str">
        <f t="shared" si="0"/>
        <v>0</v>
      </c>
      <c r="H11" s="1">
        <f>'Chem&amp;FertInputs&amp;CInsurance'!S13</f>
        <v>0</v>
      </c>
      <c r="I11" s="1">
        <f>'Chem&amp;FertInputs&amp;CInsurance'!S14</f>
        <v>0</v>
      </c>
    </row>
    <row r="12" spans="1:18" ht="20">
      <c r="A12" s="2"/>
      <c r="B12" s="85" t="str">
        <f>'Chem&amp;FertInputs&amp;CInsurance'!B15</f>
        <v>Fertilizer - Potassium-</v>
      </c>
      <c r="C12" s="23" t="str">
        <f>'Chem&amp;FertInputs&amp;CInsurance'!D15</f>
        <v>pound</v>
      </c>
      <c r="D12" s="116">
        <f>'Chem&amp;FertInputs&amp;CInsurance'!E15</f>
        <v>0.441</v>
      </c>
      <c r="E12" s="133">
        <f>'Chem&amp;FertInputs&amp;CInsurance'!S15</f>
        <v>0</v>
      </c>
      <c r="F12" s="117" t="str">
        <f t="shared" si="0"/>
        <v>0</v>
      </c>
      <c r="H12" s="1">
        <f>'Chem&amp;FertInputs&amp;CInsurance'!S16</f>
        <v>0</v>
      </c>
      <c r="I12" s="1">
        <f>'Chem&amp;FertInputs&amp;CInsurance'!S17</f>
        <v>0</v>
      </c>
    </row>
    <row r="13" spans="1:18" ht="20">
      <c r="A13" s="2"/>
      <c r="B13" s="85" t="str">
        <f>'Chem&amp;FertInputs&amp;CInsurance'!B18</f>
        <v>Fertilizer - Sulfur-</v>
      </c>
      <c r="C13" s="23" t="str">
        <f>'Chem&amp;FertInputs&amp;CInsurance'!D18</f>
        <v>pound</v>
      </c>
      <c r="D13" s="116">
        <f>'Chem&amp;FertInputs&amp;CInsurance'!E18</f>
        <v>0.2555</v>
      </c>
      <c r="E13" s="133">
        <f>'Chem&amp;FertInputs&amp;CInsurance'!S18</f>
        <v>0</v>
      </c>
      <c r="F13" s="117" t="str">
        <f t="shared" si="0"/>
        <v>0</v>
      </c>
      <c r="H13" s="1">
        <f>'Chem&amp;FertInputs&amp;CInsurance'!S19</f>
        <v>0</v>
      </c>
      <c r="I13" s="1">
        <f>'Chem&amp;FertInputs&amp;CInsurance'!S20</f>
        <v>0</v>
      </c>
    </row>
    <row r="14" spans="1:18" ht="20">
      <c r="A14" s="2"/>
      <c r="B14" s="85" t="str">
        <f>'Chem&amp;FertInputs&amp;CInsurance'!B21</f>
        <v>Adjuvant - Ammonium Sulfate liquid-</v>
      </c>
      <c r="C14" s="23" t="str">
        <f>'Chem&amp;FertInputs&amp;CInsurance'!D21</f>
        <v>oz</v>
      </c>
      <c r="D14" s="116">
        <f>'Chem&amp;FertInputs&amp;CInsurance'!E21</f>
        <v>0.48</v>
      </c>
      <c r="E14" s="133">
        <f>'Chem&amp;FertInputs&amp;CInsurance'!S21</f>
        <v>1.7</v>
      </c>
      <c r="F14" s="117">
        <f t="shared" ref="F14:F20" si="1">IF(D14*E14=0,"0",D14*E14)</f>
        <v>0.81599999999999995</v>
      </c>
      <c r="G14" s="165">
        <f>E14/128</f>
        <v>1.328125E-2</v>
      </c>
      <c r="H14" s="1">
        <f>'Chem&amp;FertInputs&amp;CInsurance'!S22</f>
        <v>1.7</v>
      </c>
      <c r="I14" s="1">
        <f>'Chem&amp;FertInputs&amp;CInsurance'!S23</f>
        <v>1.7</v>
      </c>
    </row>
    <row r="15" spans="1:18" ht="20">
      <c r="A15" s="2"/>
      <c r="B15" s="85" t="str">
        <f>'Chem&amp;FertInputs&amp;CInsurance'!B24</f>
        <v>Adjuvant - Ammonium Sulfate  (other)-</v>
      </c>
      <c r="C15" s="23" t="str">
        <f>'Chem&amp;FertInputs&amp;CInsurance'!D24</f>
        <v>pound</v>
      </c>
      <c r="D15" s="116">
        <f>'Chem&amp;FertInputs&amp;CInsurance'!E24</f>
        <v>0.71</v>
      </c>
      <c r="E15" s="133">
        <f>'Chem&amp;FertInputs&amp;CInsurance'!S24</f>
        <v>0</v>
      </c>
      <c r="F15" s="117" t="str">
        <f t="shared" si="1"/>
        <v>0</v>
      </c>
      <c r="G15" s="165">
        <f>E15/16</f>
        <v>0</v>
      </c>
      <c r="H15" s="1">
        <f>'Chem&amp;FertInputs&amp;CInsurance'!S25</f>
        <v>0</v>
      </c>
      <c r="I15" s="1">
        <f>'Chem&amp;FertInputs&amp;CInsurance'!S26</f>
        <v>0</v>
      </c>
    </row>
    <row r="16" spans="1:18" ht="20">
      <c r="A16" s="2"/>
      <c r="B16" s="85" t="str">
        <f>'Chem&amp;FertInputs&amp;CInsurance'!C27</f>
        <v xml:space="preserve">crop oil concentrate </v>
      </c>
      <c r="C16" s="23" t="str">
        <f>'Chem&amp;FertInputs&amp;CInsurance'!D27</f>
        <v>pint</v>
      </c>
      <c r="D16" s="116">
        <f>'Chem&amp;FertInputs&amp;CInsurance'!E27</f>
        <v>1.6559999999999999</v>
      </c>
      <c r="E16" s="133">
        <f>'Chem&amp;FertInputs&amp;CInsurance'!S27</f>
        <v>0</v>
      </c>
      <c r="F16" s="117" t="str">
        <f t="shared" si="1"/>
        <v>0</v>
      </c>
      <c r="G16" s="165">
        <f>E16/8</f>
        <v>0</v>
      </c>
    </row>
    <row r="17" spans="1:7" ht="20">
      <c r="A17" s="2"/>
      <c r="B17" s="85" t="str">
        <f>'Chem&amp;FertInputs&amp;CInsurance'!C28</f>
        <v>In-place</v>
      </c>
      <c r="C17" s="23" t="str">
        <f>'Chem&amp;FertInputs&amp;CInsurance'!D28</f>
        <v>oz</v>
      </c>
      <c r="D17" s="116">
        <f>'Chem&amp;FertInputs&amp;CInsurance'!E28</f>
        <v>0.35649999999999998</v>
      </c>
      <c r="E17" s="133">
        <f>'Chem&amp;FertInputs&amp;CInsurance'!S28</f>
        <v>0</v>
      </c>
      <c r="F17" s="117" t="str">
        <f t="shared" si="1"/>
        <v>0</v>
      </c>
      <c r="G17" s="165">
        <f>E17/128</f>
        <v>0</v>
      </c>
    </row>
    <row r="18" spans="1:7" ht="20">
      <c r="A18" s="2"/>
      <c r="B18" s="85" t="str">
        <f>'Chem&amp;FertInputs&amp;CInsurance'!C29</f>
        <v xml:space="preserve">M90 </v>
      </c>
      <c r="C18" s="23" t="str">
        <f>'Chem&amp;FertInputs&amp;CInsurance'!D29</f>
        <v>oz</v>
      </c>
      <c r="D18" s="116">
        <f>'Chem&amp;FertInputs&amp;CInsurance'!E29</f>
        <v>0.253</v>
      </c>
      <c r="E18" s="133">
        <f>'Chem&amp;FertInputs&amp;CInsurance'!S29</f>
        <v>1.5</v>
      </c>
      <c r="F18" s="117">
        <f t="shared" si="1"/>
        <v>0.3795</v>
      </c>
      <c r="G18" s="165">
        <f>E18/128</f>
        <v>1.171875E-2</v>
      </c>
    </row>
    <row r="19" spans="1:7" ht="20">
      <c r="A19" s="2"/>
      <c r="B19" s="85" t="str">
        <f>'Chem&amp;FertInputs&amp;CInsurance'!C30</f>
        <v>Surfactant</v>
      </c>
      <c r="C19" s="23" t="str">
        <f>'Chem&amp;FertInputs&amp;CInsurance'!D30</f>
        <v>oz</v>
      </c>
      <c r="D19" s="116">
        <f>'Chem&amp;FertInputs&amp;CInsurance'!E30</f>
        <v>0.26450000000000001</v>
      </c>
      <c r="E19" s="133">
        <f>'Chem&amp;FertInputs&amp;CInsurance'!S30</f>
        <v>0</v>
      </c>
      <c r="F19" s="117" t="str">
        <f t="shared" si="1"/>
        <v>0</v>
      </c>
      <c r="G19" s="165">
        <f>E19/128</f>
        <v>0</v>
      </c>
    </row>
    <row r="20" spans="1:7" ht="20">
      <c r="A20" s="2"/>
      <c r="B20" s="85" t="str">
        <f>'Chem&amp;FertInputs&amp;CInsurance'!C31</f>
        <v>Syltac sticker</v>
      </c>
      <c r="C20" s="23" t="str">
        <f>'Chem&amp;FertInputs&amp;CInsurance'!D31</f>
        <v>pint</v>
      </c>
      <c r="D20" s="116">
        <f>'Chem&amp;FertInputs&amp;CInsurance'!E31</f>
        <v>7.1874999999999991</v>
      </c>
      <c r="E20" s="133">
        <f>'Chem&amp;FertInputs&amp;CInsurance'!S31</f>
        <v>0</v>
      </c>
      <c r="F20" s="117" t="str">
        <f t="shared" si="1"/>
        <v>0</v>
      </c>
      <c r="G20" s="165">
        <f>E20/8</f>
        <v>0</v>
      </c>
    </row>
    <row r="21" spans="1:7" ht="20">
      <c r="A21" s="2"/>
      <c r="B21" s="85" t="str">
        <f>'Chem&amp;FertInputs&amp;CInsurance'!C33</f>
        <v>2,4 - D</v>
      </c>
      <c r="C21" s="23" t="str">
        <f>'Chem&amp;FertInputs&amp;CInsurance'!D33</f>
        <v>oz</v>
      </c>
      <c r="D21" s="116">
        <f>'Chem&amp;FertInputs&amp;CInsurance'!E33</f>
        <v>0.33349999999999996</v>
      </c>
      <c r="E21" s="133">
        <f>'Chem&amp;FertInputs&amp;CInsurance'!S33</f>
        <v>0</v>
      </c>
      <c r="F21" s="117" t="str">
        <f t="shared" si="0"/>
        <v>0</v>
      </c>
      <c r="G21" s="165">
        <f t="shared" ref="G21:G30" si="2">E21/128</f>
        <v>0</v>
      </c>
    </row>
    <row r="22" spans="1:7" ht="20">
      <c r="A22" s="2"/>
      <c r="B22" s="85" t="str">
        <f>'Chem&amp;FertInputs&amp;CInsurance'!C34</f>
        <v>Achieve SC</v>
      </c>
      <c r="C22" s="23" t="str">
        <f>'Chem&amp;FertInputs&amp;CInsurance'!D34</f>
        <v>oz</v>
      </c>
      <c r="D22" s="116">
        <f>'Chem&amp;FertInputs&amp;CInsurance'!E34</f>
        <v>1.3454999999999999</v>
      </c>
      <c r="E22" s="133">
        <f>'Chem&amp;FertInputs&amp;CInsurance'!S34</f>
        <v>0</v>
      </c>
      <c r="F22" s="117" t="str">
        <f t="shared" si="0"/>
        <v>0</v>
      </c>
      <c r="G22" s="165">
        <f t="shared" si="2"/>
        <v>0</v>
      </c>
    </row>
    <row r="23" spans="1:7" ht="20">
      <c r="A23" s="2"/>
      <c r="B23" s="85" t="str">
        <f>'Chem&amp;FertInputs&amp;CInsurance'!C35</f>
        <v>Affintity TankMix</v>
      </c>
      <c r="C23" s="23" t="str">
        <f>'Chem&amp;FertInputs&amp;CInsurance'!D35</f>
        <v>oz</v>
      </c>
      <c r="D23" s="116">
        <f>'Chem&amp;FertInputs&amp;CInsurance'!E35</f>
        <v>8.9699999999999989</v>
      </c>
      <c r="E23" s="133">
        <f>'Chem&amp;FertInputs&amp;CInsurance'!S35</f>
        <v>0</v>
      </c>
      <c r="F23" s="117" t="str">
        <f t="shared" si="0"/>
        <v>0</v>
      </c>
      <c r="G23" s="165">
        <f t="shared" si="2"/>
        <v>0</v>
      </c>
    </row>
    <row r="24" spans="1:7" ht="20">
      <c r="A24" s="2"/>
      <c r="B24" s="85" t="str">
        <f>'Chem&amp;FertInputs&amp;CInsurance'!C36</f>
        <v xml:space="preserve">Ally </v>
      </c>
      <c r="C24" s="23" t="str">
        <f>'Chem&amp;FertInputs&amp;CInsurance'!D36</f>
        <v>oz</v>
      </c>
      <c r="D24" s="116">
        <f>'Chem&amp;FertInputs&amp;CInsurance'!E36</f>
        <v>1.7249999999999999</v>
      </c>
      <c r="E24" s="133">
        <f>'Chem&amp;FertInputs&amp;CInsurance'!S36</f>
        <v>0</v>
      </c>
      <c r="F24" s="117" t="str">
        <f t="shared" si="0"/>
        <v>0</v>
      </c>
      <c r="G24" s="165">
        <f t="shared" si="2"/>
        <v>0</v>
      </c>
    </row>
    <row r="25" spans="1:7" ht="20">
      <c r="A25" s="2"/>
      <c r="B25" s="85" t="str">
        <f>'Chem&amp;FertInputs&amp;CInsurance'!C37</f>
        <v>Assure</v>
      </c>
      <c r="C25" s="23" t="str">
        <f>'Chem&amp;FertInputs&amp;CInsurance'!D37</f>
        <v>oz</v>
      </c>
      <c r="D25" s="116">
        <f>'Chem&amp;FertInputs&amp;CInsurance'!E37</f>
        <v>0.98899999999999988</v>
      </c>
      <c r="E25" s="133">
        <f>'Chem&amp;FertInputs&amp;CInsurance'!S37</f>
        <v>0</v>
      </c>
      <c r="F25" s="117" t="str">
        <f t="shared" si="0"/>
        <v>0</v>
      </c>
      <c r="G25" s="165">
        <f t="shared" si="2"/>
        <v>0</v>
      </c>
    </row>
    <row r="26" spans="1:7" ht="20">
      <c r="A26" s="2"/>
      <c r="B26" s="85" t="str">
        <f>'Chem&amp;FertInputs&amp;CInsurance'!C38</f>
        <v>Axial Star</v>
      </c>
      <c r="C26" s="23" t="str">
        <f>'Chem&amp;FertInputs&amp;CInsurance'!D38</f>
        <v>oz</v>
      </c>
      <c r="D26" s="116">
        <f>'Chem&amp;FertInputs&amp;CInsurance'!E38</f>
        <v>1.3224999999999998</v>
      </c>
      <c r="E26" s="133">
        <f>'Chem&amp;FertInputs&amp;CInsurance'!S38</f>
        <v>0</v>
      </c>
      <c r="F26" s="117" t="str">
        <f t="shared" si="0"/>
        <v>0</v>
      </c>
      <c r="G26" s="165">
        <f t="shared" si="2"/>
        <v>0</v>
      </c>
    </row>
    <row r="27" spans="1:7" ht="20">
      <c r="A27" s="2"/>
      <c r="B27" s="85" t="str">
        <f>'Chem&amp;FertInputs&amp;CInsurance'!C39</f>
        <v>Axial Bold</v>
      </c>
      <c r="C27" s="23" t="str">
        <f>'Chem&amp;FertInputs&amp;CInsurance'!D39</f>
        <v>oz</v>
      </c>
      <c r="D27" s="116">
        <f>'Chem&amp;FertInputs&amp;CInsurance'!E39</f>
        <v>1.0924999999999998</v>
      </c>
      <c r="E27" s="133">
        <f>'Chem&amp;FertInputs&amp;CInsurance'!S39</f>
        <v>0</v>
      </c>
      <c r="F27" s="117" t="str">
        <f t="shared" si="0"/>
        <v>0</v>
      </c>
      <c r="G27" s="165">
        <f t="shared" si="2"/>
        <v>0</v>
      </c>
    </row>
    <row r="28" spans="1:7" ht="20">
      <c r="A28" s="2"/>
      <c r="B28" s="85" t="str">
        <f>'Chem&amp;FertInputs&amp;CInsurance'!C40</f>
        <v>Bronate</v>
      </c>
      <c r="C28" s="23" t="str">
        <f>'Chem&amp;FertInputs&amp;CInsurance'!D40</f>
        <v>oz</v>
      </c>
      <c r="D28" s="116">
        <f>'Chem&amp;FertInputs&amp;CInsurance'!E40</f>
        <v>7.911999999999999</v>
      </c>
      <c r="E28" s="133">
        <f>'Chem&amp;FertInputs&amp;CInsurance'!S40</f>
        <v>0</v>
      </c>
      <c r="F28" s="117" t="str">
        <f t="shared" si="0"/>
        <v>0</v>
      </c>
      <c r="G28" s="165">
        <f t="shared" si="2"/>
        <v>0</v>
      </c>
    </row>
    <row r="29" spans="1:7" ht="20">
      <c r="A29" s="2"/>
      <c r="B29" s="85" t="str">
        <f>'Chem&amp;FertInputs&amp;CInsurance'!C41</f>
        <v xml:space="preserve">Brox M </v>
      </c>
      <c r="C29" s="23" t="str">
        <f>'Chem&amp;FertInputs&amp;CInsurance'!D41</f>
        <v>oz</v>
      </c>
      <c r="D29" s="116">
        <f>'Chem&amp;FertInputs&amp;CInsurance'!E41</f>
        <v>0.42549999999999999</v>
      </c>
      <c r="E29" s="133">
        <f>'Chem&amp;FertInputs&amp;CInsurance'!S41</f>
        <v>0</v>
      </c>
      <c r="F29" s="117" t="str">
        <f t="shared" si="0"/>
        <v>0</v>
      </c>
      <c r="G29" s="165">
        <f t="shared" si="2"/>
        <v>0</v>
      </c>
    </row>
    <row r="30" spans="1:7" ht="20">
      <c r="A30" s="2"/>
      <c r="B30" s="85" t="str">
        <f>'Chem&amp;FertInputs&amp;CInsurance'!C42</f>
        <v>Capture</v>
      </c>
      <c r="C30" s="23" t="str">
        <f>'Chem&amp;FertInputs&amp;CInsurance'!D42</f>
        <v>oz</v>
      </c>
      <c r="D30" s="116">
        <f>'Chem&amp;FertInputs&amp;CInsurance'!E42</f>
        <v>2.7024999999999997</v>
      </c>
      <c r="E30" s="133">
        <f>'Chem&amp;FertInputs&amp;CInsurance'!S42</f>
        <v>0</v>
      </c>
      <c r="F30" s="117" t="str">
        <f t="shared" si="0"/>
        <v>0</v>
      </c>
      <c r="G30" s="165">
        <f t="shared" si="2"/>
        <v>0</v>
      </c>
    </row>
    <row r="31" spans="1:7" ht="20">
      <c r="A31" s="2"/>
      <c r="B31" s="85" t="str">
        <f>'Chem&amp;FertInputs&amp;CInsurance'!C43</f>
        <v xml:space="preserve">Dimethoate </v>
      </c>
      <c r="C31" s="23" t="str">
        <f>'Chem&amp;FertInputs&amp;CInsurance'!D43</f>
        <v>pint</v>
      </c>
      <c r="D31" s="116">
        <f>'Chem&amp;FertInputs&amp;CInsurance'!E43</f>
        <v>7.1874999999999991</v>
      </c>
      <c r="E31" s="133">
        <f>'Chem&amp;FertInputs&amp;CInsurance'!S43</f>
        <v>0</v>
      </c>
      <c r="F31" s="117" t="str">
        <f t="shared" si="0"/>
        <v>0</v>
      </c>
      <c r="G31" s="165">
        <f>E31/8</f>
        <v>0</v>
      </c>
    </row>
    <row r="32" spans="1:7" ht="20">
      <c r="A32" s="2"/>
      <c r="B32" s="85" t="str">
        <f>'Chem&amp;FertInputs&amp;CInsurance'!C44</f>
        <v>Clethodim</v>
      </c>
      <c r="C32" s="23" t="str">
        <f>'Chem&amp;FertInputs&amp;CInsurance'!D44</f>
        <v>oz</v>
      </c>
      <c r="D32" s="116">
        <f>'Chem&amp;FertInputs&amp;CInsurance'!E44</f>
        <v>0.75900000000000001</v>
      </c>
      <c r="E32" s="133">
        <f>'Chem&amp;FertInputs&amp;CInsurance'!S44</f>
        <v>0</v>
      </c>
      <c r="F32" s="117" t="str">
        <f t="shared" ref="F32" si="3">IF(D32*E32=0,"0",D32*E32)</f>
        <v>0</v>
      </c>
      <c r="G32" s="165">
        <f t="shared" ref="G32:G37" si="4">E32/128</f>
        <v>0</v>
      </c>
    </row>
    <row r="33" spans="1:7" ht="20">
      <c r="A33" s="2"/>
      <c r="B33" s="85" t="str">
        <f>'Chem&amp;FertInputs&amp;CInsurance'!C45</f>
        <v>Discover</v>
      </c>
      <c r="C33" s="23" t="str">
        <f>'Chem&amp;FertInputs&amp;CInsurance'!D45</f>
        <v>oz</v>
      </c>
      <c r="D33" s="116">
        <f>'Chem&amp;FertInputs&amp;CInsurance'!E45</f>
        <v>1.6904999999999999</v>
      </c>
      <c r="E33" s="133">
        <f>'Chem&amp;FertInputs&amp;CInsurance'!S45</f>
        <v>0</v>
      </c>
      <c r="F33" s="117" t="str">
        <f t="shared" si="0"/>
        <v>0</v>
      </c>
      <c r="G33" s="165">
        <f t="shared" si="4"/>
        <v>0</v>
      </c>
    </row>
    <row r="34" spans="1:7" ht="20">
      <c r="A34" s="2"/>
      <c r="B34" s="85" t="str">
        <f>'Chem&amp;FertInputs&amp;CInsurance'!C46</f>
        <v>FarGO</v>
      </c>
      <c r="C34" s="23" t="str">
        <f>'Chem&amp;FertInputs&amp;CInsurance'!D46</f>
        <v>oz</v>
      </c>
      <c r="D34" s="116">
        <f>'Chem&amp;FertInputs&amp;CInsurance'!E46</f>
        <v>19.158999999999999</v>
      </c>
      <c r="E34" s="133">
        <f>'Chem&amp;FertInputs&amp;CInsurance'!S46</f>
        <v>0</v>
      </c>
      <c r="F34" s="117" t="str">
        <f t="shared" si="0"/>
        <v>0</v>
      </c>
      <c r="G34" s="165">
        <f t="shared" si="4"/>
        <v>0</v>
      </c>
    </row>
    <row r="35" spans="1:7" ht="20">
      <c r="A35" s="2"/>
      <c r="B35" s="85" t="str">
        <f>'Chem&amp;FertInputs&amp;CInsurance'!C47</f>
        <v>Finesse</v>
      </c>
      <c r="C35" s="23" t="str">
        <f>'Chem&amp;FertInputs&amp;CInsurance'!D47</f>
        <v>oz</v>
      </c>
      <c r="D35" s="116">
        <f>'Chem&amp;FertInputs&amp;CInsurance'!E47</f>
        <v>19.940999999999999</v>
      </c>
      <c r="E35" s="133">
        <f>'Chem&amp;FertInputs&amp;CInsurance'!S47</f>
        <v>0</v>
      </c>
      <c r="F35" s="117" t="str">
        <f t="shared" si="0"/>
        <v>0</v>
      </c>
      <c r="G35" s="165">
        <f t="shared" si="4"/>
        <v>0</v>
      </c>
    </row>
    <row r="36" spans="1:7" ht="20">
      <c r="A36" s="2"/>
      <c r="B36" s="85" t="str">
        <f>'Chem&amp;FertInputs&amp;CInsurance'!C48</f>
        <v>Glyphosate</v>
      </c>
      <c r="C36" s="23" t="str">
        <f>'Chem&amp;FertInputs&amp;CInsurance'!D48</f>
        <v>oz</v>
      </c>
      <c r="D36" s="116">
        <f>'Chem&amp;FertInputs&amp;CInsurance'!E48</f>
        <v>0.14949999999999999</v>
      </c>
      <c r="E36" s="133">
        <f>'Chem&amp;FertInputs&amp;CInsurance'!S48</f>
        <v>0</v>
      </c>
      <c r="F36" s="117" t="str">
        <f t="shared" si="0"/>
        <v>0</v>
      </c>
      <c r="G36" s="165">
        <f t="shared" si="4"/>
        <v>0</v>
      </c>
    </row>
    <row r="37" spans="1:7" ht="20">
      <c r="A37" s="2"/>
      <c r="B37" s="85" t="str">
        <f>'Chem&amp;FertInputs&amp;CInsurance'!C49</f>
        <v>Huskie</v>
      </c>
      <c r="C37" s="23" t="str">
        <f>'Chem&amp;FertInputs&amp;CInsurance'!D49</f>
        <v>oz</v>
      </c>
      <c r="D37" s="116">
        <f>'Chem&amp;FertInputs&amp;CInsurance'!E49</f>
        <v>0.88549999999999995</v>
      </c>
      <c r="E37" s="133">
        <f>'Chem&amp;FertInputs&amp;CInsurance'!S49</f>
        <v>0</v>
      </c>
      <c r="F37" s="117" t="str">
        <f t="shared" si="0"/>
        <v>0</v>
      </c>
      <c r="G37" s="165">
        <f t="shared" si="4"/>
        <v>0</v>
      </c>
    </row>
    <row r="38" spans="1:7" ht="20">
      <c r="A38" s="2"/>
      <c r="B38" s="85" t="str">
        <f>'Chem&amp;FertInputs&amp;CInsurance'!C50</f>
        <v>Imidan 70</v>
      </c>
      <c r="C38" s="23" t="str">
        <f>'Chem&amp;FertInputs&amp;CInsurance'!D50</f>
        <v>lb</v>
      </c>
      <c r="D38" s="116">
        <f>'Chem&amp;FertInputs&amp;CInsurance'!E50</f>
        <v>17.295999999999999</v>
      </c>
      <c r="E38" s="133">
        <f>'Chem&amp;FertInputs&amp;CInsurance'!S50</f>
        <v>0</v>
      </c>
      <c r="F38" s="117" t="str">
        <f t="shared" si="0"/>
        <v>0</v>
      </c>
      <c r="G38" s="165">
        <f>E38/16</f>
        <v>0</v>
      </c>
    </row>
    <row r="39" spans="1:7" ht="20">
      <c r="A39" s="2"/>
      <c r="B39" s="85" t="str">
        <f>'Chem&amp;FertInputs&amp;CInsurance'!C51</f>
        <v xml:space="preserve">Maverick </v>
      </c>
      <c r="C39" s="23" t="str">
        <f>'Chem&amp;FertInputs&amp;CInsurance'!D51</f>
        <v>oz</v>
      </c>
      <c r="D39" s="116">
        <f>'Chem&amp;FertInputs&amp;CInsurance'!E51</f>
        <v>23.885499999999997</v>
      </c>
      <c r="E39" s="133">
        <f>'Chem&amp;FertInputs&amp;CInsurance'!S51</f>
        <v>0</v>
      </c>
      <c r="F39" s="117" t="str">
        <f t="shared" si="0"/>
        <v>0</v>
      </c>
      <c r="G39" s="165">
        <f t="shared" ref="G39:G51" si="5">E39/128</f>
        <v>0</v>
      </c>
    </row>
    <row r="40" spans="1:7" ht="20">
      <c r="A40" s="2"/>
      <c r="B40" s="85" t="str">
        <f>'Chem&amp;FertInputs&amp;CInsurance'!C52</f>
        <v>Osprey</v>
      </c>
      <c r="C40" s="23" t="str">
        <f>'Chem&amp;FertInputs&amp;CInsurance'!D52</f>
        <v>oz</v>
      </c>
      <c r="D40" s="116">
        <f>'Chem&amp;FertInputs&amp;CInsurance'!E52</f>
        <v>5.0484999999999989</v>
      </c>
      <c r="E40" s="133">
        <f>'Chem&amp;FertInputs&amp;CInsurance'!S52</f>
        <v>0</v>
      </c>
      <c r="F40" s="117" t="str">
        <f t="shared" si="0"/>
        <v>0</v>
      </c>
      <c r="G40" s="165">
        <f t="shared" si="5"/>
        <v>0</v>
      </c>
    </row>
    <row r="41" spans="1:7" ht="20">
      <c r="A41" s="2"/>
      <c r="B41" s="85" t="str">
        <f>'Chem&amp;FertInputs&amp;CInsurance'!C53</f>
        <v>Poast</v>
      </c>
      <c r="C41" s="23" t="str">
        <f>'Chem&amp;FertInputs&amp;CInsurance'!D53</f>
        <v>oz</v>
      </c>
      <c r="D41" s="116">
        <f>'Chem&amp;FertInputs&amp;CInsurance'!E53</f>
        <v>19.285499999999999</v>
      </c>
      <c r="E41" s="133">
        <f>'Chem&amp;FertInputs&amp;CInsurance'!S53</f>
        <v>0</v>
      </c>
      <c r="F41" s="117" t="str">
        <f t="shared" ref="F41" si="6">IF(D41*E41=0,"0",D41*E41)</f>
        <v>0</v>
      </c>
      <c r="G41" s="165">
        <f t="shared" si="5"/>
        <v>0</v>
      </c>
    </row>
    <row r="42" spans="1:7" ht="20">
      <c r="A42" s="2"/>
      <c r="B42" s="85" t="str">
        <f>'Chem&amp;FertInputs&amp;CInsurance'!C54</f>
        <v>Power Flex</v>
      </c>
      <c r="C42" s="23" t="str">
        <f>'Chem&amp;FertInputs&amp;CInsurance'!D54</f>
        <v>oz</v>
      </c>
      <c r="D42" s="116">
        <f>'Chem&amp;FertInputs&amp;CInsurance'!E54</f>
        <v>8.9124999999999996</v>
      </c>
      <c r="E42" s="133">
        <f>'Chem&amp;FertInputs&amp;CInsurance'!S54</f>
        <v>0</v>
      </c>
      <c r="F42" s="117" t="str">
        <f t="shared" si="0"/>
        <v>0</v>
      </c>
      <c r="G42" s="165">
        <f t="shared" si="5"/>
        <v>0</v>
      </c>
    </row>
    <row r="43" spans="1:7" ht="20">
      <c r="A43" s="2"/>
      <c r="B43" s="85" t="str">
        <f>'Chem&amp;FertInputs&amp;CInsurance'!C55</f>
        <v>Priaxor</v>
      </c>
      <c r="C43" s="23" t="str">
        <f>'Chem&amp;FertInputs&amp;CInsurance'!D55</f>
        <v>oz</v>
      </c>
      <c r="D43" s="116">
        <f>'Chem&amp;FertInputs&amp;CInsurance'!E55</f>
        <v>3.4269999999999996</v>
      </c>
      <c r="E43" s="133">
        <f>'Chem&amp;FertInputs&amp;CInsurance'!S55</f>
        <v>0</v>
      </c>
      <c r="F43" s="117" t="str">
        <f t="shared" si="0"/>
        <v>0</v>
      </c>
      <c r="G43" s="165">
        <f t="shared" si="5"/>
        <v>0</v>
      </c>
    </row>
    <row r="44" spans="1:7" ht="20">
      <c r="A44" s="2"/>
      <c r="B44" s="85" t="str">
        <f>'Chem&amp;FertInputs&amp;CInsurance'!C56</f>
        <v>Prowl</v>
      </c>
      <c r="C44" s="23" t="str">
        <f>'Chem&amp;FertInputs&amp;CInsurance'!D56</f>
        <v>oz</v>
      </c>
      <c r="D44" s="116">
        <f>'Chem&amp;FertInputs&amp;CInsurance'!E56</f>
        <v>0.51749999999999996</v>
      </c>
      <c r="E44" s="133">
        <f>'Chem&amp;FertInputs&amp;CInsurance'!S56</f>
        <v>0</v>
      </c>
      <c r="F44" s="117" t="str">
        <f t="shared" si="0"/>
        <v>0</v>
      </c>
      <c r="G44" s="165">
        <f t="shared" si="5"/>
        <v>0</v>
      </c>
    </row>
    <row r="45" spans="1:7" ht="20">
      <c r="A45" s="2"/>
      <c r="B45" s="85" t="str">
        <f>'Chem&amp;FertInputs&amp;CInsurance'!C57</f>
        <v>Pursuit</v>
      </c>
      <c r="C45" s="23" t="str">
        <f>'Chem&amp;FertInputs&amp;CInsurance'!D57</f>
        <v>oz</v>
      </c>
      <c r="D45" s="116">
        <f>'Chem&amp;FertInputs&amp;CInsurance'!E57</f>
        <v>4.0594999999999999</v>
      </c>
      <c r="E45" s="133">
        <f>'Chem&amp;FertInputs&amp;CInsurance'!S57</f>
        <v>0</v>
      </c>
      <c r="F45" s="117" t="str">
        <f t="shared" si="0"/>
        <v>0</v>
      </c>
      <c r="G45" s="165">
        <f t="shared" si="5"/>
        <v>0</v>
      </c>
    </row>
    <row r="46" spans="1:7" ht="20">
      <c r="A46" s="2"/>
      <c r="B46" s="85" t="str">
        <f>'Chem&amp;FertInputs&amp;CInsurance'!C58</f>
        <v xml:space="preserve">Quadris </v>
      </c>
      <c r="C46" s="23" t="str">
        <f>'Chem&amp;FertInputs&amp;CInsurance'!D58</f>
        <v>oz</v>
      </c>
      <c r="D46" s="116">
        <f>'Chem&amp;FertInputs&amp;CInsurance'!E58</f>
        <v>1.127</v>
      </c>
      <c r="E46" s="133">
        <f>'Chem&amp;FertInputs&amp;CInsurance'!S58</f>
        <v>0</v>
      </c>
      <c r="F46" s="117" t="str">
        <f t="shared" si="0"/>
        <v>0</v>
      </c>
      <c r="G46" s="165">
        <f t="shared" si="5"/>
        <v>0</v>
      </c>
    </row>
    <row r="47" spans="1:7" ht="20">
      <c r="A47" s="2"/>
      <c r="B47" s="85" t="str">
        <f>'Chem&amp;FertInputs&amp;CInsurance'!C59</f>
        <v>Quilt</v>
      </c>
      <c r="C47" s="23" t="str">
        <f>'Chem&amp;FertInputs&amp;CInsurance'!D59</f>
        <v>oz</v>
      </c>
      <c r="D47" s="116">
        <f>'Chem&amp;FertInputs&amp;CInsurance'!E59</f>
        <v>1.4834999999999998</v>
      </c>
      <c r="E47" s="133">
        <f>'Chem&amp;FertInputs&amp;CInsurance'!S59</f>
        <v>0</v>
      </c>
      <c r="F47" s="117" t="str">
        <f t="shared" si="0"/>
        <v>0</v>
      </c>
      <c r="G47" s="165">
        <f t="shared" si="5"/>
        <v>0</v>
      </c>
    </row>
    <row r="48" spans="1:7" ht="20">
      <c r="A48" s="2"/>
      <c r="B48" s="85" t="str">
        <f>'Chem&amp;FertInputs&amp;CInsurance'!C60</f>
        <v>R11</v>
      </c>
      <c r="C48" s="23" t="str">
        <f>'Chem&amp;FertInputs&amp;CInsurance'!D60</f>
        <v>oz</v>
      </c>
      <c r="D48" s="116">
        <f>'Chem&amp;FertInputs&amp;CInsurance'!E60</f>
        <v>0.26450000000000001</v>
      </c>
      <c r="E48" s="133">
        <f>'Chem&amp;FertInputs&amp;CInsurance'!S60</f>
        <v>0</v>
      </c>
      <c r="F48" s="117" t="str">
        <f t="shared" si="0"/>
        <v>0</v>
      </c>
      <c r="G48" s="165">
        <f t="shared" si="5"/>
        <v>0</v>
      </c>
    </row>
    <row r="49" spans="1:7" ht="20">
      <c r="A49" s="2"/>
      <c r="B49" s="85" t="str">
        <f>'Chem&amp;FertInputs&amp;CInsurance'!C61</f>
        <v>Starane</v>
      </c>
      <c r="C49" s="23" t="str">
        <f>'Chem&amp;FertInputs&amp;CInsurance'!D61</f>
        <v>oz</v>
      </c>
      <c r="D49" s="116">
        <f>'Chem&amp;FertInputs&amp;CInsurance'!E61</f>
        <v>0.77049999999999996</v>
      </c>
      <c r="E49" s="133">
        <f>'Chem&amp;FertInputs&amp;CInsurance'!S61</f>
        <v>0</v>
      </c>
      <c r="F49" s="117" t="str">
        <f t="shared" si="0"/>
        <v>0</v>
      </c>
      <c r="G49" s="165">
        <f t="shared" si="5"/>
        <v>0</v>
      </c>
    </row>
    <row r="50" spans="1:7" ht="20">
      <c r="A50" s="2"/>
      <c r="B50" s="85" t="str">
        <f>'Chem&amp;FertInputs&amp;CInsurance'!C62</f>
        <v>Starane + Salvo</v>
      </c>
      <c r="C50" s="23" t="str">
        <f>'Chem&amp;FertInputs&amp;CInsurance'!D62</f>
        <v>oz</v>
      </c>
      <c r="D50" s="116">
        <f>'Chem&amp;FertInputs&amp;CInsurance'!E62</f>
        <v>0.77049999999999996</v>
      </c>
      <c r="E50" s="133">
        <f>'Chem&amp;FertInputs&amp;CInsurance'!S62</f>
        <v>0</v>
      </c>
      <c r="F50" s="117" t="str">
        <f t="shared" si="0"/>
        <v>0</v>
      </c>
      <c r="G50" s="165">
        <f t="shared" si="5"/>
        <v>0</v>
      </c>
    </row>
    <row r="51" spans="1:7" ht="20">
      <c r="A51" s="2"/>
      <c r="B51" s="85" t="str">
        <f>'Chem&amp;FertInputs&amp;CInsurance'!C63</f>
        <v xml:space="preserve">Starane + Sword </v>
      </c>
      <c r="C51" s="23" t="str">
        <f>'Chem&amp;FertInputs&amp;CInsurance'!D63</f>
        <v>oz</v>
      </c>
      <c r="D51" s="116">
        <f>'Chem&amp;FertInputs&amp;CInsurance'!E63</f>
        <v>0.77049999999999996</v>
      </c>
      <c r="E51" s="133">
        <f>'Chem&amp;FertInputs&amp;CInsurance'!S63</f>
        <v>0</v>
      </c>
      <c r="F51" s="117" t="str">
        <f t="shared" si="0"/>
        <v>0</v>
      </c>
      <c r="G51" s="165">
        <f t="shared" si="5"/>
        <v>0</v>
      </c>
    </row>
    <row r="52" spans="1:7" ht="20">
      <c r="A52" s="2"/>
      <c r="B52" s="85" t="str">
        <f>'Chem&amp;FertInputs&amp;CInsurance'!C64</f>
        <v xml:space="preserve"> Tilt</v>
      </c>
      <c r="C52" s="23" t="str">
        <f>'Chem&amp;FertInputs&amp;CInsurance'!D64</f>
        <v>oz</v>
      </c>
      <c r="D52" s="116">
        <f>'Chem&amp;FertInputs&amp;CInsurance'!E64</f>
        <v>0.88549999999999995</v>
      </c>
      <c r="E52" s="133">
        <f>'Chem&amp;FertInputs&amp;CInsurance'!S64</f>
        <v>0</v>
      </c>
      <c r="F52" s="117" t="str">
        <f t="shared" ref="F52:F53" si="7">IF(D52*E52=0,"0",D52*E52)</f>
        <v>0</v>
      </c>
      <c r="G52" s="165">
        <f t="shared" ref="G52:G53" si="8">E52/128</f>
        <v>0</v>
      </c>
    </row>
    <row r="53" spans="1:7" ht="20">
      <c r="A53" s="2"/>
      <c r="B53" s="85" t="str">
        <f>'Chem&amp;FertInputs&amp;CInsurance'!C65</f>
        <v xml:space="preserve">Wildcard </v>
      </c>
      <c r="C53" s="23" t="str">
        <f>'Chem&amp;FertInputs&amp;CInsurance'!D65</f>
        <v>oz</v>
      </c>
      <c r="D53" s="116">
        <f>'Chem&amp;FertInputs&amp;CInsurance'!E65</f>
        <v>0.35649999999999998</v>
      </c>
      <c r="E53" s="133">
        <f>'Chem&amp;FertInputs&amp;CInsurance'!S65</f>
        <v>0</v>
      </c>
      <c r="F53" s="117" t="str">
        <f t="shared" si="7"/>
        <v>0</v>
      </c>
      <c r="G53" s="165">
        <f t="shared" si="8"/>
        <v>0</v>
      </c>
    </row>
    <row r="54" spans="1:7" ht="20">
      <c r="A54" s="2"/>
      <c r="B54" s="85" t="str">
        <f>'Chem&amp;FertInputs&amp;CInsurance'!C66</f>
        <v>Sharpen</v>
      </c>
      <c r="C54" s="23" t="str">
        <f>'Chem&amp;FertInputs&amp;CInsurance'!D66</f>
        <v>oz</v>
      </c>
      <c r="D54" s="116">
        <f>'Chem&amp;FertInputs&amp;CInsurance'!E66</f>
        <v>6.3134999999999994</v>
      </c>
      <c r="E54" s="133">
        <f>'Chem&amp;FertInputs&amp;CInsurance'!S66</f>
        <v>0</v>
      </c>
      <c r="F54" s="117" t="str">
        <f t="shared" si="0"/>
        <v>0</v>
      </c>
      <c r="G54" s="165">
        <f>E54/128</f>
        <v>0</v>
      </c>
    </row>
    <row r="55" spans="1:7" ht="20">
      <c r="A55" s="2"/>
      <c r="B55" s="85" t="str">
        <f>'Chem&amp;FertInputs&amp;CInsurance'!C67</f>
        <v>Sencor</v>
      </c>
      <c r="C55" s="23" t="str">
        <f>'Chem&amp;FertInputs&amp;CInsurance'!D67</f>
        <v>oz</v>
      </c>
      <c r="D55" s="116">
        <f>'Chem&amp;FertInputs&amp;CInsurance'!E67</f>
        <v>0.45999999999999996</v>
      </c>
      <c r="E55" s="133">
        <f>'Chem&amp;FertInputs&amp;CInsurance'!S67</f>
        <v>0</v>
      </c>
      <c r="F55" s="117" t="str">
        <f t="shared" si="0"/>
        <v>0</v>
      </c>
      <c r="G55" s="165">
        <f>E55/128</f>
        <v>0</v>
      </c>
    </row>
    <row r="56" spans="1:7" ht="20">
      <c r="A56" s="2"/>
      <c r="B56" s="85" t="str">
        <f>'Chem&amp;FertInputs&amp;CInsurance'!C68</f>
        <v>Warrior</v>
      </c>
      <c r="C56" s="23" t="str">
        <f>'Chem&amp;FertInputs&amp;CInsurance'!D68</f>
        <v>acre</v>
      </c>
      <c r="D56" s="116">
        <f>'Chem&amp;FertInputs&amp;CInsurance'!E68</f>
        <v>3.4499999999999997</v>
      </c>
      <c r="E56" s="133">
        <f>'Chem&amp;FertInputs&amp;CInsurance'!S68</f>
        <v>0</v>
      </c>
      <c r="F56" s="117" t="str">
        <f t="shared" si="0"/>
        <v>0</v>
      </c>
      <c r="G56" s="165">
        <f>E56/128</f>
        <v>0</v>
      </c>
    </row>
    <row r="57" spans="1:7" ht="20">
      <c r="A57" s="2"/>
      <c r="B57" s="85" t="str">
        <f>'Chem&amp;FertInputs&amp;CInsurance'!C69</f>
        <v xml:space="preserve"> Lorox</v>
      </c>
      <c r="C57" s="23" t="str">
        <f>'Chem&amp;FertInputs&amp;CInsurance'!D69</f>
        <v>lb</v>
      </c>
      <c r="D57" s="116">
        <f>'Chem&amp;FertInputs&amp;CInsurance'!E69</f>
        <v>26.565000000000001</v>
      </c>
      <c r="E57" s="133">
        <f>'Chem&amp;FertInputs&amp;CInsurance'!S69</f>
        <v>0</v>
      </c>
      <c r="F57" s="117" t="str">
        <f t="shared" si="0"/>
        <v>0</v>
      </c>
      <c r="G57" s="165">
        <f>E57/128</f>
        <v>0</v>
      </c>
    </row>
    <row r="58" spans="1:7" ht="20">
      <c r="A58" s="2"/>
      <c r="B58" s="85" t="str">
        <f>'Chem&amp;FertInputs&amp;CInsurance'!C70</f>
        <v xml:space="preserve"> Valor</v>
      </c>
      <c r="C58" s="23" t="str">
        <f>'Chem&amp;FertInputs&amp;CInsurance'!D70</f>
        <v>oz</v>
      </c>
      <c r="D58" s="116">
        <f>'Chem&amp;FertInputs&amp;CInsurance'!E70</f>
        <v>6.6124999999999998</v>
      </c>
      <c r="E58" s="133">
        <f>'Chem&amp;FertInputs&amp;CInsurance'!S70</f>
        <v>0</v>
      </c>
      <c r="F58" s="117" t="str">
        <f t="shared" ref="F58:F59" si="9">IF(D58*E58=0,"0",D58*E58)</f>
        <v>0</v>
      </c>
      <c r="G58" s="165">
        <f t="shared" ref="G58:G59" si="10">E58/128</f>
        <v>0</v>
      </c>
    </row>
    <row r="59" spans="1:7" ht="20">
      <c r="A59" s="2"/>
      <c r="B59" s="85" t="str">
        <f>'Chem&amp;FertInputs&amp;CInsurance'!C71</f>
        <v xml:space="preserve"> Diagon</v>
      </c>
      <c r="C59" s="23" t="str">
        <f>'Chem&amp;FertInputs&amp;CInsurance'!D71</f>
        <v>oz</v>
      </c>
      <c r="D59" s="116">
        <f>'Chem&amp;FertInputs&amp;CInsurance'!E71</f>
        <v>0.43699999999999994</v>
      </c>
      <c r="E59" s="133">
        <f>'Chem&amp;FertInputs&amp;CInsurance'!S71</f>
        <v>0</v>
      </c>
      <c r="F59" s="117" t="str">
        <f t="shared" si="9"/>
        <v>0</v>
      </c>
      <c r="G59" s="165">
        <f t="shared" si="10"/>
        <v>0</v>
      </c>
    </row>
    <row r="60" spans="1:7" ht="20">
      <c r="A60" s="2"/>
      <c r="B60" s="85" t="str">
        <f>'Chem&amp;FertInputs&amp;CInsurance'!C72</f>
        <v xml:space="preserve">Spartan </v>
      </c>
      <c r="C60" s="23" t="str">
        <f>'Chem&amp;FertInputs&amp;CInsurance'!D72</f>
        <v>oz</v>
      </c>
      <c r="D60" s="116">
        <f>'Chem&amp;FertInputs&amp;CInsurance'!E72</f>
        <v>2.0469999999999997</v>
      </c>
      <c r="E60" s="133">
        <f>'Chem&amp;FertInputs&amp;CInsurance'!S72</f>
        <v>0</v>
      </c>
      <c r="F60" s="117" t="str">
        <f t="shared" si="0"/>
        <v>0</v>
      </c>
      <c r="G60" s="165">
        <f>E60/128</f>
        <v>0</v>
      </c>
    </row>
    <row r="61" spans="1:7" ht="23">
      <c r="A61" s="2"/>
      <c r="B61" s="85" t="str">
        <f>'Chem&amp;FertInputs&amp;CInsurance'!C32</f>
        <v xml:space="preserve">Round Up </v>
      </c>
      <c r="C61" s="23" t="str">
        <f>'Chem&amp;FertInputs&amp;CInsurance'!D32</f>
        <v>oz</v>
      </c>
      <c r="D61" s="116">
        <f>'Chem&amp;FertInputs&amp;CInsurance'!E32</f>
        <v>0.14949999999999999</v>
      </c>
      <c r="E61" s="133">
        <f>'Chem&amp;FertInputs&amp;CInsurance'!S32</f>
        <v>18</v>
      </c>
      <c r="F61" s="117">
        <f t="shared" si="0"/>
        <v>2.6909999999999998</v>
      </c>
      <c r="G61" s="225">
        <f>E61/128</f>
        <v>0.140625</v>
      </c>
    </row>
    <row r="62" spans="1:7" ht="20">
      <c r="A62" s="2"/>
      <c r="B62" s="139" t="s">
        <v>86</v>
      </c>
      <c r="C62" s="23"/>
      <c r="D62" s="116"/>
      <c r="E62" s="133"/>
      <c r="F62" s="117"/>
      <c r="G62" s="165">
        <f>SUM(G14:G61)</f>
        <v>0.16562499999999999</v>
      </c>
    </row>
    <row r="63" spans="1:7" ht="20">
      <c r="A63" s="2"/>
      <c r="B63" s="125" t="str">
        <f>CustomRates!B5</f>
        <v>Aerial (Custom)</v>
      </c>
      <c r="C63" s="41" t="str">
        <f>CustomRates!C5</f>
        <v>acre</v>
      </c>
      <c r="D63" s="116">
        <f>CustomRates!Q5</f>
        <v>8.9499999999999993</v>
      </c>
      <c r="E63" s="87">
        <f>CustomRates!Q6</f>
        <v>0</v>
      </c>
      <c r="F63" s="117" t="str">
        <f t="shared" ref="F63:F70" si="11">IF(D63*E63=0,"0",D63*E63)</f>
        <v>0</v>
      </c>
    </row>
    <row r="64" spans="1:7" ht="20">
      <c r="A64" s="2"/>
      <c r="B64" s="125" t="str">
        <f>CustomRates!B7</f>
        <v>Sprayer (Rental 90')</v>
      </c>
      <c r="C64" s="41" t="str">
        <f>CustomRates!C7</f>
        <v>acre</v>
      </c>
      <c r="D64" s="116">
        <f>CustomRates!Q7</f>
        <v>8</v>
      </c>
      <c r="E64" s="87">
        <f>CustomRates!Q8</f>
        <v>0</v>
      </c>
      <c r="F64" s="117" t="str">
        <f t="shared" si="11"/>
        <v>0</v>
      </c>
    </row>
    <row r="65" spans="1:9" ht="20">
      <c r="A65" s="2"/>
      <c r="B65" s="125" t="str">
        <f>CustomRates!B9</f>
        <v>Fertilizer - Anhydrous Applicator (Rent)</v>
      </c>
      <c r="C65" s="41" t="str">
        <f>CustomRates!C9</f>
        <v>acre</v>
      </c>
      <c r="D65" s="116">
        <f>CustomRates!Q9</f>
        <v>7</v>
      </c>
      <c r="E65" s="87">
        <f>CustomRates!Q10</f>
        <v>0</v>
      </c>
      <c r="F65" s="117" t="str">
        <f t="shared" si="11"/>
        <v>0</v>
      </c>
    </row>
    <row r="66" spans="1:9" ht="20">
      <c r="A66" s="2"/>
      <c r="B66" s="125" t="str">
        <f>CustomRates!B11</f>
        <v>Fertilizer Applicator</v>
      </c>
      <c r="C66" s="41" t="str">
        <f>CustomRates!C11</f>
        <v>acre</v>
      </c>
      <c r="D66" s="116">
        <f>CustomRates!Q11</f>
        <v>2</v>
      </c>
      <c r="E66" s="87">
        <f>CustomRates!Q12</f>
        <v>0</v>
      </c>
      <c r="F66" s="117" t="str">
        <f t="shared" si="11"/>
        <v>0</v>
      </c>
    </row>
    <row r="67" spans="1:9" ht="20">
      <c r="A67" s="2"/>
      <c r="B67" s="125" t="str">
        <f>CustomRates!B13</f>
        <v>26' Rental Shredder</v>
      </c>
      <c r="C67" s="41" t="str">
        <f>CustomRates!C13</f>
        <v>acre</v>
      </c>
      <c r="D67" s="116">
        <f>CustomRates!Q13</f>
        <v>10</v>
      </c>
      <c r="E67" s="87">
        <f>CustomRates!Q14</f>
        <v>0</v>
      </c>
      <c r="F67" s="117" t="str">
        <f t="shared" si="11"/>
        <v>0</v>
      </c>
    </row>
    <row r="68" spans="1:9" ht="20">
      <c r="A68" s="2"/>
      <c r="B68" s="125" t="str">
        <f>CustomRates!B15</f>
        <v>36' Ripper Shooter</v>
      </c>
      <c r="C68" s="41" t="str">
        <f>CustomRates!C15</f>
        <v>acre</v>
      </c>
      <c r="D68" s="116">
        <f>CustomRates!Q15</f>
        <v>2.5</v>
      </c>
      <c r="E68" s="87">
        <f>CustomRates!Q16</f>
        <v>0</v>
      </c>
      <c r="F68" s="117" t="str">
        <f t="shared" si="11"/>
        <v>0</v>
      </c>
    </row>
    <row r="69" spans="1:9" ht="20">
      <c r="A69" s="2"/>
      <c r="B69" s="125" t="str">
        <f>CustomRates!B17</f>
        <v>Custom self-propelled sprayer</v>
      </c>
      <c r="C69" s="41" t="str">
        <f>CustomRates!C17</f>
        <v>acre</v>
      </c>
      <c r="D69" s="116">
        <f>CustomRates!Q17</f>
        <v>8</v>
      </c>
      <c r="E69" s="87">
        <f>CustomRates!Q18</f>
        <v>0</v>
      </c>
      <c r="F69" s="117" t="str">
        <f t="shared" si="11"/>
        <v>0</v>
      </c>
    </row>
    <row r="70" spans="1:9" ht="20">
      <c r="A70" s="2"/>
      <c r="B70" s="125" t="str">
        <f>CustomRates!B19</f>
        <v>Additional Operation #8 (Custom)</v>
      </c>
      <c r="C70" s="41" t="str">
        <f>CustomRates!C19</f>
        <v>acre</v>
      </c>
      <c r="D70" s="116">
        <f>CustomRates!Q19</f>
        <v>0</v>
      </c>
      <c r="E70" s="87">
        <f>CustomRates!Q20</f>
        <v>0</v>
      </c>
      <c r="F70" s="117" t="str">
        <f t="shared" si="11"/>
        <v>0</v>
      </c>
    </row>
    <row r="71" spans="1:9" ht="20">
      <c r="A71" s="2"/>
      <c r="B71" s="139" t="s">
        <v>87</v>
      </c>
      <c r="C71" s="41"/>
      <c r="D71" s="116"/>
      <c r="E71" s="116"/>
      <c r="F71" s="117"/>
      <c r="H71" s="1" t="s">
        <v>204</v>
      </c>
      <c r="I71" s="1" t="s">
        <v>135</v>
      </c>
    </row>
    <row r="72" spans="1:9" ht="20">
      <c r="A72" s="2"/>
      <c r="B72" s="85" t="str">
        <f>MachineAssumptions!B7&amp;" - Labor"</f>
        <v>Shredder - Labor</v>
      </c>
      <c r="C72" s="41" t="s">
        <v>246</v>
      </c>
      <c r="D72" s="116">
        <f>MachineAssumptions!$R$7</f>
        <v>1.4996591683708247</v>
      </c>
      <c r="E72" s="87">
        <f>FieldApplications!$P$6</f>
        <v>0</v>
      </c>
      <c r="F72" s="117" t="str">
        <f t="shared" ref="F72:F113" si="12">IF(D72*E72=0,"0",D72*E72)</f>
        <v>0</v>
      </c>
      <c r="H72" s="246">
        <f>MachineAssumptions!$R$28*E72</f>
        <v>0</v>
      </c>
      <c r="I72" s="166">
        <f>MachineAssumptions!$R$48*E72</f>
        <v>0</v>
      </c>
    </row>
    <row r="73" spans="1:9" ht="20">
      <c r="A73" s="2"/>
      <c r="B73" s="85" t="str">
        <f>MachineAssumptions!B7&amp;" - Fuel, Lube"</f>
        <v>Shredder - Fuel, Lube</v>
      </c>
      <c r="C73" s="41" t="s">
        <v>246</v>
      </c>
      <c r="D73" s="116">
        <f>MachineAssumptions!$S$7</f>
        <v>5.7486934787548281</v>
      </c>
      <c r="E73" s="87">
        <f>FieldApplications!$P$6</f>
        <v>0</v>
      </c>
      <c r="F73" s="117" t="str">
        <f t="shared" si="12"/>
        <v>0</v>
      </c>
      <c r="H73" s="246">
        <f>MachineAssumptions!$S$28*E73</f>
        <v>0</v>
      </c>
      <c r="I73" s="166">
        <f>MachineAssumptions!$S$48*E73</f>
        <v>0</v>
      </c>
    </row>
    <row r="74" spans="1:9" ht="20">
      <c r="A74" s="2"/>
      <c r="B74" s="85" t="str">
        <f>MachineAssumptions!B7&amp;" - Repairs"</f>
        <v>Shredder - Repairs</v>
      </c>
      <c r="C74" s="41" t="s">
        <v>246</v>
      </c>
      <c r="D74" s="116">
        <f>MachineAssumptions!$T$7</f>
        <v>0.46726721181997538</v>
      </c>
      <c r="E74" s="87">
        <f>FieldApplications!$P$6</f>
        <v>0</v>
      </c>
      <c r="F74" s="117" t="str">
        <f t="shared" si="12"/>
        <v>0</v>
      </c>
      <c r="H74" s="246">
        <f>MachineAssumptions!$T$28*E74</f>
        <v>0</v>
      </c>
      <c r="I74" s="166">
        <f>MachineAssumptions!$T$48*E74</f>
        <v>0</v>
      </c>
    </row>
    <row r="75" spans="1:9" ht="20">
      <c r="A75" s="2"/>
      <c r="B75" s="85" t="str">
        <f>MachineAssumptions!B8&amp;" - Labor"</f>
        <v>Harrow - Labor</v>
      </c>
      <c r="C75" s="41" t="s">
        <v>246</v>
      </c>
      <c r="D75" s="116">
        <f>MachineAssumptions!$R$8</f>
        <v>0.59412746734753996</v>
      </c>
      <c r="E75" s="87">
        <f>FieldApplications!$P$7</f>
        <v>0</v>
      </c>
      <c r="F75" s="117" t="str">
        <f t="shared" si="12"/>
        <v>0</v>
      </c>
      <c r="H75" s="246">
        <f>MachineAssumptions!$R$29*E75</f>
        <v>0</v>
      </c>
      <c r="I75" s="166">
        <f>MachineAssumptions!$R$49*E75</f>
        <v>0</v>
      </c>
    </row>
    <row r="76" spans="1:9" ht="20">
      <c r="A76" s="2"/>
      <c r="B76" s="85" t="str">
        <f>MachineAssumptions!B8&amp;" - Fuel, Lube"</f>
        <v>Harrow - Fuel, Lube</v>
      </c>
      <c r="C76" s="41" t="s">
        <v>246</v>
      </c>
      <c r="D76" s="116">
        <f>MachineAssumptions!$S$8</f>
        <v>2.4845330452715308</v>
      </c>
      <c r="E76" s="87">
        <f>FieldApplications!$P$7</f>
        <v>0</v>
      </c>
      <c r="F76" s="117" t="str">
        <f t="shared" si="12"/>
        <v>0</v>
      </c>
      <c r="H76" s="246">
        <f>MachineAssumptions!$S$29*E76</f>
        <v>0</v>
      </c>
      <c r="I76" s="166">
        <f>MachineAssumptions!$S$49*E76</f>
        <v>0</v>
      </c>
    </row>
    <row r="77" spans="1:9" ht="20">
      <c r="A77" s="2"/>
      <c r="B77" s="85" t="str">
        <f>MachineAssumptions!B8&amp;" - Repairs"</f>
        <v>Harrow - Repairs</v>
      </c>
      <c r="C77" s="41" t="s">
        <v>246</v>
      </c>
      <c r="D77" s="116">
        <f>MachineAssumptions!$T$8</f>
        <v>0.14755184964846621</v>
      </c>
      <c r="E77" s="87">
        <f>FieldApplications!$P$7</f>
        <v>0</v>
      </c>
      <c r="F77" s="117" t="str">
        <f t="shared" si="12"/>
        <v>0</v>
      </c>
      <c r="H77" s="246">
        <f>MachineAssumptions!$T$29*E77</f>
        <v>0</v>
      </c>
      <c r="I77" s="166">
        <f>MachineAssumptions!$T$49*E77</f>
        <v>0</v>
      </c>
    </row>
    <row r="78" spans="1:9" ht="20">
      <c r="A78" s="2"/>
      <c r="B78" s="85" t="str">
        <f>MachineAssumptions!B9&amp;" - Labor"</f>
        <v>Chisel plow - Labor</v>
      </c>
      <c r="C78" s="41" t="s">
        <v>246</v>
      </c>
      <c r="D78" s="116">
        <f>MachineAssumptions!$R$9</f>
        <v>0</v>
      </c>
      <c r="E78" s="87">
        <f>FieldApplications!$P$8</f>
        <v>0</v>
      </c>
      <c r="F78" s="117" t="str">
        <f t="shared" si="12"/>
        <v>0</v>
      </c>
      <c r="H78" s="246">
        <f>MachineAssumptions!$R$30*E78</f>
        <v>0</v>
      </c>
      <c r="I78" s="166">
        <f>MachineAssumptions!$R$50*E78</f>
        <v>0</v>
      </c>
    </row>
    <row r="79" spans="1:9" ht="20">
      <c r="A79" s="2"/>
      <c r="B79" s="85" t="str">
        <f>MachineAssumptions!B9&amp;" - Fuel, Lube"</f>
        <v>Chisel plow - Fuel, Lube</v>
      </c>
      <c r="C79" s="41" t="s">
        <v>246</v>
      </c>
      <c r="D79" s="116">
        <f>MachineAssumptions!$S$9</f>
        <v>0</v>
      </c>
      <c r="E79" s="87">
        <f>FieldApplications!$P$8</f>
        <v>0</v>
      </c>
      <c r="F79" s="117" t="str">
        <f t="shared" si="12"/>
        <v>0</v>
      </c>
      <c r="H79" s="246">
        <f>MachineAssumptions!$R$30*E79</f>
        <v>0</v>
      </c>
      <c r="I79" s="166">
        <f>MachineAssumptions!$S$50*E79</f>
        <v>0</v>
      </c>
    </row>
    <row r="80" spans="1:9" ht="20">
      <c r="A80" s="2"/>
      <c r="B80" s="85" t="str">
        <f>MachineAssumptions!B9&amp;" - Repairs"</f>
        <v>Chisel plow - Repairs</v>
      </c>
      <c r="C80" s="41" t="s">
        <v>246</v>
      </c>
      <c r="D80" s="116">
        <f>MachineAssumptions!$T$9</f>
        <v>0</v>
      </c>
      <c r="E80" s="87">
        <f>FieldApplications!$P$8</f>
        <v>0</v>
      </c>
      <c r="F80" s="117" t="str">
        <f t="shared" si="12"/>
        <v>0</v>
      </c>
      <c r="H80" s="246">
        <f>MachineAssumptions!$T$30*E80</f>
        <v>0</v>
      </c>
      <c r="I80" s="166">
        <f>MachineAssumptions!$T$50*E80</f>
        <v>0</v>
      </c>
    </row>
    <row r="81" spans="1:9" ht="20">
      <c r="A81" s="2"/>
      <c r="B81" s="85" t="str">
        <f>MachineAssumptions!B10&amp;" - Labor"</f>
        <v>Moldboard plow - Labor</v>
      </c>
      <c r="C81" s="41" t="s">
        <v>246</v>
      </c>
      <c r="D81" s="116">
        <f>MachineAssumptions!$R$10</f>
        <v>0</v>
      </c>
      <c r="E81" s="87">
        <f>FieldApplications!$P$9</f>
        <v>0</v>
      </c>
      <c r="F81" s="117" t="str">
        <f t="shared" si="12"/>
        <v>0</v>
      </c>
      <c r="H81" s="246">
        <f>MachineAssumptions!$R$31*E81</f>
        <v>0</v>
      </c>
      <c r="I81" s="166">
        <f>MachineAssumptions!$R$51*E81</f>
        <v>0</v>
      </c>
    </row>
    <row r="82" spans="1:9" ht="20">
      <c r="A82" s="2"/>
      <c r="B82" s="85" t="str">
        <f>MachineAssumptions!B10&amp;" - Fuel, Lube"</f>
        <v>Moldboard plow - Fuel, Lube</v>
      </c>
      <c r="C82" s="41" t="s">
        <v>246</v>
      </c>
      <c r="D82" s="116">
        <f>MachineAssumptions!$S$10</f>
        <v>0</v>
      </c>
      <c r="E82" s="87">
        <f>FieldApplications!$P$9</f>
        <v>0</v>
      </c>
      <c r="F82" s="117" t="str">
        <f t="shared" si="12"/>
        <v>0</v>
      </c>
      <c r="H82" s="246">
        <f>MachineAssumptions!$S$31*E82</f>
        <v>0</v>
      </c>
      <c r="I82" s="166">
        <f>MachineAssumptions!$S$51*E82</f>
        <v>0</v>
      </c>
    </row>
    <row r="83" spans="1:9" ht="20">
      <c r="A83" s="2"/>
      <c r="B83" s="85" t="str">
        <f>MachineAssumptions!B10&amp;" - Repairs"</f>
        <v>Moldboard plow - Repairs</v>
      </c>
      <c r="C83" s="41" t="s">
        <v>246</v>
      </c>
      <c r="D83" s="116">
        <f>MachineAssumptions!$T$10</f>
        <v>0</v>
      </c>
      <c r="E83" s="87">
        <f>FieldApplications!$P$9</f>
        <v>0</v>
      </c>
      <c r="F83" s="117" t="str">
        <f t="shared" si="12"/>
        <v>0</v>
      </c>
      <c r="H83" s="246">
        <f>MachineAssumptions!$T$31*E83</f>
        <v>0</v>
      </c>
      <c r="I83" s="166">
        <f>MachineAssumptions!$T$51*E83</f>
        <v>0</v>
      </c>
    </row>
    <row r="84" spans="1:9" ht="20">
      <c r="A84" s="2"/>
      <c r="B84" s="85" t="str">
        <f>MachineAssumptions!B11&amp;" - Labor"</f>
        <v>Cultivator - Labor</v>
      </c>
      <c r="C84" s="41" t="s">
        <v>246</v>
      </c>
      <c r="D84" s="116">
        <f>MachineAssumptions!$R$11</f>
        <v>0</v>
      </c>
      <c r="E84" s="87">
        <f>FieldApplications!$P$10</f>
        <v>0</v>
      </c>
      <c r="F84" s="117" t="str">
        <f t="shared" si="12"/>
        <v>0</v>
      </c>
      <c r="H84" s="246">
        <f>MachineAssumptions!$R$32*E84</f>
        <v>0</v>
      </c>
      <c r="I84" s="166">
        <f>MachineAssumptions!$R$52*E84</f>
        <v>0</v>
      </c>
    </row>
    <row r="85" spans="1:9" ht="20">
      <c r="A85" s="2"/>
      <c r="B85" s="85" t="str">
        <f>MachineAssumptions!B11&amp;" - Fuel, Lube"</f>
        <v>Cultivator - Fuel, Lube</v>
      </c>
      <c r="C85" s="41" t="s">
        <v>246</v>
      </c>
      <c r="D85" s="116">
        <f>MachineAssumptions!$S$11</f>
        <v>0</v>
      </c>
      <c r="E85" s="87">
        <f>FieldApplications!$P$10</f>
        <v>0</v>
      </c>
      <c r="F85" s="117" t="str">
        <f t="shared" si="12"/>
        <v>0</v>
      </c>
      <c r="H85" s="246">
        <f>MachineAssumptions!$S$32*E85</f>
        <v>0</v>
      </c>
      <c r="I85" s="166">
        <f>MachineAssumptions!$S$52*E85</f>
        <v>0</v>
      </c>
    </row>
    <row r="86" spans="1:9" ht="20">
      <c r="A86" s="2"/>
      <c r="B86" s="85" t="str">
        <f>MachineAssumptions!B11&amp;" - Repairs"</f>
        <v>Cultivator - Repairs</v>
      </c>
      <c r="C86" s="41" t="s">
        <v>246</v>
      </c>
      <c r="D86" s="116">
        <f>MachineAssumptions!$T$11</f>
        <v>0</v>
      </c>
      <c r="E86" s="87">
        <f>FieldApplications!$P$10</f>
        <v>0</v>
      </c>
      <c r="F86" s="117" t="str">
        <f t="shared" si="12"/>
        <v>0</v>
      </c>
      <c r="H86" s="246">
        <f>MachineAssumptions!$T$32*E86</f>
        <v>0</v>
      </c>
      <c r="I86" s="166">
        <f>MachineAssumptions!$T$52*E86</f>
        <v>0</v>
      </c>
    </row>
    <row r="87" spans="1:9" ht="20">
      <c r="A87" s="2"/>
      <c r="B87" s="85" t="str">
        <f>MachineAssumptions!B12&amp;" - Labor"</f>
        <v>Cultiweeder - Labor</v>
      </c>
      <c r="C87" s="41" t="s">
        <v>246</v>
      </c>
      <c r="D87" s="116">
        <f>MachineAssumptions!$R$12</f>
        <v>0</v>
      </c>
      <c r="E87" s="87">
        <f>FieldApplications!$P$11</f>
        <v>0</v>
      </c>
      <c r="F87" s="117" t="str">
        <f t="shared" si="12"/>
        <v>0</v>
      </c>
      <c r="H87" s="246">
        <f>MachineAssumptions!$R$33*E87</f>
        <v>0</v>
      </c>
      <c r="I87" s="166">
        <f>MachineAssumptions!$R$53*E87</f>
        <v>0</v>
      </c>
    </row>
    <row r="88" spans="1:9" ht="20">
      <c r="A88" s="2"/>
      <c r="B88" s="85" t="str">
        <f>MachineAssumptions!B12&amp;" - Fuel, Lube"</f>
        <v>Cultiweeder - Fuel, Lube</v>
      </c>
      <c r="C88" s="41" t="s">
        <v>246</v>
      </c>
      <c r="D88" s="116">
        <f>MachineAssumptions!$S$12</f>
        <v>0</v>
      </c>
      <c r="E88" s="87">
        <f>FieldApplications!$P$11</f>
        <v>0</v>
      </c>
      <c r="F88" s="117" t="str">
        <f t="shared" si="12"/>
        <v>0</v>
      </c>
      <c r="H88" s="246">
        <f>MachineAssumptions!$S$33*E88</f>
        <v>0</v>
      </c>
      <c r="I88" s="166">
        <f>MachineAssumptions!$S$53*E88</f>
        <v>0</v>
      </c>
    </row>
    <row r="89" spans="1:9" ht="20">
      <c r="A89" s="2"/>
      <c r="B89" s="85" t="str">
        <f>MachineAssumptions!B12&amp;" - Repairs"</f>
        <v>Cultiweeder - Repairs</v>
      </c>
      <c r="C89" s="41" t="s">
        <v>246</v>
      </c>
      <c r="D89" s="116">
        <f>MachineAssumptions!$T$12</f>
        <v>0</v>
      </c>
      <c r="E89" s="87">
        <f>FieldApplications!$P$11</f>
        <v>0</v>
      </c>
      <c r="F89" s="117" t="str">
        <f t="shared" si="12"/>
        <v>0</v>
      </c>
      <c r="H89" s="246">
        <f>MachineAssumptions!$T$33*E89</f>
        <v>0</v>
      </c>
      <c r="I89" s="166">
        <f>MachineAssumptions!$T$53*E89</f>
        <v>0</v>
      </c>
    </row>
    <row r="90" spans="1:9" ht="20">
      <c r="A90" s="2"/>
      <c r="B90" s="85" t="str">
        <f>MachineAssumptions!B13&amp;" - Labor"</f>
        <v>Drill - Labor</v>
      </c>
      <c r="C90" s="41" t="s">
        <v>246</v>
      </c>
      <c r="D90" s="116">
        <f>MachineAssumptions!$R$13</f>
        <v>1.6703109815354713</v>
      </c>
      <c r="E90" s="87">
        <f>FieldApplications!$P$12</f>
        <v>0</v>
      </c>
      <c r="F90" s="117" t="str">
        <f t="shared" si="12"/>
        <v>0</v>
      </c>
      <c r="H90" s="246">
        <f>MachineAssumptions!$R$34*E90</f>
        <v>0</v>
      </c>
      <c r="I90" s="166">
        <f>MachineAssumptions!$R$54*E90</f>
        <v>0</v>
      </c>
    </row>
    <row r="91" spans="1:9" ht="20">
      <c r="A91" s="2"/>
      <c r="B91" s="85" t="str">
        <f>MachineAssumptions!B13&amp;" - Fuel, Lube"</f>
        <v>Drill - Fuel, Lube</v>
      </c>
      <c r="C91" s="41" t="s">
        <v>246</v>
      </c>
      <c r="D91" s="116">
        <f>MachineAssumptions!$S$13</f>
        <v>6.146744412050535</v>
      </c>
      <c r="E91" s="87">
        <f>FieldApplications!$P$12</f>
        <v>0</v>
      </c>
      <c r="F91" s="117" t="str">
        <f t="shared" si="12"/>
        <v>0</v>
      </c>
      <c r="H91" s="246">
        <f>MachineAssumptions!$S$34*E91</f>
        <v>0</v>
      </c>
      <c r="I91" s="166">
        <f>MachineAssumptions!$S$54*E91</f>
        <v>0</v>
      </c>
    </row>
    <row r="92" spans="1:9" ht="20">
      <c r="A92" s="2"/>
      <c r="B92" s="85" t="str">
        <f>MachineAssumptions!B13&amp;" - Repairs"</f>
        <v>Drill - Repairs</v>
      </c>
      <c r="C92" s="41" t="s">
        <v>246</v>
      </c>
      <c r="D92" s="116">
        <f>MachineAssumptions!$T$13</f>
        <v>5.740409656342587</v>
      </c>
      <c r="E92" s="87">
        <f>FieldApplications!$P$12</f>
        <v>0</v>
      </c>
      <c r="F92" s="117" t="str">
        <f t="shared" si="12"/>
        <v>0</v>
      </c>
      <c r="H92" s="246">
        <f>MachineAssumptions!$T$34*E92</f>
        <v>0</v>
      </c>
      <c r="I92" s="166">
        <f>MachineAssumptions!$T$54*E92</f>
        <v>0</v>
      </c>
    </row>
    <row r="93" spans="1:9" ht="20">
      <c r="A93" s="2"/>
      <c r="B93" s="85" t="str">
        <f>MachineAssumptions!B14&amp;" - Labor"</f>
        <v>Combine w/ 36' header - Labor</v>
      </c>
      <c r="C93" s="41" t="s">
        <v>246</v>
      </c>
      <c r="D93" s="116">
        <f>MachineAssumptions!$R$14</f>
        <v>1.9161092530657748</v>
      </c>
      <c r="E93" s="87">
        <f>FieldApplications!$P$13</f>
        <v>0</v>
      </c>
      <c r="F93" s="117" t="str">
        <f t="shared" si="12"/>
        <v>0</v>
      </c>
      <c r="H93" s="246">
        <f>MachineAssumptions!$R$35*E93</f>
        <v>0</v>
      </c>
      <c r="I93" s="166">
        <f>MachineAssumptions!$R$55*E93</f>
        <v>0</v>
      </c>
    </row>
    <row r="94" spans="1:9" ht="20">
      <c r="A94" s="2"/>
      <c r="B94" s="85" t="str">
        <f>MachineAssumptions!B14&amp;" - Fuel, Lube"</f>
        <v>Combine w/ 36' header - Fuel, Lube</v>
      </c>
      <c r="C94" s="41" t="s">
        <v>246</v>
      </c>
      <c r="D94" s="116">
        <f>MachineAssumptions!$S$14</f>
        <v>7.0512820512820511</v>
      </c>
      <c r="E94" s="87">
        <f>FieldApplications!$P$13</f>
        <v>0</v>
      </c>
      <c r="F94" s="117" t="str">
        <f t="shared" si="12"/>
        <v>0</v>
      </c>
      <c r="H94" s="246">
        <f>MachineAssumptions!$S$35*E94</f>
        <v>0</v>
      </c>
      <c r="I94" s="166">
        <f>MachineAssumptions!$S$55*E94</f>
        <v>0</v>
      </c>
    </row>
    <row r="95" spans="1:9" ht="20">
      <c r="A95" s="2"/>
      <c r="B95" s="85" t="str">
        <f>MachineAssumptions!B14&amp;" - Repairs"</f>
        <v>Combine w/ 36' header - Repairs</v>
      </c>
      <c r="C95" s="41" t="s">
        <v>246</v>
      </c>
      <c r="D95" s="116">
        <f>MachineAssumptions!$T$14</f>
        <v>6.4258281801385913</v>
      </c>
      <c r="E95" s="87">
        <f>FieldApplications!$P$13</f>
        <v>0</v>
      </c>
      <c r="F95" s="117" t="str">
        <f t="shared" si="12"/>
        <v>0</v>
      </c>
      <c r="H95" s="246">
        <f>MachineAssumptions!$T$35*E95</f>
        <v>0</v>
      </c>
      <c r="I95" s="166">
        <f>MachineAssumptions!$T$55*E95</f>
        <v>0</v>
      </c>
    </row>
    <row r="96" spans="1:9" ht="20">
      <c r="A96" s="2"/>
      <c r="B96" s="85" t="str">
        <f>MachineAssumptions!B16&amp;" - Labor"</f>
        <v>Fertilizer Spreader - Labor</v>
      </c>
      <c r="C96" s="41" t="s">
        <v>246</v>
      </c>
      <c r="D96" s="116">
        <f>MachineAssumptions!$R$16</f>
        <v>0</v>
      </c>
      <c r="E96" s="87">
        <f>FieldApplications!$P$14</f>
        <v>0</v>
      </c>
      <c r="F96" s="117" t="str">
        <f t="shared" si="12"/>
        <v>0</v>
      </c>
      <c r="H96" s="246">
        <f>MachineAssumptions!$R$36*E96</f>
        <v>0</v>
      </c>
      <c r="I96" s="166">
        <f>MachineAssumptions!$R$56*E96</f>
        <v>0</v>
      </c>
    </row>
    <row r="97" spans="1:9" ht="20">
      <c r="A97" s="2"/>
      <c r="B97" s="85" t="str">
        <f>MachineAssumptions!B16&amp;" - Fuel, Lube"</f>
        <v>Fertilizer Spreader - Fuel, Lube</v>
      </c>
      <c r="C97" s="41" t="s">
        <v>246</v>
      </c>
      <c r="D97" s="116">
        <f>MachineAssumptions!$S$16</f>
        <v>0</v>
      </c>
      <c r="E97" s="87">
        <f>FieldApplications!$P$14</f>
        <v>0</v>
      </c>
      <c r="F97" s="117" t="str">
        <f t="shared" si="12"/>
        <v>0</v>
      </c>
      <c r="H97" s="246">
        <f>MachineAssumptions!$S$36*E97</f>
        <v>0</v>
      </c>
      <c r="I97" s="166">
        <f>MachineAssumptions!$S$56*E97</f>
        <v>0</v>
      </c>
    </row>
    <row r="98" spans="1:9" ht="20">
      <c r="A98" s="2"/>
      <c r="B98" s="85" t="str">
        <f>MachineAssumptions!B16&amp;" - Repairs"</f>
        <v>Fertilizer Spreader - Repairs</v>
      </c>
      <c r="C98" s="41" t="s">
        <v>246</v>
      </c>
      <c r="D98" s="116">
        <f>MachineAssumptions!$T$16</f>
        <v>0</v>
      </c>
      <c r="E98" s="87">
        <f>FieldApplications!$P$14</f>
        <v>0</v>
      </c>
      <c r="F98" s="117" t="str">
        <f t="shared" si="12"/>
        <v>0</v>
      </c>
      <c r="H98" s="246">
        <f>MachineAssumptions!$T$36*E98</f>
        <v>0</v>
      </c>
      <c r="I98" s="166">
        <f>MachineAssumptions!$T$56*E98</f>
        <v>0</v>
      </c>
    </row>
    <row r="99" spans="1:9" ht="20">
      <c r="A99" s="2"/>
      <c r="B99" s="85" t="str">
        <f>MachineAssumptions!B17&amp;" - Labor"</f>
        <v>Fertilizer tanks and pump - Labor</v>
      </c>
      <c r="C99" s="41" t="s">
        <v>246</v>
      </c>
      <c r="D99" s="116">
        <f>MachineAssumptions!$R$17</f>
        <v>2.2448979591836737</v>
      </c>
      <c r="E99" s="87">
        <f>FieldApplications!$P$15</f>
        <v>0</v>
      </c>
      <c r="F99" s="117" t="str">
        <f t="shared" si="12"/>
        <v>0</v>
      </c>
      <c r="H99" s="246">
        <f>MachineAssumptions!$R$37*E99</f>
        <v>0</v>
      </c>
      <c r="I99" s="166">
        <f>MachineAssumptions!$R$57*E99</f>
        <v>0</v>
      </c>
    </row>
    <row r="100" spans="1:9" ht="20">
      <c r="A100" s="2"/>
      <c r="B100" s="85" t="str">
        <f>MachineAssumptions!B17&amp;" - Fuel, Lube"</f>
        <v>Fertilizer tanks and pump - Fuel, Lube</v>
      </c>
      <c r="C100" s="41" t="s">
        <v>246</v>
      </c>
      <c r="D100" s="116">
        <f>MachineAssumptions!$S$17</f>
        <v>9.387755102040817</v>
      </c>
      <c r="E100" s="87">
        <f>FieldApplications!$P$15</f>
        <v>0</v>
      </c>
      <c r="F100" s="117" t="str">
        <f t="shared" si="12"/>
        <v>0</v>
      </c>
      <c r="H100" s="246">
        <f>MachineAssumptions!$S$37*E100</f>
        <v>0</v>
      </c>
      <c r="I100" s="166">
        <f>MachineAssumptions!$S$57*E100</f>
        <v>0</v>
      </c>
    </row>
    <row r="101" spans="1:9" ht="20">
      <c r="A101" s="2"/>
      <c r="B101" s="85" t="str">
        <f>MachineAssumptions!B17&amp;" - Repairs"</f>
        <v>Fertilizer tanks and pump - Repairs</v>
      </c>
      <c r="C101" s="41" t="s">
        <v>246</v>
      </c>
      <c r="D101" s="116">
        <f>MachineAssumptions!$T$17</f>
        <v>0</v>
      </c>
      <c r="E101" s="87">
        <f>FieldApplications!$P$15</f>
        <v>0</v>
      </c>
      <c r="F101" s="117" t="str">
        <f t="shared" si="12"/>
        <v>0</v>
      </c>
      <c r="H101" s="246">
        <f>MachineAssumptions!$T$37*E101</f>
        <v>0</v>
      </c>
      <c r="I101" s="166">
        <f>MachineAssumptions!$T$57*E101</f>
        <v>0</v>
      </c>
    </row>
    <row r="102" spans="1:9" ht="20">
      <c r="A102" s="2"/>
      <c r="B102" s="85" t="str">
        <f>MachineAssumptions!B18&amp;" - Labor"</f>
        <v>Boom sprayer - Labor</v>
      </c>
      <c r="C102" s="41" t="s">
        <v>246</v>
      </c>
      <c r="D102" s="116">
        <f>MachineAssumptions!$R$18</f>
        <v>0.4708120318630365</v>
      </c>
      <c r="E102" s="87">
        <f>FieldApplications!$P$16</f>
        <v>1</v>
      </c>
      <c r="F102" s="117">
        <f t="shared" si="12"/>
        <v>0.4708120318630365</v>
      </c>
      <c r="H102" s="246">
        <f>MachineAssumptions!$R$38*E102</f>
        <v>0.4708120318630365</v>
      </c>
      <c r="I102" s="166">
        <f>MachineAssumptions!$R$58*E102</f>
        <v>0.4708120318630365</v>
      </c>
    </row>
    <row r="103" spans="1:9" ht="20">
      <c r="A103" s="2"/>
      <c r="B103" s="85" t="str">
        <f>MachineAssumptions!B18&amp;" - Fuel, Lube"</f>
        <v>Boom sprayer - Fuel, Lube</v>
      </c>
      <c r="C103" s="41" t="s">
        <v>246</v>
      </c>
      <c r="D103" s="116">
        <f>MachineAssumptions!$S$18</f>
        <v>1.8047794554749732</v>
      </c>
      <c r="E103" s="87">
        <f>FieldApplications!$P$16</f>
        <v>1</v>
      </c>
      <c r="F103" s="117">
        <f t="shared" si="12"/>
        <v>1.8047794554749732</v>
      </c>
      <c r="H103" s="246">
        <f>MachineAssumptions!$S$38*E103</f>
        <v>1.8047794554749732</v>
      </c>
      <c r="I103" s="166">
        <f>MachineAssumptions!$S$58*E103</f>
        <v>1.8047794554749732</v>
      </c>
    </row>
    <row r="104" spans="1:9" ht="20">
      <c r="A104" s="2"/>
      <c r="B104" s="85" t="str">
        <f>MachineAssumptions!B18&amp;" - Repairs"</f>
        <v>Boom sprayer - Repairs</v>
      </c>
      <c r="C104" s="41" t="s">
        <v>246</v>
      </c>
      <c r="D104" s="116">
        <f>MachineAssumptions!$T$18</f>
        <v>0.49795949063219769</v>
      </c>
      <c r="E104" s="87">
        <f>FieldApplications!$P$16</f>
        <v>1</v>
      </c>
      <c r="F104" s="117">
        <f t="shared" si="12"/>
        <v>0.49795949063219769</v>
      </c>
      <c r="H104" s="246">
        <f>MachineAssumptions!$T$38*E104</f>
        <v>0.50280018563848705</v>
      </c>
      <c r="I104" s="166">
        <f>MachineAssumptions!$T$58*E104</f>
        <v>0.4510828286016228</v>
      </c>
    </row>
    <row r="105" spans="1:9" ht="20">
      <c r="A105" s="2"/>
      <c r="B105" s="85" t="str">
        <f>MachineAssumptions!B15&amp;" - Labor"</f>
        <v>Bankout Wagon - Labor</v>
      </c>
      <c r="C105" s="41" t="s">
        <v>246</v>
      </c>
      <c r="D105" s="116">
        <f>MachineAssumptions!$R$15</f>
        <v>1.6861761426978819</v>
      </c>
      <c r="E105" s="87">
        <f t="shared" ref="E105:E113" si="13">IF($E$93&gt;0,1,0)</f>
        <v>0</v>
      </c>
      <c r="F105" s="117" t="str">
        <f t="shared" si="12"/>
        <v>0</v>
      </c>
      <c r="H105" s="246">
        <f>MachineAssumptions!$R$39*E105</f>
        <v>0</v>
      </c>
      <c r="I105" s="166">
        <f>MachineAssumptions!$R$59*E105</f>
        <v>0</v>
      </c>
    </row>
    <row r="106" spans="1:9" ht="20">
      <c r="A106" s="2"/>
      <c r="B106" s="85" t="str">
        <f>MachineAssumptions!B15&amp;" - Fuel, Lube"</f>
        <v>Bankout Wagon - Fuel, Lube</v>
      </c>
      <c r="C106" s="41" t="s">
        <v>246</v>
      </c>
      <c r="D106" s="116">
        <f>MachineAssumptions!$S$15</f>
        <v>7.0512820512820511</v>
      </c>
      <c r="E106" s="87">
        <f t="shared" si="13"/>
        <v>0</v>
      </c>
      <c r="F106" s="117" t="str">
        <f t="shared" si="12"/>
        <v>0</v>
      </c>
      <c r="H106" s="246">
        <f>MachineAssumptions!$S$39*E106</f>
        <v>0</v>
      </c>
      <c r="I106" s="166">
        <f>MachineAssumptions!$S$59*E106</f>
        <v>0</v>
      </c>
    </row>
    <row r="107" spans="1:9" ht="20">
      <c r="A107" s="2"/>
      <c r="B107" s="85" t="str">
        <f>MachineAssumptions!B15&amp;" - Repairs"</f>
        <v>Bankout Wagon - Repairs</v>
      </c>
      <c r="C107" s="41" t="s">
        <v>246</v>
      </c>
      <c r="D107" s="116">
        <f>MachineAssumptions!$T$15</f>
        <v>0.5058930256896228</v>
      </c>
      <c r="E107" s="87">
        <f t="shared" si="13"/>
        <v>0</v>
      </c>
      <c r="F107" s="117" t="str">
        <f t="shared" si="12"/>
        <v>0</v>
      </c>
      <c r="H107" s="246">
        <f>MachineAssumptions!$T$39*E107</f>
        <v>0</v>
      </c>
      <c r="I107" s="166">
        <f>MachineAssumptions!$T$59*E107</f>
        <v>0</v>
      </c>
    </row>
    <row r="108" spans="1:9" ht="20">
      <c r="A108" s="2"/>
      <c r="B108" s="85" t="str">
        <f>MachineAssumptions!B19&amp;" - Labor"</f>
        <v>Tandem Axle Truck  - Labor</v>
      </c>
      <c r="C108" s="41" t="s">
        <v>246</v>
      </c>
      <c r="D108" s="116">
        <f>MachineAssumptions!$R$19</f>
        <v>3.6</v>
      </c>
      <c r="E108" s="87">
        <f t="shared" si="13"/>
        <v>0</v>
      </c>
      <c r="F108" s="117" t="str">
        <f t="shared" si="12"/>
        <v>0</v>
      </c>
      <c r="H108" s="246">
        <f>MachineAssumptions!$R$40*E108</f>
        <v>0</v>
      </c>
      <c r="I108" s="166">
        <f>MachineAssumptions!$R$60*E108</f>
        <v>0</v>
      </c>
    </row>
    <row r="109" spans="1:9" ht="20">
      <c r="A109" s="2"/>
      <c r="B109" s="85" t="str">
        <f>MachineAssumptions!B19&amp;" - Fuel, Lube"</f>
        <v>Tandem Axle Truck  - Fuel, Lube</v>
      </c>
      <c r="C109" s="41" t="s">
        <v>246</v>
      </c>
      <c r="D109" s="116">
        <f>MachineAssumptions!$S$19</f>
        <v>1.1499999999999999</v>
      </c>
      <c r="E109" s="87">
        <f t="shared" si="13"/>
        <v>0</v>
      </c>
      <c r="F109" s="117" t="str">
        <f t="shared" si="12"/>
        <v>0</v>
      </c>
      <c r="H109" s="246">
        <f>MachineAssumptions!$S$40*E109</f>
        <v>0</v>
      </c>
      <c r="I109" s="166">
        <f>MachineAssumptions!$S$60*E109</f>
        <v>0</v>
      </c>
    </row>
    <row r="110" spans="1:9" ht="20">
      <c r="A110" s="2"/>
      <c r="B110" s="85" t="str">
        <f>MachineAssumptions!B19&amp;" - Repairs"</f>
        <v>Tandem Axle Truck  - Repairs</v>
      </c>
      <c r="C110" s="41" t="s">
        <v>246</v>
      </c>
      <c r="D110" s="116">
        <f>MachineAssumptions!$T$19</f>
        <v>0.8</v>
      </c>
      <c r="E110" s="87">
        <f t="shared" si="13"/>
        <v>0</v>
      </c>
      <c r="F110" s="117" t="str">
        <f t="shared" si="12"/>
        <v>0</v>
      </c>
      <c r="H110" s="246">
        <f>MachineAssumptions!$T$40*E110</f>
        <v>0</v>
      </c>
      <c r="I110" s="166">
        <f>MachineAssumptions!$T$60*E110</f>
        <v>0</v>
      </c>
    </row>
    <row r="111" spans="1:9" ht="20">
      <c r="A111" s="2"/>
      <c r="B111" s="85" t="str">
        <f>MachineAssumptions!B20&amp;" - Labor"</f>
        <v>Tandem Axle Truck  - Labor</v>
      </c>
      <c r="C111" s="41" t="s">
        <v>246</v>
      </c>
      <c r="D111" s="116">
        <f>MachineAssumptions!$R$20</f>
        <v>3.6</v>
      </c>
      <c r="E111" s="87">
        <f t="shared" si="13"/>
        <v>0</v>
      </c>
      <c r="F111" s="117" t="str">
        <f t="shared" si="12"/>
        <v>0</v>
      </c>
      <c r="H111" s="416">
        <f>MachineAssumptions!$R$41*E111</f>
        <v>0</v>
      </c>
      <c r="I111" s="369">
        <f>MachineAssumptions!$R$61*E111</f>
        <v>0</v>
      </c>
    </row>
    <row r="112" spans="1:9" ht="20">
      <c r="A112" s="2"/>
      <c r="B112" s="85" t="str">
        <f>MachineAssumptions!B20&amp;" - Fuel, Lube"</f>
        <v>Tandem Axle Truck  - Fuel, Lube</v>
      </c>
      <c r="C112" s="41" t="s">
        <v>246</v>
      </c>
      <c r="D112" s="116">
        <f>MachineAssumptions!$S$20</f>
        <v>1.72</v>
      </c>
      <c r="E112" s="87">
        <f t="shared" si="13"/>
        <v>0</v>
      </c>
      <c r="F112" s="117" t="str">
        <f t="shared" si="12"/>
        <v>0</v>
      </c>
      <c r="H112" s="416">
        <f>MachineAssumptions!$S$41*E112</f>
        <v>0</v>
      </c>
      <c r="I112" s="369">
        <f>MachineAssumptions!$S$61*E112</f>
        <v>0</v>
      </c>
    </row>
    <row r="113" spans="1:13" ht="23">
      <c r="A113" s="2"/>
      <c r="B113" s="85" t="str">
        <f>MachineAssumptions!B20&amp;" - Repairs"</f>
        <v>Tandem Axle Truck  - Repairs</v>
      </c>
      <c r="C113" s="41" t="s">
        <v>246</v>
      </c>
      <c r="D113" s="116">
        <f>MachineAssumptions!$T$20</f>
        <v>0.8</v>
      </c>
      <c r="E113" s="87">
        <f t="shared" si="13"/>
        <v>0</v>
      </c>
      <c r="F113" s="117" t="str">
        <f t="shared" si="12"/>
        <v>0</v>
      </c>
      <c r="H113" s="248">
        <f>MachineAssumptions!$T$41*E113</f>
        <v>0</v>
      </c>
      <c r="I113" s="247">
        <f>MachineAssumptions!$T$61*E113</f>
        <v>0</v>
      </c>
    </row>
    <row r="114" spans="1:13" ht="21">
      <c r="A114" s="2"/>
      <c r="B114" s="139" t="s">
        <v>88</v>
      </c>
      <c r="C114" s="41"/>
      <c r="D114" s="116"/>
      <c r="E114" s="87"/>
      <c r="F114" s="117"/>
      <c r="H114" s="249">
        <f>SUM(H74:H113)</f>
        <v>2.7783916729764968</v>
      </c>
      <c r="I114" s="249">
        <f>SUM(I74:I113)</f>
        <v>2.7266743159396327</v>
      </c>
    </row>
    <row r="115" spans="1:13" ht="20">
      <c r="A115" s="2"/>
      <c r="B115" s="85" t="str">
        <f>'Chem&amp;FertInputs&amp;CInsurance'!B73</f>
        <v>Crop Insurance</v>
      </c>
      <c r="C115" s="23" t="str">
        <f>'Chem&amp;FertInputs&amp;CInsurance'!D73</f>
        <v>acre</v>
      </c>
      <c r="D115" s="116">
        <f>'Chem&amp;FertInputs&amp;CInsurance'!S73</f>
        <v>0</v>
      </c>
      <c r="E115" s="87">
        <v>1</v>
      </c>
      <c r="F115" s="117" t="str">
        <f>IF(D115*E115=0,"0",D115*E115)</f>
        <v>0</v>
      </c>
      <c r="H115" s="1" t="s">
        <v>181</v>
      </c>
      <c r="I115" s="1" t="s">
        <v>181</v>
      </c>
    </row>
    <row r="116" spans="1:13" ht="20">
      <c r="A116" s="6"/>
      <c r="B116" s="85" t="s">
        <v>72</v>
      </c>
      <c r="C116" s="41" t="s">
        <v>83</v>
      </c>
      <c r="D116" s="111">
        <f>MachineAssumptions!D25</f>
        <v>0.05</v>
      </c>
      <c r="E116" s="87"/>
      <c r="F116" s="86">
        <f>SUM(F9:F115)*D116</f>
        <v>0.33300254889851039</v>
      </c>
      <c r="H116" s="49">
        <f>(SUM($F8:$F70)+$F115+SUM(H72:H113))*$D116</f>
        <v>0.33324458364882487</v>
      </c>
      <c r="I116" s="49">
        <f>(SUM($F8:$F70)+$F115+SUM(I72:I113))*$D116</f>
        <v>0.33065871579698164</v>
      </c>
      <c r="J116" s="49">
        <f>F72+F75+F78+F81+F84+F87+F90+F93+F96+F99+F102+F105+F108+F111</f>
        <v>0.4708120318630365</v>
      </c>
      <c r="K116" s="1" t="s">
        <v>111</v>
      </c>
    </row>
    <row r="117" spans="1:13" ht="20">
      <c r="A117" s="2"/>
      <c r="B117" s="85" t="s">
        <v>84</v>
      </c>
      <c r="C117" s="41" t="s">
        <v>83</v>
      </c>
      <c r="D117" s="111">
        <f>MachineAssumptions!D26</f>
        <v>6.7500000000000004E-2</v>
      </c>
      <c r="E117" s="112"/>
      <c r="F117" s="140">
        <f>SUM(F9:F116)*(D117/12*MachineAssumptions!D27)</f>
        <v>0.35402333479772885</v>
      </c>
      <c r="H117" s="49">
        <f>(SUM(F8:F70)+(F115+F116+H114))*((D117/12)*MachineAssumptions!D27)</f>
        <v>0.35426839498242224</v>
      </c>
      <c r="I117" s="49">
        <f>(SUM(F8:F70)+(F115+F116+I114))*((D117/12)*MachineAssumptions!D27)</f>
        <v>0.351650203782431</v>
      </c>
      <c r="J117" s="49">
        <f>F73+F76+F79+F82+F85+F88+F91+F94+F97+F100+F103+F106+F109+F112</f>
        <v>1.8047794554749732</v>
      </c>
      <c r="K117" s="1" t="s">
        <v>4</v>
      </c>
    </row>
    <row r="118" spans="1:13" ht="20">
      <c r="A118" s="15"/>
      <c r="B118" s="14" t="s">
        <v>85</v>
      </c>
      <c r="C118" s="29"/>
      <c r="D118" s="141"/>
      <c r="E118" s="142"/>
      <c r="F118" s="146">
        <f>SUM(F9:F117)</f>
        <v>7.3470768616664461</v>
      </c>
      <c r="J118" s="49">
        <f>F74+F77+F80+F83+F86+F89+F92+F95+F98+F101+F104+F107+F110+F113</f>
        <v>0.49795949063219769</v>
      </c>
      <c r="K118" s="1" t="s">
        <v>112</v>
      </c>
      <c r="L118" s="49">
        <f>H74+H77+H80+H83+H86+H89+H92+H95+H98+H101+H104+H107+H110+H113</f>
        <v>0.50280018563848705</v>
      </c>
      <c r="M118" s="49">
        <f>I74+I77+I80+I83+I86+I89+I92+I95+I98+I101+I104+I107+I110+I113</f>
        <v>0.4510828286016228</v>
      </c>
    </row>
    <row r="119" spans="1:13">
      <c r="A119" s="15"/>
      <c r="B119" s="113"/>
      <c r="C119" s="113"/>
      <c r="D119" s="113"/>
      <c r="E119" s="114"/>
      <c r="F119" s="115"/>
      <c r="H119" s="115"/>
      <c r="J119" s="49">
        <f>SUM(J116:J118)</f>
        <v>2.7735509779702077</v>
      </c>
      <c r="K119" s="115"/>
    </row>
    <row r="120" spans="1:13" ht="20">
      <c r="A120" s="15"/>
      <c r="B120" s="132" t="s">
        <v>89</v>
      </c>
      <c r="C120" s="19" t="s">
        <v>2</v>
      </c>
      <c r="D120" s="20" t="s">
        <v>12</v>
      </c>
      <c r="E120" s="21" t="s">
        <v>13</v>
      </c>
      <c r="F120" s="45" t="s">
        <v>0</v>
      </c>
      <c r="H120" s="1" t="s">
        <v>136</v>
      </c>
      <c r="I120" s="1" t="s">
        <v>139</v>
      </c>
    </row>
    <row r="121" spans="1:13" ht="20">
      <c r="A121" s="15"/>
      <c r="B121" s="18" t="str">
        <f>MachineAssumptions!B7&amp;" - Replacement Costs"</f>
        <v>Shredder - Replacement Costs</v>
      </c>
      <c r="C121" s="41" t="str">
        <f>C72</f>
        <v>acre</v>
      </c>
      <c r="D121" s="34">
        <f>MachineAssumptions!U7</f>
        <v>4.3329737628911431</v>
      </c>
      <c r="E121" s="145">
        <f>E72</f>
        <v>0</v>
      </c>
      <c r="F121" s="42" t="str">
        <f t="shared" ref="F121:F134" si="14">IF(D121*E121=0,"0",D121*E121)</f>
        <v>0</v>
      </c>
      <c r="G121" s="1" t="s">
        <v>111</v>
      </c>
      <c r="H121" s="166">
        <f>MachineAssumptions!U28*E121</f>
        <v>0</v>
      </c>
      <c r="I121" s="166">
        <f>MachineAssumptions!U48*E121</f>
        <v>0</v>
      </c>
    </row>
    <row r="122" spans="1:13" ht="20">
      <c r="A122" s="15"/>
      <c r="B122" s="18" t="str">
        <f>MachineAssumptions!B8&amp;" - Replacement Costs"</f>
        <v>Harrow - Replacement Costs</v>
      </c>
      <c r="C122" s="41" t="str">
        <f>C75</f>
        <v>acre</v>
      </c>
      <c r="D122" s="34">
        <f>MachineAssumptions!U8</f>
        <v>1.1988479209967022</v>
      </c>
      <c r="E122" s="145">
        <f>E75</f>
        <v>0</v>
      </c>
      <c r="F122" s="42" t="str">
        <f t="shared" si="14"/>
        <v>0</v>
      </c>
      <c r="G122" s="1" t="s">
        <v>4</v>
      </c>
      <c r="H122" s="166">
        <f>MachineAssumptions!U29*E122</f>
        <v>0</v>
      </c>
      <c r="I122" s="166">
        <f>MachineAssumptions!U49*E122</f>
        <v>0</v>
      </c>
    </row>
    <row r="123" spans="1:13" ht="20">
      <c r="A123" s="15"/>
      <c r="B123" s="18" t="str">
        <f>MachineAssumptions!B9&amp;" - Replacement Costs"</f>
        <v>Chisel plow - Replacement Costs</v>
      </c>
      <c r="C123" s="41" t="str">
        <f>C78</f>
        <v>acre</v>
      </c>
      <c r="D123" s="34">
        <f>MachineAssumptions!U9</f>
        <v>0</v>
      </c>
      <c r="E123" s="145">
        <f>E78</f>
        <v>0</v>
      </c>
      <c r="F123" s="42" t="str">
        <f t="shared" si="14"/>
        <v>0</v>
      </c>
      <c r="G123" s="1" t="s">
        <v>112</v>
      </c>
      <c r="H123" s="166">
        <f>MachineAssumptions!U30*E123</f>
        <v>0</v>
      </c>
      <c r="I123" s="166">
        <f>MachineAssumptions!U50*E123</f>
        <v>0</v>
      </c>
    </row>
    <row r="124" spans="1:13" ht="20">
      <c r="A124" s="15"/>
      <c r="B124" s="18" t="str">
        <f>MachineAssumptions!B10&amp;" - Replacement Costs"</f>
        <v>Moldboard plow - Replacement Costs</v>
      </c>
      <c r="C124" s="41" t="str">
        <f>C81</f>
        <v>acre</v>
      </c>
      <c r="D124" s="34">
        <f>MachineAssumptions!U10</f>
        <v>0</v>
      </c>
      <c r="E124" s="145">
        <f>E81</f>
        <v>0</v>
      </c>
      <c r="F124" s="42" t="str">
        <f t="shared" si="14"/>
        <v>0</v>
      </c>
      <c r="H124" s="166">
        <f>MachineAssumptions!U31*E124</f>
        <v>0</v>
      </c>
      <c r="I124" s="166">
        <f>MachineAssumptions!U51*E124</f>
        <v>0</v>
      </c>
    </row>
    <row r="125" spans="1:13" ht="20">
      <c r="A125" s="15"/>
      <c r="B125" s="18" t="str">
        <f>MachineAssumptions!B11&amp;" - Replacement Costs"</f>
        <v>Cultivator - Replacement Costs</v>
      </c>
      <c r="C125" s="41" t="str">
        <f t="shared" ref="C125:C126" si="15">C82</f>
        <v>acre</v>
      </c>
      <c r="D125" s="34">
        <f>MachineAssumptions!U11</f>
        <v>0</v>
      </c>
      <c r="E125" s="145">
        <f>E84</f>
        <v>0</v>
      </c>
      <c r="F125" s="42" t="str">
        <f t="shared" si="14"/>
        <v>0</v>
      </c>
      <c r="H125" s="166">
        <f>MachineAssumptions!U32*E125</f>
        <v>0</v>
      </c>
      <c r="I125" s="166">
        <f>MachineAssumptions!U52*E125</f>
        <v>0</v>
      </c>
    </row>
    <row r="126" spans="1:13" ht="20">
      <c r="A126" s="15"/>
      <c r="B126" s="18" t="str">
        <f>MachineAssumptions!B12&amp;" - Replacement Costs"</f>
        <v>Cultiweeder - Replacement Costs</v>
      </c>
      <c r="C126" s="41" t="str">
        <f t="shared" si="15"/>
        <v>acre</v>
      </c>
      <c r="D126" s="34">
        <f>MachineAssumptions!U12</f>
        <v>0</v>
      </c>
      <c r="E126" s="145">
        <f>E87</f>
        <v>0</v>
      </c>
      <c r="F126" s="42" t="str">
        <f t="shared" si="14"/>
        <v>0</v>
      </c>
      <c r="H126" s="166">
        <f>MachineAssumptions!U33*E126</f>
        <v>0</v>
      </c>
      <c r="I126" s="166">
        <f>MachineAssumptions!U53*E126</f>
        <v>0</v>
      </c>
    </row>
    <row r="127" spans="1:13" ht="20">
      <c r="A127" s="15"/>
      <c r="B127" s="18" t="str">
        <f>MachineAssumptions!B13&amp;" - Replacement Costs"</f>
        <v>Drill - Replacement Costs</v>
      </c>
      <c r="C127" s="41" t="str">
        <f>C90</f>
        <v>acre</v>
      </c>
      <c r="D127" s="34">
        <f>MachineAssumptions!U13</f>
        <v>7.2419265221735989</v>
      </c>
      <c r="E127" s="145">
        <f>E90</f>
        <v>0</v>
      </c>
      <c r="F127" s="42" t="str">
        <f t="shared" si="14"/>
        <v>0</v>
      </c>
      <c r="H127" s="166">
        <f>MachineAssumptions!U34*E127</f>
        <v>0</v>
      </c>
      <c r="I127" s="166">
        <f>MachineAssumptions!U54*E127</f>
        <v>0</v>
      </c>
    </row>
    <row r="128" spans="1:13" ht="20">
      <c r="A128" s="15"/>
      <c r="B128" s="18" t="str">
        <f>MachineAssumptions!B14&amp;" - Replacement Costs"</f>
        <v>Combine w/ 36' header - Replacement Costs</v>
      </c>
      <c r="C128" s="41" t="str">
        <f>C93</f>
        <v>acre</v>
      </c>
      <c r="D128" s="34">
        <f>MachineAssumptions!U14</f>
        <v>9.7031999999999989</v>
      </c>
      <c r="E128" s="145">
        <f>E93</f>
        <v>0</v>
      </c>
      <c r="F128" s="42" t="str">
        <f t="shared" si="14"/>
        <v>0</v>
      </c>
      <c r="H128" s="166">
        <f>MachineAssumptions!U35*E128</f>
        <v>0</v>
      </c>
      <c r="I128" s="166">
        <f>MachineAssumptions!U55*E128</f>
        <v>0</v>
      </c>
    </row>
    <row r="129" spans="1:9" ht="20">
      <c r="A129" s="15"/>
      <c r="B129" s="18" t="str">
        <f>MachineAssumptions!B16&amp;" - Replacement Costs"</f>
        <v>Fertilizer Spreader - Replacement Costs</v>
      </c>
      <c r="C129" s="41" t="str">
        <f>C96</f>
        <v>acre</v>
      </c>
      <c r="D129" s="34">
        <f>MachineAssumptions!U16</f>
        <v>0</v>
      </c>
      <c r="E129" s="145">
        <f>E96</f>
        <v>0</v>
      </c>
      <c r="F129" s="42" t="str">
        <f t="shared" si="14"/>
        <v>0</v>
      </c>
      <c r="H129" s="166">
        <f>MachineAssumptions!U36*E129</f>
        <v>0</v>
      </c>
      <c r="I129" s="166">
        <f>MachineAssumptions!U56*E129</f>
        <v>0</v>
      </c>
    </row>
    <row r="130" spans="1:9" ht="20">
      <c r="A130" s="15"/>
      <c r="B130" s="18" t="str">
        <f>MachineAssumptions!B17&amp;" - Replacement Costs"</f>
        <v>Fertilizer tanks and pump - Replacement Costs</v>
      </c>
      <c r="C130" s="41" t="str">
        <f>C99</f>
        <v>acre</v>
      </c>
      <c r="D130" s="34">
        <f>MachineAssumptions!U17</f>
        <v>0.6</v>
      </c>
      <c r="E130" s="145">
        <f>E99</f>
        <v>0</v>
      </c>
      <c r="F130" s="42" t="str">
        <f t="shared" si="14"/>
        <v>0</v>
      </c>
      <c r="H130" s="166">
        <f>MachineAssumptions!U37*E130</f>
        <v>0</v>
      </c>
      <c r="I130" s="166">
        <f>MachineAssumptions!U57*E130</f>
        <v>0</v>
      </c>
    </row>
    <row r="131" spans="1:9" ht="20">
      <c r="A131" s="15"/>
      <c r="B131" s="18" t="str">
        <f>MachineAssumptions!B18&amp;" - Replacement Costs"</f>
        <v>Boom sprayer - Replacement Costs</v>
      </c>
      <c r="C131" s="41" t="str">
        <f>C102</f>
        <v>acre</v>
      </c>
      <c r="D131" s="34">
        <f>MachineAssumptions!U18</f>
        <v>0.80913316225248511</v>
      </c>
      <c r="E131" s="145">
        <f>E102</f>
        <v>1</v>
      </c>
      <c r="F131" s="42">
        <f t="shared" si="14"/>
        <v>0.80913316225248511</v>
      </c>
      <c r="H131" s="166">
        <f>MachineAssumptions!U38*E131</f>
        <v>0.8090118780669916</v>
      </c>
      <c r="I131" s="166">
        <f>MachineAssumptions!U58*E131</f>
        <v>0.80913316225248511</v>
      </c>
    </row>
    <row r="132" spans="1:9" ht="20">
      <c r="A132" s="15"/>
      <c r="B132" s="18" t="str">
        <f>MachineAssumptions!B15&amp;" - Replacement Costs"</f>
        <v>Bankout Wagon - Replacement Costs</v>
      </c>
      <c r="C132" s="41" t="str">
        <f>C105</f>
        <v>acre</v>
      </c>
      <c r="D132" s="34">
        <f>MachineAssumptions!U15</f>
        <v>2.9461434675395459</v>
      </c>
      <c r="E132" s="145">
        <f>E105</f>
        <v>0</v>
      </c>
      <c r="F132" s="42" t="str">
        <f t="shared" si="14"/>
        <v>0</v>
      </c>
      <c r="H132" s="166">
        <f>MachineAssumptions!U39*E132</f>
        <v>0</v>
      </c>
      <c r="I132" s="166">
        <f>MachineAssumptions!U59*E132</f>
        <v>0</v>
      </c>
    </row>
    <row r="133" spans="1:9" ht="20">
      <c r="A133" s="15"/>
      <c r="B133" s="18" t="str">
        <f>MachineAssumptions!B19&amp;" - Replacement Costs"</f>
        <v>Tandem Axle Truck  - Replacement Costs</v>
      </c>
      <c r="C133" s="41" t="str">
        <f>C108</f>
        <v>acre</v>
      </c>
      <c r="D133" s="34">
        <f>MachineAssumptions!U19</f>
        <v>0.64</v>
      </c>
      <c r="E133" s="145">
        <f>E108</f>
        <v>0</v>
      </c>
      <c r="F133" s="42" t="str">
        <f t="shared" si="14"/>
        <v>0</v>
      </c>
      <c r="H133" s="166">
        <f>MachineAssumptions!U40*E133</f>
        <v>0</v>
      </c>
      <c r="I133" s="166">
        <f>MachineAssumptions!U60*E133</f>
        <v>0</v>
      </c>
    </row>
    <row r="134" spans="1:9" ht="23">
      <c r="A134" s="15"/>
      <c r="B134" s="18" t="str">
        <f>MachineAssumptions!B20&amp;" - Replacement Costs"</f>
        <v>Tandem Axle Truck  - Replacement Costs</v>
      </c>
      <c r="C134" s="41" t="str">
        <f t="shared" ref="C134" si="16">C111</f>
        <v>acre</v>
      </c>
      <c r="D134" s="34">
        <f>MachineAssumptions!U20</f>
        <v>0.64</v>
      </c>
      <c r="E134" s="145">
        <f t="shared" ref="E134" si="17">E111</f>
        <v>0</v>
      </c>
      <c r="F134" s="43" t="str">
        <f t="shared" si="14"/>
        <v>0</v>
      </c>
      <c r="H134" s="247">
        <f>MachineAssumptions!U41*E134</f>
        <v>0</v>
      </c>
      <c r="I134" s="247">
        <f>MachineAssumptions!U61*E134</f>
        <v>0</v>
      </c>
    </row>
    <row r="135" spans="1:9" ht="20">
      <c r="A135" s="15"/>
      <c r="B135" s="144" t="s">
        <v>38</v>
      </c>
      <c r="C135" s="29"/>
      <c r="D135" s="30"/>
      <c r="E135" s="29"/>
      <c r="F135" s="46">
        <f>SUM(F121:F134)</f>
        <v>0.80913316225248511</v>
      </c>
      <c r="H135" s="46">
        <f t="shared" ref="H135:I135" si="18">SUM(H121:H134)</f>
        <v>0.8090118780669916</v>
      </c>
      <c r="I135" s="46">
        <f t="shared" si="18"/>
        <v>0.80913316225248511</v>
      </c>
    </row>
    <row r="136" spans="1:9" ht="20">
      <c r="A136" s="15"/>
      <c r="B136" s="16"/>
      <c r="C136" s="16"/>
      <c r="D136" s="17"/>
      <c r="E136" s="16"/>
      <c r="F136" s="113"/>
    </row>
    <row r="137" spans="1:9" ht="20">
      <c r="A137" s="15"/>
      <c r="B137" s="14" t="s">
        <v>31</v>
      </c>
      <c r="C137" s="29"/>
      <c r="D137" s="30"/>
      <c r="E137" s="29"/>
      <c r="F137" s="47">
        <f>F118+F135</f>
        <v>8.1562100239189306</v>
      </c>
      <c r="H137" s="47">
        <f>SUM(F16:F70)+H114+F115+H116+H117+H135+F8+(H9*D9)+(H10*D10)+(H11*D11)+(H12*D12)+(H13*D13)+(H14*D14)+(H15*D15)</f>
        <v>8.1614165296747352</v>
      </c>
      <c r="I137" s="47">
        <f>SUM(F16:F70)+I114+F115+I116+I117+I135+F8+(I9*D9)+(I10*D10)+(I11*D11)+(I12*D12)+(I13*D13)+(I14*D14)+(I15*D15)</f>
        <v>8.1046163977715313</v>
      </c>
    </row>
    <row r="138" spans="1:9" ht="21">
      <c r="A138" s="15"/>
      <c r="B138" s="31" t="s">
        <v>32</v>
      </c>
      <c r="C138" s="32"/>
      <c r="D138" s="33"/>
      <c r="E138" s="32"/>
      <c r="F138" s="48">
        <f>F5-F137</f>
        <v>-8.1562100239189306</v>
      </c>
      <c r="H138" s="250">
        <f>H5-H137</f>
        <v>-8.1614165296747352</v>
      </c>
      <c r="I138" s="250">
        <f>I5-I137</f>
        <v>-8.1046163977715313</v>
      </c>
    </row>
  </sheetData>
  <mergeCells count="1">
    <mergeCell ref="B2:F2"/>
  </mergeCells>
  <pageMargins left="0.7" right="0.7" top="0.75" bottom="0.75" header="0.3" footer="0.3"/>
  <pageSetup scale="57" orientation="portrait" horizontalDpi="0" verticalDpi="0"/>
  <ignoredErrors>
    <ignoredError sqref="B116:F116 B115:D115 B114:F114 B127:C134 B135:F144 B121:C124 B125:F126 C13:D13 C14:F14 B62:E71 B118:F120 B117:E117 B3:F3 B2 B72:B113 D90:E113 D84:F89 D72:E83 E121:G124 E127:G134 B60:D61 B4:F7 B54:D57 B42:D51 B33:D40 B21:D31 B16:G20 B32:G32 E21:G31 B41:G41 E33:G40 B52:G53 E42:G51 B58:G59 E54:G57 E115 C9:D9 C10:D10 C11:D11 C12:D12 C15:G15 B9:B15" unlockedFormula="1"/>
    <ignoredError sqref="D127:D134 D121:D124" formula="1" unlockedFormula="1"/>
  </ignoredErrors>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E4056-2118-7140-828C-1415A6863BE6}">
  <sheetPr codeName="Sheet43">
    <pageSetUpPr fitToPage="1"/>
  </sheetPr>
  <dimension ref="A1:R138"/>
  <sheetViews>
    <sheetView zoomScale="120" zoomScaleNormal="120" workbookViewId="0">
      <selection activeCell="B2" sqref="B2:F2"/>
    </sheetView>
  </sheetViews>
  <sheetFormatPr baseColWidth="10" defaultColWidth="11.5" defaultRowHeight="15"/>
  <cols>
    <col min="1" max="1" width="4.83203125" style="1" customWidth="1"/>
    <col min="2" max="2" width="57.83203125" style="1" customWidth="1"/>
    <col min="3" max="6" width="12.83203125" style="1" customWidth="1"/>
    <col min="7" max="16" width="11.5" style="1" hidden="1" customWidth="1"/>
    <col min="17" max="16384" width="11.5" style="1"/>
  </cols>
  <sheetData>
    <row r="1" spans="1:18" ht="20">
      <c r="A1" s="364" t="s">
        <v>8</v>
      </c>
      <c r="B1" s="27"/>
      <c r="C1" s="16"/>
      <c r="D1" s="17"/>
      <c r="E1" s="16"/>
      <c r="F1" s="16"/>
    </row>
    <row r="2" spans="1:18" ht="20">
      <c r="A2" s="2"/>
      <c r="B2" s="807" t="str">
        <f>'Prices_Yields&amp;SeedInputs'!B19&amp;", Cash Costs and Returns of Producing, $/acre."</f>
        <v>Flex-Fallow, Cash Costs and Returns of Producing, $/acre.</v>
      </c>
      <c r="C2" s="807"/>
      <c r="D2" s="807"/>
      <c r="E2" s="807"/>
      <c r="F2" s="807"/>
    </row>
    <row r="3" spans="1:18" ht="20">
      <c r="A3" s="2"/>
      <c r="B3" s="131" t="s">
        <v>11</v>
      </c>
      <c r="C3" s="24" t="s">
        <v>2</v>
      </c>
      <c r="D3" s="25" t="s">
        <v>12</v>
      </c>
      <c r="E3" s="26" t="s">
        <v>13</v>
      </c>
      <c r="F3" s="26" t="s">
        <v>0</v>
      </c>
      <c r="H3" s="1" t="str">
        <f>'Prices_Yields&amp;SeedInputs'!F3</f>
        <v>Incremental Rotation</v>
      </c>
      <c r="I3" s="1" t="str">
        <f>'Prices_Yields&amp;SeedInputs'!G3</f>
        <v>Aspirational Rotation</v>
      </c>
      <c r="Q3" s="674"/>
      <c r="R3" s="674"/>
    </row>
    <row r="4" spans="1:18" ht="20">
      <c r="A4" s="2"/>
      <c r="B4" s="127" t="str">
        <f>'Prices_Yields&amp;SeedInputs'!B19</f>
        <v>Flex-Fallow</v>
      </c>
      <c r="C4" s="22" t="str">
        <f>'Prices_Yields&amp;SeedInputs'!C19</f>
        <v>acre</v>
      </c>
      <c r="D4" s="17">
        <f>'Prices_Yields&amp;SeedInputs'!D19</f>
        <v>0</v>
      </c>
      <c r="E4" s="90">
        <f>'Prices_Yields&amp;SeedInputs'!E19</f>
        <v>0</v>
      </c>
      <c r="F4" s="35">
        <f>D4*E4</f>
        <v>0</v>
      </c>
      <c r="Q4" s="674"/>
      <c r="R4" s="674"/>
    </row>
    <row r="5" spans="1:18" ht="20">
      <c r="A5" s="2"/>
      <c r="B5" s="14" t="s">
        <v>14</v>
      </c>
      <c r="C5" s="29"/>
      <c r="D5" s="30"/>
      <c r="E5" s="29"/>
      <c r="F5" s="46">
        <f>SUM(F4:F4)</f>
        <v>0</v>
      </c>
      <c r="H5" s="1">
        <f>D4*'Prices_Yields&amp;SeedInputs'!F19</f>
        <v>0</v>
      </c>
      <c r="I5" s="1">
        <f>D4*'Prices_Yields&amp;SeedInputs'!G19</f>
        <v>0</v>
      </c>
      <c r="Q5" s="674"/>
      <c r="R5" s="674"/>
    </row>
    <row r="6" spans="1:18" ht="20">
      <c r="A6" s="2"/>
      <c r="B6" s="16"/>
      <c r="C6" s="16"/>
      <c r="D6" s="17"/>
      <c r="E6" s="16"/>
      <c r="F6" s="44"/>
    </row>
    <row r="7" spans="1:18" ht="20">
      <c r="A7" s="2"/>
      <c r="B7" s="132" t="s">
        <v>37</v>
      </c>
      <c r="C7" s="19" t="s">
        <v>2</v>
      </c>
      <c r="D7" s="20" t="s">
        <v>12</v>
      </c>
      <c r="E7" s="21" t="s">
        <v>13</v>
      </c>
      <c r="F7" s="45" t="s">
        <v>0</v>
      </c>
    </row>
    <row r="8" spans="1:18" ht="20">
      <c r="A8" s="2"/>
      <c r="B8" s="271" t="s">
        <v>8</v>
      </c>
      <c r="C8" s="179"/>
      <c r="D8" s="180"/>
      <c r="E8" s="181"/>
      <c r="F8" s="182"/>
    </row>
    <row r="9" spans="1:18" ht="20">
      <c r="A9" s="2"/>
      <c r="B9" s="85" t="str">
        <f>'Chem&amp;FertInputs&amp;CInsurance'!B6</f>
        <v>Fertilizer - Nitrogen-</v>
      </c>
      <c r="C9" s="23" t="str">
        <f>'Chem&amp;FertInputs&amp;CInsurance'!D6</f>
        <v>pound</v>
      </c>
      <c r="D9" s="116">
        <f>'Chem&amp;FertInputs&amp;CInsurance'!E6</f>
        <v>0.48749999999999999</v>
      </c>
      <c r="E9" s="175">
        <f>'Chem&amp;FertInputs&amp;CInsurance'!T6</f>
        <v>0</v>
      </c>
      <c r="F9" s="117" t="str">
        <f t="shared" ref="F9:F61" si="0">IF(D9*E9=0,"0",D9*E9)</f>
        <v>0</v>
      </c>
      <c r="H9" s="1">
        <f>'Chem&amp;FertInputs&amp;CInsurance'!T7</f>
        <v>0</v>
      </c>
      <c r="I9" s="1">
        <f>'Chem&amp;FertInputs&amp;CInsurance'!T8</f>
        <v>0</v>
      </c>
    </row>
    <row r="10" spans="1:18" ht="20">
      <c r="A10" s="2"/>
      <c r="B10" s="85" t="str">
        <f>'Chem&amp;FertInputs&amp;CInsurance'!B9</f>
        <v>Fertilizer - Anhydrous Ammonia-</v>
      </c>
      <c r="C10" s="23" t="str">
        <f>'Chem&amp;FertInputs&amp;CInsurance'!D9</f>
        <v>pound</v>
      </c>
      <c r="D10" s="116">
        <f>'Chem&amp;FertInputs&amp;CInsurance'!E9</f>
        <v>0.75770000000000004</v>
      </c>
      <c r="E10" s="133">
        <f>'Chem&amp;FertInputs&amp;CInsurance'!T9</f>
        <v>0</v>
      </c>
      <c r="F10" s="117" t="str">
        <f t="shared" si="0"/>
        <v>0</v>
      </c>
      <c r="H10" s="1">
        <f>'Chem&amp;FertInputs&amp;CInsurance'!T10</f>
        <v>0</v>
      </c>
      <c r="I10" s="1">
        <f>'Chem&amp;FertInputs&amp;CInsurance'!T11</f>
        <v>0</v>
      </c>
    </row>
    <row r="11" spans="1:18" ht="20">
      <c r="A11" s="2"/>
      <c r="B11" s="85" t="str">
        <f>'Chem&amp;FertInputs&amp;CInsurance'!B12</f>
        <v xml:space="preserve">Fertilizer - Phosphorus- </v>
      </c>
      <c r="C11" s="23" t="str">
        <f>'Chem&amp;FertInputs&amp;CInsurance'!D12</f>
        <v>pound</v>
      </c>
      <c r="D11" s="116">
        <f>'Chem&amp;FertInputs&amp;CInsurance'!E12</f>
        <v>0.47499999999999998</v>
      </c>
      <c r="E11" s="133">
        <f>'Chem&amp;FertInputs&amp;CInsurance'!T12</f>
        <v>0</v>
      </c>
      <c r="F11" s="117" t="str">
        <f t="shared" si="0"/>
        <v>0</v>
      </c>
      <c r="H11" s="1">
        <f>'Chem&amp;FertInputs&amp;CInsurance'!T13</f>
        <v>0</v>
      </c>
      <c r="I11" s="1">
        <f>'Chem&amp;FertInputs&amp;CInsurance'!T14</f>
        <v>0</v>
      </c>
    </row>
    <row r="12" spans="1:18" ht="20">
      <c r="A12" s="2"/>
      <c r="B12" s="85" t="str">
        <f>'Chem&amp;FertInputs&amp;CInsurance'!B15</f>
        <v>Fertilizer - Potassium-</v>
      </c>
      <c r="C12" s="23" t="str">
        <f>'Chem&amp;FertInputs&amp;CInsurance'!D15</f>
        <v>pound</v>
      </c>
      <c r="D12" s="116">
        <f>'Chem&amp;FertInputs&amp;CInsurance'!E15</f>
        <v>0.441</v>
      </c>
      <c r="E12" s="133">
        <f>'Chem&amp;FertInputs&amp;CInsurance'!T15</f>
        <v>0</v>
      </c>
      <c r="F12" s="117" t="str">
        <f t="shared" si="0"/>
        <v>0</v>
      </c>
      <c r="H12" s="1">
        <f>'Chem&amp;FertInputs&amp;CInsurance'!T16</f>
        <v>0</v>
      </c>
      <c r="I12" s="1">
        <f>'Chem&amp;FertInputs&amp;CInsurance'!T17</f>
        <v>0</v>
      </c>
    </row>
    <row r="13" spans="1:18" ht="20">
      <c r="A13" s="2"/>
      <c r="B13" s="85" t="str">
        <f>'Chem&amp;FertInputs&amp;CInsurance'!B18</f>
        <v>Fertilizer - Sulfur-</v>
      </c>
      <c r="C13" s="23" t="str">
        <f>'Chem&amp;FertInputs&amp;CInsurance'!D18</f>
        <v>pound</v>
      </c>
      <c r="D13" s="116">
        <f>'Chem&amp;FertInputs&amp;CInsurance'!E18</f>
        <v>0.2555</v>
      </c>
      <c r="E13" s="133">
        <f>'Chem&amp;FertInputs&amp;CInsurance'!T18</f>
        <v>0</v>
      </c>
      <c r="F13" s="117" t="str">
        <f t="shared" si="0"/>
        <v>0</v>
      </c>
      <c r="H13" s="1">
        <f>'Chem&amp;FertInputs&amp;CInsurance'!T19</f>
        <v>0</v>
      </c>
      <c r="I13" s="1">
        <f>'Chem&amp;FertInputs&amp;CInsurance'!T20</f>
        <v>0</v>
      </c>
    </row>
    <row r="14" spans="1:18" ht="20">
      <c r="A14" s="2"/>
      <c r="B14" s="85" t="str">
        <f>'Chem&amp;FertInputs&amp;CInsurance'!B21</f>
        <v>Adjuvant - Ammonium Sulfate liquid-</v>
      </c>
      <c r="C14" s="23" t="str">
        <f>'Chem&amp;FertInputs&amp;CInsurance'!D21</f>
        <v>oz</v>
      </c>
      <c r="D14" s="116">
        <f>'Chem&amp;FertInputs&amp;CInsurance'!E21</f>
        <v>0.48</v>
      </c>
      <c r="E14" s="133">
        <f>'Chem&amp;FertInputs&amp;CInsurance'!T21</f>
        <v>1.7</v>
      </c>
      <c r="F14" s="117">
        <f t="shared" ref="F14:F20" si="1">IF(D14*E14=0,"0",D14*E14)</f>
        <v>0.81599999999999995</v>
      </c>
      <c r="G14" s="165">
        <f>E14/128</f>
        <v>1.328125E-2</v>
      </c>
      <c r="H14" s="1">
        <f>'Chem&amp;FertInputs&amp;CInsurance'!T22</f>
        <v>1.7</v>
      </c>
      <c r="I14" s="1">
        <f>'Chem&amp;FertInputs&amp;CInsurance'!T23</f>
        <v>1.7</v>
      </c>
    </row>
    <row r="15" spans="1:18" ht="20">
      <c r="A15" s="2"/>
      <c r="B15" s="85" t="str">
        <f>'Chem&amp;FertInputs&amp;CInsurance'!B24</f>
        <v>Adjuvant - Ammonium Sulfate  (other)-</v>
      </c>
      <c r="C15" s="23" t="str">
        <f>'Chem&amp;FertInputs&amp;CInsurance'!D24</f>
        <v>pound</v>
      </c>
      <c r="D15" s="116">
        <f>'Chem&amp;FertInputs&amp;CInsurance'!E24</f>
        <v>0.71</v>
      </c>
      <c r="E15" s="133">
        <f>'Chem&amp;FertInputs&amp;CInsurance'!T24</f>
        <v>0</v>
      </c>
      <c r="F15" s="117" t="str">
        <f t="shared" si="1"/>
        <v>0</v>
      </c>
      <c r="G15" s="165">
        <f>E15/16</f>
        <v>0</v>
      </c>
      <c r="H15" s="1">
        <f>'Chem&amp;FertInputs&amp;CInsurance'!T25</f>
        <v>0</v>
      </c>
      <c r="I15" s="1">
        <f>'Chem&amp;FertInputs&amp;CInsurance'!T26</f>
        <v>0</v>
      </c>
    </row>
    <row r="16" spans="1:18" ht="20">
      <c r="A16" s="2"/>
      <c r="B16" s="85" t="str">
        <f>'Chem&amp;FertInputs&amp;CInsurance'!C27</f>
        <v xml:space="preserve">crop oil concentrate </v>
      </c>
      <c r="C16" s="23" t="str">
        <f>'Chem&amp;FertInputs&amp;CInsurance'!D27</f>
        <v>pint</v>
      </c>
      <c r="D16" s="116">
        <f>'Chem&amp;FertInputs&amp;CInsurance'!E27</f>
        <v>1.6559999999999999</v>
      </c>
      <c r="E16" s="133">
        <f>'Chem&amp;FertInputs&amp;CInsurance'!T27</f>
        <v>0</v>
      </c>
      <c r="F16" s="117" t="str">
        <f t="shared" si="1"/>
        <v>0</v>
      </c>
      <c r="G16" s="165">
        <f>E16/8</f>
        <v>0</v>
      </c>
    </row>
    <row r="17" spans="1:7" ht="20">
      <c r="A17" s="2"/>
      <c r="B17" s="85" t="str">
        <f>'Chem&amp;FertInputs&amp;CInsurance'!C28</f>
        <v>In-place</v>
      </c>
      <c r="C17" s="23" t="str">
        <f>'Chem&amp;FertInputs&amp;CInsurance'!D28</f>
        <v>oz</v>
      </c>
      <c r="D17" s="116">
        <f>'Chem&amp;FertInputs&amp;CInsurance'!E28</f>
        <v>0.35649999999999998</v>
      </c>
      <c r="E17" s="133">
        <f>'Chem&amp;FertInputs&amp;CInsurance'!T28</f>
        <v>0</v>
      </c>
      <c r="F17" s="117" t="str">
        <f t="shared" si="1"/>
        <v>0</v>
      </c>
      <c r="G17" s="165">
        <f>E17/128</f>
        <v>0</v>
      </c>
    </row>
    <row r="18" spans="1:7" ht="20">
      <c r="A18" s="2"/>
      <c r="B18" s="85" t="str">
        <f>'Chem&amp;FertInputs&amp;CInsurance'!C29</f>
        <v xml:space="preserve">M90 </v>
      </c>
      <c r="C18" s="23" t="str">
        <f>'Chem&amp;FertInputs&amp;CInsurance'!D29</f>
        <v>oz</v>
      </c>
      <c r="D18" s="116">
        <f>'Chem&amp;FertInputs&amp;CInsurance'!E29</f>
        <v>0.253</v>
      </c>
      <c r="E18" s="133">
        <f>'Chem&amp;FertInputs&amp;CInsurance'!T29</f>
        <v>1.5</v>
      </c>
      <c r="F18" s="117">
        <f t="shared" si="1"/>
        <v>0.3795</v>
      </c>
      <c r="G18" s="165">
        <f>E18/128</f>
        <v>1.171875E-2</v>
      </c>
    </row>
    <row r="19" spans="1:7" ht="20">
      <c r="A19" s="2"/>
      <c r="B19" s="85" t="str">
        <f>'Chem&amp;FertInputs&amp;CInsurance'!C30</f>
        <v>Surfactant</v>
      </c>
      <c r="C19" s="23" t="str">
        <f>'Chem&amp;FertInputs&amp;CInsurance'!D30</f>
        <v>oz</v>
      </c>
      <c r="D19" s="116">
        <f>'Chem&amp;FertInputs&amp;CInsurance'!E30</f>
        <v>0.26450000000000001</v>
      </c>
      <c r="E19" s="133">
        <f>'Chem&amp;FertInputs&amp;CInsurance'!T30</f>
        <v>0</v>
      </c>
      <c r="F19" s="117" t="str">
        <f t="shared" si="1"/>
        <v>0</v>
      </c>
      <c r="G19" s="165">
        <f>E19/128</f>
        <v>0</v>
      </c>
    </row>
    <row r="20" spans="1:7" ht="20">
      <c r="A20" s="2"/>
      <c r="B20" s="85" t="str">
        <f>'Chem&amp;FertInputs&amp;CInsurance'!C31</f>
        <v>Syltac sticker</v>
      </c>
      <c r="C20" s="23" t="str">
        <f>'Chem&amp;FertInputs&amp;CInsurance'!D31</f>
        <v>pint</v>
      </c>
      <c r="D20" s="116">
        <f>'Chem&amp;FertInputs&amp;CInsurance'!E31</f>
        <v>7.1874999999999991</v>
      </c>
      <c r="E20" s="133">
        <f>'Chem&amp;FertInputs&amp;CInsurance'!T31</f>
        <v>0</v>
      </c>
      <c r="F20" s="117" t="str">
        <f t="shared" si="1"/>
        <v>0</v>
      </c>
      <c r="G20" s="165">
        <f>E20/8</f>
        <v>0</v>
      </c>
    </row>
    <row r="21" spans="1:7" ht="20">
      <c r="A21" s="2"/>
      <c r="B21" s="85" t="str">
        <f>'Chem&amp;FertInputs&amp;CInsurance'!C33</f>
        <v>2,4 - D</v>
      </c>
      <c r="C21" s="23" t="str">
        <f>'Chem&amp;FertInputs&amp;CInsurance'!D33</f>
        <v>oz</v>
      </c>
      <c r="D21" s="116">
        <f>'Chem&amp;FertInputs&amp;CInsurance'!E33</f>
        <v>0.33349999999999996</v>
      </c>
      <c r="E21" s="133">
        <f>'Chem&amp;FertInputs&amp;CInsurance'!T33</f>
        <v>0</v>
      </c>
      <c r="F21" s="117" t="str">
        <f t="shared" si="0"/>
        <v>0</v>
      </c>
      <c r="G21" s="165">
        <f t="shared" ref="G21:G30" si="2">E21/128</f>
        <v>0</v>
      </c>
    </row>
    <row r="22" spans="1:7" ht="20">
      <c r="A22" s="2"/>
      <c r="B22" s="85" t="str">
        <f>'Chem&amp;FertInputs&amp;CInsurance'!C34</f>
        <v>Achieve SC</v>
      </c>
      <c r="C22" s="23" t="str">
        <f>'Chem&amp;FertInputs&amp;CInsurance'!D34</f>
        <v>oz</v>
      </c>
      <c r="D22" s="116">
        <f>'Chem&amp;FertInputs&amp;CInsurance'!E34</f>
        <v>1.3454999999999999</v>
      </c>
      <c r="E22" s="133">
        <f>'Chem&amp;FertInputs&amp;CInsurance'!T34</f>
        <v>0</v>
      </c>
      <c r="F22" s="117" t="str">
        <f t="shared" si="0"/>
        <v>0</v>
      </c>
      <c r="G22" s="165">
        <f t="shared" si="2"/>
        <v>0</v>
      </c>
    </row>
    <row r="23" spans="1:7" ht="20">
      <c r="A23" s="2"/>
      <c r="B23" s="85" t="str">
        <f>'Chem&amp;FertInputs&amp;CInsurance'!C35</f>
        <v>Affintity TankMix</v>
      </c>
      <c r="C23" s="23" t="str">
        <f>'Chem&amp;FertInputs&amp;CInsurance'!D35</f>
        <v>oz</v>
      </c>
      <c r="D23" s="116">
        <f>'Chem&amp;FertInputs&amp;CInsurance'!E35</f>
        <v>8.9699999999999989</v>
      </c>
      <c r="E23" s="133">
        <f>'Chem&amp;FertInputs&amp;CInsurance'!T35</f>
        <v>0</v>
      </c>
      <c r="F23" s="117" t="str">
        <f t="shared" si="0"/>
        <v>0</v>
      </c>
      <c r="G23" s="165">
        <f t="shared" si="2"/>
        <v>0</v>
      </c>
    </row>
    <row r="24" spans="1:7" ht="20">
      <c r="A24" s="2"/>
      <c r="B24" s="85" t="str">
        <f>'Chem&amp;FertInputs&amp;CInsurance'!C36</f>
        <v xml:space="preserve">Ally </v>
      </c>
      <c r="C24" s="23" t="str">
        <f>'Chem&amp;FertInputs&amp;CInsurance'!D36</f>
        <v>oz</v>
      </c>
      <c r="D24" s="116">
        <f>'Chem&amp;FertInputs&amp;CInsurance'!E36</f>
        <v>1.7249999999999999</v>
      </c>
      <c r="E24" s="133">
        <f>'Chem&amp;FertInputs&amp;CInsurance'!T36</f>
        <v>0</v>
      </c>
      <c r="F24" s="117" t="str">
        <f t="shared" si="0"/>
        <v>0</v>
      </c>
      <c r="G24" s="165">
        <f t="shared" si="2"/>
        <v>0</v>
      </c>
    </row>
    <row r="25" spans="1:7" ht="20">
      <c r="A25" s="2"/>
      <c r="B25" s="85" t="str">
        <f>'Chem&amp;FertInputs&amp;CInsurance'!C37</f>
        <v>Assure</v>
      </c>
      <c r="C25" s="23" t="str">
        <f>'Chem&amp;FertInputs&amp;CInsurance'!D37</f>
        <v>oz</v>
      </c>
      <c r="D25" s="116">
        <f>'Chem&amp;FertInputs&amp;CInsurance'!E37</f>
        <v>0.98899999999999988</v>
      </c>
      <c r="E25" s="133">
        <f>'Chem&amp;FertInputs&amp;CInsurance'!T37</f>
        <v>0</v>
      </c>
      <c r="F25" s="117" t="str">
        <f t="shared" si="0"/>
        <v>0</v>
      </c>
      <c r="G25" s="165">
        <f t="shared" si="2"/>
        <v>0</v>
      </c>
    </row>
    <row r="26" spans="1:7" ht="20">
      <c r="A26" s="2"/>
      <c r="B26" s="85" t="str">
        <f>'Chem&amp;FertInputs&amp;CInsurance'!C38</f>
        <v>Axial Star</v>
      </c>
      <c r="C26" s="23" t="str">
        <f>'Chem&amp;FertInputs&amp;CInsurance'!D38</f>
        <v>oz</v>
      </c>
      <c r="D26" s="116">
        <f>'Chem&amp;FertInputs&amp;CInsurance'!E38</f>
        <v>1.3224999999999998</v>
      </c>
      <c r="E26" s="133">
        <f>'Chem&amp;FertInputs&amp;CInsurance'!T38</f>
        <v>0</v>
      </c>
      <c r="F26" s="117" t="str">
        <f t="shared" si="0"/>
        <v>0</v>
      </c>
      <c r="G26" s="165">
        <f t="shared" si="2"/>
        <v>0</v>
      </c>
    </row>
    <row r="27" spans="1:7" ht="20">
      <c r="A27" s="2"/>
      <c r="B27" s="85" t="str">
        <f>'Chem&amp;FertInputs&amp;CInsurance'!C39</f>
        <v>Axial Bold</v>
      </c>
      <c r="C27" s="23" t="str">
        <f>'Chem&amp;FertInputs&amp;CInsurance'!D39</f>
        <v>oz</v>
      </c>
      <c r="D27" s="116">
        <f>'Chem&amp;FertInputs&amp;CInsurance'!E39</f>
        <v>1.0924999999999998</v>
      </c>
      <c r="E27" s="133">
        <f>'Chem&amp;FertInputs&amp;CInsurance'!T39</f>
        <v>0</v>
      </c>
      <c r="F27" s="117" t="str">
        <f t="shared" si="0"/>
        <v>0</v>
      </c>
      <c r="G27" s="165">
        <f t="shared" si="2"/>
        <v>0</v>
      </c>
    </row>
    <row r="28" spans="1:7" ht="20">
      <c r="A28" s="2"/>
      <c r="B28" s="85" t="str">
        <f>'Chem&amp;FertInputs&amp;CInsurance'!C40</f>
        <v>Bronate</v>
      </c>
      <c r="C28" s="23" t="str">
        <f>'Chem&amp;FertInputs&amp;CInsurance'!D40</f>
        <v>oz</v>
      </c>
      <c r="D28" s="116">
        <f>'Chem&amp;FertInputs&amp;CInsurance'!E40</f>
        <v>7.911999999999999</v>
      </c>
      <c r="E28" s="133">
        <f>'Chem&amp;FertInputs&amp;CInsurance'!T40</f>
        <v>0</v>
      </c>
      <c r="F28" s="117" t="str">
        <f t="shared" si="0"/>
        <v>0</v>
      </c>
      <c r="G28" s="165">
        <f t="shared" si="2"/>
        <v>0</v>
      </c>
    </row>
    <row r="29" spans="1:7" ht="20">
      <c r="A29" s="2"/>
      <c r="B29" s="85" t="str">
        <f>'Chem&amp;FertInputs&amp;CInsurance'!C41</f>
        <v xml:space="preserve">Brox M </v>
      </c>
      <c r="C29" s="23" t="str">
        <f>'Chem&amp;FertInputs&amp;CInsurance'!D41</f>
        <v>oz</v>
      </c>
      <c r="D29" s="116">
        <f>'Chem&amp;FertInputs&amp;CInsurance'!E41</f>
        <v>0.42549999999999999</v>
      </c>
      <c r="E29" s="133">
        <f>'Chem&amp;FertInputs&amp;CInsurance'!T41</f>
        <v>0</v>
      </c>
      <c r="F29" s="117" t="str">
        <f t="shared" si="0"/>
        <v>0</v>
      </c>
      <c r="G29" s="165">
        <f t="shared" si="2"/>
        <v>0</v>
      </c>
    </row>
    <row r="30" spans="1:7" ht="20">
      <c r="A30" s="2"/>
      <c r="B30" s="85" t="str">
        <f>'Chem&amp;FertInputs&amp;CInsurance'!C42</f>
        <v>Capture</v>
      </c>
      <c r="C30" s="23" t="str">
        <f>'Chem&amp;FertInputs&amp;CInsurance'!D42</f>
        <v>oz</v>
      </c>
      <c r="D30" s="116">
        <f>'Chem&amp;FertInputs&amp;CInsurance'!E42</f>
        <v>2.7024999999999997</v>
      </c>
      <c r="E30" s="133">
        <f>'Chem&amp;FertInputs&amp;CInsurance'!T42</f>
        <v>0</v>
      </c>
      <c r="F30" s="117" t="str">
        <f t="shared" si="0"/>
        <v>0</v>
      </c>
      <c r="G30" s="165">
        <f t="shared" si="2"/>
        <v>0</v>
      </c>
    </row>
    <row r="31" spans="1:7" ht="20">
      <c r="A31" s="2"/>
      <c r="B31" s="85" t="str">
        <f>'Chem&amp;FertInputs&amp;CInsurance'!C43</f>
        <v xml:space="preserve">Dimethoate </v>
      </c>
      <c r="C31" s="23" t="str">
        <f>'Chem&amp;FertInputs&amp;CInsurance'!D43</f>
        <v>pint</v>
      </c>
      <c r="D31" s="116">
        <f>'Chem&amp;FertInputs&amp;CInsurance'!E43</f>
        <v>7.1874999999999991</v>
      </c>
      <c r="E31" s="133">
        <f>'Chem&amp;FertInputs&amp;CInsurance'!T43</f>
        <v>0</v>
      </c>
      <c r="F31" s="117" t="str">
        <f t="shared" si="0"/>
        <v>0</v>
      </c>
      <c r="G31" s="165">
        <f>E31/8</f>
        <v>0</v>
      </c>
    </row>
    <row r="32" spans="1:7" ht="20">
      <c r="A32" s="2"/>
      <c r="B32" s="85" t="str">
        <f>'Chem&amp;FertInputs&amp;CInsurance'!C44</f>
        <v>Clethodim</v>
      </c>
      <c r="C32" s="23" t="str">
        <f>'Chem&amp;FertInputs&amp;CInsurance'!D44</f>
        <v>oz</v>
      </c>
      <c r="D32" s="116">
        <f>'Chem&amp;FertInputs&amp;CInsurance'!E44</f>
        <v>0.75900000000000001</v>
      </c>
      <c r="E32" s="133">
        <f>'Chem&amp;FertInputs&amp;CInsurance'!T44</f>
        <v>0</v>
      </c>
      <c r="F32" s="117" t="str">
        <f t="shared" ref="F32" si="3">IF(D32*E32=0,"0",D32*E32)</f>
        <v>0</v>
      </c>
      <c r="G32" s="165">
        <f t="shared" ref="G32:G37" si="4">E32/128</f>
        <v>0</v>
      </c>
    </row>
    <row r="33" spans="1:7" ht="20">
      <c r="A33" s="2"/>
      <c r="B33" s="85" t="str">
        <f>'Chem&amp;FertInputs&amp;CInsurance'!C45</f>
        <v>Discover</v>
      </c>
      <c r="C33" s="23" t="str">
        <f>'Chem&amp;FertInputs&amp;CInsurance'!D45</f>
        <v>oz</v>
      </c>
      <c r="D33" s="116">
        <f>'Chem&amp;FertInputs&amp;CInsurance'!E45</f>
        <v>1.6904999999999999</v>
      </c>
      <c r="E33" s="133">
        <f>'Chem&amp;FertInputs&amp;CInsurance'!T45</f>
        <v>0</v>
      </c>
      <c r="F33" s="117" t="str">
        <f t="shared" si="0"/>
        <v>0</v>
      </c>
      <c r="G33" s="165">
        <f t="shared" si="4"/>
        <v>0</v>
      </c>
    </row>
    <row r="34" spans="1:7" ht="20">
      <c r="A34" s="2"/>
      <c r="B34" s="85" t="str">
        <f>'Chem&amp;FertInputs&amp;CInsurance'!C46</f>
        <v>FarGO</v>
      </c>
      <c r="C34" s="23" t="str">
        <f>'Chem&amp;FertInputs&amp;CInsurance'!D46</f>
        <v>oz</v>
      </c>
      <c r="D34" s="116">
        <f>'Chem&amp;FertInputs&amp;CInsurance'!E46</f>
        <v>19.158999999999999</v>
      </c>
      <c r="E34" s="133">
        <f>'Chem&amp;FertInputs&amp;CInsurance'!T46</f>
        <v>0</v>
      </c>
      <c r="F34" s="117" t="str">
        <f t="shared" si="0"/>
        <v>0</v>
      </c>
      <c r="G34" s="165">
        <f t="shared" si="4"/>
        <v>0</v>
      </c>
    </row>
    <row r="35" spans="1:7" ht="20">
      <c r="A35" s="2"/>
      <c r="B35" s="85" t="str">
        <f>'Chem&amp;FertInputs&amp;CInsurance'!C47</f>
        <v>Finesse</v>
      </c>
      <c r="C35" s="23" t="str">
        <f>'Chem&amp;FertInputs&amp;CInsurance'!D47</f>
        <v>oz</v>
      </c>
      <c r="D35" s="116">
        <f>'Chem&amp;FertInputs&amp;CInsurance'!E47</f>
        <v>19.940999999999999</v>
      </c>
      <c r="E35" s="133">
        <f>'Chem&amp;FertInputs&amp;CInsurance'!T47</f>
        <v>0</v>
      </c>
      <c r="F35" s="117" t="str">
        <f t="shared" si="0"/>
        <v>0</v>
      </c>
      <c r="G35" s="165">
        <f t="shared" si="4"/>
        <v>0</v>
      </c>
    </row>
    <row r="36" spans="1:7" ht="20">
      <c r="A36" s="2"/>
      <c r="B36" s="85" t="str">
        <f>'Chem&amp;FertInputs&amp;CInsurance'!C48</f>
        <v>Glyphosate</v>
      </c>
      <c r="C36" s="23" t="str">
        <f>'Chem&amp;FertInputs&amp;CInsurance'!D48</f>
        <v>oz</v>
      </c>
      <c r="D36" s="116">
        <f>'Chem&amp;FertInputs&amp;CInsurance'!E48</f>
        <v>0.14949999999999999</v>
      </c>
      <c r="E36" s="133">
        <f>'Chem&amp;FertInputs&amp;CInsurance'!T48</f>
        <v>0</v>
      </c>
      <c r="F36" s="117" t="str">
        <f t="shared" si="0"/>
        <v>0</v>
      </c>
      <c r="G36" s="165">
        <f t="shared" si="4"/>
        <v>0</v>
      </c>
    </row>
    <row r="37" spans="1:7" ht="20">
      <c r="A37" s="2"/>
      <c r="B37" s="85" t="str">
        <f>'Chem&amp;FertInputs&amp;CInsurance'!C49</f>
        <v>Huskie</v>
      </c>
      <c r="C37" s="23" t="str">
        <f>'Chem&amp;FertInputs&amp;CInsurance'!D49</f>
        <v>oz</v>
      </c>
      <c r="D37" s="116">
        <f>'Chem&amp;FertInputs&amp;CInsurance'!E49</f>
        <v>0.88549999999999995</v>
      </c>
      <c r="E37" s="133">
        <f>'Chem&amp;FertInputs&amp;CInsurance'!T49</f>
        <v>0</v>
      </c>
      <c r="F37" s="117" t="str">
        <f t="shared" si="0"/>
        <v>0</v>
      </c>
      <c r="G37" s="165">
        <f t="shared" si="4"/>
        <v>0</v>
      </c>
    </row>
    <row r="38" spans="1:7" ht="20">
      <c r="A38" s="2"/>
      <c r="B38" s="85" t="str">
        <f>'Chem&amp;FertInputs&amp;CInsurance'!C50</f>
        <v>Imidan 70</v>
      </c>
      <c r="C38" s="23" t="str">
        <f>'Chem&amp;FertInputs&amp;CInsurance'!D50</f>
        <v>lb</v>
      </c>
      <c r="D38" s="116">
        <f>'Chem&amp;FertInputs&amp;CInsurance'!E50</f>
        <v>17.295999999999999</v>
      </c>
      <c r="E38" s="133">
        <f>'Chem&amp;FertInputs&amp;CInsurance'!T50</f>
        <v>0</v>
      </c>
      <c r="F38" s="117" t="str">
        <f t="shared" si="0"/>
        <v>0</v>
      </c>
      <c r="G38" s="165">
        <f>E38/16</f>
        <v>0</v>
      </c>
    </row>
    <row r="39" spans="1:7" ht="20">
      <c r="A39" s="2"/>
      <c r="B39" s="85" t="str">
        <f>'Chem&amp;FertInputs&amp;CInsurance'!C51</f>
        <v xml:space="preserve">Maverick </v>
      </c>
      <c r="C39" s="23" t="str">
        <f>'Chem&amp;FertInputs&amp;CInsurance'!D51</f>
        <v>oz</v>
      </c>
      <c r="D39" s="116">
        <f>'Chem&amp;FertInputs&amp;CInsurance'!E51</f>
        <v>23.885499999999997</v>
      </c>
      <c r="E39" s="133">
        <f>'Chem&amp;FertInputs&amp;CInsurance'!T51</f>
        <v>0</v>
      </c>
      <c r="F39" s="117" t="str">
        <f t="shared" si="0"/>
        <v>0</v>
      </c>
      <c r="G39" s="165">
        <f t="shared" ref="G39:G51" si="5">E39/128</f>
        <v>0</v>
      </c>
    </row>
    <row r="40" spans="1:7" ht="20">
      <c r="A40" s="2"/>
      <c r="B40" s="85" t="str">
        <f>'Chem&amp;FertInputs&amp;CInsurance'!C52</f>
        <v>Osprey</v>
      </c>
      <c r="C40" s="23" t="str">
        <f>'Chem&amp;FertInputs&amp;CInsurance'!D52</f>
        <v>oz</v>
      </c>
      <c r="D40" s="116">
        <f>'Chem&amp;FertInputs&amp;CInsurance'!E52</f>
        <v>5.0484999999999989</v>
      </c>
      <c r="E40" s="133">
        <f>'Chem&amp;FertInputs&amp;CInsurance'!T52</f>
        <v>0</v>
      </c>
      <c r="F40" s="117" t="str">
        <f t="shared" si="0"/>
        <v>0</v>
      </c>
      <c r="G40" s="165">
        <f t="shared" si="5"/>
        <v>0</v>
      </c>
    </row>
    <row r="41" spans="1:7" ht="20">
      <c r="A41" s="2"/>
      <c r="B41" s="85" t="str">
        <f>'Chem&amp;FertInputs&amp;CInsurance'!C53</f>
        <v>Poast</v>
      </c>
      <c r="C41" s="23" t="str">
        <f>'Chem&amp;FertInputs&amp;CInsurance'!D53</f>
        <v>oz</v>
      </c>
      <c r="D41" s="116">
        <f>'Chem&amp;FertInputs&amp;CInsurance'!E53</f>
        <v>19.285499999999999</v>
      </c>
      <c r="E41" s="133">
        <f>'Chem&amp;FertInputs&amp;CInsurance'!T53</f>
        <v>0</v>
      </c>
      <c r="F41" s="117" t="str">
        <f t="shared" ref="F41" si="6">IF(D41*E41=0,"0",D41*E41)</f>
        <v>0</v>
      </c>
      <c r="G41" s="165">
        <f t="shared" si="5"/>
        <v>0</v>
      </c>
    </row>
    <row r="42" spans="1:7" ht="20">
      <c r="A42" s="2"/>
      <c r="B42" s="85" t="str">
        <f>'Chem&amp;FertInputs&amp;CInsurance'!C54</f>
        <v>Power Flex</v>
      </c>
      <c r="C42" s="23" t="str">
        <f>'Chem&amp;FertInputs&amp;CInsurance'!D54</f>
        <v>oz</v>
      </c>
      <c r="D42" s="116">
        <f>'Chem&amp;FertInputs&amp;CInsurance'!E54</f>
        <v>8.9124999999999996</v>
      </c>
      <c r="E42" s="133">
        <f>'Chem&amp;FertInputs&amp;CInsurance'!T54</f>
        <v>0</v>
      </c>
      <c r="F42" s="117" t="str">
        <f t="shared" si="0"/>
        <v>0</v>
      </c>
      <c r="G42" s="165">
        <f t="shared" si="5"/>
        <v>0</v>
      </c>
    </row>
    <row r="43" spans="1:7" ht="20">
      <c r="A43" s="2"/>
      <c r="B43" s="85" t="str">
        <f>'Chem&amp;FertInputs&amp;CInsurance'!C55</f>
        <v>Priaxor</v>
      </c>
      <c r="C43" s="23" t="str">
        <f>'Chem&amp;FertInputs&amp;CInsurance'!D55</f>
        <v>oz</v>
      </c>
      <c r="D43" s="116">
        <f>'Chem&amp;FertInputs&amp;CInsurance'!E55</f>
        <v>3.4269999999999996</v>
      </c>
      <c r="E43" s="133">
        <f>'Chem&amp;FertInputs&amp;CInsurance'!T55</f>
        <v>0</v>
      </c>
      <c r="F43" s="117" t="str">
        <f t="shared" si="0"/>
        <v>0</v>
      </c>
      <c r="G43" s="165">
        <f t="shared" si="5"/>
        <v>0</v>
      </c>
    </row>
    <row r="44" spans="1:7" ht="20">
      <c r="A44" s="2"/>
      <c r="B44" s="85" t="str">
        <f>'Chem&amp;FertInputs&amp;CInsurance'!C56</f>
        <v>Prowl</v>
      </c>
      <c r="C44" s="23" t="str">
        <f>'Chem&amp;FertInputs&amp;CInsurance'!D56</f>
        <v>oz</v>
      </c>
      <c r="D44" s="116">
        <f>'Chem&amp;FertInputs&amp;CInsurance'!E56</f>
        <v>0.51749999999999996</v>
      </c>
      <c r="E44" s="133">
        <f>'Chem&amp;FertInputs&amp;CInsurance'!T56</f>
        <v>0</v>
      </c>
      <c r="F44" s="117" t="str">
        <f t="shared" si="0"/>
        <v>0</v>
      </c>
      <c r="G44" s="165">
        <f t="shared" si="5"/>
        <v>0</v>
      </c>
    </row>
    <row r="45" spans="1:7" ht="20">
      <c r="A45" s="2"/>
      <c r="B45" s="85" t="str">
        <f>'Chem&amp;FertInputs&amp;CInsurance'!C57</f>
        <v>Pursuit</v>
      </c>
      <c r="C45" s="23" t="str">
        <f>'Chem&amp;FertInputs&amp;CInsurance'!D57</f>
        <v>oz</v>
      </c>
      <c r="D45" s="116">
        <f>'Chem&amp;FertInputs&amp;CInsurance'!E57</f>
        <v>4.0594999999999999</v>
      </c>
      <c r="E45" s="133">
        <f>'Chem&amp;FertInputs&amp;CInsurance'!T57</f>
        <v>0</v>
      </c>
      <c r="F45" s="117" t="str">
        <f t="shared" si="0"/>
        <v>0</v>
      </c>
      <c r="G45" s="165">
        <f t="shared" si="5"/>
        <v>0</v>
      </c>
    </row>
    <row r="46" spans="1:7" ht="20">
      <c r="A46" s="2"/>
      <c r="B46" s="85" t="str">
        <f>'Chem&amp;FertInputs&amp;CInsurance'!C58</f>
        <v xml:space="preserve">Quadris </v>
      </c>
      <c r="C46" s="23" t="str">
        <f>'Chem&amp;FertInputs&amp;CInsurance'!D58</f>
        <v>oz</v>
      </c>
      <c r="D46" s="116">
        <f>'Chem&amp;FertInputs&amp;CInsurance'!E58</f>
        <v>1.127</v>
      </c>
      <c r="E46" s="133">
        <f>'Chem&amp;FertInputs&amp;CInsurance'!T58</f>
        <v>0</v>
      </c>
      <c r="F46" s="117" t="str">
        <f t="shared" si="0"/>
        <v>0</v>
      </c>
      <c r="G46" s="165">
        <f t="shared" si="5"/>
        <v>0</v>
      </c>
    </row>
    <row r="47" spans="1:7" ht="20">
      <c r="A47" s="2"/>
      <c r="B47" s="85" t="str">
        <f>'Chem&amp;FertInputs&amp;CInsurance'!C59</f>
        <v>Quilt</v>
      </c>
      <c r="C47" s="23" t="str">
        <f>'Chem&amp;FertInputs&amp;CInsurance'!D59</f>
        <v>oz</v>
      </c>
      <c r="D47" s="116">
        <f>'Chem&amp;FertInputs&amp;CInsurance'!E59</f>
        <v>1.4834999999999998</v>
      </c>
      <c r="E47" s="133">
        <f>'Chem&amp;FertInputs&amp;CInsurance'!T59</f>
        <v>0</v>
      </c>
      <c r="F47" s="117" t="str">
        <f t="shared" si="0"/>
        <v>0</v>
      </c>
      <c r="G47" s="165">
        <f t="shared" si="5"/>
        <v>0</v>
      </c>
    </row>
    <row r="48" spans="1:7" ht="20">
      <c r="A48" s="2"/>
      <c r="B48" s="85" t="str">
        <f>'Chem&amp;FertInputs&amp;CInsurance'!C60</f>
        <v>R11</v>
      </c>
      <c r="C48" s="23" t="str">
        <f>'Chem&amp;FertInputs&amp;CInsurance'!D60</f>
        <v>oz</v>
      </c>
      <c r="D48" s="116">
        <f>'Chem&amp;FertInputs&amp;CInsurance'!E60</f>
        <v>0.26450000000000001</v>
      </c>
      <c r="E48" s="133">
        <f>'Chem&amp;FertInputs&amp;CInsurance'!T60</f>
        <v>0</v>
      </c>
      <c r="F48" s="117" t="str">
        <f t="shared" si="0"/>
        <v>0</v>
      </c>
      <c r="G48" s="165">
        <f t="shared" si="5"/>
        <v>0</v>
      </c>
    </row>
    <row r="49" spans="1:7" ht="20">
      <c r="A49" s="2"/>
      <c r="B49" s="85" t="str">
        <f>'Chem&amp;FertInputs&amp;CInsurance'!C61</f>
        <v>Starane</v>
      </c>
      <c r="C49" s="23" t="str">
        <f>'Chem&amp;FertInputs&amp;CInsurance'!D61</f>
        <v>oz</v>
      </c>
      <c r="D49" s="116">
        <f>'Chem&amp;FertInputs&amp;CInsurance'!E61</f>
        <v>0.77049999999999996</v>
      </c>
      <c r="E49" s="133">
        <f>'Chem&amp;FertInputs&amp;CInsurance'!T61</f>
        <v>0</v>
      </c>
      <c r="F49" s="117" t="str">
        <f t="shared" si="0"/>
        <v>0</v>
      </c>
      <c r="G49" s="165">
        <f t="shared" si="5"/>
        <v>0</v>
      </c>
    </row>
    <row r="50" spans="1:7" ht="20">
      <c r="A50" s="2"/>
      <c r="B50" s="85" t="str">
        <f>'Chem&amp;FertInputs&amp;CInsurance'!C62</f>
        <v>Starane + Salvo</v>
      </c>
      <c r="C50" s="23" t="str">
        <f>'Chem&amp;FertInputs&amp;CInsurance'!D62</f>
        <v>oz</v>
      </c>
      <c r="D50" s="116">
        <f>'Chem&amp;FertInputs&amp;CInsurance'!E62</f>
        <v>0.77049999999999996</v>
      </c>
      <c r="E50" s="133">
        <f>'Chem&amp;FertInputs&amp;CInsurance'!T62</f>
        <v>0</v>
      </c>
      <c r="F50" s="117" t="str">
        <f t="shared" si="0"/>
        <v>0</v>
      </c>
      <c r="G50" s="165">
        <f t="shared" si="5"/>
        <v>0</v>
      </c>
    </row>
    <row r="51" spans="1:7" ht="20">
      <c r="A51" s="2"/>
      <c r="B51" s="85" t="str">
        <f>'Chem&amp;FertInputs&amp;CInsurance'!C63</f>
        <v xml:space="preserve">Starane + Sword </v>
      </c>
      <c r="C51" s="23" t="str">
        <f>'Chem&amp;FertInputs&amp;CInsurance'!D63</f>
        <v>oz</v>
      </c>
      <c r="D51" s="116">
        <f>'Chem&amp;FertInputs&amp;CInsurance'!E63</f>
        <v>0.77049999999999996</v>
      </c>
      <c r="E51" s="133">
        <f>'Chem&amp;FertInputs&amp;CInsurance'!T63</f>
        <v>0</v>
      </c>
      <c r="F51" s="117" t="str">
        <f t="shared" si="0"/>
        <v>0</v>
      </c>
      <c r="G51" s="165">
        <f t="shared" si="5"/>
        <v>0</v>
      </c>
    </row>
    <row r="52" spans="1:7" ht="20">
      <c r="A52" s="2"/>
      <c r="B52" s="85" t="str">
        <f>'Chem&amp;FertInputs&amp;CInsurance'!C64</f>
        <v xml:space="preserve"> Tilt</v>
      </c>
      <c r="C52" s="23" t="str">
        <f>'Chem&amp;FertInputs&amp;CInsurance'!D64</f>
        <v>oz</v>
      </c>
      <c r="D52" s="116">
        <f>'Chem&amp;FertInputs&amp;CInsurance'!E64</f>
        <v>0.88549999999999995</v>
      </c>
      <c r="E52" s="133">
        <f>'Chem&amp;FertInputs&amp;CInsurance'!T64</f>
        <v>0</v>
      </c>
      <c r="F52" s="117" t="str">
        <f t="shared" ref="F52:F53" si="7">IF(D52*E52=0,"0",D52*E52)</f>
        <v>0</v>
      </c>
      <c r="G52" s="165">
        <f t="shared" ref="G52:G53" si="8">E52/128</f>
        <v>0</v>
      </c>
    </row>
    <row r="53" spans="1:7" ht="20">
      <c r="A53" s="2"/>
      <c r="B53" s="85" t="str">
        <f>'Chem&amp;FertInputs&amp;CInsurance'!C65</f>
        <v xml:space="preserve">Wildcard </v>
      </c>
      <c r="C53" s="23" t="str">
        <f>'Chem&amp;FertInputs&amp;CInsurance'!D65</f>
        <v>oz</v>
      </c>
      <c r="D53" s="116">
        <f>'Chem&amp;FertInputs&amp;CInsurance'!E65</f>
        <v>0.35649999999999998</v>
      </c>
      <c r="E53" s="133">
        <f>'Chem&amp;FertInputs&amp;CInsurance'!T65</f>
        <v>0</v>
      </c>
      <c r="F53" s="117" t="str">
        <f t="shared" si="7"/>
        <v>0</v>
      </c>
      <c r="G53" s="165">
        <f t="shared" si="8"/>
        <v>0</v>
      </c>
    </row>
    <row r="54" spans="1:7" ht="20">
      <c r="A54" s="2"/>
      <c r="B54" s="85" t="str">
        <f>'Chem&amp;FertInputs&amp;CInsurance'!C66</f>
        <v>Sharpen</v>
      </c>
      <c r="C54" s="23" t="str">
        <f>'Chem&amp;FertInputs&amp;CInsurance'!D66</f>
        <v>oz</v>
      </c>
      <c r="D54" s="116">
        <f>'Chem&amp;FertInputs&amp;CInsurance'!E66</f>
        <v>6.3134999999999994</v>
      </c>
      <c r="E54" s="133">
        <f>'Chem&amp;FertInputs&amp;CInsurance'!T66</f>
        <v>0</v>
      </c>
      <c r="F54" s="117" t="str">
        <f t="shared" si="0"/>
        <v>0</v>
      </c>
      <c r="G54" s="165">
        <f>E54/128</f>
        <v>0</v>
      </c>
    </row>
    <row r="55" spans="1:7" ht="20">
      <c r="A55" s="2"/>
      <c r="B55" s="85" t="str">
        <f>'Chem&amp;FertInputs&amp;CInsurance'!C67</f>
        <v>Sencor</v>
      </c>
      <c r="C55" s="23" t="str">
        <f>'Chem&amp;FertInputs&amp;CInsurance'!D67</f>
        <v>oz</v>
      </c>
      <c r="D55" s="116">
        <f>'Chem&amp;FertInputs&amp;CInsurance'!E67</f>
        <v>0.45999999999999996</v>
      </c>
      <c r="E55" s="133">
        <f>'Chem&amp;FertInputs&amp;CInsurance'!T67</f>
        <v>0</v>
      </c>
      <c r="F55" s="117" t="str">
        <f t="shared" si="0"/>
        <v>0</v>
      </c>
      <c r="G55" s="165">
        <f>E55/128</f>
        <v>0</v>
      </c>
    </row>
    <row r="56" spans="1:7" ht="20">
      <c r="A56" s="2"/>
      <c r="B56" s="85" t="str">
        <f>'Chem&amp;FertInputs&amp;CInsurance'!C68</f>
        <v>Warrior</v>
      </c>
      <c r="C56" s="23" t="str">
        <f>'Chem&amp;FertInputs&amp;CInsurance'!D68</f>
        <v>acre</v>
      </c>
      <c r="D56" s="116">
        <f>'Chem&amp;FertInputs&amp;CInsurance'!E68</f>
        <v>3.4499999999999997</v>
      </c>
      <c r="E56" s="133">
        <f>'Chem&amp;FertInputs&amp;CInsurance'!T68</f>
        <v>0</v>
      </c>
      <c r="F56" s="117" t="str">
        <f t="shared" si="0"/>
        <v>0</v>
      </c>
      <c r="G56" s="165">
        <f>E56/128</f>
        <v>0</v>
      </c>
    </row>
    <row r="57" spans="1:7" ht="20">
      <c r="A57" s="2"/>
      <c r="B57" s="85" t="str">
        <f>'Chem&amp;FertInputs&amp;CInsurance'!C69</f>
        <v xml:space="preserve"> Lorox</v>
      </c>
      <c r="C57" s="23" t="str">
        <f>'Chem&amp;FertInputs&amp;CInsurance'!D69</f>
        <v>lb</v>
      </c>
      <c r="D57" s="116">
        <f>'Chem&amp;FertInputs&amp;CInsurance'!E69</f>
        <v>26.565000000000001</v>
      </c>
      <c r="E57" s="133">
        <f>'Chem&amp;FertInputs&amp;CInsurance'!T69</f>
        <v>0</v>
      </c>
      <c r="F57" s="117" t="str">
        <f t="shared" si="0"/>
        <v>0</v>
      </c>
      <c r="G57" s="165">
        <f>E57/128</f>
        <v>0</v>
      </c>
    </row>
    <row r="58" spans="1:7" ht="20">
      <c r="A58" s="2"/>
      <c r="B58" s="85" t="str">
        <f>'Chem&amp;FertInputs&amp;CInsurance'!C70</f>
        <v xml:space="preserve"> Valor</v>
      </c>
      <c r="C58" s="23" t="str">
        <f>'Chem&amp;FertInputs&amp;CInsurance'!D70</f>
        <v>oz</v>
      </c>
      <c r="D58" s="116">
        <f>'Chem&amp;FertInputs&amp;CInsurance'!E70</f>
        <v>6.6124999999999998</v>
      </c>
      <c r="E58" s="133">
        <f>'Chem&amp;FertInputs&amp;CInsurance'!T70</f>
        <v>0</v>
      </c>
      <c r="F58" s="117" t="str">
        <f t="shared" ref="F58:F59" si="9">IF(D58*E58=0,"0",D58*E58)</f>
        <v>0</v>
      </c>
      <c r="G58" s="165">
        <f t="shared" ref="G58:G59" si="10">E58/128</f>
        <v>0</v>
      </c>
    </row>
    <row r="59" spans="1:7" ht="20">
      <c r="A59" s="2"/>
      <c r="B59" s="85" t="str">
        <f>'Chem&amp;FertInputs&amp;CInsurance'!C71</f>
        <v xml:space="preserve"> Diagon</v>
      </c>
      <c r="C59" s="23" t="str">
        <f>'Chem&amp;FertInputs&amp;CInsurance'!D71</f>
        <v>oz</v>
      </c>
      <c r="D59" s="116">
        <f>'Chem&amp;FertInputs&amp;CInsurance'!E71</f>
        <v>0.43699999999999994</v>
      </c>
      <c r="E59" s="133">
        <f>'Chem&amp;FertInputs&amp;CInsurance'!T71</f>
        <v>0</v>
      </c>
      <c r="F59" s="117" t="str">
        <f t="shared" si="9"/>
        <v>0</v>
      </c>
      <c r="G59" s="165">
        <f t="shared" si="10"/>
        <v>0</v>
      </c>
    </row>
    <row r="60" spans="1:7" ht="20">
      <c r="A60" s="2"/>
      <c r="B60" s="85" t="str">
        <f>'Chem&amp;FertInputs&amp;CInsurance'!C72</f>
        <v xml:space="preserve">Spartan </v>
      </c>
      <c r="C60" s="23" t="str">
        <f>'Chem&amp;FertInputs&amp;CInsurance'!D72</f>
        <v>oz</v>
      </c>
      <c r="D60" s="116">
        <f>'Chem&amp;FertInputs&amp;CInsurance'!E72</f>
        <v>2.0469999999999997</v>
      </c>
      <c r="E60" s="133">
        <f>'Chem&amp;FertInputs&amp;CInsurance'!T72</f>
        <v>0</v>
      </c>
      <c r="F60" s="117" t="str">
        <f t="shared" si="0"/>
        <v>0</v>
      </c>
      <c r="G60" s="165">
        <f>E60/128</f>
        <v>0</v>
      </c>
    </row>
    <row r="61" spans="1:7" ht="23">
      <c r="A61" s="2"/>
      <c r="B61" s="85" t="str">
        <f>'Chem&amp;FertInputs&amp;CInsurance'!C32</f>
        <v xml:space="preserve">Round Up </v>
      </c>
      <c r="C61" s="23" t="str">
        <f>'Chem&amp;FertInputs&amp;CInsurance'!D32</f>
        <v>oz</v>
      </c>
      <c r="D61" s="116">
        <f>'Chem&amp;FertInputs&amp;CInsurance'!E32</f>
        <v>0.14949999999999999</v>
      </c>
      <c r="E61" s="133">
        <f>'Chem&amp;FertInputs&amp;CInsurance'!T32</f>
        <v>18</v>
      </c>
      <c r="F61" s="117">
        <f t="shared" si="0"/>
        <v>2.6909999999999998</v>
      </c>
      <c r="G61" s="225">
        <f>E61/128</f>
        <v>0.140625</v>
      </c>
    </row>
    <row r="62" spans="1:7" ht="20">
      <c r="A62" s="2"/>
      <c r="B62" s="139" t="s">
        <v>86</v>
      </c>
      <c r="C62" s="23"/>
      <c r="D62" s="116"/>
      <c r="E62" s="133"/>
      <c r="F62" s="117"/>
      <c r="G62" s="165">
        <f>SUM(G14:G61)</f>
        <v>0.16562499999999999</v>
      </c>
    </row>
    <row r="63" spans="1:7" ht="20">
      <c r="A63" s="2"/>
      <c r="B63" s="125" t="str">
        <f>CustomRates!B5</f>
        <v>Aerial (Custom)</v>
      </c>
      <c r="C63" s="41" t="str">
        <f>CustomRates!C5</f>
        <v>acre</v>
      </c>
      <c r="D63" s="116">
        <f>CustomRates!R5</f>
        <v>8.9499999999999993</v>
      </c>
      <c r="E63" s="87">
        <f>CustomRates!R6</f>
        <v>0</v>
      </c>
      <c r="F63" s="117" t="str">
        <f t="shared" ref="F63:F70" si="11">IF(D63*E63=0,"0",D63*E63)</f>
        <v>0</v>
      </c>
    </row>
    <row r="64" spans="1:7" ht="20">
      <c r="A64" s="2"/>
      <c r="B64" s="125" t="str">
        <f>CustomRates!B7</f>
        <v>Sprayer (Rental 90')</v>
      </c>
      <c r="C64" s="41" t="str">
        <f>CustomRates!C7</f>
        <v>acre</v>
      </c>
      <c r="D64" s="116">
        <f>CustomRates!R7</f>
        <v>8</v>
      </c>
      <c r="E64" s="87">
        <f>CustomRates!R8</f>
        <v>0</v>
      </c>
      <c r="F64" s="117" t="str">
        <f t="shared" si="11"/>
        <v>0</v>
      </c>
    </row>
    <row r="65" spans="1:9" ht="20">
      <c r="A65" s="2"/>
      <c r="B65" s="125" t="str">
        <f>CustomRates!B9</f>
        <v>Fertilizer - Anhydrous Applicator (Rent)</v>
      </c>
      <c r="C65" s="41" t="str">
        <f>CustomRates!C9</f>
        <v>acre</v>
      </c>
      <c r="D65" s="116">
        <f>CustomRates!R9</f>
        <v>7</v>
      </c>
      <c r="E65" s="87">
        <f>CustomRates!R10</f>
        <v>0</v>
      </c>
      <c r="F65" s="117" t="str">
        <f t="shared" si="11"/>
        <v>0</v>
      </c>
    </row>
    <row r="66" spans="1:9" ht="20">
      <c r="A66" s="2"/>
      <c r="B66" s="125" t="str">
        <f>CustomRates!B11</f>
        <v>Fertilizer Applicator</v>
      </c>
      <c r="C66" s="41" t="str">
        <f>CustomRates!C11</f>
        <v>acre</v>
      </c>
      <c r="D66" s="116">
        <f>CustomRates!R11</f>
        <v>2</v>
      </c>
      <c r="E66" s="87">
        <f>CustomRates!R12</f>
        <v>0</v>
      </c>
      <c r="F66" s="117" t="str">
        <f t="shared" si="11"/>
        <v>0</v>
      </c>
    </row>
    <row r="67" spans="1:9" ht="20">
      <c r="A67" s="2"/>
      <c r="B67" s="125" t="str">
        <f>CustomRates!B13</f>
        <v>26' Rental Shredder</v>
      </c>
      <c r="C67" s="41" t="str">
        <f>CustomRates!C13</f>
        <v>acre</v>
      </c>
      <c r="D67" s="116">
        <f>CustomRates!R13</f>
        <v>10</v>
      </c>
      <c r="E67" s="87">
        <f>CustomRates!R14</f>
        <v>0</v>
      </c>
      <c r="F67" s="117" t="str">
        <f t="shared" si="11"/>
        <v>0</v>
      </c>
    </row>
    <row r="68" spans="1:9" ht="20">
      <c r="A68" s="2"/>
      <c r="B68" s="125" t="str">
        <f>CustomRates!B15</f>
        <v>36' Ripper Shooter</v>
      </c>
      <c r="C68" s="41" t="str">
        <f>CustomRates!C15</f>
        <v>acre</v>
      </c>
      <c r="D68" s="116">
        <f>CustomRates!R15</f>
        <v>2.5</v>
      </c>
      <c r="E68" s="87">
        <f>CustomRates!R16</f>
        <v>0</v>
      </c>
      <c r="F68" s="117" t="str">
        <f t="shared" si="11"/>
        <v>0</v>
      </c>
    </row>
    <row r="69" spans="1:9" ht="20">
      <c r="A69" s="2"/>
      <c r="B69" s="125" t="str">
        <f>CustomRates!B17</f>
        <v>Custom self-propelled sprayer</v>
      </c>
      <c r="C69" s="41" t="str">
        <f>CustomRates!C17</f>
        <v>acre</v>
      </c>
      <c r="D69" s="116">
        <f>CustomRates!R17</f>
        <v>8</v>
      </c>
      <c r="E69" s="87">
        <f>CustomRates!R18</f>
        <v>0</v>
      </c>
      <c r="F69" s="117" t="str">
        <f t="shared" si="11"/>
        <v>0</v>
      </c>
    </row>
    <row r="70" spans="1:9" ht="20">
      <c r="A70" s="2"/>
      <c r="B70" s="125" t="str">
        <f>CustomRates!B19</f>
        <v>Additional Operation #8 (Custom)</v>
      </c>
      <c r="C70" s="41" t="str">
        <f>CustomRates!C19</f>
        <v>acre</v>
      </c>
      <c r="D70" s="116">
        <f>CustomRates!R19</f>
        <v>0</v>
      </c>
      <c r="E70" s="87">
        <f>CustomRates!R20</f>
        <v>0</v>
      </c>
      <c r="F70" s="117" t="str">
        <f t="shared" si="11"/>
        <v>0</v>
      </c>
    </row>
    <row r="71" spans="1:9" ht="20">
      <c r="A71" s="2"/>
      <c r="B71" s="139" t="s">
        <v>87</v>
      </c>
      <c r="C71" s="41"/>
      <c r="D71" s="116"/>
      <c r="E71" s="116"/>
      <c r="F71" s="117"/>
      <c r="H71" s="1" t="s">
        <v>204</v>
      </c>
      <c r="I71" s="1" t="s">
        <v>135</v>
      </c>
    </row>
    <row r="72" spans="1:9" ht="20">
      <c r="A72" s="2"/>
      <c r="B72" s="85" t="str">
        <f>MachineAssumptions!B7&amp;" - Labor"</f>
        <v>Shredder - Labor</v>
      </c>
      <c r="C72" s="41" t="s">
        <v>246</v>
      </c>
      <c r="D72" s="116">
        <f>MachineAssumptions!$R$7</f>
        <v>1.4996591683708247</v>
      </c>
      <c r="E72" s="87">
        <f>FieldApplications!$Q$6</f>
        <v>0</v>
      </c>
      <c r="F72" s="117" t="str">
        <f t="shared" ref="F72:F113" si="12">IF(D72*E72=0,"0",D72*E72)</f>
        <v>0</v>
      </c>
      <c r="H72" s="246">
        <f>MachineAssumptions!$R$28*E72</f>
        <v>0</v>
      </c>
      <c r="I72" s="166">
        <f>MachineAssumptions!$R$48*E72</f>
        <v>0</v>
      </c>
    </row>
    <row r="73" spans="1:9" ht="20">
      <c r="A73" s="2"/>
      <c r="B73" s="85" t="str">
        <f>MachineAssumptions!B7&amp;" - Fuel, Lube"</f>
        <v>Shredder - Fuel, Lube</v>
      </c>
      <c r="C73" s="41" t="s">
        <v>246</v>
      </c>
      <c r="D73" s="116">
        <f>MachineAssumptions!$S$7</f>
        <v>5.7486934787548281</v>
      </c>
      <c r="E73" s="87">
        <f>FieldApplications!$Q$6</f>
        <v>0</v>
      </c>
      <c r="F73" s="117" t="str">
        <f t="shared" si="12"/>
        <v>0</v>
      </c>
      <c r="H73" s="246">
        <f>MachineAssumptions!$S$28*E73</f>
        <v>0</v>
      </c>
      <c r="I73" s="166">
        <f>MachineAssumptions!$S$48*E73</f>
        <v>0</v>
      </c>
    </row>
    <row r="74" spans="1:9" ht="20">
      <c r="A74" s="2"/>
      <c r="B74" s="85" t="str">
        <f>MachineAssumptions!B7&amp;" - Repairs"</f>
        <v>Shredder - Repairs</v>
      </c>
      <c r="C74" s="41" t="s">
        <v>246</v>
      </c>
      <c r="D74" s="116">
        <f>MachineAssumptions!$T$7</f>
        <v>0.46726721181997538</v>
      </c>
      <c r="E74" s="87">
        <f>FieldApplications!$Q$6</f>
        <v>0</v>
      </c>
      <c r="F74" s="117" t="str">
        <f t="shared" si="12"/>
        <v>0</v>
      </c>
      <c r="H74" s="246">
        <f>MachineAssumptions!$T$28*E74</f>
        <v>0</v>
      </c>
      <c r="I74" s="166">
        <f>MachineAssumptions!$T$48*E74</f>
        <v>0</v>
      </c>
    </row>
    <row r="75" spans="1:9" ht="20">
      <c r="A75" s="2"/>
      <c r="B75" s="85" t="str">
        <f>MachineAssumptions!B8&amp;" - Labor"</f>
        <v>Harrow - Labor</v>
      </c>
      <c r="C75" s="41" t="s">
        <v>246</v>
      </c>
      <c r="D75" s="116">
        <f>MachineAssumptions!$R$8</f>
        <v>0.59412746734753996</v>
      </c>
      <c r="E75" s="87">
        <f>FieldApplications!$Q$7</f>
        <v>0</v>
      </c>
      <c r="F75" s="117" t="str">
        <f t="shared" si="12"/>
        <v>0</v>
      </c>
      <c r="H75" s="246">
        <f>MachineAssumptions!$R$29*E75</f>
        <v>0</v>
      </c>
      <c r="I75" s="166">
        <f>MachineAssumptions!$R$49*E75</f>
        <v>0</v>
      </c>
    </row>
    <row r="76" spans="1:9" ht="20">
      <c r="A76" s="2"/>
      <c r="B76" s="85" t="str">
        <f>MachineAssumptions!B8&amp;" - Fuel, Lube"</f>
        <v>Harrow - Fuel, Lube</v>
      </c>
      <c r="C76" s="41" t="s">
        <v>246</v>
      </c>
      <c r="D76" s="116">
        <f>MachineAssumptions!$S$8</f>
        <v>2.4845330452715308</v>
      </c>
      <c r="E76" s="87">
        <f>FieldApplications!$Q$7</f>
        <v>0</v>
      </c>
      <c r="F76" s="117" t="str">
        <f t="shared" si="12"/>
        <v>0</v>
      </c>
      <c r="H76" s="246">
        <f>MachineAssumptions!$S$29*E76</f>
        <v>0</v>
      </c>
      <c r="I76" s="166">
        <f>MachineAssumptions!$S$49*E76</f>
        <v>0</v>
      </c>
    </row>
    <row r="77" spans="1:9" ht="20">
      <c r="A77" s="2"/>
      <c r="B77" s="85" t="str">
        <f>MachineAssumptions!B8&amp;" - Repairs"</f>
        <v>Harrow - Repairs</v>
      </c>
      <c r="C77" s="41" t="s">
        <v>246</v>
      </c>
      <c r="D77" s="116">
        <f>MachineAssumptions!$T$8</f>
        <v>0.14755184964846621</v>
      </c>
      <c r="E77" s="87">
        <f>FieldApplications!$Q$7</f>
        <v>0</v>
      </c>
      <c r="F77" s="117" t="str">
        <f t="shared" si="12"/>
        <v>0</v>
      </c>
      <c r="H77" s="246">
        <f>MachineAssumptions!$T$29*E77</f>
        <v>0</v>
      </c>
      <c r="I77" s="166">
        <f>MachineAssumptions!$T$49*E77</f>
        <v>0</v>
      </c>
    </row>
    <row r="78" spans="1:9" ht="20">
      <c r="A78" s="2"/>
      <c r="B78" s="85" t="str">
        <f>MachineAssumptions!B9&amp;" - Labor"</f>
        <v>Chisel plow - Labor</v>
      </c>
      <c r="C78" s="41" t="s">
        <v>246</v>
      </c>
      <c r="D78" s="116">
        <f>MachineAssumptions!$R$9</f>
        <v>0</v>
      </c>
      <c r="E78" s="87">
        <f>FieldApplications!$Q$8</f>
        <v>0</v>
      </c>
      <c r="F78" s="117" t="str">
        <f t="shared" si="12"/>
        <v>0</v>
      </c>
      <c r="H78" s="246">
        <f>MachineAssumptions!$R$30*E78</f>
        <v>0</v>
      </c>
      <c r="I78" s="166">
        <f>MachineAssumptions!$R$50*E78</f>
        <v>0</v>
      </c>
    </row>
    <row r="79" spans="1:9" ht="20">
      <c r="A79" s="2"/>
      <c r="B79" s="85" t="str">
        <f>MachineAssumptions!B9&amp;" - Fuel, Lube"</f>
        <v>Chisel plow - Fuel, Lube</v>
      </c>
      <c r="C79" s="41" t="s">
        <v>246</v>
      </c>
      <c r="D79" s="116">
        <f>MachineAssumptions!$S$9</f>
        <v>0</v>
      </c>
      <c r="E79" s="87">
        <f>FieldApplications!$Q$8</f>
        <v>0</v>
      </c>
      <c r="F79" s="117" t="str">
        <f t="shared" si="12"/>
        <v>0</v>
      </c>
      <c r="H79" s="246">
        <f>MachineAssumptions!$R$30*E79</f>
        <v>0</v>
      </c>
      <c r="I79" s="166">
        <f>MachineAssumptions!$S$50*E79</f>
        <v>0</v>
      </c>
    </row>
    <row r="80" spans="1:9" ht="20">
      <c r="A80" s="2"/>
      <c r="B80" s="85" t="str">
        <f>MachineAssumptions!B9&amp;" - Repairs"</f>
        <v>Chisel plow - Repairs</v>
      </c>
      <c r="C80" s="41" t="s">
        <v>246</v>
      </c>
      <c r="D80" s="116">
        <f>MachineAssumptions!$T$9</f>
        <v>0</v>
      </c>
      <c r="E80" s="87">
        <f>FieldApplications!$Q$8</f>
        <v>0</v>
      </c>
      <c r="F80" s="117" t="str">
        <f t="shared" si="12"/>
        <v>0</v>
      </c>
      <c r="H80" s="246">
        <f>MachineAssumptions!$T$30*E80</f>
        <v>0</v>
      </c>
      <c r="I80" s="166">
        <f>MachineAssumptions!$T$50*E80</f>
        <v>0</v>
      </c>
    </row>
    <row r="81" spans="1:9" ht="20">
      <c r="A81" s="2"/>
      <c r="B81" s="85" t="str">
        <f>MachineAssumptions!B10&amp;" - Labor"</f>
        <v>Moldboard plow - Labor</v>
      </c>
      <c r="C81" s="41" t="s">
        <v>246</v>
      </c>
      <c r="D81" s="116">
        <f>MachineAssumptions!$R$10</f>
        <v>0</v>
      </c>
      <c r="E81" s="87">
        <f>FieldApplications!$Q$9</f>
        <v>0</v>
      </c>
      <c r="F81" s="117" t="str">
        <f t="shared" si="12"/>
        <v>0</v>
      </c>
      <c r="H81" s="246">
        <f>MachineAssumptions!$R$31*E81</f>
        <v>0</v>
      </c>
      <c r="I81" s="166">
        <f>MachineAssumptions!$R$51*E81</f>
        <v>0</v>
      </c>
    </row>
    <row r="82" spans="1:9" ht="20">
      <c r="A82" s="2"/>
      <c r="B82" s="85" t="str">
        <f>MachineAssumptions!B10&amp;" - Fuel, Lube"</f>
        <v>Moldboard plow - Fuel, Lube</v>
      </c>
      <c r="C82" s="41" t="s">
        <v>246</v>
      </c>
      <c r="D82" s="116">
        <f>MachineAssumptions!$S$10</f>
        <v>0</v>
      </c>
      <c r="E82" s="87">
        <f>FieldApplications!$Q$9</f>
        <v>0</v>
      </c>
      <c r="F82" s="117" t="str">
        <f t="shared" si="12"/>
        <v>0</v>
      </c>
      <c r="H82" s="246">
        <f>MachineAssumptions!$S$31*E82</f>
        <v>0</v>
      </c>
      <c r="I82" s="166">
        <f>MachineAssumptions!$S$51*E82</f>
        <v>0</v>
      </c>
    </row>
    <row r="83" spans="1:9" ht="20">
      <c r="A83" s="2"/>
      <c r="B83" s="85" t="str">
        <f>MachineAssumptions!B10&amp;" - Repairs"</f>
        <v>Moldboard plow - Repairs</v>
      </c>
      <c r="C83" s="41" t="s">
        <v>246</v>
      </c>
      <c r="D83" s="116">
        <f>MachineAssumptions!$T$10</f>
        <v>0</v>
      </c>
      <c r="E83" s="87">
        <f>FieldApplications!$Q$9</f>
        <v>0</v>
      </c>
      <c r="F83" s="117" t="str">
        <f t="shared" si="12"/>
        <v>0</v>
      </c>
      <c r="H83" s="246">
        <f>MachineAssumptions!$T$31*E83</f>
        <v>0</v>
      </c>
      <c r="I83" s="166">
        <f>MachineAssumptions!$T$51*E83</f>
        <v>0</v>
      </c>
    </row>
    <row r="84" spans="1:9" ht="20">
      <c r="A84" s="2"/>
      <c r="B84" s="85" t="str">
        <f>MachineAssumptions!B11&amp;" - Labor"</f>
        <v>Cultivator - Labor</v>
      </c>
      <c r="C84" s="41" t="s">
        <v>246</v>
      </c>
      <c r="D84" s="116">
        <f>MachineAssumptions!$R$11</f>
        <v>0</v>
      </c>
      <c r="E84" s="87">
        <f>FieldApplications!$Q$10</f>
        <v>0</v>
      </c>
      <c r="F84" s="117" t="str">
        <f t="shared" si="12"/>
        <v>0</v>
      </c>
      <c r="H84" s="246">
        <f>MachineAssumptions!$R$32*E84</f>
        <v>0</v>
      </c>
      <c r="I84" s="166">
        <f>MachineAssumptions!$R$52*E84</f>
        <v>0</v>
      </c>
    </row>
    <row r="85" spans="1:9" ht="20">
      <c r="A85" s="2"/>
      <c r="B85" s="85" t="str">
        <f>MachineAssumptions!B11&amp;" - Fuel, Lube"</f>
        <v>Cultivator - Fuel, Lube</v>
      </c>
      <c r="C85" s="41" t="s">
        <v>246</v>
      </c>
      <c r="D85" s="116">
        <f>MachineAssumptions!$S$11</f>
        <v>0</v>
      </c>
      <c r="E85" s="87">
        <f>FieldApplications!$Q$10</f>
        <v>0</v>
      </c>
      <c r="F85" s="117" t="str">
        <f t="shared" si="12"/>
        <v>0</v>
      </c>
      <c r="H85" s="246">
        <f>MachineAssumptions!$S$32*E85</f>
        <v>0</v>
      </c>
      <c r="I85" s="166">
        <f>MachineAssumptions!$S$52*E85</f>
        <v>0</v>
      </c>
    </row>
    <row r="86" spans="1:9" ht="20">
      <c r="A86" s="2"/>
      <c r="B86" s="85" t="str">
        <f>MachineAssumptions!B11&amp;" - Repairs"</f>
        <v>Cultivator - Repairs</v>
      </c>
      <c r="C86" s="41" t="s">
        <v>246</v>
      </c>
      <c r="D86" s="116">
        <f>MachineAssumptions!$T$11</f>
        <v>0</v>
      </c>
      <c r="E86" s="87">
        <f>FieldApplications!$Q$10</f>
        <v>0</v>
      </c>
      <c r="F86" s="117" t="str">
        <f t="shared" si="12"/>
        <v>0</v>
      </c>
      <c r="H86" s="246">
        <f>MachineAssumptions!$T$32*E86</f>
        <v>0</v>
      </c>
      <c r="I86" s="166">
        <f>MachineAssumptions!$T$52*E86</f>
        <v>0</v>
      </c>
    </row>
    <row r="87" spans="1:9" ht="20">
      <c r="A87" s="2"/>
      <c r="B87" s="85" t="str">
        <f>MachineAssumptions!B12&amp;" - Labor"</f>
        <v>Cultiweeder - Labor</v>
      </c>
      <c r="C87" s="41" t="s">
        <v>246</v>
      </c>
      <c r="D87" s="116">
        <f>MachineAssumptions!$R$12</f>
        <v>0</v>
      </c>
      <c r="E87" s="87">
        <f>FieldApplications!$Q$11</f>
        <v>0</v>
      </c>
      <c r="F87" s="117" t="str">
        <f t="shared" si="12"/>
        <v>0</v>
      </c>
      <c r="H87" s="246">
        <f>MachineAssumptions!$R$33*E87</f>
        <v>0</v>
      </c>
      <c r="I87" s="166">
        <f>MachineAssumptions!$R$53*E87</f>
        <v>0</v>
      </c>
    </row>
    <row r="88" spans="1:9" ht="20">
      <c r="A88" s="2"/>
      <c r="B88" s="85" t="str">
        <f>MachineAssumptions!B12&amp;" - Fuel, Lube"</f>
        <v>Cultiweeder - Fuel, Lube</v>
      </c>
      <c r="C88" s="41" t="s">
        <v>246</v>
      </c>
      <c r="D88" s="116">
        <f>MachineAssumptions!$S$12</f>
        <v>0</v>
      </c>
      <c r="E88" s="87">
        <f>FieldApplications!$Q$11</f>
        <v>0</v>
      </c>
      <c r="F88" s="117" t="str">
        <f t="shared" si="12"/>
        <v>0</v>
      </c>
      <c r="H88" s="246">
        <f>MachineAssumptions!$S$33*E88</f>
        <v>0</v>
      </c>
      <c r="I88" s="166">
        <f>MachineAssumptions!$S$53*E88</f>
        <v>0</v>
      </c>
    </row>
    <row r="89" spans="1:9" ht="20">
      <c r="A89" s="2"/>
      <c r="B89" s="85" t="str">
        <f>MachineAssumptions!B12&amp;" - Repairs"</f>
        <v>Cultiweeder - Repairs</v>
      </c>
      <c r="C89" s="41" t="s">
        <v>246</v>
      </c>
      <c r="D89" s="116">
        <f>MachineAssumptions!$T$12</f>
        <v>0</v>
      </c>
      <c r="E89" s="87">
        <f>FieldApplications!$Q$11</f>
        <v>0</v>
      </c>
      <c r="F89" s="117" t="str">
        <f t="shared" si="12"/>
        <v>0</v>
      </c>
      <c r="H89" s="246">
        <f>MachineAssumptions!$T$33*E89</f>
        <v>0</v>
      </c>
      <c r="I89" s="166">
        <f>MachineAssumptions!$T$53*E89</f>
        <v>0</v>
      </c>
    </row>
    <row r="90" spans="1:9" ht="20">
      <c r="A90" s="2"/>
      <c r="B90" s="85" t="str">
        <f>MachineAssumptions!B13&amp;" - Labor"</f>
        <v>Drill - Labor</v>
      </c>
      <c r="C90" s="41" t="s">
        <v>246</v>
      </c>
      <c r="D90" s="116">
        <f>MachineAssumptions!$R$13</f>
        <v>1.6703109815354713</v>
      </c>
      <c r="E90" s="87">
        <f>FieldApplications!$Q$12</f>
        <v>0</v>
      </c>
      <c r="F90" s="117" t="str">
        <f t="shared" si="12"/>
        <v>0</v>
      </c>
      <c r="H90" s="246">
        <f>MachineAssumptions!$R$34*E90</f>
        <v>0</v>
      </c>
      <c r="I90" s="166">
        <f>MachineAssumptions!$R$54*E90</f>
        <v>0</v>
      </c>
    </row>
    <row r="91" spans="1:9" ht="20">
      <c r="A91" s="2"/>
      <c r="B91" s="85" t="str">
        <f>MachineAssumptions!B13&amp;" - Fuel, Lube"</f>
        <v>Drill - Fuel, Lube</v>
      </c>
      <c r="C91" s="41" t="s">
        <v>246</v>
      </c>
      <c r="D91" s="116">
        <f>MachineAssumptions!$S$13</f>
        <v>6.146744412050535</v>
      </c>
      <c r="E91" s="87">
        <f>FieldApplications!$Q$12</f>
        <v>0</v>
      </c>
      <c r="F91" s="117" t="str">
        <f t="shared" si="12"/>
        <v>0</v>
      </c>
      <c r="H91" s="246">
        <f>MachineAssumptions!$S$34*E91</f>
        <v>0</v>
      </c>
      <c r="I91" s="166">
        <f>MachineAssumptions!$S$54*E91</f>
        <v>0</v>
      </c>
    </row>
    <row r="92" spans="1:9" ht="20">
      <c r="A92" s="2"/>
      <c r="B92" s="85" t="str">
        <f>MachineAssumptions!B13&amp;" - Repairs"</f>
        <v>Drill - Repairs</v>
      </c>
      <c r="C92" s="41" t="s">
        <v>246</v>
      </c>
      <c r="D92" s="116">
        <f>MachineAssumptions!$T$13</f>
        <v>5.740409656342587</v>
      </c>
      <c r="E92" s="87">
        <f>FieldApplications!$Q$12</f>
        <v>0</v>
      </c>
      <c r="F92" s="117" t="str">
        <f t="shared" si="12"/>
        <v>0</v>
      </c>
      <c r="H92" s="246">
        <f>MachineAssumptions!$T$34*E92</f>
        <v>0</v>
      </c>
      <c r="I92" s="166">
        <f>MachineAssumptions!$T$54*E92</f>
        <v>0</v>
      </c>
    </row>
    <row r="93" spans="1:9" ht="20">
      <c r="A93" s="2"/>
      <c r="B93" s="85" t="str">
        <f>MachineAssumptions!B14&amp;" - Labor"</f>
        <v>Combine w/ 36' header - Labor</v>
      </c>
      <c r="C93" s="41" t="s">
        <v>246</v>
      </c>
      <c r="D93" s="116">
        <f>MachineAssumptions!$R$14</f>
        <v>1.9161092530657748</v>
      </c>
      <c r="E93" s="87">
        <f>FieldApplications!$Q$13</f>
        <v>0</v>
      </c>
      <c r="F93" s="117" t="str">
        <f t="shared" si="12"/>
        <v>0</v>
      </c>
      <c r="H93" s="246">
        <f>MachineAssumptions!$R$35*E93</f>
        <v>0</v>
      </c>
      <c r="I93" s="166">
        <f>MachineAssumptions!$R$55*E93</f>
        <v>0</v>
      </c>
    </row>
    <row r="94" spans="1:9" ht="20">
      <c r="A94" s="2"/>
      <c r="B94" s="85" t="str">
        <f>MachineAssumptions!B14&amp;" - Fuel, Lube"</f>
        <v>Combine w/ 36' header - Fuel, Lube</v>
      </c>
      <c r="C94" s="41" t="s">
        <v>246</v>
      </c>
      <c r="D94" s="116">
        <f>MachineAssumptions!$S$14</f>
        <v>7.0512820512820511</v>
      </c>
      <c r="E94" s="87">
        <f>FieldApplications!$Q$13</f>
        <v>0</v>
      </c>
      <c r="F94" s="117" t="str">
        <f t="shared" si="12"/>
        <v>0</v>
      </c>
      <c r="H94" s="246">
        <f>MachineAssumptions!$S$35*E94</f>
        <v>0</v>
      </c>
      <c r="I94" s="166">
        <f>MachineAssumptions!$S$55*E94</f>
        <v>0</v>
      </c>
    </row>
    <row r="95" spans="1:9" ht="20">
      <c r="A95" s="2"/>
      <c r="B95" s="85" t="str">
        <f>MachineAssumptions!B14&amp;" - Repairs"</f>
        <v>Combine w/ 36' header - Repairs</v>
      </c>
      <c r="C95" s="41" t="s">
        <v>246</v>
      </c>
      <c r="D95" s="116">
        <f>MachineAssumptions!$T$14</f>
        <v>6.4258281801385913</v>
      </c>
      <c r="E95" s="87">
        <f>FieldApplications!$Q$13</f>
        <v>0</v>
      </c>
      <c r="F95" s="117" t="str">
        <f t="shared" si="12"/>
        <v>0</v>
      </c>
      <c r="H95" s="246">
        <f>MachineAssumptions!$T$35*E95</f>
        <v>0</v>
      </c>
      <c r="I95" s="166">
        <f>MachineAssumptions!$T$55*E95</f>
        <v>0</v>
      </c>
    </row>
    <row r="96" spans="1:9" ht="20">
      <c r="A96" s="2"/>
      <c r="B96" s="85" t="str">
        <f>MachineAssumptions!B16&amp;" - Labor"</f>
        <v>Fertilizer Spreader - Labor</v>
      </c>
      <c r="C96" s="41" t="s">
        <v>246</v>
      </c>
      <c r="D96" s="116">
        <f>MachineAssumptions!$R$16</f>
        <v>0</v>
      </c>
      <c r="E96" s="87">
        <f>FieldApplications!$Q$14</f>
        <v>0</v>
      </c>
      <c r="F96" s="117" t="str">
        <f t="shared" si="12"/>
        <v>0</v>
      </c>
      <c r="H96" s="246">
        <f>MachineAssumptions!$R$36*E96</f>
        <v>0</v>
      </c>
      <c r="I96" s="166">
        <f>MachineAssumptions!$R$56*E96</f>
        <v>0</v>
      </c>
    </row>
    <row r="97" spans="1:9" ht="20">
      <c r="A97" s="2"/>
      <c r="B97" s="85" t="str">
        <f>MachineAssumptions!B16&amp;" - Fuel, Lube"</f>
        <v>Fertilizer Spreader - Fuel, Lube</v>
      </c>
      <c r="C97" s="41" t="s">
        <v>246</v>
      </c>
      <c r="D97" s="116">
        <f>MachineAssumptions!$S$16</f>
        <v>0</v>
      </c>
      <c r="E97" s="87">
        <f>FieldApplications!$Q$14</f>
        <v>0</v>
      </c>
      <c r="F97" s="117" t="str">
        <f t="shared" si="12"/>
        <v>0</v>
      </c>
      <c r="H97" s="246">
        <f>MachineAssumptions!$S$36*E97</f>
        <v>0</v>
      </c>
      <c r="I97" s="166">
        <f>MachineAssumptions!$S$56*E97</f>
        <v>0</v>
      </c>
    </row>
    <row r="98" spans="1:9" ht="20">
      <c r="A98" s="2"/>
      <c r="B98" s="85" t="str">
        <f>MachineAssumptions!B16&amp;" - Repairs"</f>
        <v>Fertilizer Spreader - Repairs</v>
      </c>
      <c r="C98" s="41" t="s">
        <v>246</v>
      </c>
      <c r="D98" s="116">
        <f>MachineAssumptions!$T$16</f>
        <v>0</v>
      </c>
      <c r="E98" s="87">
        <f>FieldApplications!$Q$14</f>
        <v>0</v>
      </c>
      <c r="F98" s="117" t="str">
        <f t="shared" si="12"/>
        <v>0</v>
      </c>
      <c r="H98" s="246">
        <f>MachineAssumptions!$T$36*E98</f>
        <v>0</v>
      </c>
      <c r="I98" s="166">
        <f>MachineAssumptions!$T$56*E98</f>
        <v>0</v>
      </c>
    </row>
    <row r="99" spans="1:9" ht="20">
      <c r="A99" s="2"/>
      <c r="B99" s="85" t="str">
        <f>MachineAssumptions!B17&amp;" - Labor"</f>
        <v>Fertilizer tanks and pump - Labor</v>
      </c>
      <c r="C99" s="41" t="s">
        <v>246</v>
      </c>
      <c r="D99" s="116">
        <f>MachineAssumptions!$R$17</f>
        <v>2.2448979591836737</v>
      </c>
      <c r="E99" s="87">
        <f>FieldApplications!$Q$15</f>
        <v>0</v>
      </c>
      <c r="F99" s="117" t="str">
        <f t="shared" si="12"/>
        <v>0</v>
      </c>
      <c r="H99" s="246">
        <f>MachineAssumptions!$R$37*E99</f>
        <v>0</v>
      </c>
      <c r="I99" s="166">
        <f>MachineAssumptions!$R$57*E99</f>
        <v>0</v>
      </c>
    </row>
    <row r="100" spans="1:9" ht="20">
      <c r="A100" s="2"/>
      <c r="B100" s="85" t="str">
        <f>MachineAssumptions!B17&amp;" - Fuel, Lube"</f>
        <v>Fertilizer tanks and pump - Fuel, Lube</v>
      </c>
      <c r="C100" s="41" t="s">
        <v>246</v>
      </c>
      <c r="D100" s="116">
        <f>MachineAssumptions!$S$17</f>
        <v>9.387755102040817</v>
      </c>
      <c r="E100" s="87">
        <f>FieldApplications!$Q$15</f>
        <v>0</v>
      </c>
      <c r="F100" s="117" t="str">
        <f t="shared" si="12"/>
        <v>0</v>
      </c>
      <c r="H100" s="246">
        <f>MachineAssumptions!$S$37*E100</f>
        <v>0</v>
      </c>
      <c r="I100" s="166">
        <f>MachineAssumptions!$S$57*E100</f>
        <v>0</v>
      </c>
    </row>
    <row r="101" spans="1:9" ht="20">
      <c r="A101" s="2"/>
      <c r="B101" s="85" t="str">
        <f>MachineAssumptions!B17&amp;" - Repairs"</f>
        <v>Fertilizer tanks and pump - Repairs</v>
      </c>
      <c r="C101" s="41" t="s">
        <v>246</v>
      </c>
      <c r="D101" s="116">
        <f>MachineAssumptions!$T$17</f>
        <v>0</v>
      </c>
      <c r="E101" s="87">
        <f>FieldApplications!$Q$15</f>
        <v>0</v>
      </c>
      <c r="F101" s="117" t="str">
        <f t="shared" si="12"/>
        <v>0</v>
      </c>
      <c r="H101" s="246">
        <f>MachineAssumptions!$T$37*E101</f>
        <v>0</v>
      </c>
      <c r="I101" s="166">
        <f>MachineAssumptions!$T$57*E101</f>
        <v>0</v>
      </c>
    </row>
    <row r="102" spans="1:9" ht="20">
      <c r="A102" s="2"/>
      <c r="B102" s="85" t="str">
        <f>MachineAssumptions!B18&amp;" - Labor"</f>
        <v>Boom sprayer - Labor</v>
      </c>
      <c r="C102" s="41" t="s">
        <v>246</v>
      </c>
      <c r="D102" s="116">
        <f>MachineAssumptions!$R$18</f>
        <v>0.4708120318630365</v>
      </c>
      <c r="E102" s="87">
        <f>FieldApplications!$Q$16</f>
        <v>1</v>
      </c>
      <c r="F102" s="117">
        <f t="shared" si="12"/>
        <v>0.4708120318630365</v>
      </c>
      <c r="H102" s="246">
        <f>MachineAssumptions!$R$38*E102</f>
        <v>0.4708120318630365</v>
      </c>
      <c r="I102" s="166">
        <f>MachineAssumptions!$R$58*E102</f>
        <v>0.4708120318630365</v>
      </c>
    </row>
    <row r="103" spans="1:9" ht="20">
      <c r="A103" s="2"/>
      <c r="B103" s="85" t="str">
        <f>MachineAssumptions!B18&amp;" - Fuel, Lube"</f>
        <v>Boom sprayer - Fuel, Lube</v>
      </c>
      <c r="C103" s="41" t="s">
        <v>246</v>
      </c>
      <c r="D103" s="116">
        <f>MachineAssumptions!$S$18</f>
        <v>1.8047794554749732</v>
      </c>
      <c r="E103" s="87">
        <f>FieldApplications!$Q$16</f>
        <v>1</v>
      </c>
      <c r="F103" s="117">
        <f t="shared" si="12"/>
        <v>1.8047794554749732</v>
      </c>
      <c r="H103" s="246">
        <f>MachineAssumptions!$S$38*E103</f>
        <v>1.8047794554749732</v>
      </c>
      <c r="I103" s="166">
        <f>MachineAssumptions!$S$58*E103</f>
        <v>1.8047794554749732</v>
      </c>
    </row>
    <row r="104" spans="1:9" ht="20">
      <c r="A104" s="2"/>
      <c r="B104" s="85" t="str">
        <f>MachineAssumptions!B18&amp;" - Repairs"</f>
        <v>Boom sprayer - Repairs</v>
      </c>
      <c r="C104" s="41" t="s">
        <v>246</v>
      </c>
      <c r="D104" s="116">
        <f>MachineAssumptions!$T$18</f>
        <v>0.49795949063219769</v>
      </c>
      <c r="E104" s="87">
        <f>FieldApplications!$Q$16</f>
        <v>1</v>
      </c>
      <c r="F104" s="117">
        <f t="shared" si="12"/>
        <v>0.49795949063219769</v>
      </c>
      <c r="H104" s="246">
        <f>MachineAssumptions!$T$38*E104</f>
        <v>0.50280018563848705</v>
      </c>
      <c r="I104" s="166">
        <f>MachineAssumptions!$T$58*E104</f>
        <v>0.4510828286016228</v>
      </c>
    </row>
    <row r="105" spans="1:9" ht="20">
      <c r="A105" s="2"/>
      <c r="B105" s="85" t="str">
        <f>MachineAssumptions!B15&amp;" - Labor"</f>
        <v>Bankout Wagon - Labor</v>
      </c>
      <c r="C105" s="41" t="s">
        <v>246</v>
      </c>
      <c r="D105" s="116">
        <f>MachineAssumptions!$R$15</f>
        <v>1.6861761426978819</v>
      </c>
      <c r="E105" s="87">
        <f t="shared" ref="E105:E113" si="13">IF($E$93&gt;0,1,0)</f>
        <v>0</v>
      </c>
      <c r="F105" s="117" t="str">
        <f t="shared" si="12"/>
        <v>0</v>
      </c>
      <c r="H105" s="246">
        <f>MachineAssumptions!$R$39*E105</f>
        <v>0</v>
      </c>
      <c r="I105" s="166">
        <f>MachineAssumptions!$R$59*E105</f>
        <v>0</v>
      </c>
    </row>
    <row r="106" spans="1:9" ht="20">
      <c r="A106" s="2"/>
      <c r="B106" s="85" t="str">
        <f>MachineAssumptions!B15&amp;" - Fuel, Lube"</f>
        <v>Bankout Wagon - Fuel, Lube</v>
      </c>
      <c r="C106" s="41" t="s">
        <v>246</v>
      </c>
      <c r="D106" s="116">
        <f>MachineAssumptions!$S$15</f>
        <v>7.0512820512820511</v>
      </c>
      <c r="E106" s="87">
        <f t="shared" si="13"/>
        <v>0</v>
      </c>
      <c r="F106" s="117" t="str">
        <f t="shared" si="12"/>
        <v>0</v>
      </c>
      <c r="H106" s="246">
        <f>MachineAssumptions!$S$39*E106</f>
        <v>0</v>
      </c>
      <c r="I106" s="166">
        <f>MachineAssumptions!$S$59*E106</f>
        <v>0</v>
      </c>
    </row>
    <row r="107" spans="1:9" ht="20">
      <c r="A107" s="2"/>
      <c r="B107" s="85" t="str">
        <f>MachineAssumptions!B15&amp;" - Repairs"</f>
        <v>Bankout Wagon - Repairs</v>
      </c>
      <c r="C107" s="41" t="s">
        <v>246</v>
      </c>
      <c r="D107" s="116">
        <f>MachineAssumptions!$T$15</f>
        <v>0.5058930256896228</v>
      </c>
      <c r="E107" s="87">
        <f t="shared" si="13"/>
        <v>0</v>
      </c>
      <c r="F107" s="117" t="str">
        <f t="shared" si="12"/>
        <v>0</v>
      </c>
      <c r="H107" s="246">
        <f>MachineAssumptions!$T$39*E107</f>
        <v>0</v>
      </c>
      <c r="I107" s="166">
        <f>MachineAssumptions!$T$59*E107</f>
        <v>0</v>
      </c>
    </row>
    <row r="108" spans="1:9" ht="20">
      <c r="A108" s="2"/>
      <c r="B108" s="85" t="str">
        <f>MachineAssumptions!B19&amp;" - Labor"</f>
        <v>Tandem Axle Truck  - Labor</v>
      </c>
      <c r="C108" s="41" t="s">
        <v>246</v>
      </c>
      <c r="D108" s="116">
        <f>MachineAssumptions!$R$19</f>
        <v>3.6</v>
      </c>
      <c r="E108" s="87">
        <f t="shared" si="13"/>
        <v>0</v>
      </c>
      <c r="F108" s="117" t="str">
        <f t="shared" si="12"/>
        <v>0</v>
      </c>
      <c r="H108" s="246">
        <f>MachineAssumptions!$R$40*E108</f>
        <v>0</v>
      </c>
      <c r="I108" s="166">
        <f>MachineAssumptions!$R$60*E108</f>
        <v>0</v>
      </c>
    </row>
    <row r="109" spans="1:9" ht="20">
      <c r="A109" s="2"/>
      <c r="B109" s="85" t="str">
        <f>MachineAssumptions!B19&amp;" - Fuel, Lube"</f>
        <v>Tandem Axle Truck  - Fuel, Lube</v>
      </c>
      <c r="C109" s="41" t="s">
        <v>246</v>
      </c>
      <c r="D109" s="116">
        <f>MachineAssumptions!$S$19</f>
        <v>1.1499999999999999</v>
      </c>
      <c r="E109" s="87">
        <f t="shared" si="13"/>
        <v>0</v>
      </c>
      <c r="F109" s="117" t="str">
        <f t="shared" si="12"/>
        <v>0</v>
      </c>
      <c r="H109" s="246">
        <f>MachineAssumptions!$S$40*E109</f>
        <v>0</v>
      </c>
      <c r="I109" s="166">
        <f>MachineAssumptions!$S$60*E109</f>
        <v>0</v>
      </c>
    </row>
    <row r="110" spans="1:9" ht="20">
      <c r="A110" s="2"/>
      <c r="B110" s="85" t="str">
        <f>MachineAssumptions!B19&amp;" - Repairs"</f>
        <v>Tandem Axle Truck  - Repairs</v>
      </c>
      <c r="C110" s="41" t="s">
        <v>246</v>
      </c>
      <c r="D110" s="116">
        <f>MachineAssumptions!$T$19</f>
        <v>0.8</v>
      </c>
      <c r="E110" s="87">
        <f t="shared" si="13"/>
        <v>0</v>
      </c>
      <c r="F110" s="117" t="str">
        <f t="shared" si="12"/>
        <v>0</v>
      </c>
      <c r="H110" s="246">
        <f>MachineAssumptions!$T$40*E110</f>
        <v>0</v>
      </c>
      <c r="I110" s="166">
        <f>MachineAssumptions!$T$60*E110</f>
        <v>0</v>
      </c>
    </row>
    <row r="111" spans="1:9" ht="20">
      <c r="A111" s="2"/>
      <c r="B111" s="85" t="str">
        <f>MachineAssumptions!B20&amp;" - Labor"</f>
        <v>Tandem Axle Truck  - Labor</v>
      </c>
      <c r="C111" s="41" t="s">
        <v>246</v>
      </c>
      <c r="D111" s="116">
        <f>MachineAssumptions!$R$20</f>
        <v>3.6</v>
      </c>
      <c r="E111" s="87">
        <f t="shared" si="13"/>
        <v>0</v>
      </c>
      <c r="F111" s="117" t="str">
        <f t="shared" si="12"/>
        <v>0</v>
      </c>
      <c r="H111" s="416">
        <f>MachineAssumptions!$R$41*E111</f>
        <v>0</v>
      </c>
      <c r="I111" s="369">
        <f>MachineAssumptions!$R$61*E111</f>
        <v>0</v>
      </c>
    </row>
    <row r="112" spans="1:9" ht="20">
      <c r="A112" s="2"/>
      <c r="B112" s="85" t="str">
        <f>MachineAssumptions!B20&amp;" - Fuel, Lube"</f>
        <v>Tandem Axle Truck  - Fuel, Lube</v>
      </c>
      <c r="C112" s="41" t="s">
        <v>246</v>
      </c>
      <c r="D112" s="116">
        <f>MachineAssumptions!$S$20</f>
        <v>1.72</v>
      </c>
      <c r="E112" s="87">
        <f t="shared" si="13"/>
        <v>0</v>
      </c>
      <c r="F112" s="117" t="str">
        <f t="shared" si="12"/>
        <v>0</v>
      </c>
      <c r="H112" s="416">
        <f>MachineAssumptions!$S$41*E112</f>
        <v>0</v>
      </c>
      <c r="I112" s="369">
        <f>MachineAssumptions!$S$61*E112</f>
        <v>0</v>
      </c>
    </row>
    <row r="113" spans="1:13" ht="23">
      <c r="A113" s="2"/>
      <c r="B113" s="85" t="str">
        <f>MachineAssumptions!B20&amp;" - Repairs"</f>
        <v>Tandem Axle Truck  - Repairs</v>
      </c>
      <c r="C113" s="41" t="s">
        <v>246</v>
      </c>
      <c r="D113" s="116">
        <f>MachineAssumptions!$T$20</f>
        <v>0.8</v>
      </c>
      <c r="E113" s="87">
        <f t="shared" si="13"/>
        <v>0</v>
      </c>
      <c r="F113" s="117" t="str">
        <f t="shared" si="12"/>
        <v>0</v>
      </c>
      <c r="H113" s="248">
        <f>MachineAssumptions!$T$41*E113</f>
        <v>0</v>
      </c>
      <c r="I113" s="247">
        <f>MachineAssumptions!$T$61*E113</f>
        <v>0</v>
      </c>
    </row>
    <row r="114" spans="1:13" ht="21">
      <c r="A114" s="2"/>
      <c r="B114" s="139" t="s">
        <v>88</v>
      </c>
      <c r="C114" s="41"/>
      <c r="D114" s="116"/>
      <c r="E114" s="87"/>
      <c r="F114" s="117"/>
      <c r="H114" s="249">
        <f>SUM(H74:H113)</f>
        <v>2.7783916729764968</v>
      </c>
      <c r="I114" s="249">
        <f>SUM(I74:I113)</f>
        <v>2.7266743159396327</v>
      </c>
    </row>
    <row r="115" spans="1:13" ht="20">
      <c r="A115" s="2"/>
      <c r="B115" s="85" t="str">
        <f>'Chem&amp;FertInputs&amp;CInsurance'!B73</f>
        <v>Crop Insurance</v>
      </c>
      <c r="C115" s="23" t="str">
        <f>'Chem&amp;FertInputs&amp;CInsurance'!D73</f>
        <v>acre</v>
      </c>
      <c r="D115" s="116">
        <f>'Chem&amp;FertInputs&amp;CInsurance'!T73</f>
        <v>0</v>
      </c>
      <c r="E115" s="87">
        <v>1</v>
      </c>
      <c r="F115" s="117" t="str">
        <f>IF(D115*E115=0,"0",D115*E115)</f>
        <v>0</v>
      </c>
      <c r="H115" s="1" t="s">
        <v>181</v>
      </c>
      <c r="I115" s="1" t="s">
        <v>181</v>
      </c>
    </row>
    <row r="116" spans="1:13" ht="20">
      <c r="A116" s="6"/>
      <c r="B116" s="85" t="s">
        <v>72</v>
      </c>
      <c r="C116" s="41" t="s">
        <v>83</v>
      </c>
      <c r="D116" s="111">
        <f>MachineAssumptions!D25</f>
        <v>0.05</v>
      </c>
      <c r="E116" s="87"/>
      <c r="F116" s="86">
        <f>SUM(F9:F115)*D116</f>
        <v>0.33300254889851039</v>
      </c>
      <c r="H116" s="49">
        <f>(SUM($F8:$F70)+$F115+SUM(H72:H113))*$D116</f>
        <v>0.33324458364882487</v>
      </c>
      <c r="I116" s="49">
        <f>(SUM($F8:$F70)+$F115+SUM(I72:I113))*$D116</f>
        <v>0.33065871579698164</v>
      </c>
      <c r="J116" s="49">
        <f>F72+F75+F78+F81+F84+F87+F90+F93+F96+F99+F102+F105+F108+F111</f>
        <v>0.4708120318630365</v>
      </c>
      <c r="K116" s="1" t="s">
        <v>111</v>
      </c>
    </row>
    <row r="117" spans="1:13" ht="20">
      <c r="A117" s="2"/>
      <c r="B117" s="85" t="s">
        <v>84</v>
      </c>
      <c r="C117" s="41" t="s">
        <v>83</v>
      </c>
      <c r="D117" s="111">
        <f>MachineAssumptions!D26</f>
        <v>6.7500000000000004E-2</v>
      </c>
      <c r="E117" s="112"/>
      <c r="F117" s="140">
        <f>SUM(F9:F116)*(D117/12*MachineAssumptions!D27)</f>
        <v>0.35402333479772885</v>
      </c>
      <c r="H117" s="49">
        <f>(SUM(F8:F70)+(F115+F116+H114))*((D117/12)*MachineAssumptions!D27)</f>
        <v>0.35426839498242224</v>
      </c>
      <c r="I117" s="49">
        <f>(SUM(F8:F70)+(F115+F116+I114))*((D117/12)*MachineAssumptions!D27)</f>
        <v>0.351650203782431</v>
      </c>
      <c r="J117" s="49">
        <f>F73+F76+F79+F82+F85+F88+F91+F94+F97+F100+F103+F106+F109+F112</f>
        <v>1.8047794554749732</v>
      </c>
      <c r="K117" s="1" t="s">
        <v>4</v>
      </c>
    </row>
    <row r="118" spans="1:13" ht="20">
      <c r="A118" s="15"/>
      <c r="B118" s="14" t="s">
        <v>85</v>
      </c>
      <c r="C118" s="29"/>
      <c r="D118" s="141"/>
      <c r="E118" s="142"/>
      <c r="F118" s="146">
        <f>SUM(F9:F117)</f>
        <v>7.3470768616664461</v>
      </c>
      <c r="J118" s="49">
        <f>F74+F77+F80+F83+F86+F89+F92+F95+F98+F101+F104+F107+F110+F113</f>
        <v>0.49795949063219769</v>
      </c>
      <c r="K118" s="1" t="s">
        <v>112</v>
      </c>
      <c r="L118" s="49">
        <f>H74+H77+H80+H83+H86+H89+H92+H95+H98+H101+H104+H107+H110+H113</f>
        <v>0.50280018563848705</v>
      </c>
      <c r="M118" s="49">
        <f>I74+I77+I80+I83+I86+I89+I92+I95+I98+I101+I104+I107+I110+I113</f>
        <v>0.4510828286016228</v>
      </c>
    </row>
    <row r="119" spans="1:13">
      <c r="A119" s="15"/>
      <c r="B119" s="113"/>
      <c r="C119" s="113"/>
      <c r="D119" s="113"/>
      <c r="E119" s="114"/>
      <c r="F119" s="115"/>
      <c r="H119" s="115"/>
      <c r="J119" s="49">
        <f>SUM(J116:J118)</f>
        <v>2.7735509779702077</v>
      </c>
      <c r="K119" s="115"/>
    </row>
    <row r="120" spans="1:13" ht="20">
      <c r="A120" s="15"/>
      <c r="B120" s="132" t="s">
        <v>89</v>
      </c>
      <c r="C120" s="19" t="s">
        <v>2</v>
      </c>
      <c r="D120" s="20" t="s">
        <v>12</v>
      </c>
      <c r="E120" s="21" t="s">
        <v>13</v>
      </c>
      <c r="F120" s="45" t="s">
        <v>0</v>
      </c>
      <c r="H120" s="1" t="s">
        <v>136</v>
      </c>
      <c r="I120" s="1" t="s">
        <v>139</v>
      </c>
    </row>
    <row r="121" spans="1:13" ht="20">
      <c r="A121" s="15"/>
      <c r="B121" s="18" t="str">
        <f>MachineAssumptions!B7&amp;" - Replacement Costs"</f>
        <v>Shredder - Replacement Costs</v>
      </c>
      <c r="C121" s="41" t="str">
        <f>C72</f>
        <v>acre</v>
      </c>
      <c r="D121" s="34">
        <f>MachineAssumptions!U7</f>
        <v>4.3329737628911431</v>
      </c>
      <c r="E121" s="145">
        <f>E72</f>
        <v>0</v>
      </c>
      <c r="F121" s="42" t="str">
        <f t="shared" ref="F121:F134" si="14">IF(D121*E121=0,"0",D121*E121)</f>
        <v>0</v>
      </c>
      <c r="G121" s="1" t="s">
        <v>111</v>
      </c>
      <c r="H121" s="166">
        <f>MachineAssumptions!U28*E121</f>
        <v>0</v>
      </c>
      <c r="I121" s="166">
        <f>MachineAssumptions!U48*E121</f>
        <v>0</v>
      </c>
    </row>
    <row r="122" spans="1:13" ht="20">
      <c r="A122" s="15"/>
      <c r="B122" s="18" t="str">
        <f>MachineAssumptions!B8&amp;" - Replacement Costs"</f>
        <v>Harrow - Replacement Costs</v>
      </c>
      <c r="C122" s="41" t="str">
        <f>C75</f>
        <v>acre</v>
      </c>
      <c r="D122" s="34">
        <f>MachineAssumptions!U8</f>
        <v>1.1988479209967022</v>
      </c>
      <c r="E122" s="145">
        <f>E75</f>
        <v>0</v>
      </c>
      <c r="F122" s="42" t="str">
        <f t="shared" si="14"/>
        <v>0</v>
      </c>
      <c r="G122" s="1" t="s">
        <v>4</v>
      </c>
      <c r="H122" s="166">
        <f>MachineAssumptions!U29*E122</f>
        <v>0</v>
      </c>
      <c r="I122" s="166">
        <f>MachineAssumptions!U49*E122</f>
        <v>0</v>
      </c>
    </row>
    <row r="123" spans="1:13" ht="20">
      <c r="A123" s="15"/>
      <c r="B123" s="18" t="str">
        <f>MachineAssumptions!B9&amp;" - Replacement Costs"</f>
        <v>Chisel plow - Replacement Costs</v>
      </c>
      <c r="C123" s="41" t="str">
        <f>C78</f>
        <v>acre</v>
      </c>
      <c r="D123" s="34">
        <f>MachineAssumptions!U9</f>
        <v>0</v>
      </c>
      <c r="E123" s="145">
        <f>E78</f>
        <v>0</v>
      </c>
      <c r="F123" s="42" t="str">
        <f t="shared" si="14"/>
        <v>0</v>
      </c>
      <c r="G123" s="1" t="s">
        <v>112</v>
      </c>
      <c r="H123" s="166">
        <f>MachineAssumptions!U30*E123</f>
        <v>0</v>
      </c>
      <c r="I123" s="166">
        <f>MachineAssumptions!U50*E123</f>
        <v>0</v>
      </c>
    </row>
    <row r="124" spans="1:13" ht="20">
      <c r="A124" s="15"/>
      <c r="B124" s="18" t="str">
        <f>MachineAssumptions!B10&amp;" - Replacement Costs"</f>
        <v>Moldboard plow - Replacement Costs</v>
      </c>
      <c r="C124" s="41" t="str">
        <f>C81</f>
        <v>acre</v>
      </c>
      <c r="D124" s="34">
        <f>MachineAssumptions!U10</f>
        <v>0</v>
      </c>
      <c r="E124" s="145">
        <f>E81</f>
        <v>0</v>
      </c>
      <c r="F124" s="42" t="str">
        <f t="shared" si="14"/>
        <v>0</v>
      </c>
      <c r="H124" s="166">
        <f>MachineAssumptions!U31*E124</f>
        <v>0</v>
      </c>
      <c r="I124" s="166">
        <f>MachineAssumptions!U51*E124</f>
        <v>0</v>
      </c>
    </row>
    <row r="125" spans="1:13" ht="20">
      <c r="A125" s="15"/>
      <c r="B125" s="18" t="str">
        <f>MachineAssumptions!B11&amp;" - Replacement Costs"</f>
        <v>Cultivator - Replacement Costs</v>
      </c>
      <c r="C125" s="41" t="str">
        <f t="shared" ref="C125:C126" si="15">C82</f>
        <v>acre</v>
      </c>
      <c r="D125" s="34">
        <f>MachineAssumptions!U11</f>
        <v>0</v>
      </c>
      <c r="E125" s="145">
        <f>E84</f>
        <v>0</v>
      </c>
      <c r="F125" s="42" t="str">
        <f t="shared" si="14"/>
        <v>0</v>
      </c>
      <c r="H125" s="166">
        <f>MachineAssumptions!U32*E125</f>
        <v>0</v>
      </c>
      <c r="I125" s="166">
        <f>MachineAssumptions!U52*E125</f>
        <v>0</v>
      </c>
    </row>
    <row r="126" spans="1:13" ht="20">
      <c r="A126" s="15"/>
      <c r="B126" s="18" t="str">
        <f>MachineAssumptions!B12&amp;" - Replacement Costs"</f>
        <v>Cultiweeder - Replacement Costs</v>
      </c>
      <c r="C126" s="41" t="str">
        <f t="shared" si="15"/>
        <v>acre</v>
      </c>
      <c r="D126" s="34">
        <f>MachineAssumptions!U12</f>
        <v>0</v>
      </c>
      <c r="E126" s="145">
        <f>E87</f>
        <v>0</v>
      </c>
      <c r="F126" s="42" t="str">
        <f t="shared" si="14"/>
        <v>0</v>
      </c>
      <c r="H126" s="166">
        <f>MachineAssumptions!U33*E126</f>
        <v>0</v>
      </c>
      <c r="I126" s="166">
        <f>MachineAssumptions!U53*E126</f>
        <v>0</v>
      </c>
    </row>
    <row r="127" spans="1:13" ht="20">
      <c r="A127" s="15"/>
      <c r="B127" s="18" t="str">
        <f>MachineAssumptions!B13&amp;" - Replacement Costs"</f>
        <v>Drill - Replacement Costs</v>
      </c>
      <c r="C127" s="41" t="str">
        <f>C90</f>
        <v>acre</v>
      </c>
      <c r="D127" s="34">
        <f>MachineAssumptions!U13</f>
        <v>7.2419265221735989</v>
      </c>
      <c r="E127" s="145">
        <f>E90</f>
        <v>0</v>
      </c>
      <c r="F127" s="42" t="str">
        <f t="shared" si="14"/>
        <v>0</v>
      </c>
      <c r="H127" s="166">
        <f>MachineAssumptions!U34*E127</f>
        <v>0</v>
      </c>
      <c r="I127" s="166">
        <f>MachineAssumptions!U54*E127</f>
        <v>0</v>
      </c>
    </row>
    <row r="128" spans="1:13" ht="20">
      <c r="A128" s="15"/>
      <c r="B128" s="18" t="str">
        <f>MachineAssumptions!B14&amp;" - Replacement Costs"</f>
        <v>Combine w/ 36' header - Replacement Costs</v>
      </c>
      <c r="C128" s="41" t="str">
        <f>C93</f>
        <v>acre</v>
      </c>
      <c r="D128" s="34">
        <f>MachineAssumptions!U14</f>
        <v>9.7031999999999989</v>
      </c>
      <c r="E128" s="145">
        <f>E93</f>
        <v>0</v>
      </c>
      <c r="F128" s="42" t="str">
        <f t="shared" si="14"/>
        <v>0</v>
      </c>
      <c r="H128" s="166">
        <f>MachineAssumptions!U35*E128</f>
        <v>0</v>
      </c>
      <c r="I128" s="166">
        <f>MachineAssumptions!U55*E128</f>
        <v>0</v>
      </c>
    </row>
    <row r="129" spans="1:9" ht="20">
      <c r="A129" s="15"/>
      <c r="B129" s="18" t="str">
        <f>MachineAssumptions!B16&amp;" - Replacement Costs"</f>
        <v>Fertilizer Spreader - Replacement Costs</v>
      </c>
      <c r="C129" s="41" t="str">
        <f>C96</f>
        <v>acre</v>
      </c>
      <c r="D129" s="34">
        <f>MachineAssumptions!U16</f>
        <v>0</v>
      </c>
      <c r="E129" s="145">
        <f>E96</f>
        <v>0</v>
      </c>
      <c r="F129" s="42" t="str">
        <f t="shared" si="14"/>
        <v>0</v>
      </c>
      <c r="H129" s="166">
        <f>MachineAssumptions!U36*E129</f>
        <v>0</v>
      </c>
      <c r="I129" s="166">
        <f>MachineAssumptions!U56*E129</f>
        <v>0</v>
      </c>
    </row>
    <row r="130" spans="1:9" ht="20">
      <c r="A130" s="15"/>
      <c r="B130" s="18" t="str">
        <f>MachineAssumptions!B17&amp;" - Replacement Costs"</f>
        <v>Fertilizer tanks and pump - Replacement Costs</v>
      </c>
      <c r="C130" s="41" t="str">
        <f>C99</f>
        <v>acre</v>
      </c>
      <c r="D130" s="34">
        <f>MachineAssumptions!U17</f>
        <v>0.6</v>
      </c>
      <c r="E130" s="145">
        <f>E99</f>
        <v>0</v>
      </c>
      <c r="F130" s="42" t="str">
        <f t="shared" si="14"/>
        <v>0</v>
      </c>
      <c r="H130" s="166">
        <f>MachineAssumptions!U37*E130</f>
        <v>0</v>
      </c>
      <c r="I130" s="166">
        <f>MachineAssumptions!U57*E130</f>
        <v>0</v>
      </c>
    </row>
    <row r="131" spans="1:9" ht="20">
      <c r="A131" s="15"/>
      <c r="B131" s="18" t="str">
        <f>MachineAssumptions!B18&amp;" - Replacement Costs"</f>
        <v>Boom sprayer - Replacement Costs</v>
      </c>
      <c r="C131" s="41" t="str">
        <f>C102</f>
        <v>acre</v>
      </c>
      <c r="D131" s="34">
        <f>MachineAssumptions!U18</f>
        <v>0.80913316225248511</v>
      </c>
      <c r="E131" s="145">
        <f>E102</f>
        <v>1</v>
      </c>
      <c r="F131" s="42">
        <f t="shared" si="14"/>
        <v>0.80913316225248511</v>
      </c>
      <c r="H131" s="166">
        <f>MachineAssumptions!U38*E131</f>
        <v>0.8090118780669916</v>
      </c>
      <c r="I131" s="166">
        <f>MachineAssumptions!U58*E131</f>
        <v>0.80913316225248511</v>
      </c>
    </row>
    <row r="132" spans="1:9" ht="20">
      <c r="A132" s="15"/>
      <c r="B132" s="18" t="str">
        <f>MachineAssumptions!B15&amp;" - Replacement Costs"</f>
        <v>Bankout Wagon - Replacement Costs</v>
      </c>
      <c r="C132" s="41" t="str">
        <f>C105</f>
        <v>acre</v>
      </c>
      <c r="D132" s="34">
        <f>MachineAssumptions!U15</f>
        <v>2.9461434675395459</v>
      </c>
      <c r="E132" s="145">
        <f>E105</f>
        <v>0</v>
      </c>
      <c r="F132" s="42" t="str">
        <f t="shared" si="14"/>
        <v>0</v>
      </c>
      <c r="H132" s="166">
        <f>MachineAssumptions!U39*E132</f>
        <v>0</v>
      </c>
      <c r="I132" s="166">
        <f>MachineAssumptions!U59*E132</f>
        <v>0</v>
      </c>
    </row>
    <row r="133" spans="1:9" ht="20">
      <c r="A133" s="15"/>
      <c r="B133" s="18" t="str">
        <f>MachineAssumptions!B19&amp;" - Replacement Costs"</f>
        <v>Tandem Axle Truck  - Replacement Costs</v>
      </c>
      <c r="C133" s="41" t="str">
        <f>C108</f>
        <v>acre</v>
      </c>
      <c r="D133" s="34">
        <f>MachineAssumptions!U19</f>
        <v>0.64</v>
      </c>
      <c r="E133" s="145">
        <f>E108</f>
        <v>0</v>
      </c>
      <c r="F133" s="42" t="str">
        <f t="shared" si="14"/>
        <v>0</v>
      </c>
      <c r="H133" s="166">
        <f>MachineAssumptions!U40*E133</f>
        <v>0</v>
      </c>
      <c r="I133" s="166">
        <f>MachineAssumptions!U60*E133</f>
        <v>0</v>
      </c>
    </row>
    <row r="134" spans="1:9" ht="23">
      <c r="A134" s="15"/>
      <c r="B134" s="18" t="str">
        <f>MachineAssumptions!B20&amp;" - Replacement Costs"</f>
        <v>Tandem Axle Truck  - Replacement Costs</v>
      </c>
      <c r="C134" s="41" t="str">
        <f t="shared" ref="C134" si="16">C111</f>
        <v>acre</v>
      </c>
      <c r="D134" s="34">
        <f>MachineAssumptions!U20</f>
        <v>0.64</v>
      </c>
      <c r="E134" s="145">
        <f t="shared" ref="E134" si="17">E111</f>
        <v>0</v>
      </c>
      <c r="F134" s="43" t="str">
        <f t="shared" si="14"/>
        <v>0</v>
      </c>
      <c r="H134" s="247">
        <f>MachineAssumptions!U41*E134</f>
        <v>0</v>
      </c>
      <c r="I134" s="247">
        <f>MachineAssumptions!U61*E134</f>
        <v>0</v>
      </c>
    </row>
    <row r="135" spans="1:9" ht="20">
      <c r="A135" s="15"/>
      <c r="B135" s="144" t="s">
        <v>38</v>
      </c>
      <c r="C135" s="29"/>
      <c r="D135" s="30"/>
      <c r="E135" s="29"/>
      <c r="F135" s="46">
        <f>SUM(F121:F134)</f>
        <v>0.80913316225248511</v>
      </c>
      <c r="H135" s="46">
        <f t="shared" ref="H135:I135" si="18">SUM(H121:H134)</f>
        <v>0.8090118780669916</v>
      </c>
      <c r="I135" s="46">
        <f t="shared" si="18"/>
        <v>0.80913316225248511</v>
      </c>
    </row>
    <row r="136" spans="1:9" ht="20">
      <c r="A136" s="15"/>
      <c r="B136" s="16"/>
      <c r="C136" s="16"/>
      <c r="D136" s="17"/>
      <c r="E136" s="16"/>
      <c r="F136" s="113"/>
    </row>
    <row r="137" spans="1:9" ht="20">
      <c r="A137" s="15"/>
      <c r="B137" s="14" t="s">
        <v>31</v>
      </c>
      <c r="C137" s="29"/>
      <c r="D137" s="30"/>
      <c r="E137" s="29"/>
      <c r="F137" s="47">
        <f>F118+F135</f>
        <v>8.1562100239189306</v>
      </c>
      <c r="H137" s="47">
        <f>SUM(F16:F70)+H114+F115+H116+H117+H135+F8+(H9*D9)+(H10*D10)+(H11*D11)+(H12*D12)+(H13*D13)+(H14*D14)+(H15*D15)</f>
        <v>8.1614165296747352</v>
      </c>
      <c r="I137" s="47">
        <f>SUM(F16:F70)+I114+F115+I116+I117+I135+F8+(I9*D9)+(I10*D10)+(I11*D11)+(I12*D12)+(I13*D13)+(I14*D14)+(I15*D15)</f>
        <v>8.1046163977715313</v>
      </c>
    </row>
    <row r="138" spans="1:9" ht="21">
      <c r="A138" s="15"/>
      <c r="B138" s="31" t="s">
        <v>32</v>
      </c>
      <c r="C138" s="32"/>
      <c r="D138" s="33"/>
      <c r="E138" s="32"/>
      <c r="F138" s="48">
        <f>F5-F137</f>
        <v>-8.1562100239189306</v>
      </c>
      <c r="H138" s="250">
        <f>H5-H137</f>
        <v>-8.1614165296747352</v>
      </c>
      <c r="I138" s="250">
        <f>I5-I137</f>
        <v>-8.1046163977715313</v>
      </c>
    </row>
  </sheetData>
  <mergeCells count="1">
    <mergeCell ref="B2:F2"/>
  </mergeCells>
  <pageMargins left="0.7" right="0.7" top="0.75" bottom="0.75" header="0.3" footer="0.3"/>
  <pageSetup scale="57" orientation="portrait" horizontalDpi="0" verticalDpi="0"/>
  <ignoredErrors>
    <ignoredError sqref="B3:F3 B63:F70 B114:F114 B135:F138 B121:C134 E121:F134 B2 B72:B113 D72:F113 B61:F61 C14:F14 B4:F5 B54:F57 B42:F51 B33:F40 B21:F31 B60:F60 B16:G20 G60 B32:G32 G21:G31 B41:G41 G33:G40 B52:G53 G42:G51 B58:G59 G54:G57 B116:F120 B115:D115 E115:F115 C9:F9 C10:F10 C11:F11 C12:F12 C13:F13 C15:G15 B9:B15" unlockedFormula="1"/>
    <ignoredError sqref="D121:D134" formula="1" unlockedFormula="1"/>
  </ignoredError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CAC14-DD09-C543-A6CD-CB3C4D791722}">
  <sheetPr codeName="Sheet19">
    <pageSetUpPr fitToPage="1"/>
  </sheetPr>
  <dimension ref="A1:AF138"/>
  <sheetViews>
    <sheetView zoomScale="120" zoomScaleNormal="120" workbookViewId="0">
      <selection activeCell="B2" sqref="B2:F2"/>
    </sheetView>
  </sheetViews>
  <sheetFormatPr baseColWidth="10" defaultColWidth="11.5" defaultRowHeight="15"/>
  <cols>
    <col min="1" max="1" width="4.83203125" style="1" customWidth="1"/>
    <col min="2" max="2" width="57.83203125" style="1" customWidth="1"/>
    <col min="3" max="6" width="12.83203125" style="1" customWidth="1"/>
    <col min="7" max="16" width="11.5" style="1" hidden="1" customWidth="1"/>
    <col min="17" max="30" width="0" style="1" hidden="1" customWidth="1"/>
    <col min="31" max="16384" width="11.5" style="1"/>
  </cols>
  <sheetData>
    <row r="1" spans="1:32" ht="20">
      <c r="A1" s="352" t="s">
        <v>8</v>
      </c>
      <c r="B1" s="27"/>
      <c r="C1" s="16"/>
      <c r="D1" s="17"/>
      <c r="E1" s="16"/>
      <c r="F1" s="16"/>
    </row>
    <row r="2" spans="1:32" ht="24" customHeight="1">
      <c r="A2" s="15"/>
      <c r="B2" s="809" t="str">
        <f>'Prices_Yields&amp;SeedInputs'!B20&amp;", Cash Costs and Returns of Producing, $/acre."</f>
        <v>Spring Barley, Cash Costs and Returns of Producing, $/acre.</v>
      </c>
      <c r="C2" s="809"/>
      <c r="D2" s="809"/>
      <c r="E2" s="809"/>
      <c r="F2" s="809"/>
    </row>
    <row r="3" spans="1:32" ht="20">
      <c r="A3" s="15"/>
      <c r="B3" s="131" t="s">
        <v>11</v>
      </c>
      <c r="C3" s="24" t="s">
        <v>2</v>
      </c>
      <c r="D3" s="25" t="s">
        <v>12</v>
      </c>
      <c r="E3" s="26" t="s">
        <v>13</v>
      </c>
      <c r="F3" s="26" t="s">
        <v>0</v>
      </c>
      <c r="H3" s="1" t="str">
        <f>'Prices_Yields&amp;SeedInputs'!F3</f>
        <v>Incremental Rotation</v>
      </c>
      <c r="I3" s="1" t="str">
        <f>'Prices_Yields&amp;SeedInputs'!G3</f>
        <v>Aspirational Rotation</v>
      </c>
      <c r="AE3" s="674"/>
      <c r="AF3" s="674"/>
    </row>
    <row r="4" spans="1:32" ht="20">
      <c r="A4" s="15"/>
      <c r="B4" s="18" t="str">
        <f>'Prices_Yields&amp;SeedInputs'!B20</f>
        <v>Spring Barley</v>
      </c>
      <c r="C4" s="23" t="str">
        <f>'Prices_Yields&amp;SeedInputs'!C20</f>
        <v>ton</v>
      </c>
      <c r="D4" s="130">
        <f>'Prices_Yields&amp;SeedInputs'!D20</f>
        <v>140.97</v>
      </c>
      <c r="E4" s="128">
        <f>'Prices_Yields&amp;SeedInputs'!E20</f>
        <v>2</v>
      </c>
      <c r="F4" s="35">
        <f>D4*E4</f>
        <v>281.94</v>
      </c>
      <c r="AE4" s="674"/>
      <c r="AF4" s="674"/>
    </row>
    <row r="5" spans="1:32" ht="20">
      <c r="A5" s="15"/>
      <c r="B5" s="14" t="s">
        <v>14</v>
      </c>
      <c r="C5" s="29"/>
      <c r="D5" s="30"/>
      <c r="E5" s="29"/>
      <c r="F5" s="46">
        <f>SUM(F4:F4)</f>
        <v>281.94</v>
      </c>
      <c r="H5" s="1">
        <f>D4*'Prices_Yields&amp;SeedInputs'!F20</f>
        <v>281.94</v>
      </c>
      <c r="I5" s="1">
        <f>D4*'Prices_Yields&amp;SeedInputs'!G20</f>
        <v>281.94</v>
      </c>
      <c r="AE5" s="674"/>
      <c r="AF5" s="674"/>
    </row>
    <row r="6" spans="1:32" ht="20">
      <c r="A6" s="15"/>
      <c r="B6" s="16"/>
      <c r="C6" s="16"/>
      <c r="D6" s="17"/>
      <c r="E6" s="16"/>
      <c r="F6" s="44"/>
    </row>
    <row r="7" spans="1:32" ht="20">
      <c r="A7" s="15"/>
      <c r="B7" s="132" t="s">
        <v>37</v>
      </c>
      <c r="C7" s="19" t="s">
        <v>2</v>
      </c>
      <c r="D7" s="20" t="s">
        <v>12</v>
      </c>
      <c r="E7" s="21" t="s">
        <v>13</v>
      </c>
      <c r="F7" s="45" t="s">
        <v>0</v>
      </c>
    </row>
    <row r="8" spans="1:32" ht="20">
      <c r="A8" s="15"/>
      <c r="B8" s="272" t="s">
        <v>169</v>
      </c>
      <c r="C8" s="119" t="str">
        <f>'Prices_Yields&amp;SeedInputs'!H20</f>
        <v>pound</v>
      </c>
      <c r="D8" s="120">
        <f>'Prices_Yields&amp;SeedInputs'!I20</f>
        <v>0.24</v>
      </c>
      <c r="E8" s="133">
        <f>'Prices_Yields&amp;SeedInputs'!J20</f>
        <v>80</v>
      </c>
      <c r="F8" s="117">
        <f t="shared" ref="F8:F61" si="0">IF(D8*E8=0,"0",D8*E8)</f>
        <v>19.2</v>
      </c>
    </row>
    <row r="9" spans="1:32" ht="20">
      <c r="A9" s="15"/>
      <c r="B9" s="85" t="str">
        <f>'Chem&amp;FertInputs&amp;CInsurance'!B6</f>
        <v>Fertilizer - Nitrogen-</v>
      </c>
      <c r="C9" s="23" t="str">
        <f>'Chem&amp;FertInputs&amp;CInsurance'!D6</f>
        <v>pound</v>
      </c>
      <c r="D9" s="116">
        <f>'Chem&amp;FertInputs&amp;CInsurance'!E6</f>
        <v>0.48749999999999999</v>
      </c>
      <c r="E9" s="133">
        <f>'Chem&amp;FertInputs&amp;CInsurance'!U6</f>
        <v>80</v>
      </c>
      <c r="F9" s="117">
        <f t="shared" si="0"/>
        <v>39</v>
      </c>
      <c r="H9" s="1">
        <f>'Chem&amp;FertInputs&amp;CInsurance'!U7</f>
        <v>80</v>
      </c>
      <c r="I9" s="1">
        <f>'Chem&amp;FertInputs&amp;CInsurance'!U8</f>
        <v>80</v>
      </c>
    </row>
    <row r="10" spans="1:32" ht="20">
      <c r="A10" s="15"/>
      <c r="B10" s="85" t="str">
        <f>'Chem&amp;FertInputs&amp;CInsurance'!B9</f>
        <v>Fertilizer - Anhydrous Ammonia-</v>
      </c>
      <c r="C10" s="23" t="str">
        <f>'Chem&amp;FertInputs&amp;CInsurance'!D9</f>
        <v>pound</v>
      </c>
      <c r="D10" s="116">
        <f>'Chem&amp;FertInputs&amp;CInsurance'!E9</f>
        <v>0.75770000000000004</v>
      </c>
      <c r="E10" s="133">
        <f>'Chem&amp;FertInputs&amp;CInsurance'!U9</f>
        <v>0</v>
      </c>
      <c r="F10" s="117" t="str">
        <f t="shared" si="0"/>
        <v>0</v>
      </c>
      <c r="H10" s="1">
        <f>'Chem&amp;FertInputs&amp;CInsurance'!U10</f>
        <v>0</v>
      </c>
      <c r="I10" s="1">
        <f>'Chem&amp;FertInputs&amp;CInsurance'!U11</f>
        <v>0</v>
      </c>
    </row>
    <row r="11" spans="1:32" ht="20">
      <c r="A11" s="15"/>
      <c r="B11" s="85" t="str">
        <f>'Chem&amp;FertInputs&amp;CInsurance'!B12</f>
        <v xml:space="preserve">Fertilizer - Phosphorus- </v>
      </c>
      <c r="C11" s="23" t="str">
        <f>'Chem&amp;FertInputs&amp;CInsurance'!D12</f>
        <v>pound</v>
      </c>
      <c r="D11" s="116">
        <f>'Chem&amp;FertInputs&amp;CInsurance'!E12</f>
        <v>0.47499999999999998</v>
      </c>
      <c r="E11" s="133">
        <f>'Chem&amp;FertInputs&amp;CInsurance'!U12</f>
        <v>5</v>
      </c>
      <c r="F11" s="117">
        <f t="shared" si="0"/>
        <v>2.375</v>
      </c>
      <c r="H11" s="1">
        <f>'Chem&amp;FertInputs&amp;CInsurance'!U13</f>
        <v>5</v>
      </c>
      <c r="I11" s="1">
        <f>'Chem&amp;FertInputs&amp;CInsurance'!U14</f>
        <v>5</v>
      </c>
    </row>
    <row r="12" spans="1:32" ht="20">
      <c r="A12" s="15"/>
      <c r="B12" s="85" t="str">
        <f>'Chem&amp;FertInputs&amp;CInsurance'!B15</f>
        <v>Fertilizer - Potassium-</v>
      </c>
      <c r="C12" s="23" t="str">
        <f>'Chem&amp;FertInputs&amp;CInsurance'!D15</f>
        <v>pound</v>
      </c>
      <c r="D12" s="116">
        <f>'Chem&amp;FertInputs&amp;CInsurance'!E15</f>
        <v>0.441</v>
      </c>
      <c r="E12" s="133">
        <f>'Chem&amp;FertInputs&amp;CInsurance'!U15</f>
        <v>0</v>
      </c>
      <c r="F12" s="117" t="str">
        <f t="shared" si="0"/>
        <v>0</v>
      </c>
      <c r="H12" s="1">
        <f>'Chem&amp;FertInputs&amp;CInsurance'!U16</f>
        <v>0</v>
      </c>
      <c r="I12" s="1">
        <f>'Chem&amp;FertInputs&amp;CInsurance'!U17</f>
        <v>0</v>
      </c>
    </row>
    <row r="13" spans="1:32" ht="20">
      <c r="A13" s="15"/>
      <c r="B13" s="85" t="str">
        <f>'Chem&amp;FertInputs&amp;CInsurance'!B18</f>
        <v>Fertilizer - Sulfur-</v>
      </c>
      <c r="C13" s="23" t="str">
        <f>'Chem&amp;FertInputs&amp;CInsurance'!D18</f>
        <v>pound</v>
      </c>
      <c r="D13" s="116">
        <f>'Chem&amp;FertInputs&amp;CInsurance'!E18</f>
        <v>0.2555</v>
      </c>
      <c r="E13" s="133">
        <f>'Chem&amp;FertInputs&amp;CInsurance'!U18</f>
        <v>15</v>
      </c>
      <c r="F13" s="117">
        <f t="shared" si="0"/>
        <v>3.8325</v>
      </c>
      <c r="H13" s="1">
        <f>'Chem&amp;FertInputs&amp;CInsurance'!U19</f>
        <v>15</v>
      </c>
      <c r="I13" s="1">
        <f>'Chem&amp;FertInputs&amp;CInsurance'!U20</f>
        <v>15</v>
      </c>
    </row>
    <row r="14" spans="1:32" ht="20">
      <c r="A14" s="15"/>
      <c r="B14" s="85" t="str">
        <f>'Chem&amp;FertInputs&amp;CInsurance'!B21</f>
        <v>Adjuvant - Ammonium Sulfate liquid-</v>
      </c>
      <c r="C14" s="23" t="str">
        <f>'Chem&amp;FertInputs&amp;CInsurance'!D21</f>
        <v>oz</v>
      </c>
      <c r="D14" s="116">
        <f>'Chem&amp;FertInputs&amp;CInsurance'!E21</f>
        <v>0.48</v>
      </c>
      <c r="E14" s="133">
        <f>'Chem&amp;FertInputs&amp;CInsurance'!U21</f>
        <v>1.7</v>
      </c>
      <c r="F14" s="117">
        <f t="shared" ref="F14:F20" si="1">IF(D14*E14=0,"0",D14*E14)</f>
        <v>0.81599999999999995</v>
      </c>
      <c r="G14" s="165">
        <f>E14/128</f>
        <v>1.328125E-2</v>
      </c>
      <c r="H14" s="1">
        <f>'Chem&amp;FertInputs&amp;CInsurance'!U22</f>
        <v>1.7</v>
      </c>
      <c r="I14" s="1">
        <f>'Chem&amp;FertInputs&amp;CInsurance'!U23</f>
        <v>1.7</v>
      </c>
    </row>
    <row r="15" spans="1:32" ht="20">
      <c r="A15" s="15"/>
      <c r="B15" s="85" t="str">
        <f>'Chem&amp;FertInputs&amp;CInsurance'!B24</f>
        <v>Adjuvant - Ammonium Sulfate  (other)-</v>
      </c>
      <c r="C15" s="23" t="str">
        <f>'Chem&amp;FertInputs&amp;CInsurance'!D24</f>
        <v>pound</v>
      </c>
      <c r="D15" s="116">
        <f>'Chem&amp;FertInputs&amp;CInsurance'!E24</f>
        <v>0.71</v>
      </c>
      <c r="E15" s="133">
        <f>'Chem&amp;FertInputs&amp;CInsurance'!U24</f>
        <v>0</v>
      </c>
      <c r="F15" s="117" t="str">
        <f t="shared" si="1"/>
        <v>0</v>
      </c>
      <c r="G15" s="165">
        <f>E15/16</f>
        <v>0</v>
      </c>
      <c r="H15" s="1">
        <f>'Chem&amp;FertInputs&amp;CInsurance'!U25</f>
        <v>0</v>
      </c>
      <c r="I15" s="1">
        <f>'Chem&amp;FertInputs&amp;CInsurance'!U26</f>
        <v>0</v>
      </c>
    </row>
    <row r="16" spans="1:32" ht="20">
      <c r="A16" s="15"/>
      <c r="B16" s="85" t="str">
        <f>'Chem&amp;FertInputs&amp;CInsurance'!C27</f>
        <v xml:space="preserve">crop oil concentrate </v>
      </c>
      <c r="C16" s="23" t="str">
        <f>'Chem&amp;FertInputs&amp;CInsurance'!D27</f>
        <v>pint</v>
      </c>
      <c r="D16" s="116">
        <f>'Chem&amp;FertInputs&amp;CInsurance'!E27</f>
        <v>1.6559999999999999</v>
      </c>
      <c r="E16" s="133">
        <f>'Chem&amp;FertInputs&amp;CInsurance'!U27</f>
        <v>0</v>
      </c>
      <c r="F16" s="117" t="str">
        <f t="shared" si="1"/>
        <v>0</v>
      </c>
      <c r="G16" s="165">
        <f>E16/8</f>
        <v>0</v>
      </c>
    </row>
    <row r="17" spans="1:7" ht="20">
      <c r="A17" s="15"/>
      <c r="B17" s="85" t="str">
        <f>'Chem&amp;FertInputs&amp;CInsurance'!C28</f>
        <v>In-place</v>
      </c>
      <c r="C17" s="23" t="str">
        <f>'Chem&amp;FertInputs&amp;CInsurance'!D28</f>
        <v>oz</v>
      </c>
      <c r="D17" s="116">
        <f>'Chem&amp;FertInputs&amp;CInsurance'!E28</f>
        <v>0.35649999999999998</v>
      </c>
      <c r="E17" s="133">
        <f>'Chem&amp;FertInputs&amp;CInsurance'!U28</f>
        <v>0</v>
      </c>
      <c r="F17" s="117" t="str">
        <f t="shared" si="1"/>
        <v>0</v>
      </c>
      <c r="G17" s="165">
        <f>E17/128</f>
        <v>0</v>
      </c>
    </row>
    <row r="18" spans="1:7" ht="20">
      <c r="A18" s="15"/>
      <c r="B18" s="85" t="str">
        <f>'Chem&amp;FertInputs&amp;CInsurance'!C29</f>
        <v xml:space="preserve">M90 </v>
      </c>
      <c r="C18" s="23" t="str">
        <f>'Chem&amp;FertInputs&amp;CInsurance'!D29</f>
        <v>oz</v>
      </c>
      <c r="D18" s="116">
        <f>'Chem&amp;FertInputs&amp;CInsurance'!E29</f>
        <v>0.253</v>
      </c>
      <c r="E18" s="133">
        <f>'Chem&amp;FertInputs&amp;CInsurance'!U29</f>
        <v>4.5</v>
      </c>
      <c r="F18" s="117">
        <f t="shared" si="1"/>
        <v>1.1385000000000001</v>
      </c>
      <c r="G18" s="165">
        <f>E18/128</f>
        <v>3.515625E-2</v>
      </c>
    </row>
    <row r="19" spans="1:7" ht="20">
      <c r="A19" s="15"/>
      <c r="B19" s="85" t="str">
        <f>'Chem&amp;FertInputs&amp;CInsurance'!C30</f>
        <v>Surfactant</v>
      </c>
      <c r="C19" s="23" t="str">
        <f>'Chem&amp;FertInputs&amp;CInsurance'!D30</f>
        <v>oz</v>
      </c>
      <c r="D19" s="116">
        <f>'Chem&amp;FertInputs&amp;CInsurance'!E30</f>
        <v>0.26450000000000001</v>
      </c>
      <c r="E19" s="133">
        <f>'Chem&amp;FertInputs&amp;CInsurance'!U30</f>
        <v>0</v>
      </c>
      <c r="F19" s="117" t="str">
        <f t="shared" si="1"/>
        <v>0</v>
      </c>
      <c r="G19" s="165">
        <f>E19/128</f>
        <v>0</v>
      </c>
    </row>
    <row r="20" spans="1:7" ht="20">
      <c r="A20" s="15"/>
      <c r="B20" s="85" t="str">
        <f>'Chem&amp;FertInputs&amp;CInsurance'!C31</f>
        <v>Syltac sticker</v>
      </c>
      <c r="C20" s="23" t="str">
        <f>'Chem&amp;FertInputs&amp;CInsurance'!D31</f>
        <v>pint</v>
      </c>
      <c r="D20" s="116">
        <f>'Chem&amp;FertInputs&amp;CInsurance'!E31</f>
        <v>7.1874999999999991</v>
      </c>
      <c r="E20" s="133">
        <f>'Chem&amp;FertInputs&amp;CInsurance'!U31</f>
        <v>0</v>
      </c>
      <c r="F20" s="117" t="str">
        <f t="shared" si="1"/>
        <v>0</v>
      </c>
      <c r="G20" s="165">
        <f>E20/8</f>
        <v>0</v>
      </c>
    </row>
    <row r="21" spans="1:7" ht="20">
      <c r="A21" s="15"/>
      <c r="B21" s="85" t="str">
        <f>'Chem&amp;FertInputs&amp;CInsurance'!C33</f>
        <v>2,4 - D</v>
      </c>
      <c r="C21" s="23" t="str">
        <f>'Chem&amp;FertInputs&amp;CInsurance'!D33</f>
        <v>oz</v>
      </c>
      <c r="D21" s="116">
        <f>'Chem&amp;FertInputs&amp;CInsurance'!E33</f>
        <v>0.33349999999999996</v>
      </c>
      <c r="E21" s="133">
        <f>'Chem&amp;FertInputs&amp;CInsurance'!U33</f>
        <v>0</v>
      </c>
      <c r="F21" s="117" t="str">
        <f t="shared" si="0"/>
        <v>0</v>
      </c>
      <c r="G21" s="165">
        <f t="shared" ref="G21:G30" si="2">E21/128</f>
        <v>0</v>
      </c>
    </row>
    <row r="22" spans="1:7" ht="20">
      <c r="A22" s="15"/>
      <c r="B22" s="85" t="str">
        <f>'Chem&amp;FertInputs&amp;CInsurance'!C34</f>
        <v>Achieve SC</v>
      </c>
      <c r="C22" s="23" t="str">
        <f>'Chem&amp;FertInputs&amp;CInsurance'!D34</f>
        <v>oz</v>
      </c>
      <c r="D22" s="116">
        <f>'Chem&amp;FertInputs&amp;CInsurance'!E34</f>
        <v>1.3454999999999999</v>
      </c>
      <c r="E22" s="133">
        <f>'Chem&amp;FertInputs&amp;CInsurance'!U34</f>
        <v>0</v>
      </c>
      <c r="F22" s="117" t="str">
        <f t="shared" si="0"/>
        <v>0</v>
      </c>
      <c r="G22" s="165">
        <f t="shared" si="2"/>
        <v>0</v>
      </c>
    </row>
    <row r="23" spans="1:7" ht="20">
      <c r="A23" s="15"/>
      <c r="B23" s="85" t="str">
        <f>'Chem&amp;FertInputs&amp;CInsurance'!C35</f>
        <v>Affintity TankMix</v>
      </c>
      <c r="C23" s="23" t="str">
        <f>'Chem&amp;FertInputs&amp;CInsurance'!D35</f>
        <v>oz</v>
      </c>
      <c r="D23" s="116">
        <f>'Chem&amp;FertInputs&amp;CInsurance'!E35</f>
        <v>8.9699999999999989</v>
      </c>
      <c r="E23" s="133">
        <f>'Chem&amp;FertInputs&amp;CInsurance'!U35</f>
        <v>0.75</v>
      </c>
      <c r="F23" s="117">
        <f t="shared" si="0"/>
        <v>6.7274999999999991</v>
      </c>
      <c r="G23" s="165">
        <f t="shared" si="2"/>
        <v>5.859375E-3</v>
      </c>
    </row>
    <row r="24" spans="1:7" ht="20">
      <c r="A24" s="15"/>
      <c r="B24" s="85" t="str">
        <f>'Chem&amp;FertInputs&amp;CInsurance'!C36</f>
        <v xml:space="preserve">Ally </v>
      </c>
      <c r="C24" s="23" t="str">
        <f>'Chem&amp;FertInputs&amp;CInsurance'!D36</f>
        <v>oz</v>
      </c>
      <c r="D24" s="116">
        <f>'Chem&amp;FertInputs&amp;CInsurance'!E36</f>
        <v>1.7249999999999999</v>
      </c>
      <c r="E24" s="133">
        <f>'Chem&amp;FertInputs&amp;CInsurance'!U36</f>
        <v>0</v>
      </c>
      <c r="F24" s="117" t="str">
        <f t="shared" si="0"/>
        <v>0</v>
      </c>
      <c r="G24" s="165">
        <f t="shared" si="2"/>
        <v>0</v>
      </c>
    </row>
    <row r="25" spans="1:7" ht="20">
      <c r="A25" s="15"/>
      <c r="B25" s="85" t="str">
        <f>'Chem&amp;FertInputs&amp;CInsurance'!C37</f>
        <v>Assure</v>
      </c>
      <c r="C25" s="23" t="str">
        <f>'Chem&amp;FertInputs&amp;CInsurance'!D37</f>
        <v>oz</v>
      </c>
      <c r="D25" s="116">
        <f>'Chem&amp;FertInputs&amp;CInsurance'!E37</f>
        <v>0.98899999999999988</v>
      </c>
      <c r="E25" s="133">
        <f>'Chem&amp;FertInputs&amp;CInsurance'!U37</f>
        <v>0</v>
      </c>
      <c r="F25" s="117" t="str">
        <f t="shared" si="0"/>
        <v>0</v>
      </c>
      <c r="G25" s="165">
        <f t="shared" si="2"/>
        <v>0</v>
      </c>
    </row>
    <row r="26" spans="1:7" ht="20">
      <c r="A26" s="15"/>
      <c r="B26" s="85" t="str">
        <f>'Chem&amp;FertInputs&amp;CInsurance'!C38</f>
        <v>Axial Star</v>
      </c>
      <c r="C26" s="23" t="str">
        <f>'Chem&amp;FertInputs&amp;CInsurance'!D38</f>
        <v>oz</v>
      </c>
      <c r="D26" s="116">
        <f>'Chem&amp;FertInputs&amp;CInsurance'!E38</f>
        <v>1.3224999999999998</v>
      </c>
      <c r="E26" s="133">
        <f>'Chem&amp;FertInputs&amp;CInsurance'!U38</f>
        <v>0</v>
      </c>
      <c r="F26" s="117" t="str">
        <f t="shared" si="0"/>
        <v>0</v>
      </c>
      <c r="G26" s="165">
        <f t="shared" si="2"/>
        <v>0</v>
      </c>
    </row>
    <row r="27" spans="1:7" ht="20">
      <c r="A27" s="15"/>
      <c r="B27" s="85" t="str">
        <f>'Chem&amp;FertInputs&amp;CInsurance'!C39</f>
        <v>Axial Bold</v>
      </c>
      <c r="C27" s="23" t="str">
        <f>'Chem&amp;FertInputs&amp;CInsurance'!D39</f>
        <v>oz</v>
      </c>
      <c r="D27" s="116">
        <f>'Chem&amp;FertInputs&amp;CInsurance'!E39</f>
        <v>1.0924999999999998</v>
      </c>
      <c r="E27" s="133">
        <f>'Chem&amp;FertInputs&amp;CInsurance'!U39</f>
        <v>15</v>
      </c>
      <c r="F27" s="117">
        <f t="shared" si="0"/>
        <v>16.387499999999996</v>
      </c>
      <c r="G27" s="165">
        <f t="shared" si="2"/>
        <v>0.1171875</v>
      </c>
    </row>
    <row r="28" spans="1:7" ht="20">
      <c r="A28" s="15"/>
      <c r="B28" s="85" t="str">
        <f>'Chem&amp;FertInputs&amp;CInsurance'!C40</f>
        <v>Bronate</v>
      </c>
      <c r="C28" s="23" t="str">
        <f>'Chem&amp;FertInputs&amp;CInsurance'!D40</f>
        <v>oz</v>
      </c>
      <c r="D28" s="116">
        <f>'Chem&amp;FertInputs&amp;CInsurance'!E40</f>
        <v>7.911999999999999</v>
      </c>
      <c r="E28" s="133">
        <f>'Chem&amp;FertInputs&amp;CInsurance'!U40</f>
        <v>0</v>
      </c>
      <c r="F28" s="117" t="str">
        <f t="shared" si="0"/>
        <v>0</v>
      </c>
      <c r="G28" s="165">
        <f t="shared" si="2"/>
        <v>0</v>
      </c>
    </row>
    <row r="29" spans="1:7" ht="20">
      <c r="A29" s="15"/>
      <c r="B29" s="85" t="str">
        <f>'Chem&amp;FertInputs&amp;CInsurance'!C41</f>
        <v xml:space="preserve">Brox M </v>
      </c>
      <c r="C29" s="23" t="str">
        <f>'Chem&amp;FertInputs&amp;CInsurance'!D41</f>
        <v>oz</v>
      </c>
      <c r="D29" s="116">
        <f>'Chem&amp;FertInputs&amp;CInsurance'!E41</f>
        <v>0.42549999999999999</v>
      </c>
      <c r="E29" s="133">
        <f>'Chem&amp;FertInputs&amp;CInsurance'!U41</f>
        <v>0</v>
      </c>
      <c r="F29" s="117" t="str">
        <f t="shared" si="0"/>
        <v>0</v>
      </c>
      <c r="G29" s="165">
        <f t="shared" si="2"/>
        <v>0</v>
      </c>
    </row>
    <row r="30" spans="1:7" ht="20">
      <c r="A30" s="15"/>
      <c r="B30" s="85" t="str">
        <f>'Chem&amp;FertInputs&amp;CInsurance'!C42</f>
        <v>Capture</v>
      </c>
      <c r="C30" s="23" t="str">
        <f>'Chem&amp;FertInputs&amp;CInsurance'!D42</f>
        <v>oz</v>
      </c>
      <c r="D30" s="116">
        <f>'Chem&amp;FertInputs&amp;CInsurance'!E42</f>
        <v>2.7024999999999997</v>
      </c>
      <c r="E30" s="133">
        <f>'Chem&amp;FertInputs&amp;CInsurance'!U42</f>
        <v>0</v>
      </c>
      <c r="F30" s="117" t="str">
        <f t="shared" si="0"/>
        <v>0</v>
      </c>
      <c r="G30" s="165">
        <f t="shared" si="2"/>
        <v>0</v>
      </c>
    </row>
    <row r="31" spans="1:7" ht="20">
      <c r="A31" s="15"/>
      <c r="B31" s="85" t="str">
        <f>'Chem&amp;FertInputs&amp;CInsurance'!C43</f>
        <v xml:space="preserve">Dimethoate </v>
      </c>
      <c r="C31" s="23" t="str">
        <f>'Chem&amp;FertInputs&amp;CInsurance'!D43</f>
        <v>pint</v>
      </c>
      <c r="D31" s="116">
        <f>'Chem&amp;FertInputs&amp;CInsurance'!E43</f>
        <v>7.1874999999999991</v>
      </c>
      <c r="E31" s="133">
        <f>'Chem&amp;FertInputs&amp;CInsurance'!U43</f>
        <v>0</v>
      </c>
      <c r="F31" s="117" t="str">
        <f t="shared" si="0"/>
        <v>0</v>
      </c>
      <c r="G31" s="165">
        <f>E31/8</f>
        <v>0</v>
      </c>
    </row>
    <row r="32" spans="1:7" ht="20">
      <c r="A32" s="15"/>
      <c r="B32" s="85" t="str">
        <f>'Chem&amp;FertInputs&amp;CInsurance'!C44</f>
        <v>Clethodim</v>
      </c>
      <c r="C32" s="23" t="str">
        <f>'Chem&amp;FertInputs&amp;CInsurance'!D44</f>
        <v>oz</v>
      </c>
      <c r="D32" s="116">
        <f>'Chem&amp;FertInputs&amp;CInsurance'!E44</f>
        <v>0.75900000000000001</v>
      </c>
      <c r="E32" s="133">
        <f>'Chem&amp;FertInputs&amp;CInsurance'!U44</f>
        <v>0</v>
      </c>
      <c r="F32" s="117" t="str">
        <f t="shared" ref="F32" si="3">IF(D32*E32=0,"0",D32*E32)</f>
        <v>0</v>
      </c>
      <c r="G32" s="165">
        <f t="shared" ref="G32:G37" si="4">E32/128</f>
        <v>0</v>
      </c>
    </row>
    <row r="33" spans="1:7" ht="20">
      <c r="A33" s="15"/>
      <c r="B33" s="85" t="str">
        <f>'Chem&amp;FertInputs&amp;CInsurance'!C45</f>
        <v>Discover</v>
      </c>
      <c r="C33" s="23" t="str">
        <f>'Chem&amp;FertInputs&amp;CInsurance'!D45</f>
        <v>oz</v>
      </c>
      <c r="D33" s="116">
        <f>'Chem&amp;FertInputs&amp;CInsurance'!E45</f>
        <v>1.6904999999999999</v>
      </c>
      <c r="E33" s="133">
        <f>'Chem&amp;FertInputs&amp;CInsurance'!U45</f>
        <v>0</v>
      </c>
      <c r="F33" s="117" t="str">
        <f t="shared" si="0"/>
        <v>0</v>
      </c>
      <c r="G33" s="165">
        <f t="shared" si="4"/>
        <v>0</v>
      </c>
    </row>
    <row r="34" spans="1:7" ht="20">
      <c r="A34" s="15"/>
      <c r="B34" s="85" t="str">
        <f>'Chem&amp;FertInputs&amp;CInsurance'!C46</f>
        <v>FarGO</v>
      </c>
      <c r="C34" s="23" t="str">
        <f>'Chem&amp;FertInputs&amp;CInsurance'!D46</f>
        <v>oz</v>
      </c>
      <c r="D34" s="116">
        <f>'Chem&amp;FertInputs&amp;CInsurance'!E46</f>
        <v>19.158999999999999</v>
      </c>
      <c r="E34" s="133">
        <f>'Chem&amp;FertInputs&amp;CInsurance'!U46</f>
        <v>0</v>
      </c>
      <c r="F34" s="117" t="str">
        <f t="shared" si="0"/>
        <v>0</v>
      </c>
      <c r="G34" s="165">
        <f t="shared" si="4"/>
        <v>0</v>
      </c>
    </row>
    <row r="35" spans="1:7" ht="20">
      <c r="A35" s="15"/>
      <c r="B35" s="85" t="str">
        <f>'Chem&amp;FertInputs&amp;CInsurance'!C47</f>
        <v>Finesse</v>
      </c>
      <c r="C35" s="23" t="str">
        <f>'Chem&amp;FertInputs&amp;CInsurance'!D47</f>
        <v>oz</v>
      </c>
      <c r="D35" s="116">
        <f>'Chem&amp;FertInputs&amp;CInsurance'!E47</f>
        <v>19.940999999999999</v>
      </c>
      <c r="E35" s="133">
        <f>'Chem&amp;FertInputs&amp;CInsurance'!U47</f>
        <v>0</v>
      </c>
      <c r="F35" s="117" t="str">
        <f t="shared" si="0"/>
        <v>0</v>
      </c>
      <c r="G35" s="165">
        <f t="shared" si="4"/>
        <v>0</v>
      </c>
    </row>
    <row r="36" spans="1:7" ht="20">
      <c r="A36" s="15"/>
      <c r="B36" s="85" t="str">
        <f>'Chem&amp;FertInputs&amp;CInsurance'!C48</f>
        <v>Glyphosate</v>
      </c>
      <c r="C36" s="23" t="str">
        <f>'Chem&amp;FertInputs&amp;CInsurance'!D48</f>
        <v>oz</v>
      </c>
      <c r="D36" s="116">
        <f>'Chem&amp;FertInputs&amp;CInsurance'!E48</f>
        <v>0.14949999999999999</v>
      </c>
      <c r="E36" s="133">
        <f>'Chem&amp;FertInputs&amp;CInsurance'!U48</f>
        <v>0</v>
      </c>
      <c r="F36" s="117" t="str">
        <f t="shared" si="0"/>
        <v>0</v>
      </c>
      <c r="G36" s="165">
        <f t="shared" si="4"/>
        <v>0</v>
      </c>
    </row>
    <row r="37" spans="1:7" ht="20">
      <c r="A37" s="15"/>
      <c r="B37" s="85" t="str">
        <f>'Chem&amp;FertInputs&amp;CInsurance'!C49</f>
        <v>Huskie</v>
      </c>
      <c r="C37" s="23" t="str">
        <f>'Chem&amp;FertInputs&amp;CInsurance'!D49</f>
        <v>oz</v>
      </c>
      <c r="D37" s="116">
        <f>'Chem&amp;FertInputs&amp;CInsurance'!E49</f>
        <v>0.88549999999999995</v>
      </c>
      <c r="E37" s="133">
        <f>'Chem&amp;FertInputs&amp;CInsurance'!U49</f>
        <v>13.7</v>
      </c>
      <c r="F37" s="117">
        <f t="shared" si="0"/>
        <v>12.131349999999999</v>
      </c>
      <c r="G37" s="165">
        <f t="shared" si="4"/>
        <v>0.10703124999999999</v>
      </c>
    </row>
    <row r="38" spans="1:7" ht="20">
      <c r="A38" s="15"/>
      <c r="B38" s="85" t="str">
        <f>'Chem&amp;FertInputs&amp;CInsurance'!C50</f>
        <v>Imidan 70</v>
      </c>
      <c r="C38" s="23" t="str">
        <f>'Chem&amp;FertInputs&amp;CInsurance'!D50</f>
        <v>lb</v>
      </c>
      <c r="D38" s="116">
        <f>'Chem&amp;FertInputs&amp;CInsurance'!E50</f>
        <v>17.295999999999999</v>
      </c>
      <c r="E38" s="133">
        <f>'Chem&amp;FertInputs&amp;CInsurance'!U50</f>
        <v>0</v>
      </c>
      <c r="F38" s="117" t="str">
        <f t="shared" si="0"/>
        <v>0</v>
      </c>
      <c r="G38" s="165">
        <f>E38/16</f>
        <v>0</v>
      </c>
    </row>
    <row r="39" spans="1:7" ht="20">
      <c r="A39" s="15"/>
      <c r="B39" s="85" t="str">
        <f>'Chem&amp;FertInputs&amp;CInsurance'!C51</f>
        <v xml:space="preserve">Maverick </v>
      </c>
      <c r="C39" s="23" t="str">
        <f>'Chem&amp;FertInputs&amp;CInsurance'!D51</f>
        <v>oz</v>
      </c>
      <c r="D39" s="116">
        <f>'Chem&amp;FertInputs&amp;CInsurance'!E51</f>
        <v>23.885499999999997</v>
      </c>
      <c r="E39" s="133">
        <f>'Chem&amp;FertInputs&amp;CInsurance'!U51</f>
        <v>0</v>
      </c>
      <c r="F39" s="117" t="str">
        <f t="shared" si="0"/>
        <v>0</v>
      </c>
      <c r="G39" s="165">
        <f t="shared" ref="G39:G51" si="5">E39/128</f>
        <v>0</v>
      </c>
    </row>
    <row r="40" spans="1:7" ht="20">
      <c r="A40" s="15"/>
      <c r="B40" s="85" t="str">
        <f>'Chem&amp;FertInputs&amp;CInsurance'!C52</f>
        <v>Osprey</v>
      </c>
      <c r="C40" s="23" t="str">
        <f>'Chem&amp;FertInputs&amp;CInsurance'!D52</f>
        <v>oz</v>
      </c>
      <c r="D40" s="116">
        <f>'Chem&amp;FertInputs&amp;CInsurance'!E52</f>
        <v>5.0484999999999989</v>
      </c>
      <c r="E40" s="133">
        <f>'Chem&amp;FertInputs&amp;CInsurance'!U52</f>
        <v>0</v>
      </c>
      <c r="F40" s="117" t="str">
        <f t="shared" si="0"/>
        <v>0</v>
      </c>
      <c r="G40" s="165">
        <f t="shared" si="5"/>
        <v>0</v>
      </c>
    </row>
    <row r="41" spans="1:7" ht="20">
      <c r="A41" s="15"/>
      <c r="B41" s="85" t="str">
        <f>'Chem&amp;FertInputs&amp;CInsurance'!C53</f>
        <v>Poast</v>
      </c>
      <c r="C41" s="23" t="str">
        <f>'Chem&amp;FertInputs&amp;CInsurance'!D53</f>
        <v>oz</v>
      </c>
      <c r="D41" s="116">
        <f>'Chem&amp;FertInputs&amp;CInsurance'!E53</f>
        <v>19.285499999999999</v>
      </c>
      <c r="E41" s="133">
        <f>'Chem&amp;FertInputs&amp;CInsurance'!U53</f>
        <v>0</v>
      </c>
      <c r="F41" s="117" t="str">
        <f t="shared" ref="F41" si="6">IF(D41*E41=0,"0",D41*E41)</f>
        <v>0</v>
      </c>
      <c r="G41" s="165">
        <f t="shared" si="5"/>
        <v>0</v>
      </c>
    </row>
    <row r="42" spans="1:7" ht="20">
      <c r="A42" s="15"/>
      <c r="B42" s="85" t="str">
        <f>'Chem&amp;FertInputs&amp;CInsurance'!C54</f>
        <v>Power Flex</v>
      </c>
      <c r="C42" s="23" t="str">
        <f>'Chem&amp;FertInputs&amp;CInsurance'!D54</f>
        <v>oz</v>
      </c>
      <c r="D42" s="116">
        <f>'Chem&amp;FertInputs&amp;CInsurance'!E54</f>
        <v>8.9124999999999996</v>
      </c>
      <c r="E42" s="133">
        <f>'Chem&amp;FertInputs&amp;CInsurance'!U54</f>
        <v>0</v>
      </c>
      <c r="F42" s="117" t="str">
        <f t="shared" si="0"/>
        <v>0</v>
      </c>
      <c r="G42" s="165">
        <f t="shared" si="5"/>
        <v>0</v>
      </c>
    </row>
    <row r="43" spans="1:7" ht="20">
      <c r="A43" s="15"/>
      <c r="B43" s="85" t="str">
        <f>'Chem&amp;FertInputs&amp;CInsurance'!C55</f>
        <v>Priaxor</v>
      </c>
      <c r="C43" s="23" t="str">
        <f>'Chem&amp;FertInputs&amp;CInsurance'!D55</f>
        <v>oz</v>
      </c>
      <c r="D43" s="116">
        <f>'Chem&amp;FertInputs&amp;CInsurance'!E55</f>
        <v>3.4269999999999996</v>
      </c>
      <c r="E43" s="133">
        <f>'Chem&amp;FertInputs&amp;CInsurance'!U55</f>
        <v>0</v>
      </c>
      <c r="F43" s="117" t="str">
        <f t="shared" si="0"/>
        <v>0</v>
      </c>
      <c r="G43" s="165">
        <f t="shared" si="5"/>
        <v>0</v>
      </c>
    </row>
    <row r="44" spans="1:7" ht="20">
      <c r="A44" s="15"/>
      <c r="B44" s="85" t="str">
        <f>'Chem&amp;FertInputs&amp;CInsurance'!C56</f>
        <v>Prowl</v>
      </c>
      <c r="C44" s="23" t="str">
        <f>'Chem&amp;FertInputs&amp;CInsurance'!D56</f>
        <v>oz</v>
      </c>
      <c r="D44" s="116">
        <f>'Chem&amp;FertInputs&amp;CInsurance'!E56</f>
        <v>0.51749999999999996</v>
      </c>
      <c r="E44" s="133">
        <f>'Chem&amp;FertInputs&amp;CInsurance'!U56</f>
        <v>0</v>
      </c>
      <c r="F44" s="117" t="str">
        <f t="shared" si="0"/>
        <v>0</v>
      </c>
      <c r="G44" s="165">
        <f t="shared" si="5"/>
        <v>0</v>
      </c>
    </row>
    <row r="45" spans="1:7" ht="20">
      <c r="A45" s="15"/>
      <c r="B45" s="85" t="str">
        <f>'Chem&amp;FertInputs&amp;CInsurance'!C57</f>
        <v>Pursuit</v>
      </c>
      <c r="C45" s="23" t="str">
        <f>'Chem&amp;FertInputs&amp;CInsurance'!D57</f>
        <v>oz</v>
      </c>
      <c r="D45" s="116">
        <f>'Chem&amp;FertInputs&amp;CInsurance'!E57</f>
        <v>4.0594999999999999</v>
      </c>
      <c r="E45" s="133">
        <f>'Chem&amp;FertInputs&amp;CInsurance'!U57</f>
        <v>0</v>
      </c>
      <c r="F45" s="117" t="str">
        <f t="shared" si="0"/>
        <v>0</v>
      </c>
      <c r="G45" s="165">
        <f t="shared" si="5"/>
        <v>0</v>
      </c>
    </row>
    <row r="46" spans="1:7" ht="20">
      <c r="A46" s="15"/>
      <c r="B46" s="85" t="str">
        <f>'Chem&amp;FertInputs&amp;CInsurance'!C58</f>
        <v xml:space="preserve">Quadris </v>
      </c>
      <c r="C46" s="23" t="str">
        <f>'Chem&amp;FertInputs&amp;CInsurance'!D58</f>
        <v>oz</v>
      </c>
      <c r="D46" s="116">
        <f>'Chem&amp;FertInputs&amp;CInsurance'!E58</f>
        <v>1.127</v>
      </c>
      <c r="E46" s="133">
        <f>'Chem&amp;FertInputs&amp;CInsurance'!U58</f>
        <v>0</v>
      </c>
      <c r="F46" s="117" t="str">
        <f t="shared" si="0"/>
        <v>0</v>
      </c>
      <c r="G46" s="165">
        <f t="shared" si="5"/>
        <v>0</v>
      </c>
    </row>
    <row r="47" spans="1:7" ht="20">
      <c r="A47" s="15"/>
      <c r="B47" s="85" t="str">
        <f>'Chem&amp;FertInputs&amp;CInsurance'!C59</f>
        <v>Quilt</v>
      </c>
      <c r="C47" s="23" t="str">
        <f>'Chem&amp;FertInputs&amp;CInsurance'!D59</f>
        <v>oz</v>
      </c>
      <c r="D47" s="116">
        <f>'Chem&amp;FertInputs&amp;CInsurance'!E59</f>
        <v>1.4834999999999998</v>
      </c>
      <c r="E47" s="133">
        <f>'Chem&amp;FertInputs&amp;CInsurance'!U59</f>
        <v>0</v>
      </c>
      <c r="F47" s="117" t="str">
        <f t="shared" si="0"/>
        <v>0</v>
      </c>
      <c r="G47" s="165">
        <f t="shared" si="5"/>
        <v>0</v>
      </c>
    </row>
    <row r="48" spans="1:7" ht="20">
      <c r="A48" s="15"/>
      <c r="B48" s="85" t="str">
        <f>'Chem&amp;FertInputs&amp;CInsurance'!C60</f>
        <v>R11</v>
      </c>
      <c r="C48" s="23" t="str">
        <f>'Chem&amp;FertInputs&amp;CInsurance'!D60</f>
        <v>oz</v>
      </c>
      <c r="D48" s="116">
        <f>'Chem&amp;FertInputs&amp;CInsurance'!E60</f>
        <v>0.26450000000000001</v>
      </c>
      <c r="E48" s="133">
        <f>'Chem&amp;FertInputs&amp;CInsurance'!U60</f>
        <v>0</v>
      </c>
      <c r="F48" s="117" t="str">
        <f t="shared" si="0"/>
        <v>0</v>
      </c>
      <c r="G48" s="165">
        <f t="shared" si="5"/>
        <v>0</v>
      </c>
    </row>
    <row r="49" spans="1:7" ht="20">
      <c r="A49" s="15"/>
      <c r="B49" s="85" t="str">
        <f>'Chem&amp;FertInputs&amp;CInsurance'!C61</f>
        <v>Starane</v>
      </c>
      <c r="C49" s="23" t="str">
        <f>'Chem&amp;FertInputs&amp;CInsurance'!D61</f>
        <v>oz</v>
      </c>
      <c r="D49" s="116">
        <f>'Chem&amp;FertInputs&amp;CInsurance'!E61</f>
        <v>0.77049999999999996</v>
      </c>
      <c r="E49" s="133">
        <f>'Chem&amp;FertInputs&amp;CInsurance'!U61</f>
        <v>0</v>
      </c>
      <c r="F49" s="117" t="str">
        <f t="shared" si="0"/>
        <v>0</v>
      </c>
      <c r="G49" s="165">
        <f t="shared" si="5"/>
        <v>0</v>
      </c>
    </row>
    <row r="50" spans="1:7" ht="20">
      <c r="A50" s="15"/>
      <c r="B50" s="85" t="str">
        <f>'Chem&amp;FertInputs&amp;CInsurance'!C62</f>
        <v>Starane + Salvo</v>
      </c>
      <c r="C50" s="23" t="str">
        <f>'Chem&amp;FertInputs&amp;CInsurance'!D62</f>
        <v>oz</v>
      </c>
      <c r="D50" s="116">
        <f>'Chem&amp;FertInputs&amp;CInsurance'!E62</f>
        <v>0.77049999999999996</v>
      </c>
      <c r="E50" s="133">
        <f>'Chem&amp;FertInputs&amp;CInsurance'!U62</f>
        <v>0</v>
      </c>
      <c r="F50" s="117" t="str">
        <f t="shared" si="0"/>
        <v>0</v>
      </c>
      <c r="G50" s="165">
        <f t="shared" si="5"/>
        <v>0</v>
      </c>
    </row>
    <row r="51" spans="1:7" ht="20">
      <c r="A51" s="15"/>
      <c r="B51" s="85" t="str">
        <f>'Chem&amp;FertInputs&amp;CInsurance'!C63</f>
        <v xml:space="preserve">Starane + Sword </v>
      </c>
      <c r="C51" s="23" t="str">
        <f>'Chem&amp;FertInputs&amp;CInsurance'!D63</f>
        <v>oz</v>
      </c>
      <c r="D51" s="116">
        <f>'Chem&amp;FertInputs&amp;CInsurance'!E63</f>
        <v>0.77049999999999996</v>
      </c>
      <c r="E51" s="133">
        <f>'Chem&amp;FertInputs&amp;CInsurance'!U63</f>
        <v>0</v>
      </c>
      <c r="F51" s="117" t="str">
        <f t="shared" si="0"/>
        <v>0</v>
      </c>
      <c r="G51" s="165">
        <f t="shared" si="5"/>
        <v>0</v>
      </c>
    </row>
    <row r="52" spans="1:7" ht="20">
      <c r="A52" s="15"/>
      <c r="B52" s="85" t="str">
        <f>'Chem&amp;FertInputs&amp;CInsurance'!C64</f>
        <v xml:space="preserve"> Tilt</v>
      </c>
      <c r="C52" s="23" t="str">
        <f>'Chem&amp;FertInputs&amp;CInsurance'!D64</f>
        <v>oz</v>
      </c>
      <c r="D52" s="116">
        <f>'Chem&amp;FertInputs&amp;CInsurance'!E64</f>
        <v>0.88549999999999995</v>
      </c>
      <c r="E52" s="133">
        <f>'Chem&amp;FertInputs&amp;CInsurance'!U64</f>
        <v>4</v>
      </c>
      <c r="F52" s="117">
        <f t="shared" ref="F52:F53" si="7">IF(D52*E52=0,"0",D52*E52)</f>
        <v>3.5419999999999998</v>
      </c>
      <c r="G52" s="165">
        <f t="shared" ref="G52:G53" si="8">E52/128</f>
        <v>3.125E-2</v>
      </c>
    </row>
    <row r="53" spans="1:7" ht="20">
      <c r="A53" s="15"/>
      <c r="B53" s="85" t="str">
        <f>'Chem&amp;FertInputs&amp;CInsurance'!C65</f>
        <v xml:space="preserve">Wildcard </v>
      </c>
      <c r="C53" s="23" t="str">
        <f>'Chem&amp;FertInputs&amp;CInsurance'!D65</f>
        <v>oz</v>
      </c>
      <c r="D53" s="116">
        <f>'Chem&amp;FertInputs&amp;CInsurance'!E65</f>
        <v>0.35649999999999998</v>
      </c>
      <c r="E53" s="133">
        <f>'Chem&amp;FertInputs&amp;CInsurance'!U65</f>
        <v>0</v>
      </c>
      <c r="F53" s="117" t="str">
        <f t="shared" si="7"/>
        <v>0</v>
      </c>
      <c r="G53" s="165">
        <f t="shared" si="8"/>
        <v>0</v>
      </c>
    </row>
    <row r="54" spans="1:7" ht="20">
      <c r="A54" s="15"/>
      <c r="B54" s="85" t="str">
        <f>'Chem&amp;FertInputs&amp;CInsurance'!C66</f>
        <v>Sharpen</v>
      </c>
      <c r="C54" s="23" t="str">
        <f>'Chem&amp;FertInputs&amp;CInsurance'!D66</f>
        <v>oz</v>
      </c>
      <c r="D54" s="116">
        <f>'Chem&amp;FertInputs&amp;CInsurance'!E66</f>
        <v>6.3134999999999994</v>
      </c>
      <c r="E54" s="133">
        <f>'Chem&amp;FertInputs&amp;CInsurance'!U66</f>
        <v>0</v>
      </c>
      <c r="F54" s="117" t="str">
        <f t="shared" si="0"/>
        <v>0</v>
      </c>
      <c r="G54" s="165">
        <f>E54/128</f>
        <v>0</v>
      </c>
    </row>
    <row r="55" spans="1:7" ht="20">
      <c r="A55" s="15"/>
      <c r="B55" s="85" t="str">
        <f>'Chem&amp;FertInputs&amp;CInsurance'!C67</f>
        <v>Sencor</v>
      </c>
      <c r="C55" s="23" t="str">
        <f>'Chem&amp;FertInputs&amp;CInsurance'!D67</f>
        <v>oz</v>
      </c>
      <c r="D55" s="116">
        <f>'Chem&amp;FertInputs&amp;CInsurance'!E67</f>
        <v>0.45999999999999996</v>
      </c>
      <c r="E55" s="133">
        <f>'Chem&amp;FertInputs&amp;CInsurance'!U67</f>
        <v>0</v>
      </c>
      <c r="F55" s="117" t="str">
        <f t="shared" si="0"/>
        <v>0</v>
      </c>
      <c r="G55" s="165">
        <f>E55/128</f>
        <v>0</v>
      </c>
    </row>
    <row r="56" spans="1:7" ht="20">
      <c r="A56" s="15"/>
      <c r="B56" s="85" t="str">
        <f>'Chem&amp;FertInputs&amp;CInsurance'!C68</f>
        <v>Warrior</v>
      </c>
      <c r="C56" s="23" t="str">
        <f>'Chem&amp;FertInputs&amp;CInsurance'!D68</f>
        <v>acre</v>
      </c>
      <c r="D56" s="116">
        <f>'Chem&amp;FertInputs&amp;CInsurance'!E68</f>
        <v>3.4499999999999997</v>
      </c>
      <c r="E56" s="133">
        <f>'Chem&amp;FertInputs&amp;CInsurance'!U68</f>
        <v>0</v>
      </c>
      <c r="F56" s="117" t="str">
        <f t="shared" si="0"/>
        <v>0</v>
      </c>
      <c r="G56" s="165">
        <f>E56/128</f>
        <v>0</v>
      </c>
    </row>
    <row r="57" spans="1:7" ht="20">
      <c r="A57" s="15"/>
      <c r="B57" s="85" t="str">
        <f>'Chem&amp;FertInputs&amp;CInsurance'!C69</f>
        <v xml:space="preserve"> Lorox</v>
      </c>
      <c r="C57" s="23" t="str">
        <f>'Chem&amp;FertInputs&amp;CInsurance'!D69</f>
        <v>lb</v>
      </c>
      <c r="D57" s="116">
        <f>'Chem&amp;FertInputs&amp;CInsurance'!E69</f>
        <v>26.565000000000001</v>
      </c>
      <c r="E57" s="133">
        <f>'Chem&amp;FertInputs&amp;CInsurance'!U69</f>
        <v>0</v>
      </c>
      <c r="F57" s="117" t="str">
        <f t="shared" si="0"/>
        <v>0</v>
      </c>
      <c r="G57" s="165">
        <f>E57/128</f>
        <v>0</v>
      </c>
    </row>
    <row r="58" spans="1:7" ht="20">
      <c r="A58" s="15"/>
      <c r="B58" s="85" t="str">
        <f>'Chem&amp;FertInputs&amp;CInsurance'!C70</f>
        <v xml:space="preserve"> Valor</v>
      </c>
      <c r="C58" s="23" t="str">
        <f>'Chem&amp;FertInputs&amp;CInsurance'!D70</f>
        <v>oz</v>
      </c>
      <c r="D58" s="116">
        <f>'Chem&amp;FertInputs&amp;CInsurance'!E70</f>
        <v>6.6124999999999998</v>
      </c>
      <c r="E58" s="133">
        <f>'Chem&amp;FertInputs&amp;CInsurance'!U70</f>
        <v>0</v>
      </c>
      <c r="F58" s="117" t="str">
        <f t="shared" ref="F58:F59" si="9">IF(D58*E58=0,"0",D58*E58)</f>
        <v>0</v>
      </c>
      <c r="G58" s="165">
        <f t="shared" ref="G58:G59" si="10">E58/128</f>
        <v>0</v>
      </c>
    </row>
    <row r="59" spans="1:7" ht="20">
      <c r="A59" s="15"/>
      <c r="B59" s="85" t="str">
        <f>'Chem&amp;FertInputs&amp;CInsurance'!C71</f>
        <v xml:space="preserve"> Diagon</v>
      </c>
      <c r="C59" s="23" t="str">
        <f>'Chem&amp;FertInputs&amp;CInsurance'!D71</f>
        <v>oz</v>
      </c>
      <c r="D59" s="116">
        <f>'Chem&amp;FertInputs&amp;CInsurance'!E71</f>
        <v>0.43699999999999994</v>
      </c>
      <c r="E59" s="133">
        <f>'Chem&amp;FertInputs&amp;CInsurance'!U71</f>
        <v>0</v>
      </c>
      <c r="F59" s="117" t="str">
        <f t="shared" si="9"/>
        <v>0</v>
      </c>
      <c r="G59" s="165">
        <f t="shared" si="10"/>
        <v>0</v>
      </c>
    </row>
    <row r="60" spans="1:7" ht="20">
      <c r="A60" s="15"/>
      <c r="B60" s="85" t="str">
        <f>'Chem&amp;FertInputs&amp;CInsurance'!C72</f>
        <v xml:space="preserve">Spartan </v>
      </c>
      <c r="C60" s="23" t="str">
        <f>'Chem&amp;FertInputs&amp;CInsurance'!D72</f>
        <v>oz</v>
      </c>
      <c r="D60" s="116">
        <f>'Chem&amp;FertInputs&amp;CInsurance'!E72</f>
        <v>2.0469999999999997</v>
      </c>
      <c r="E60" s="133">
        <f>'Chem&amp;FertInputs&amp;CInsurance'!U72</f>
        <v>0</v>
      </c>
      <c r="F60" s="117" t="str">
        <f t="shared" si="0"/>
        <v>0</v>
      </c>
      <c r="G60" s="165">
        <f>E60/128</f>
        <v>0</v>
      </c>
    </row>
    <row r="61" spans="1:7" ht="23">
      <c r="A61" s="15"/>
      <c r="B61" s="85" t="str">
        <f>'Chem&amp;FertInputs&amp;CInsurance'!C32</f>
        <v xml:space="preserve">Round Up </v>
      </c>
      <c r="C61" s="23" t="str">
        <f>'Chem&amp;FertInputs&amp;CInsurance'!D32</f>
        <v>oz</v>
      </c>
      <c r="D61" s="116">
        <f>'Chem&amp;FertInputs&amp;CInsurance'!E32</f>
        <v>0.14949999999999999</v>
      </c>
      <c r="E61" s="133">
        <f>'Chem&amp;FertInputs&amp;CInsurance'!U32</f>
        <v>36</v>
      </c>
      <c r="F61" s="117">
        <f t="shared" si="0"/>
        <v>5.3819999999999997</v>
      </c>
      <c r="G61" s="225">
        <f>E61/128</f>
        <v>0.28125</v>
      </c>
    </row>
    <row r="62" spans="1:7" ht="20">
      <c r="A62" s="15"/>
      <c r="B62" s="139" t="s">
        <v>86</v>
      </c>
      <c r="C62" s="23"/>
      <c r="D62" s="116"/>
      <c r="E62" s="133"/>
      <c r="F62" s="117"/>
      <c r="G62" s="165">
        <f>SUM(G14:G61)</f>
        <v>0.59101562500000004</v>
      </c>
    </row>
    <row r="63" spans="1:7" ht="20">
      <c r="A63" s="15"/>
      <c r="B63" s="125" t="str">
        <f>CustomRates!B5</f>
        <v>Aerial (Custom)</v>
      </c>
      <c r="C63" s="41" t="str">
        <f>CustomRates!C5</f>
        <v>acre</v>
      </c>
      <c r="D63" s="116">
        <f>CustomRates!S5</f>
        <v>8.9499999999999993</v>
      </c>
      <c r="E63" s="87">
        <f>CustomRates!S6</f>
        <v>0</v>
      </c>
      <c r="F63" s="117" t="str">
        <f t="shared" ref="F63:F70" si="11">IF(D63*E63=0,"0",D63*E63)</f>
        <v>0</v>
      </c>
    </row>
    <row r="64" spans="1:7" ht="20">
      <c r="A64" s="15"/>
      <c r="B64" s="125" t="str">
        <f>CustomRates!B7</f>
        <v>Sprayer (Rental 90')</v>
      </c>
      <c r="C64" s="41" t="str">
        <f>CustomRates!C7</f>
        <v>acre</v>
      </c>
      <c r="D64" s="116">
        <f>CustomRates!S7</f>
        <v>8</v>
      </c>
      <c r="E64" s="87">
        <f>CustomRates!S8</f>
        <v>1</v>
      </c>
      <c r="F64" s="117">
        <f t="shared" si="11"/>
        <v>8</v>
      </c>
    </row>
    <row r="65" spans="1:9" ht="20">
      <c r="A65" s="15"/>
      <c r="B65" s="125" t="str">
        <f>CustomRates!B9</f>
        <v>Fertilizer - Anhydrous Applicator (Rent)</v>
      </c>
      <c r="C65" s="41" t="str">
        <f>CustomRates!C9</f>
        <v>acre</v>
      </c>
      <c r="D65" s="116">
        <f>CustomRates!S9</f>
        <v>7</v>
      </c>
      <c r="E65" s="87">
        <f>CustomRates!S10</f>
        <v>0</v>
      </c>
      <c r="F65" s="117" t="str">
        <f t="shared" si="11"/>
        <v>0</v>
      </c>
    </row>
    <row r="66" spans="1:9" ht="20">
      <c r="A66" s="15"/>
      <c r="B66" s="125" t="str">
        <f>CustomRates!B11</f>
        <v>Fertilizer Applicator</v>
      </c>
      <c r="C66" s="41" t="str">
        <f>CustomRates!C11</f>
        <v>acre</v>
      </c>
      <c r="D66" s="116">
        <f>CustomRates!S11</f>
        <v>2</v>
      </c>
      <c r="E66" s="87">
        <f>CustomRates!S12</f>
        <v>0</v>
      </c>
      <c r="F66" s="117" t="str">
        <f t="shared" si="11"/>
        <v>0</v>
      </c>
    </row>
    <row r="67" spans="1:9" ht="20">
      <c r="A67" s="15"/>
      <c r="B67" s="125" t="str">
        <f>CustomRates!B13</f>
        <v>26' Rental Shredder</v>
      </c>
      <c r="C67" s="41" t="str">
        <f>CustomRates!C13</f>
        <v>acre</v>
      </c>
      <c r="D67" s="116">
        <f>CustomRates!S13</f>
        <v>10</v>
      </c>
      <c r="E67" s="87">
        <f>CustomRates!S14</f>
        <v>0</v>
      </c>
      <c r="F67" s="117" t="str">
        <f t="shared" si="11"/>
        <v>0</v>
      </c>
    </row>
    <row r="68" spans="1:9" ht="20">
      <c r="A68" s="15"/>
      <c r="B68" s="125" t="str">
        <f>CustomRates!B15</f>
        <v>36' Ripper Shooter</v>
      </c>
      <c r="C68" s="41" t="str">
        <f>CustomRates!C15</f>
        <v>acre</v>
      </c>
      <c r="D68" s="116">
        <f>CustomRates!S15</f>
        <v>2.5</v>
      </c>
      <c r="E68" s="87">
        <f>CustomRates!S16</f>
        <v>0</v>
      </c>
      <c r="F68" s="117" t="str">
        <f t="shared" si="11"/>
        <v>0</v>
      </c>
    </row>
    <row r="69" spans="1:9" ht="20">
      <c r="A69" s="15"/>
      <c r="B69" s="125" t="str">
        <f>CustomRates!B17</f>
        <v>Custom self-propelled sprayer</v>
      </c>
      <c r="C69" s="41" t="str">
        <f>CustomRates!C17</f>
        <v>acre</v>
      </c>
      <c r="D69" s="116">
        <f>CustomRates!S17</f>
        <v>8</v>
      </c>
      <c r="E69" s="87">
        <f>CustomRates!S18</f>
        <v>0</v>
      </c>
      <c r="F69" s="117" t="str">
        <f t="shared" si="11"/>
        <v>0</v>
      </c>
    </row>
    <row r="70" spans="1:9" ht="20">
      <c r="A70" s="15"/>
      <c r="B70" s="125" t="str">
        <f>CustomRates!B19</f>
        <v>Additional Operation #8 (Custom)</v>
      </c>
      <c r="C70" s="41" t="str">
        <f>CustomRates!C19</f>
        <v>acre</v>
      </c>
      <c r="D70" s="116">
        <f>CustomRates!S19</f>
        <v>0</v>
      </c>
      <c r="E70" s="87">
        <f>CustomRates!S20</f>
        <v>0</v>
      </c>
      <c r="F70" s="117" t="str">
        <f t="shared" si="11"/>
        <v>0</v>
      </c>
    </row>
    <row r="71" spans="1:9" ht="20">
      <c r="A71" s="15"/>
      <c r="B71" s="139" t="s">
        <v>87</v>
      </c>
      <c r="C71" s="41"/>
      <c r="D71" s="116"/>
      <c r="E71" s="116"/>
      <c r="F71" s="117"/>
      <c r="H71" s="1" t="s">
        <v>204</v>
      </c>
      <c r="I71" s="1" t="s">
        <v>135</v>
      </c>
    </row>
    <row r="72" spans="1:9" ht="20">
      <c r="A72" s="15"/>
      <c r="B72" s="85" t="str">
        <f>MachineAssumptions!B7&amp;" - Labor"</f>
        <v>Shredder - Labor</v>
      </c>
      <c r="C72" s="41" t="s">
        <v>246</v>
      </c>
      <c r="D72" s="116">
        <f>MachineAssumptions!$R$7</f>
        <v>1.4996591683708247</v>
      </c>
      <c r="E72" s="87">
        <f>FieldApplications!$R$6</f>
        <v>0</v>
      </c>
      <c r="F72" s="117" t="str">
        <f t="shared" ref="F72:F113" si="12">IF(D72*E72=0,"0",D72*E72)</f>
        <v>0</v>
      </c>
      <c r="H72" s="246">
        <f>MachineAssumptions!$R$28*E72</f>
        <v>0</v>
      </c>
      <c r="I72" s="166">
        <f>MachineAssumptions!$R$48*E72</f>
        <v>0</v>
      </c>
    </row>
    <row r="73" spans="1:9" ht="20">
      <c r="A73" s="15"/>
      <c r="B73" s="85" t="str">
        <f>MachineAssumptions!B7&amp;" - Fuel, Lube"</f>
        <v>Shredder - Fuel, Lube</v>
      </c>
      <c r="C73" s="41" t="s">
        <v>246</v>
      </c>
      <c r="D73" s="116">
        <f>MachineAssumptions!$S$7</f>
        <v>5.7486934787548281</v>
      </c>
      <c r="E73" s="87">
        <f>FieldApplications!$R$6</f>
        <v>0</v>
      </c>
      <c r="F73" s="117" t="str">
        <f t="shared" si="12"/>
        <v>0</v>
      </c>
      <c r="H73" s="246">
        <f>MachineAssumptions!$S$28*E73</f>
        <v>0</v>
      </c>
      <c r="I73" s="166">
        <f>MachineAssumptions!$S$48*E73</f>
        <v>0</v>
      </c>
    </row>
    <row r="74" spans="1:9" ht="20">
      <c r="A74" s="15"/>
      <c r="B74" s="85" t="str">
        <f>MachineAssumptions!B7&amp;" - Repairs"</f>
        <v>Shredder - Repairs</v>
      </c>
      <c r="C74" s="41" t="s">
        <v>246</v>
      </c>
      <c r="D74" s="116">
        <f>MachineAssumptions!$T$7</f>
        <v>0.46726721181997538</v>
      </c>
      <c r="E74" s="87">
        <f>FieldApplications!$R$6</f>
        <v>0</v>
      </c>
      <c r="F74" s="117" t="str">
        <f t="shared" si="12"/>
        <v>0</v>
      </c>
      <c r="H74" s="246">
        <f>MachineAssumptions!$T$28*E74</f>
        <v>0</v>
      </c>
      <c r="I74" s="166">
        <f>MachineAssumptions!$T$48*E74</f>
        <v>0</v>
      </c>
    </row>
    <row r="75" spans="1:9" ht="20">
      <c r="A75" s="15"/>
      <c r="B75" s="85" t="str">
        <f>MachineAssumptions!B8&amp;" - Labor"</f>
        <v>Harrow - Labor</v>
      </c>
      <c r="C75" s="41" t="s">
        <v>246</v>
      </c>
      <c r="D75" s="116">
        <f>MachineAssumptions!$R$8</f>
        <v>0.59412746734753996</v>
      </c>
      <c r="E75" s="87">
        <f>FieldApplications!$R$7</f>
        <v>0</v>
      </c>
      <c r="F75" s="117" t="str">
        <f t="shared" si="12"/>
        <v>0</v>
      </c>
      <c r="H75" s="246">
        <f>MachineAssumptions!$R$29*E75</f>
        <v>0</v>
      </c>
      <c r="I75" s="166">
        <f>MachineAssumptions!$R$49*E75</f>
        <v>0</v>
      </c>
    </row>
    <row r="76" spans="1:9" ht="20">
      <c r="A76" s="15"/>
      <c r="B76" s="85" t="str">
        <f>MachineAssumptions!B8&amp;" - Fuel, Lube"</f>
        <v>Harrow - Fuel, Lube</v>
      </c>
      <c r="C76" s="41" t="s">
        <v>246</v>
      </c>
      <c r="D76" s="116">
        <f>MachineAssumptions!$S$8</f>
        <v>2.4845330452715308</v>
      </c>
      <c r="E76" s="87">
        <f>FieldApplications!$R$7</f>
        <v>0</v>
      </c>
      <c r="F76" s="117" t="str">
        <f t="shared" si="12"/>
        <v>0</v>
      </c>
      <c r="H76" s="246">
        <f>MachineAssumptions!$S$29*E76</f>
        <v>0</v>
      </c>
      <c r="I76" s="166">
        <f>MachineAssumptions!$S$49*E76</f>
        <v>0</v>
      </c>
    </row>
    <row r="77" spans="1:9" ht="20">
      <c r="A77" s="15"/>
      <c r="B77" s="85" t="str">
        <f>MachineAssumptions!B8&amp;" - Repairs"</f>
        <v>Harrow - Repairs</v>
      </c>
      <c r="C77" s="41" t="s">
        <v>246</v>
      </c>
      <c r="D77" s="116">
        <f>MachineAssumptions!$T$8</f>
        <v>0.14755184964846621</v>
      </c>
      <c r="E77" s="87">
        <f>FieldApplications!$R$7</f>
        <v>0</v>
      </c>
      <c r="F77" s="117" t="str">
        <f t="shared" si="12"/>
        <v>0</v>
      </c>
      <c r="H77" s="246">
        <f>MachineAssumptions!$T$29*E77</f>
        <v>0</v>
      </c>
      <c r="I77" s="166">
        <f>MachineAssumptions!$T$49*E77</f>
        <v>0</v>
      </c>
    </row>
    <row r="78" spans="1:9" ht="20">
      <c r="A78" s="15"/>
      <c r="B78" s="85" t="str">
        <f>MachineAssumptions!B9&amp;" - Labor"</f>
        <v>Chisel plow - Labor</v>
      </c>
      <c r="C78" s="41" t="s">
        <v>246</v>
      </c>
      <c r="D78" s="116">
        <f>MachineAssumptions!$R$9</f>
        <v>0</v>
      </c>
      <c r="E78" s="87">
        <f>FieldApplications!$R$8</f>
        <v>0</v>
      </c>
      <c r="F78" s="117" t="str">
        <f t="shared" si="12"/>
        <v>0</v>
      </c>
      <c r="H78" s="246">
        <f>MachineAssumptions!$R$30*E78</f>
        <v>0</v>
      </c>
      <c r="I78" s="166">
        <f>MachineAssumptions!$R$50*E78</f>
        <v>0</v>
      </c>
    </row>
    <row r="79" spans="1:9" ht="20">
      <c r="A79" s="15"/>
      <c r="B79" s="85" t="str">
        <f>MachineAssumptions!B9&amp;" - Fuel, Lube"</f>
        <v>Chisel plow - Fuel, Lube</v>
      </c>
      <c r="C79" s="41" t="s">
        <v>246</v>
      </c>
      <c r="D79" s="116">
        <f>MachineAssumptions!$S$9</f>
        <v>0</v>
      </c>
      <c r="E79" s="87">
        <f>FieldApplications!$R$8</f>
        <v>0</v>
      </c>
      <c r="F79" s="117" t="str">
        <f t="shared" si="12"/>
        <v>0</v>
      </c>
      <c r="H79" s="246">
        <f>MachineAssumptions!$R$30*E79</f>
        <v>0</v>
      </c>
      <c r="I79" s="166">
        <f>MachineAssumptions!$S$50*E79</f>
        <v>0</v>
      </c>
    </row>
    <row r="80" spans="1:9" ht="20">
      <c r="A80" s="15"/>
      <c r="B80" s="85" t="str">
        <f>MachineAssumptions!B9&amp;" - Repairs"</f>
        <v>Chisel plow - Repairs</v>
      </c>
      <c r="C80" s="41" t="s">
        <v>246</v>
      </c>
      <c r="D80" s="116">
        <f>MachineAssumptions!$T$9</f>
        <v>0</v>
      </c>
      <c r="E80" s="87">
        <f>FieldApplications!$R$8</f>
        <v>0</v>
      </c>
      <c r="F80" s="117" t="str">
        <f t="shared" si="12"/>
        <v>0</v>
      </c>
      <c r="H80" s="246">
        <f>MachineAssumptions!$T$30*E80</f>
        <v>0</v>
      </c>
      <c r="I80" s="166">
        <f>MachineAssumptions!$T$50*E80</f>
        <v>0</v>
      </c>
    </row>
    <row r="81" spans="1:9" ht="20">
      <c r="A81" s="15"/>
      <c r="B81" s="85" t="str">
        <f>MachineAssumptions!B10&amp;" - Labor"</f>
        <v>Moldboard plow - Labor</v>
      </c>
      <c r="C81" s="41" t="s">
        <v>246</v>
      </c>
      <c r="D81" s="116">
        <f>MachineAssumptions!$R$10</f>
        <v>0</v>
      </c>
      <c r="E81" s="87">
        <f>FieldApplications!$R$9</f>
        <v>0</v>
      </c>
      <c r="F81" s="117" t="str">
        <f t="shared" si="12"/>
        <v>0</v>
      </c>
      <c r="H81" s="246">
        <f>MachineAssumptions!$R$31*E81</f>
        <v>0</v>
      </c>
      <c r="I81" s="166">
        <f>MachineAssumptions!$R$51*E81</f>
        <v>0</v>
      </c>
    </row>
    <row r="82" spans="1:9" ht="20">
      <c r="A82" s="15"/>
      <c r="B82" s="85" t="str">
        <f>MachineAssumptions!B10&amp;" - Fuel, Lube"</f>
        <v>Moldboard plow - Fuel, Lube</v>
      </c>
      <c r="C82" s="41" t="s">
        <v>246</v>
      </c>
      <c r="D82" s="116">
        <f>MachineAssumptions!$S$10</f>
        <v>0</v>
      </c>
      <c r="E82" s="87">
        <f>FieldApplications!$R$9</f>
        <v>0</v>
      </c>
      <c r="F82" s="117" t="str">
        <f t="shared" si="12"/>
        <v>0</v>
      </c>
      <c r="H82" s="246">
        <f>MachineAssumptions!$S$31*E82</f>
        <v>0</v>
      </c>
      <c r="I82" s="166">
        <f>MachineAssumptions!$S$51*E82</f>
        <v>0</v>
      </c>
    </row>
    <row r="83" spans="1:9" ht="20">
      <c r="A83" s="15"/>
      <c r="B83" s="85" t="str">
        <f>MachineAssumptions!B10&amp;" - Repairs"</f>
        <v>Moldboard plow - Repairs</v>
      </c>
      <c r="C83" s="41" t="s">
        <v>246</v>
      </c>
      <c r="D83" s="116">
        <f>MachineAssumptions!$T$10</f>
        <v>0</v>
      </c>
      <c r="E83" s="87">
        <f>FieldApplications!$R$9</f>
        <v>0</v>
      </c>
      <c r="F83" s="117" t="str">
        <f t="shared" si="12"/>
        <v>0</v>
      </c>
      <c r="H83" s="246">
        <f>MachineAssumptions!$T$31*E83</f>
        <v>0</v>
      </c>
      <c r="I83" s="166">
        <f>MachineAssumptions!$T$51*E83</f>
        <v>0</v>
      </c>
    </row>
    <row r="84" spans="1:9" ht="20">
      <c r="A84" s="15"/>
      <c r="B84" s="85" t="str">
        <f>MachineAssumptions!B11&amp;" - Labor"</f>
        <v>Cultivator - Labor</v>
      </c>
      <c r="C84" s="41" t="s">
        <v>246</v>
      </c>
      <c r="D84" s="116">
        <f>MachineAssumptions!$R$11</f>
        <v>0</v>
      </c>
      <c r="E84" s="87">
        <f>FieldApplications!$R$10</f>
        <v>0</v>
      </c>
      <c r="F84" s="117" t="str">
        <f t="shared" si="12"/>
        <v>0</v>
      </c>
      <c r="H84" s="246">
        <f>MachineAssumptions!$R$32*E84</f>
        <v>0</v>
      </c>
      <c r="I84" s="166">
        <f>MachineAssumptions!$R$52*E84</f>
        <v>0</v>
      </c>
    </row>
    <row r="85" spans="1:9" ht="20">
      <c r="A85" s="15"/>
      <c r="B85" s="85" t="str">
        <f>MachineAssumptions!B11&amp;" - Fuel, Lube"</f>
        <v>Cultivator - Fuel, Lube</v>
      </c>
      <c r="C85" s="41" t="s">
        <v>246</v>
      </c>
      <c r="D85" s="116">
        <f>MachineAssumptions!$S$11</f>
        <v>0</v>
      </c>
      <c r="E85" s="87">
        <f>FieldApplications!$R$10</f>
        <v>0</v>
      </c>
      <c r="F85" s="117" t="str">
        <f t="shared" si="12"/>
        <v>0</v>
      </c>
      <c r="H85" s="246">
        <f>MachineAssumptions!$S$32*E85</f>
        <v>0</v>
      </c>
      <c r="I85" s="166">
        <f>MachineAssumptions!$S$52*E85</f>
        <v>0</v>
      </c>
    </row>
    <row r="86" spans="1:9" ht="20">
      <c r="A86" s="15"/>
      <c r="B86" s="85" t="str">
        <f>MachineAssumptions!B11&amp;" - Repairs"</f>
        <v>Cultivator - Repairs</v>
      </c>
      <c r="C86" s="41" t="s">
        <v>246</v>
      </c>
      <c r="D86" s="116">
        <f>MachineAssumptions!$T$11</f>
        <v>0</v>
      </c>
      <c r="E86" s="87">
        <f>FieldApplications!$R$10</f>
        <v>0</v>
      </c>
      <c r="F86" s="117" t="str">
        <f t="shared" si="12"/>
        <v>0</v>
      </c>
      <c r="H86" s="246">
        <f>MachineAssumptions!$T$32*E86</f>
        <v>0</v>
      </c>
      <c r="I86" s="166">
        <f>MachineAssumptions!$T$52*E86</f>
        <v>0</v>
      </c>
    </row>
    <row r="87" spans="1:9" ht="20">
      <c r="A87" s="15"/>
      <c r="B87" s="85" t="str">
        <f>MachineAssumptions!B12&amp;" - Labor"</f>
        <v>Cultiweeder - Labor</v>
      </c>
      <c r="C87" s="41" t="s">
        <v>246</v>
      </c>
      <c r="D87" s="116">
        <f>MachineAssumptions!$R$12</f>
        <v>0</v>
      </c>
      <c r="E87" s="87">
        <f>FieldApplications!$R$11</f>
        <v>0</v>
      </c>
      <c r="F87" s="117" t="str">
        <f t="shared" si="12"/>
        <v>0</v>
      </c>
      <c r="H87" s="246">
        <f>MachineAssumptions!$R$33*E87</f>
        <v>0</v>
      </c>
      <c r="I87" s="166">
        <f>MachineAssumptions!$R$53*E87</f>
        <v>0</v>
      </c>
    </row>
    <row r="88" spans="1:9" ht="20">
      <c r="A88" s="15"/>
      <c r="B88" s="85" t="str">
        <f>MachineAssumptions!B12&amp;" - Fuel, Lube"</f>
        <v>Cultiweeder - Fuel, Lube</v>
      </c>
      <c r="C88" s="41" t="s">
        <v>246</v>
      </c>
      <c r="D88" s="116">
        <f>MachineAssumptions!$S$12</f>
        <v>0</v>
      </c>
      <c r="E88" s="87">
        <f>FieldApplications!$R$11</f>
        <v>0</v>
      </c>
      <c r="F88" s="117" t="str">
        <f t="shared" si="12"/>
        <v>0</v>
      </c>
      <c r="H88" s="246">
        <f>MachineAssumptions!$S$33*E88</f>
        <v>0</v>
      </c>
      <c r="I88" s="166">
        <f>MachineAssumptions!$S$53*E88</f>
        <v>0</v>
      </c>
    </row>
    <row r="89" spans="1:9" ht="20">
      <c r="A89" s="15"/>
      <c r="B89" s="85" t="str">
        <f>MachineAssumptions!B12&amp;" - Repairs"</f>
        <v>Cultiweeder - Repairs</v>
      </c>
      <c r="C89" s="41" t="s">
        <v>246</v>
      </c>
      <c r="D89" s="116">
        <f>MachineAssumptions!$T$12</f>
        <v>0</v>
      </c>
      <c r="E89" s="87">
        <f>FieldApplications!$R$11</f>
        <v>0</v>
      </c>
      <c r="F89" s="117" t="str">
        <f t="shared" si="12"/>
        <v>0</v>
      </c>
      <c r="H89" s="246">
        <f>MachineAssumptions!$T$33*E89</f>
        <v>0</v>
      </c>
      <c r="I89" s="166">
        <f>MachineAssumptions!$T$53*E89</f>
        <v>0</v>
      </c>
    </row>
    <row r="90" spans="1:9" ht="20">
      <c r="A90" s="15"/>
      <c r="B90" s="85" t="str">
        <f>MachineAssumptions!B13&amp;" - Labor"</f>
        <v>Drill - Labor</v>
      </c>
      <c r="C90" s="41" t="s">
        <v>246</v>
      </c>
      <c r="D90" s="116">
        <f>MachineAssumptions!$R$13</f>
        <v>1.6703109815354713</v>
      </c>
      <c r="E90" s="87">
        <f>FieldApplications!$R$12</f>
        <v>1</v>
      </c>
      <c r="F90" s="117">
        <f t="shared" si="12"/>
        <v>1.6703109815354713</v>
      </c>
      <c r="H90" s="246">
        <f>MachineAssumptions!$R$34*E90</f>
        <v>1.6703109815354713</v>
      </c>
      <c r="I90" s="166">
        <f>MachineAssumptions!$R$54*E90</f>
        <v>1.6703109815354713</v>
      </c>
    </row>
    <row r="91" spans="1:9" ht="20">
      <c r="A91" s="15"/>
      <c r="B91" s="85" t="str">
        <f>MachineAssumptions!B13&amp;" - Fuel, Lube"</f>
        <v>Drill - Fuel, Lube</v>
      </c>
      <c r="C91" s="41" t="s">
        <v>246</v>
      </c>
      <c r="D91" s="116">
        <f>MachineAssumptions!$S$13</f>
        <v>6.146744412050535</v>
      </c>
      <c r="E91" s="87">
        <f>FieldApplications!$R$12</f>
        <v>1</v>
      </c>
      <c r="F91" s="117">
        <f t="shared" si="12"/>
        <v>6.146744412050535</v>
      </c>
      <c r="H91" s="246">
        <f>MachineAssumptions!$S$34*E91</f>
        <v>6.146744412050535</v>
      </c>
      <c r="I91" s="166">
        <f>MachineAssumptions!$S$54*E91</f>
        <v>6.146744412050535</v>
      </c>
    </row>
    <row r="92" spans="1:9" ht="20">
      <c r="A92" s="15"/>
      <c r="B92" s="85" t="str">
        <f>MachineAssumptions!B13&amp;" - Repairs"</f>
        <v>Drill - Repairs</v>
      </c>
      <c r="C92" s="41" t="s">
        <v>246</v>
      </c>
      <c r="D92" s="116">
        <f>MachineAssumptions!$T$13</f>
        <v>5.740409656342587</v>
      </c>
      <c r="E92" s="87">
        <f>FieldApplications!$R$12</f>
        <v>1</v>
      </c>
      <c r="F92" s="117">
        <f t="shared" si="12"/>
        <v>5.740409656342587</v>
      </c>
      <c r="H92" s="246">
        <f>MachineAssumptions!$T$34*E92</f>
        <v>5.740409656342587</v>
      </c>
      <c r="I92" s="166">
        <f>MachineAssumptions!$T$54*E92</f>
        <v>5.740409656342587</v>
      </c>
    </row>
    <row r="93" spans="1:9" ht="20">
      <c r="A93" s="15"/>
      <c r="B93" s="85" t="str">
        <f>MachineAssumptions!B14&amp;" - Labor"</f>
        <v>Combine w/ 36' header - Labor</v>
      </c>
      <c r="C93" s="41" t="s">
        <v>246</v>
      </c>
      <c r="D93" s="116">
        <f>MachineAssumptions!$R$14</f>
        <v>1.9161092530657748</v>
      </c>
      <c r="E93" s="87">
        <f>FieldApplications!$R$13</f>
        <v>1</v>
      </c>
      <c r="F93" s="117">
        <f t="shared" si="12"/>
        <v>1.9161092530657748</v>
      </c>
      <c r="H93" s="246">
        <f>MachineAssumptions!$R$35*E93</f>
        <v>1.9161092530657748</v>
      </c>
      <c r="I93" s="166">
        <f>MachineAssumptions!$R$55*E93</f>
        <v>1.9161092530657748</v>
      </c>
    </row>
    <row r="94" spans="1:9" ht="20">
      <c r="A94" s="15"/>
      <c r="B94" s="85" t="str">
        <f>MachineAssumptions!B14&amp;" - Fuel, Lube"</f>
        <v>Combine w/ 36' header - Fuel, Lube</v>
      </c>
      <c r="C94" s="41" t="s">
        <v>246</v>
      </c>
      <c r="D94" s="116">
        <f>MachineAssumptions!$S$14</f>
        <v>7.0512820512820511</v>
      </c>
      <c r="E94" s="87">
        <f>FieldApplications!$R$13</f>
        <v>1</v>
      </c>
      <c r="F94" s="117">
        <f t="shared" si="12"/>
        <v>7.0512820512820511</v>
      </c>
      <c r="H94" s="246">
        <f>MachineAssumptions!$S$35*E94</f>
        <v>7.0512820512820511</v>
      </c>
      <c r="I94" s="166">
        <f>MachineAssumptions!$S$55*E94</f>
        <v>7.0512820512820511</v>
      </c>
    </row>
    <row r="95" spans="1:9" ht="20">
      <c r="A95" s="15"/>
      <c r="B95" s="85" t="str">
        <f>MachineAssumptions!B14&amp;" - Repairs"</f>
        <v>Combine w/ 36' header - Repairs</v>
      </c>
      <c r="C95" s="41" t="s">
        <v>246</v>
      </c>
      <c r="D95" s="116">
        <f>MachineAssumptions!$T$14</f>
        <v>6.4258281801385913</v>
      </c>
      <c r="E95" s="87">
        <f>FieldApplications!$R$13</f>
        <v>1</v>
      </c>
      <c r="F95" s="117">
        <f t="shared" si="12"/>
        <v>6.4258281801385913</v>
      </c>
      <c r="H95" s="246">
        <f>MachineAssumptions!$T$35*E95</f>
        <v>6.4258281801385913</v>
      </c>
      <c r="I95" s="166">
        <f>MachineAssumptions!$T$55*E95</f>
        <v>4.0416300769413871</v>
      </c>
    </row>
    <row r="96" spans="1:9" ht="20">
      <c r="A96" s="15"/>
      <c r="B96" s="85" t="str">
        <f>MachineAssumptions!B16&amp;" - Labor"</f>
        <v>Fertilizer Spreader - Labor</v>
      </c>
      <c r="C96" s="41" t="s">
        <v>246</v>
      </c>
      <c r="D96" s="116">
        <f>MachineAssumptions!$R$16</f>
        <v>0</v>
      </c>
      <c r="E96" s="87">
        <f>FieldApplications!$R$14</f>
        <v>0</v>
      </c>
      <c r="F96" s="117" t="str">
        <f t="shared" si="12"/>
        <v>0</v>
      </c>
      <c r="H96" s="246">
        <f>MachineAssumptions!$R$36*E96</f>
        <v>0</v>
      </c>
      <c r="I96" s="166">
        <f>MachineAssumptions!$R$56*E96</f>
        <v>0</v>
      </c>
    </row>
    <row r="97" spans="1:9" ht="20">
      <c r="A97" s="15"/>
      <c r="B97" s="85" t="str">
        <f>MachineAssumptions!B16&amp;" - Fuel, Lube"</f>
        <v>Fertilizer Spreader - Fuel, Lube</v>
      </c>
      <c r="C97" s="41" t="s">
        <v>246</v>
      </c>
      <c r="D97" s="116">
        <f>MachineAssumptions!$S$16</f>
        <v>0</v>
      </c>
      <c r="E97" s="87">
        <f>FieldApplications!$R$14</f>
        <v>0</v>
      </c>
      <c r="F97" s="117" t="str">
        <f t="shared" si="12"/>
        <v>0</v>
      </c>
      <c r="H97" s="246">
        <f>MachineAssumptions!$S$36*E97</f>
        <v>0</v>
      </c>
      <c r="I97" s="166">
        <f>MachineAssumptions!$S$56*E97</f>
        <v>0</v>
      </c>
    </row>
    <row r="98" spans="1:9" ht="20">
      <c r="A98" s="15"/>
      <c r="B98" s="85" t="str">
        <f>MachineAssumptions!B16&amp;" - Repairs"</f>
        <v>Fertilizer Spreader - Repairs</v>
      </c>
      <c r="C98" s="41" t="s">
        <v>246</v>
      </c>
      <c r="D98" s="116">
        <f>MachineAssumptions!$T$16</f>
        <v>0</v>
      </c>
      <c r="E98" s="87">
        <f>FieldApplications!$R$14</f>
        <v>0</v>
      </c>
      <c r="F98" s="117" t="str">
        <f t="shared" si="12"/>
        <v>0</v>
      </c>
      <c r="H98" s="246">
        <f>MachineAssumptions!$T$36*E98</f>
        <v>0</v>
      </c>
      <c r="I98" s="166">
        <f>MachineAssumptions!$T$56*E98</f>
        <v>0</v>
      </c>
    </row>
    <row r="99" spans="1:9" ht="20">
      <c r="A99" s="15"/>
      <c r="B99" s="85" t="str">
        <f>MachineAssumptions!B17&amp;" - Labor"</f>
        <v>Fertilizer tanks and pump - Labor</v>
      </c>
      <c r="C99" s="41" t="s">
        <v>246</v>
      </c>
      <c r="D99" s="116">
        <f>MachineAssumptions!$R$17</f>
        <v>2.2448979591836737</v>
      </c>
      <c r="E99" s="87">
        <f>FieldApplications!$R$15</f>
        <v>1</v>
      </c>
      <c r="F99" s="117">
        <f t="shared" si="12"/>
        <v>2.2448979591836737</v>
      </c>
      <c r="H99" s="246">
        <f>MachineAssumptions!$R$37*E99</f>
        <v>2.2448979591836737</v>
      </c>
      <c r="I99" s="166">
        <f>MachineAssumptions!$R$57*E99</f>
        <v>2.2448979591836737</v>
      </c>
    </row>
    <row r="100" spans="1:9" ht="20">
      <c r="A100" s="15"/>
      <c r="B100" s="85" t="str">
        <f>MachineAssumptions!B17&amp;" - Fuel, Lube"</f>
        <v>Fertilizer tanks and pump - Fuel, Lube</v>
      </c>
      <c r="C100" s="41" t="s">
        <v>246</v>
      </c>
      <c r="D100" s="116">
        <f>MachineAssumptions!$S$17</f>
        <v>9.387755102040817</v>
      </c>
      <c r="E100" s="87">
        <f>FieldApplications!$R$15</f>
        <v>1</v>
      </c>
      <c r="F100" s="117">
        <f t="shared" si="12"/>
        <v>9.387755102040817</v>
      </c>
      <c r="H100" s="246">
        <f>MachineAssumptions!$S$37*E100</f>
        <v>9.387755102040817</v>
      </c>
      <c r="I100" s="166">
        <f>MachineAssumptions!$S$57*E100</f>
        <v>9.387755102040817</v>
      </c>
    </row>
    <row r="101" spans="1:9" ht="20">
      <c r="A101" s="15"/>
      <c r="B101" s="85" t="str">
        <f>MachineAssumptions!B17&amp;" - Repairs"</f>
        <v>Fertilizer tanks and pump - Repairs</v>
      </c>
      <c r="C101" s="41" t="s">
        <v>246</v>
      </c>
      <c r="D101" s="116">
        <f>MachineAssumptions!$T$17</f>
        <v>0</v>
      </c>
      <c r="E101" s="87">
        <f>FieldApplications!$R$15</f>
        <v>1</v>
      </c>
      <c r="F101" s="117" t="str">
        <f t="shared" si="12"/>
        <v>0</v>
      </c>
      <c r="H101" s="246">
        <f>MachineAssumptions!$T$37*E101</f>
        <v>0</v>
      </c>
      <c r="I101" s="166">
        <f>MachineAssumptions!$T$57*E101</f>
        <v>0</v>
      </c>
    </row>
    <row r="102" spans="1:9" ht="20">
      <c r="A102" s="15"/>
      <c r="B102" s="85" t="str">
        <f>MachineAssumptions!B18&amp;" - Labor"</f>
        <v>Boom sprayer - Labor</v>
      </c>
      <c r="C102" s="41" t="s">
        <v>246</v>
      </c>
      <c r="D102" s="116">
        <f>MachineAssumptions!$R$18</f>
        <v>0.4708120318630365</v>
      </c>
      <c r="E102" s="87">
        <f>FieldApplications!$R$16</f>
        <v>3</v>
      </c>
      <c r="F102" s="117">
        <f t="shared" si="12"/>
        <v>1.4124360955891095</v>
      </c>
      <c r="H102" s="246">
        <f>MachineAssumptions!$R$38*E102</f>
        <v>1.4124360955891095</v>
      </c>
      <c r="I102" s="166">
        <f>MachineAssumptions!$R$58*E102</f>
        <v>1.4124360955891095</v>
      </c>
    </row>
    <row r="103" spans="1:9" ht="20">
      <c r="A103" s="15"/>
      <c r="B103" s="85" t="str">
        <f>MachineAssumptions!B18&amp;" - Fuel, Lube"</f>
        <v>Boom sprayer - Fuel, Lube</v>
      </c>
      <c r="C103" s="41" t="s">
        <v>246</v>
      </c>
      <c r="D103" s="116">
        <f>MachineAssumptions!$S$18</f>
        <v>1.8047794554749732</v>
      </c>
      <c r="E103" s="87">
        <f>FieldApplications!$R$16</f>
        <v>3</v>
      </c>
      <c r="F103" s="117">
        <f t="shared" si="12"/>
        <v>5.4143383664249196</v>
      </c>
      <c r="H103" s="246">
        <f>MachineAssumptions!$S$38*E103</f>
        <v>5.4143383664249196</v>
      </c>
      <c r="I103" s="166">
        <f>MachineAssumptions!$S$58*E103</f>
        <v>5.4143383664249196</v>
      </c>
    </row>
    <row r="104" spans="1:9" ht="20">
      <c r="A104" s="15"/>
      <c r="B104" s="85" t="str">
        <f>MachineAssumptions!B18&amp;" - Repairs"</f>
        <v>Boom sprayer - Repairs</v>
      </c>
      <c r="C104" s="41" t="s">
        <v>246</v>
      </c>
      <c r="D104" s="116">
        <f>MachineAssumptions!$T$18</f>
        <v>0.49795949063219769</v>
      </c>
      <c r="E104" s="87">
        <f>FieldApplications!$R$16</f>
        <v>3</v>
      </c>
      <c r="F104" s="117">
        <f t="shared" si="12"/>
        <v>1.493878471896593</v>
      </c>
      <c r="H104" s="246">
        <f>MachineAssumptions!$T$38*E104</f>
        <v>1.5084005569154613</v>
      </c>
      <c r="I104" s="166">
        <f>MachineAssumptions!$T$58*E104</f>
        <v>1.3532484858048683</v>
      </c>
    </row>
    <row r="105" spans="1:9" ht="20">
      <c r="A105" s="15"/>
      <c r="B105" s="85" t="str">
        <f>MachineAssumptions!B15&amp;" - Labor"</f>
        <v>Bankout Wagon - Labor</v>
      </c>
      <c r="C105" s="41" t="s">
        <v>246</v>
      </c>
      <c r="D105" s="116">
        <f>MachineAssumptions!$R$15</f>
        <v>1.6861761426978819</v>
      </c>
      <c r="E105" s="87">
        <f t="shared" ref="E105:E113" si="13">IF($E$93&gt;0,1,0)</f>
        <v>1</v>
      </c>
      <c r="F105" s="117">
        <f t="shared" si="12"/>
        <v>1.6861761426978819</v>
      </c>
      <c r="H105" s="246">
        <f>MachineAssumptions!$R$39*E105</f>
        <v>1.6861761426978819</v>
      </c>
      <c r="I105" s="166">
        <f>MachineAssumptions!$R$59*E105</f>
        <v>1.6861761426978819</v>
      </c>
    </row>
    <row r="106" spans="1:9" ht="20">
      <c r="A106" s="15"/>
      <c r="B106" s="85" t="str">
        <f>MachineAssumptions!B15&amp;" - Fuel, Lube"</f>
        <v>Bankout Wagon - Fuel, Lube</v>
      </c>
      <c r="C106" s="41" t="s">
        <v>246</v>
      </c>
      <c r="D106" s="116">
        <f>MachineAssumptions!$S$15</f>
        <v>7.0512820512820511</v>
      </c>
      <c r="E106" s="87">
        <f t="shared" si="13"/>
        <v>1</v>
      </c>
      <c r="F106" s="117">
        <f t="shared" si="12"/>
        <v>7.0512820512820511</v>
      </c>
      <c r="H106" s="246">
        <f>MachineAssumptions!$S$39*E106</f>
        <v>7.0512820512820511</v>
      </c>
      <c r="I106" s="166">
        <f>MachineAssumptions!$S$59*E106</f>
        <v>7.0512820512820511</v>
      </c>
    </row>
    <row r="107" spans="1:9" ht="20">
      <c r="A107" s="15"/>
      <c r="B107" s="85" t="str">
        <f>MachineAssumptions!B15&amp;" - Repairs"</f>
        <v>Bankout Wagon - Repairs</v>
      </c>
      <c r="C107" s="41" t="s">
        <v>246</v>
      </c>
      <c r="D107" s="116">
        <f>MachineAssumptions!$T$15</f>
        <v>0.5058930256896228</v>
      </c>
      <c r="E107" s="87">
        <f t="shared" si="13"/>
        <v>1</v>
      </c>
      <c r="F107" s="117">
        <f t="shared" si="12"/>
        <v>0.5058930256896228</v>
      </c>
      <c r="H107" s="246">
        <f>MachineAssumptions!$T$39*E107</f>
        <v>0.5058930256896228</v>
      </c>
      <c r="I107" s="166">
        <f>MachineAssumptions!$T$59*E107</f>
        <v>0.43525361955195507</v>
      </c>
    </row>
    <row r="108" spans="1:9" ht="20">
      <c r="A108" s="15"/>
      <c r="B108" s="85" t="str">
        <f>MachineAssumptions!B19&amp;" - Labor"</f>
        <v>Tandem Axle Truck  - Labor</v>
      </c>
      <c r="C108" s="41" t="s">
        <v>246</v>
      </c>
      <c r="D108" s="116">
        <f>MachineAssumptions!$R$19</f>
        <v>3.6</v>
      </c>
      <c r="E108" s="87">
        <f t="shared" si="13"/>
        <v>1</v>
      </c>
      <c r="F108" s="117">
        <f t="shared" si="12"/>
        <v>3.6</v>
      </c>
      <c r="H108" s="246">
        <f>MachineAssumptions!$R$40*E108</f>
        <v>3.6</v>
      </c>
      <c r="I108" s="166">
        <f>MachineAssumptions!$R$60*E108</f>
        <v>3.6</v>
      </c>
    </row>
    <row r="109" spans="1:9" ht="20">
      <c r="A109" s="15"/>
      <c r="B109" s="85" t="str">
        <f>MachineAssumptions!B19&amp;" - Fuel, Lube"</f>
        <v>Tandem Axle Truck  - Fuel, Lube</v>
      </c>
      <c r="C109" s="41" t="s">
        <v>246</v>
      </c>
      <c r="D109" s="116">
        <f>MachineAssumptions!$S$19</f>
        <v>1.1499999999999999</v>
      </c>
      <c r="E109" s="87">
        <f t="shared" si="13"/>
        <v>1</v>
      </c>
      <c r="F109" s="117">
        <f t="shared" si="12"/>
        <v>1.1499999999999999</v>
      </c>
      <c r="H109" s="246">
        <f>MachineAssumptions!$S$40*E109</f>
        <v>1.1499999999999999</v>
      </c>
      <c r="I109" s="166">
        <f>MachineAssumptions!$S$60*E109</f>
        <v>1.1499999999999999</v>
      </c>
    </row>
    <row r="110" spans="1:9" ht="20">
      <c r="A110" s="15"/>
      <c r="B110" s="85" t="str">
        <f>MachineAssumptions!B19&amp;" - Repairs"</f>
        <v>Tandem Axle Truck  - Repairs</v>
      </c>
      <c r="C110" s="41" t="s">
        <v>246</v>
      </c>
      <c r="D110" s="116">
        <f>MachineAssumptions!$T$19</f>
        <v>0.8</v>
      </c>
      <c r="E110" s="87">
        <f t="shared" si="13"/>
        <v>1</v>
      </c>
      <c r="F110" s="117">
        <f t="shared" si="12"/>
        <v>0.8</v>
      </c>
      <c r="H110" s="246">
        <f>MachineAssumptions!$T$40*E110</f>
        <v>0.8</v>
      </c>
      <c r="I110" s="166">
        <f>MachineAssumptions!$T$60*E110</f>
        <v>0.8</v>
      </c>
    </row>
    <row r="111" spans="1:9" ht="20">
      <c r="A111" s="15"/>
      <c r="B111" s="85" t="str">
        <f>MachineAssumptions!B20&amp;" - Labor"</f>
        <v>Tandem Axle Truck  - Labor</v>
      </c>
      <c r="C111" s="41" t="s">
        <v>246</v>
      </c>
      <c r="D111" s="116">
        <f>MachineAssumptions!$R$20</f>
        <v>3.6</v>
      </c>
      <c r="E111" s="87">
        <f t="shared" si="13"/>
        <v>1</v>
      </c>
      <c r="F111" s="117">
        <f t="shared" si="12"/>
        <v>3.6</v>
      </c>
      <c r="H111" s="416">
        <f>MachineAssumptions!$R$41*E111</f>
        <v>3.6</v>
      </c>
      <c r="I111" s="369">
        <f>MachineAssumptions!$R$61*E111</f>
        <v>3.6</v>
      </c>
    </row>
    <row r="112" spans="1:9" ht="20">
      <c r="A112" s="15"/>
      <c r="B112" s="85" t="str">
        <f>MachineAssumptions!B20&amp;" - Fuel, Lube"</f>
        <v>Tandem Axle Truck  - Fuel, Lube</v>
      </c>
      <c r="C112" s="41" t="s">
        <v>246</v>
      </c>
      <c r="D112" s="116">
        <f>MachineAssumptions!$S$20</f>
        <v>1.72</v>
      </c>
      <c r="E112" s="87">
        <f t="shared" si="13"/>
        <v>1</v>
      </c>
      <c r="F112" s="117">
        <f t="shared" si="12"/>
        <v>1.72</v>
      </c>
      <c r="H112" s="416">
        <f>MachineAssumptions!$S$41*E112</f>
        <v>1.72</v>
      </c>
      <c r="I112" s="369">
        <f>MachineAssumptions!$S$61*E112</f>
        <v>1.72</v>
      </c>
    </row>
    <row r="113" spans="1:13" ht="23">
      <c r="A113" s="15"/>
      <c r="B113" s="85" t="str">
        <f>MachineAssumptions!B20&amp;" - Repairs"</f>
        <v>Tandem Axle Truck  - Repairs</v>
      </c>
      <c r="C113" s="41" t="s">
        <v>246</v>
      </c>
      <c r="D113" s="116">
        <f>MachineAssumptions!$T$20</f>
        <v>0.8</v>
      </c>
      <c r="E113" s="87">
        <f t="shared" si="13"/>
        <v>1</v>
      </c>
      <c r="F113" s="117">
        <f t="shared" si="12"/>
        <v>0.8</v>
      </c>
      <c r="H113" s="248">
        <f>MachineAssumptions!$T$41*E113</f>
        <v>0.8</v>
      </c>
      <c r="I113" s="247">
        <f>MachineAssumptions!$T$61*E113</f>
        <v>0.8</v>
      </c>
    </row>
    <row r="114" spans="1:13" ht="21">
      <c r="A114" s="15"/>
      <c r="B114" s="139" t="s">
        <v>88</v>
      </c>
      <c r="C114" s="41"/>
      <c r="D114" s="116"/>
      <c r="E114" s="87"/>
      <c r="F114" s="117"/>
      <c r="H114" s="249">
        <f>SUM(H74:H113)</f>
        <v>69.831863834238547</v>
      </c>
      <c r="I114" s="249">
        <f>SUM(I74:I113)</f>
        <v>67.221874253793075</v>
      </c>
    </row>
    <row r="115" spans="1:13" ht="20">
      <c r="A115" s="15"/>
      <c r="B115" s="85" t="str">
        <f>'Chem&amp;FertInputs&amp;CInsurance'!B73</f>
        <v>Crop Insurance</v>
      </c>
      <c r="C115" s="23" t="str">
        <f>'Chem&amp;FertInputs&amp;CInsurance'!D73</f>
        <v>acre</v>
      </c>
      <c r="D115" s="116">
        <f>'Chem&amp;FertInputs&amp;CInsurance'!U73</f>
        <v>22</v>
      </c>
      <c r="E115" s="87">
        <v>1</v>
      </c>
      <c r="F115" s="117">
        <f>IF(D115*E115=0,"0",D115*E115)</f>
        <v>22</v>
      </c>
      <c r="H115" s="1" t="s">
        <v>181</v>
      </c>
      <c r="I115" s="1" t="s">
        <v>181</v>
      </c>
    </row>
    <row r="116" spans="1:13" ht="20">
      <c r="A116" s="15"/>
      <c r="B116" s="85" t="s">
        <v>72</v>
      </c>
      <c r="C116" s="41" t="s">
        <v>83</v>
      </c>
      <c r="D116" s="111">
        <f>MachineAssumptions!D25</f>
        <v>0.05</v>
      </c>
      <c r="E116" s="87"/>
      <c r="F116" s="86">
        <f>SUM(F8:F115)*D116</f>
        <v>10.517484587460983</v>
      </c>
      <c r="G116" s="1" t="s">
        <v>111</v>
      </c>
      <c r="H116" s="49">
        <f>(SUM($F8:$F70)+$F115+SUM(H72:H113))*$D116</f>
        <v>10.518210691711927</v>
      </c>
      <c r="I116" s="49">
        <f>(SUM($F8:$F70)+$F115+SUM(I72:I113))*$D116</f>
        <v>10.387711212689652</v>
      </c>
      <c r="J116" s="49">
        <f>F72+F75+F78+F81+F84+F87+F90+F93+F96+F99+F102+F105+F108+F111</f>
        <v>16.129930432071912</v>
      </c>
      <c r="K116" s="1" t="s">
        <v>111</v>
      </c>
    </row>
    <row r="117" spans="1:13" ht="20">
      <c r="A117" s="15"/>
      <c r="B117" s="85" t="s">
        <v>84</v>
      </c>
      <c r="C117" s="41" t="s">
        <v>83</v>
      </c>
      <c r="D117" s="111">
        <f>MachineAssumptions!D26</f>
        <v>6.7500000000000004E-2</v>
      </c>
      <c r="E117" s="112"/>
      <c r="F117" s="140">
        <f>SUM(F7:F116)*(D117/12*MachineAssumptions!D27)</f>
        <v>11.181400802044458</v>
      </c>
      <c r="G117" s="1" t="s">
        <v>4</v>
      </c>
      <c r="H117" s="49">
        <f>(SUM(F8:F70)+(F115+F116+H114))*((D117/12)*MachineAssumptions!D27)</f>
        <v>11.18213598259854</v>
      </c>
      <c r="I117" s="49">
        <f>(SUM(F8:F70)+(F115+F116+I114))*((D117/12)*MachineAssumptions!D27)</f>
        <v>11.050005260088486</v>
      </c>
      <c r="J117" s="49">
        <f>F73+F76+F79+F82+F85+F88+F91+F94+F97+F100+F103+F106+F109+F112</f>
        <v>37.921401983080372</v>
      </c>
      <c r="K117" s="1" t="s">
        <v>4</v>
      </c>
    </row>
    <row r="118" spans="1:13" ht="20">
      <c r="A118" s="15"/>
      <c r="B118" s="14" t="s">
        <v>85</v>
      </c>
      <c r="C118" s="29"/>
      <c r="D118" s="141"/>
      <c r="E118" s="142"/>
      <c r="F118" s="143">
        <f>SUM(F8:F117)</f>
        <v>232.04857713872508</v>
      </c>
      <c r="G118" s="1" t="s">
        <v>112</v>
      </c>
      <c r="J118" s="49">
        <f>F74+F77+F80+F83+F86+F89+F92+F95+F98+F101+F104+F107+F110+F113</f>
        <v>15.766009334067396</v>
      </c>
      <c r="K118" s="1" t="s">
        <v>112</v>
      </c>
      <c r="L118" s="49">
        <f>H74+H77+H80+H83+H86+H89+H92+H95+H98+H101+H104+H107+H110+H113</f>
        <v>15.780531419086264</v>
      </c>
      <c r="M118" s="49">
        <f>I74+I77+I80+I83+I86+I89+I92+I95+I98+I101+I104+I107+I110+I113</f>
        <v>13.1705418386408</v>
      </c>
    </row>
    <row r="119" spans="1:13">
      <c r="A119" s="15"/>
      <c r="B119" s="113"/>
      <c r="C119" s="113"/>
      <c r="D119" s="113"/>
      <c r="E119" s="114"/>
      <c r="F119" s="115"/>
      <c r="H119" s="115"/>
      <c r="J119" s="49">
        <f>SUM(J116:J118)</f>
        <v>69.817341749219679</v>
      </c>
      <c r="K119" s="115"/>
    </row>
    <row r="120" spans="1:13" ht="20">
      <c r="A120" s="15"/>
      <c r="B120" s="132" t="s">
        <v>89</v>
      </c>
      <c r="C120" s="19" t="s">
        <v>2</v>
      </c>
      <c r="D120" s="20" t="s">
        <v>12</v>
      </c>
      <c r="E120" s="21" t="s">
        <v>13</v>
      </c>
      <c r="F120" s="45" t="s">
        <v>0</v>
      </c>
      <c r="H120" s="1" t="s">
        <v>136</v>
      </c>
      <c r="I120" s="1" t="s">
        <v>139</v>
      </c>
    </row>
    <row r="121" spans="1:13" ht="20">
      <c r="A121" s="15"/>
      <c r="B121" s="18" t="str">
        <f>MachineAssumptions!B7&amp;" - Replacement Costs"</f>
        <v>Shredder - Replacement Costs</v>
      </c>
      <c r="C121" s="41" t="str">
        <f>C72</f>
        <v>acre</v>
      </c>
      <c r="D121" s="34">
        <f>MachineAssumptions!U7</f>
        <v>4.3329737628911431</v>
      </c>
      <c r="E121" s="145">
        <f>E72</f>
        <v>0</v>
      </c>
      <c r="F121" s="42" t="str">
        <f t="shared" ref="F121:F134" si="14">IF(D121*E121=0,"0",D121*E121)</f>
        <v>0</v>
      </c>
      <c r="H121" s="166">
        <f>MachineAssumptions!U28*E121</f>
        <v>0</v>
      </c>
      <c r="I121" s="166">
        <f>MachineAssumptions!U48*E121</f>
        <v>0</v>
      </c>
    </row>
    <row r="122" spans="1:13" ht="20">
      <c r="A122" s="15"/>
      <c r="B122" s="18" t="str">
        <f>MachineAssumptions!B8&amp;" - Replacement Costs"</f>
        <v>Harrow - Replacement Costs</v>
      </c>
      <c r="C122" s="41" t="str">
        <f>C75</f>
        <v>acre</v>
      </c>
      <c r="D122" s="34">
        <f>MachineAssumptions!U8</f>
        <v>1.1988479209967022</v>
      </c>
      <c r="E122" s="145">
        <f>E75</f>
        <v>0</v>
      </c>
      <c r="F122" s="42" t="str">
        <f t="shared" si="14"/>
        <v>0</v>
      </c>
      <c r="H122" s="166">
        <f>MachineAssumptions!U29*E122</f>
        <v>0</v>
      </c>
      <c r="I122" s="166">
        <f>MachineAssumptions!U49*E122</f>
        <v>0</v>
      </c>
    </row>
    <row r="123" spans="1:13" ht="20">
      <c r="A123" s="15"/>
      <c r="B123" s="18" t="str">
        <f>MachineAssumptions!B9&amp;" - Replacement Costs"</f>
        <v>Chisel plow - Replacement Costs</v>
      </c>
      <c r="C123" s="41" t="str">
        <f>C78</f>
        <v>acre</v>
      </c>
      <c r="D123" s="34">
        <f>MachineAssumptions!U9</f>
        <v>0</v>
      </c>
      <c r="E123" s="145">
        <f>E78</f>
        <v>0</v>
      </c>
      <c r="F123" s="42" t="str">
        <f t="shared" si="14"/>
        <v>0</v>
      </c>
      <c r="H123" s="166">
        <f>MachineAssumptions!U30*E123</f>
        <v>0</v>
      </c>
      <c r="I123" s="166">
        <f>MachineAssumptions!U50*E123</f>
        <v>0</v>
      </c>
    </row>
    <row r="124" spans="1:13" ht="20">
      <c r="A124" s="15"/>
      <c r="B124" s="18" t="str">
        <f>MachineAssumptions!B10&amp;" - Replacement Costs"</f>
        <v>Moldboard plow - Replacement Costs</v>
      </c>
      <c r="C124" s="41" t="str">
        <f>C81</f>
        <v>acre</v>
      </c>
      <c r="D124" s="34">
        <f>MachineAssumptions!U10</f>
        <v>0</v>
      </c>
      <c r="E124" s="145">
        <f>E81</f>
        <v>0</v>
      </c>
      <c r="F124" s="42" t="str">
        <f t="shared" si="14"/>
        <v>0</v>
      </c>
      <c r="H124" s="166">
        <f>MachineAssumptions!U31*E124</f>
        <v>0</v>
      </c>
      <c r="I124" s="166">
        <f>MachineAssumptions!U51*E124</f>
        <v>0</v>
      </c>
    </row>
    <row r="125" spans="1:13" ht="20">
      <c r="A125" s="15"/>
      <c r="B125" s="18" t="str">
        <f>MachineAssumptions!B11&amp;" - Replacement Costs"</f>
        <v>Cultivator - Replacement Costs</v>
      </c>
      <c r="C125" s="41" t="str">
        <f t="shared" ref="C125:C126" si="15">C82</f>
        <v>acre</v>
      </c>
      <c r="D125" s="34">
        <f>MachineAssumptions!U11</f>
        <v>0</v>
      </c>
      <c r="E125" s="145">
        <f>E84</f>
        <v>0</v>
      </c>
      <c r="F125" s="42" t="str">
        <f t="shared" si="14"/>
        <v>0</v>
      </c>
      <c r="H125" s="166">
        <f>MachineAssumptions!U32*E125</f>
        <v>0</v>
      </c>
      <c r="I125" s="166">
        <f>MachineAssumptions!U52*E125</f>
        <v>0</v>
      </c>
    </row>
    <row r="126" spans="1:13" ht="20">
      <c r="A126" s="15"/>
      <c r="B126" s="18" t="str">
        <f>MachineAssumptions!B12&amp;" - Replacement Costs"</f>
        <v>Cultiweeder - Replacement Costs</v>
      </c>
      <c r="C126" s="41" t="str">
        <f t="shared" si="15"/>
        <v>acre</v>
      </c>
      <c r="D126" s="34">
        <f>MachineAssumptions!U12</f>
        <v>0</v>
      </c>
      <c r="E126" s="145">
        <f>E87</f>
        <v>0</v>
      </c>
      <c r="F126" s="42" t="str">
        <f t="shared" si="14"/>
        <v>0</v>
      </c>
      <c r="H126" s="166">
        <f>MachineAssumptions!U33*E126</f>
        <v>0</v>
      </c>
      <c r="I126" s="166">
        <f>MachineAssumptions!U53*E126</f>
        <v>0</v>
      </c>
    </row>
    <row r="127" spans="1:13" ht="20">
      <c r="A127" s="15"/>
      <c r="B127" s="18" t="str">
        <f>MachineAssumptions!B13&amp;" - Replacement Costs"</f>
        <v>Drill - Replacement Costs</v>
      </c>
      <c r="C127" s="41" t="str">
        <f>C90</f>
        <v>acre</v>
      </c>
      <c r="D127" s="34">
        <f>MachineAssumptions!U13</f>
        <v>7.2419265221735989</v>
      </c>
      <c r="E127" s="145">
        <f>E90</f>
        <v>1</v>
      </c>
      <c r="F127" s="42">
        <f t="shared" si="14"/>
        <v>7.2419265221735989</v>
      </c>
      <c r="H127" s="166">
        <f>MachineAssumptions!U34*E127</f>
        <v>7.2419265221735989</v>
      </c>
      <c r="I127" s="166">
        <f>MachineAssumptions!U54*E127</f>
        <v>7.2419265221735989</v>
      </c>
    </row>
    <row r="128" spans="1:13" ht="20">
      <c r="A128" s="15"/>
      <c r="B128" s="18" t="str">
        <f>MachineAssumptions!B14&amp;" - Replacement Costs"</f>
        <v>Combine w/ 36' header - Replacement Costs</v>
      </c>
      <c r="C128" s="41" t="str">
        <f>C93</f>
        <v>acre</v>
      </c>
      <c r="D128" s="34">
        <f>MachineAssumptions!U14</f>
        <v>9.7031999999999989</v>
      </c>
      <c r="E128" s="145">
        <f>E93</f>
        <v>1</v>
      </c>
      <c r="F128" s="42">
        <f t="shared" si="14"/>
        <v>9.7031999999999989</v>
      </c>
      <c r="H128" s="166">
        <f>MachineAssumptions!U35*E128</f>
        <v>9.7031999999999989</v>
      </c>
      <c r="I128" s="166">
        <f>MachineAssumptions!U55*E128</f>
        <v>9.7032000000000007</v>
      </c>
    </row>
    <row r="129" spans="1:9" ht="20">
      <c r="A129" s="15"/>
      <c r="B129" s="18" t="str">
        <f>MachineAssumptions!B16&amp;" - Replacement Costs"</f>
        <v>Fertilizer Spreader - Replacement Costs</v>
      </c>
      <c r="C129" s="41" t="str">
        <f>C96</f>
        <v>acre</v>
      </c>
      <c r="D129" s="34">
        <f>MachineAssumptions!U16</f>
        <v>0</v>
      </c>
      <c r="E129" s="145">
        <f>E96</f>
        <v>0</v>
      </c>
      <c r="F129" s="42" t="str">
        <f t="shared" si="14"/>
        <v>0</v>
      </c>
      <c r="H129" s="166">
        <f>MachineAssumptions!U36*E129</f>
        <v>0</v>
      </c>
      <c r="I129" s="166">
        <f>MachineAssumptions!U56*E129</f>
        <v>0</v>
      </c>
    </row>
    <row r="130" spans="1:9" ht="20">
      <c r="A130" s="15"/>
      <c r="B130" s="18" t="str">
        <f>MachineAssumptions!B17&amp;" - Replacement Costs"</f>
        <v>Fertilizer tanks and pump - Replacement Costs</v>
      </c>
      <c r="C130" s="41" t="str">
        <f>C99</f>
        <v>acre</v>
      </c>
      <c r="D130" s="34">
        <f>MachineAssumptions!U17</f>
        <v>0.6</v>
      </c>
      <c r="E130" s="145">
        <f>E99</f>
        <v>1</v>
      </c>
      <c r="F130" s="42">
        <f t="shared" si="14"/>
        <v>0.6</v>
      </c>
      <c r="H130" s="166">
        <f>MachineAssumptions!U37*E130</f>
        <v>0.6</v>
      </c>
      <c r="I130" s="166">
        <f>MachineAssumptions!U57*E130</f>
        <v>0.6</v>
      </c>
    </row>
    <row r="131" spans="1:9" ht="20">
      <c r="A131" s="15"/>
      <c r="B131" s="18" t="str">
        <f>MachineAssumptions!B18&amp;" - Replacement Costs"</f>
        <v>Boom sprayer - Replacement Costs</v>
      </c>
      <c r="C131" s="41" t="str">
        <f>C102</f>
        <v>acre</v>
      </c>
      <c r="D131" s="34">
        <f>MachineAssumptions!U18</f>
        <v>0.80913316225248511</v>
      </c>
      <c r="E131" s="145">
        <f>E102</f>
        <v>3</v>
      </c>
      <c r="F131" s="42">
        <f t="shared" si="14"/>
        <v>2.4273994867574551</v>
      </c>
      <c r="H131" s="166">
        <f>MachineAssumptions!U38*E131</f>
        <v>2.4270356342009749</v>
      </c>
      <c r="I131" s="166">
        <f>MachineAssumptions!U58*E131</f>
        <v>2.4273994867574551</v>
      </c>
    </row>
    <row r="132" spans="1:9" ht="20">
      <c r="A132" s="15"/>
      <c r="B132" s="18" t="str">
        <f>MachineAssumptions!B15&amp;" - Replacement Costs"</f>
        <v>Bankout Wagon - Replacement Costs</v>
      </c>
      <c r="C132" s="41" t="str">
        <f>C105</f>
        <v>acre</v>
      </c>
      <c r="D132" s="34">
        <f>MachineAssumptions!U15</f>
        <v>2.9461434675395459</v>
      </c>
      <c r="E132" s="145">
        <f>E105</f>
        <v>1</v>
      </c>
      <c r="F132" s="42">
        <f t="shared" si="14"/>
        <v>2.9461434675395459</v>
      </c>
      <c r="H132" s="166">
        <f>MachineAssumptions!U39*E132</f>
        <v>2.9461434675395459</v>
      </c>
      <c r="I132" s="166">
        <f>MachineAssumptions!U59*E132</f>
        <v>2.9461434675395459</v>
      </c>
    </row>
    <row r="133" spans="1:9" ht="20">
      <c r="A133" s="15"/>
      <c r="B133" s="18" t="str">
        <f>MachineAssumptions!B19&amp;" - Replacement Costs"</f>
        <v>Tandem Axle Truck  - Replacement Costs</v>
      </c>
      <c r="C133" s="41" t="str">
        <f>C108</f>
        <v>acre</v>
      </c>
      <c r="D133" s="34">
        <f>MachineAssumptions!U19</f>
        <v>0.64</v>
      </c>
      <c r="E133" s="145">
        <f>E108</f>
        <v>1</v>
      </c>
      <c r="F133" s="42">
        <f t="shared" si="14"/>
        <v>0.64</v>
      </c>
      <c r="H133" s="166">
        <f>MachineAssumptions!U40*E133</f>
        <v>0.64</v>
      </c>
      <c r="I133" s="166">
        <f>MachineAssumptions!U60*E133</f>
        <v>0.64</v>
      </c>
    </row>
    <row r="134" spans="1:9" ht="23">
      <c r="A134" s="15"/>
      <c r="B134" s="18" t="str">
        <f>MachineAssumptions!B20&amp;" - Replacement Costs"</f>
        <v>Tandem Axle Truck  - Replacement Costs</v>
      </c>
      <c r="C134" s="41" t="str">
        <f t="shared" ref="C134" si="16">C111</f>
        <v>acre</v>
      </c>
      <c r="D134" s="34">
        <f>MachineAssumptions!U20</f>
        <v>0.64</v>
      </c>
      <c r="E134" s="145">
        <f t="shared" ref="E134" si="17">E111</f>
        <v>1</v>
      </c>
      <c r="F134" s="43">
        <f t="shared" si="14"/>
        <v>0.64</v>
      </c>
      <c r="H134" s="247">
        <f>MachineAssumptions!U41*E134</f>
        <v>0.64</v>
      </c>
      <c r="I134" s="247">
        <f>MachineAssumptions!U61*E134</f>
        <v>0.64</v>
      </c>
    </row>
    <row r="135" spans="1:9" ht="20">
      <c r="A135" s="15"/>
      <c r="B135" s="144" t="s">
        <v>38</v>
      </c>
      <c r="C135" s="29"/>
      <c r="D135" s="30"/>
      <c r="E135" s="29"/>
      <c r="F135" s="46">
        <f>SUM(F121:F134)</f>
        <v>24.198669476470602</v>
      </c>
      <c r="H135" s="46">
        <f t="shared" ref="H135:I135" si="18">SUM(H121:H134)</f>
        <v>24.198305623914123</v>
      </c>
      <c r="I135" s="46">
        <f t="shared" si="18"/>
        <v>24.198669476470602</v>
      </c>
    </row>
    <row r="136" spans="1:9" ht="20">
      <c r="A136" s="15"/>
      <c r="B136" s="16"/>
      <c r="C136" s="16"/>
      <c r="D136" s="17"/>
      <c r="E136" s="16"/>
      <c r="F136" s="113"/>
    </row>
    <row r="137" spans="1:9" ht="20">
      <c r="A137" s="15"/>
      <c r="B137" s="14" t="s">
        <v>31</v>
      </c>
      <c r="C137" s="29"/>
      <c r="D137" s="30"/>
      <c r="E137" s="29"/>
      <c r="F137" s="47">
        <f>F118+F135</f>
        <v>256.24724661519571</v>
      </c>
      <c r="H137" s="47">
        <f>SUM(F16:F70)+H114+F115+H116+H117+H135+F8+(H9*D9)+(H10*D10)+(H11*D11)+(H12*D12)+(H13*D13)+(H14*D14)+(H15*D15)</f>
        <v>256.2628661324631</v>
      </c>
      <c r="I137" s="47">
        <f>SUM(F16:F70)+I114+F115+I116+I117+I135+F8+(I9*D9)+(I10*D10)+(I11*D11)+(I12*D12)+(I13*D13)+(I14*D14)+(I15*D15)</f>
        <v>253.3906102030418</v>
      </c>
    </row>
    <row r="138" spans="1:9" ht="21">
      <c r="A138" s="15"/>
      <c r="B138" s="31" t="s">
        <v>32</v>
      </c>
      <c r="C138" s="32"/>
      <c r="D138" s="33"/>
      <c r="E138" s="32"/>
      <c r="F138" s="48">
        <f>F5-F137</f>
        <v>25.692753384804291</v>
      </c>
      <c r="H138" s="250">
        <f>H5-H137</f>
        <v>25.677133867536895</v>
      </c>
      <c r="I138" s="250">
        <f>I5-I137</f>
        <v>28.549389796958195</v>
      </c>
    </row>
  </sheetData>
  <mergeCells count="1">
    <mergeCell ref="B2:F2"/>
  </mergeCells>
  <pageMargins left="0.7" right="0.7" top="0.75" bottom="0.75" header="0.3" footer="0.3"/>
  <pageSetup scale="62" orientation="portrait" horizontalDpi="0" verticalDpi="0"/>
  <ignoredErrors>
    <ignoredError sqref="B135:F138 B114:F114 B60:D60 B90:B113 B116:F116 B115:D115 B127:C134 E127:F134 E121:F123 E124:F124 B121:C124 B84:B89 B125:F126 C13:D13 B62:E62 C14:D14 B118:F120 B117:E117 C9:D9 C10:D10 C11:D11 C12:D12 F14 B61:D61 D4:F4 C5:F7 B4:B7 B3:F3 C4 C8:F8 B71:E71 B63:C63 B64:C64 B65:C65 B66:C66 B67:C67 B68:C68 B69:C69 B70:C70 D63:E70 B2 B73:B83 B72 D72:E72 D90:E113 D84:F89 D73:E83 G124 G127:G134 B57:D57 B56:D56 B55:D55 B54:D54 B51:D51 B50:D50 B49:D49 B48:D48 B47:D47 B46:D46 B45:D45 B44:D44 B43:D43 B42:D42 B40:D40 B39:D39 B38:D38 B37:D37 B36:D36 B35:D35 B34:D34 B33:D33 B31:D31 B30:D30 B29:D29 B28:D28 B27:D27 B26:D26 B25:D25 B24:D24 B23:D23 B22:D22 B21:D21 B16:G20 B32:G32 E21:G21 E22:G22 E23:G23 E24:G24 E25:G25 E26:G26 E27:G27 E28:G28 E29:G29 E30:G30 E31:G31 B41:G41 E33:G33 E34:G34 E35:G35 E36:G36 E37:G37 E38:G38 E39:G39 E40:G40 B52:G53 E42:G42 E43:G43 E44:G44 E45:G45 E46:G46 E47:G47 E48:G48 E49:G49 E50:G50 E51:G51 B58:G59 E54:G54 E55:G55 E56:G56 E57:G57 E115 C15:G15 B9:B15" unlockedFormula="1"/>
    <ignoredError sqref="D127:D134 D121:D124" formula="1" unlockedFormula="1"/>
  </ignoredErrors>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CACE2-2CE4-8E4A-981C-E97117BE6C21}">
  <sheetPr codeName="Sheet46">
    <pageSetUpPr fitToPage="1"/>
  </sheetPr>
  <dimension ref="A1:AH138"/>
  <sheetViews>
    <sheetView zoomScale="120" zoomScaleNormal="120" workbookViewId="0">
      <selection activeCell="B2" sqref="B2:F2"/>
    </sheetView>
  </sheetViews>
  <sheetFormatPr baseColWidth="10" defaultColWidth="11.5" defaultRowHeight="15"/>
  <cols>
    <col min="1" max="1" width="4.83203125" style="1" customWidth="1"/>
    <col min="2" max="2" width="57.83203125" style="1" customWidth="1"/>
    <col min="3" max="6" width="12.83203125" style="1" customWidth="1"/>
    <col min="7" max="16" width="11.5" style="1" hidden="1" customWidth="1"/>
    <col min="17" max="32" width="0" style="1" hidden="1" customWidth="1"/>
    <col min="33" max="16384" width="11.5" style="1"/>
  </cols>
  <sheetData>
    <row r="1" spans="1:34" ht="20">
      <c r="A1" s="352" t="s">
        <v>8</v>
      </c>
      <c r="B1" s="27"/>
      <c r="C1" s="16"/>
      <c r="D1" s="17"/>
      <c r="E1" s="16"/>
      <c r="F1" s="16"/>
    </row>
    <row r="2" spans="1:34" ht="20">
      <c r="A2" s="15"/>
      <c r="B2" s="807" t="str">
        <f>'Prices_Yields&amp;SeedInputs'!B21&amp;", Cash Costs and Returns of Producing, $/acre."</f>
        <v>Roundup Ready Spring Canola, Cash Costs and Returns of Producing, $/acre.</v>
      </c>
      <c r="C2" s="807"/>
      <c r="D2" s="807"/>
      <c r="E2" s="807"/>
      <c r="F2" s="807"/>
    </row>
    <row r="3" spans="1:34" ht="20">
      <c r="A3" s="15"/>
      <c r="B3" s="131" t="s">
        <v>11</v>
      </c>
      <c r="C3" s="24" t="s">
        <v>2</v>
      </c>
      <c r="D3" s="25" t="s">
        <v>12</v>
      </c>
      <c r="E3" s="26" t="s">
        <v>13</v>
      </c>
      <c r="F3" s="26" t="s">
        <v>0</v>
      </c>
      <c r="H3" s="1" t="str">
        <f>'Prices_Yields&amp;SeedInputs'!F3</f>
        <v>Incremental Rotation</v>
      </c>
      <c r="I3" s="1" t="str">
        <f>'Prices_Yields&amp;SeedInputs'!G3</f>
        <v>Aspirational Rotation</v>
      </c>
      <c r="AG3" s="674"/>
      <c r="AH3" s="674"/>
    </row>
    <row r="4" spans="1:34" ht="20">
      <c r="A4" s="15"/>
      <c r="B4" s="127" t="str">
        <f>'Prices_Yields&amp;SeedInputs'!B21</f>
        <v>Roundup Ready Spring Canola</v>
      </c>
      <c r="C4" s="22" t="str">
        <f>'Prices_Yields&amp;SeedInputs'!C21</f>
        <v>lb</v>
      </c>
      <c r="D4" s="17">
        <f>'Prices_Yields&amp;SeedInputs'!D21</f>
        <v>0.15</v>
      </c>
      <c r="E4" s="90">
        <f>'Prices_Yields&amp;SeedInputs'!E21</f>
        <v>1800</v>
      </c>
      <c r="F4" s="35">
        <f>D4*E4</f>
        <v>270</v>
      </c>
      <c r="AG4" s="674"/>
      <c r="AH4" s="674"/>
    </row>
    <row r="5" spans="1:34" ht="20">
      <c r="A5" s="15"/>
      <c r="B5" s="14" t="s">
        <v>14</v>
      </c>
      <c r="C5" s="29"/>
      <c r="D5" s="30"/>
      <c r="E5" s="29"/>
      <c r="F5" s="46">
        <f>SUM(F4:F4)</f>
        <v>270</v>
      </c>
      <c r="H5" s="1">
        <f>D4*'Prices_Yields&amp;SeedInputs'!F21</f>
        <v>270</v>
      </c>
      <c r="I5" s="1">
        <f>D4*'Prices_Yields&amp;SeedInputs'!G21</f>
        <v>270</v>
      </c>
      <c r="AG5" s="674"/>
      <c r="AH5" s="674"/>
    </row>
    <row r="6" spans="1:34" ht="20">
      <c r="A6" s="15"/>
      <c r="B6" s="16"/>
      <c r="C6" s="16"/>
      <c r="D6" s="17"/>
      <c r="E6" s="16"/>
      <c r="F6" s="44"/>
    </row>
    <row r="7" spans="1:34" ht="20">
      <c r="A7" s="15"/>
      <c r="B7" s="132" t="s">
        <v>37</v>
      </c>
      <c r="C7" s="19" t="s">
        <v>2</v>
      </c>
      <c r="D7" s="20" t="s">
        <v>12</v>
      </c>
      <c r="E7" s="21" t="s">
        <v>13</v>
      </c>
      <c r="F7" s="45" t="s">
        <v>0</v>
      </c>
    </row>
    <row r="8" spans="1:34" ht="20">
      <c r="A8" s="15"/>
      <c r="B8" s="85" t="s">
        <v>169</v>
      </c>
      <c r="C8" s="119" t="str">
        <f>'Prices_Yields&amp;SeedInputs'!H21</f>
        <v>pound</v>
      </c>
      <c r="D8" s="120">
        <f>'Prices_Yields&amp;SeedInputs'!I21</f>
        <v>11.2</v>
      </c>
      <c r="E8" s="133">
        <f>'Prices_Yields&amp;SeedInputs'!J21</f>
        <v>4</v>
      </c>
      <c r="F8" s="117">
        <f t="shared" ref="F8:F61" si="0">IF(D8*E8=0,"0",D8*E8)</f>
        <v>44.8</v>
      </c>
    </row>
    <row r="9" spans="1:34" ht="20">
      <c r="A9" s="15"/>
      <c r="B9" s="85" t="str">
        <f>'Chem&amp;FertInputs&amp;CInsurance'!B6</f>
        <v>Fertilizer - Nitrogen-</v>
      </c>
      <c r="C9" s="23" t="str">
        <f>'Chem&amp;FertInputs&amp;CInsurance'!D6</f>
        <v>pound</v>
      </c>
      <c r="D9" s="116">
        <f>'Chem&amp;FertInputs&amp;CInsurance'!E6</f>
        <v>0.48749999999999999</v>
      </c>
      <c r="E9" s="133">
        <f>'Chem&amp;FertInputs&amp;CInsurance'!V6</f>
        <v>90</v>
      </c>
      <c r="F9" s="117">
        <f t="shared" si="0"/>
        <v>43.875</v>
      </c>
      <c r="H9" s="1">
        <f>'Chem&amp;FertInputs&amp;CInsurance'!V7</f>
        <v>90</v>
      </c>
      <c r="I9" s="1">
        <f>'Chem&amp;FertInputs&amp;CInsurance'!V8</f>
        <v>90</v>
      </c>
    </row>
    <row r="10" spans="1:34" ht="20">
      <c r="A10" s="15"/>
      <c r="B10" s="85" t="str">
        <f>'Chem&amp;FertInputs&amp;CInsurance'!B9</f>
        <v>Fertilizer - Anhydrous Ammonia-</v>
      </c>
      <c r="C10" s="23" t="str">
        <f>'Chem&amp;FertInputs&amp;CInsurance'!D9</f>
        <v>pound</v>
      </c>
      <c r="D10" s="116">
        <f>'Chem&amp;FertInputs&amp;CInsurance'!E9</f>
        <v>0.75770000000000004</v>
      </c>
      <c r="E10" s="133">
        <f>'Chem&amp;FertInputs&amp;CInsurance'!V9</f>
        <v>0</v>
      </c>
      <c r="F10" s="117" t="str">
        <f t="shared" si="0"/>
        <v>0</v>
      </c>
      <c r="H10" s="1">
        <f>'Chem&amp;FertInputs&amp;CInsurance'!V10</f>
        <v>0</v>
      </c>
      <c r="I10" s="1">
        <f>'Chem&amp;FertInputs&amp;CInsurance'!V11</f>
        <v>0</v>
      </c>
    </row>
    <row r="11" spans="1:34" ht="20">
      <c r="A11" s="15"/>
      <c r="B11" s="85" t="str">
        <f>'Chem&amp;FertInputs&amp;CInsurance'!B12</f>
        <v xml:space="preserve">Fertilizer - Phosphorus- </v>
      </c>
      <c r="C11" s="23" t="str">
        <f>'Chem&amp;FertInputs&amp;CInsurance'!D12</f>
        <v>pound</v>
      </c>
      <c r="D11" s="116">
        <f>'Chem&amp;FertInputs&amp;CInsurance'!E12</f>
        <v>0.47499999999999998</v>
      </c>
      <c r="E11" s="133">
        <f>'Chem&amp;FertInputs&amp;CInsurance'!V12</f>
        <v>8</v>
      </c>
      <c r="F11" s="117">
        <f t="shared" si="0"/>
        <v>3.8</v>
      </c>
      <c r="H11" s="1">
        <f>'Chem&amp;FertInputs&amp;CInsurance'!V13</f>
        <v>8</v>
      </c>
      <c r="I11" s="1">
        <f>'Chem&amp;FertInputs&amp;CInsurance'!V14</f>
        <v>8</v>
      </c>
    </row>
    <row r="12" spans="1:34" ht="20">
      <c r="A12" s="15"/>
      <c r="B12" s="85" t="str">
        <f>'Chem&amp;FertInputs&amp;CInsurance'!B15</f>
        <v>Fertilizer - Potassium-</v>
      </c>
      <c r="C12" s="23" t="str">
        <f>'Chem&amp;FertInputs&amp;CInsurance'!D15</f>
        <v>pound</v>
      </c>
      <c r="D12" s="116">
        <f>'Chem&amp;FertInputs&amp;CInsurance'!E15</f>
        <v>0.441</v>
      </c>
      <c r="E12" s="133">
        <f>'Chem&amp;FertInputs&amp;CInsurance'!V15</f>
        <v>0</v>
      </c>
      <c r="F12" s="117" t="str">
        <f t="shared" si="0"/>
        <v>0</v>
      </c>
      <c r="H12" s="1">
        <f>'Chem&amp;FertInputs&amp;CInsurance'!V16</f>
        <v>0</v>
      </c>
      <c r="I12" s="1">
        <f>'Chem&amp;FertInputs&amp;CInsurance'!V17</f>
        <v>0</v>
      </c>
    </row>
    <row r="13" spans="1:34" ht="20">
      <c r="A13" s="15"/>
      <c r="B13" s="85" t="str">
        <f>'Chem&amp;FertInputs&amp;CInsurance'!B18</f>
        <v>Fertilizer - Sulfur-</v>
      </c>
      <c r="C13" s="23" t="str">
        <f>'Chem&amp;FertInputs&amp;CInsurance'!D18</f>
        <v>pound</v>
      </c>
      <c r="D13" s="116">
        <f>'Chem&amp;FertInputs&amp;CInsurance'!E18</f>
        <v>0.2555</v>
      </c>
      <c r="E13" s="133">
        <f>'Chem&amp;FertInputs&amp;CInsurance'!V18</f>
        <v>17</v>
      </c>
      <c r="F13" s="117">
        <f t="shared" si="0"/>
        <v>4.3434999999999997</v>
      </c>
      <c r="H13" s="1">
        <f>'Chem&amp;FertInputs&amp;CInsurance'!V19</f>
        <v>17</v>
      </c>
      <c r="I13" s="1">
        <f>'Chem&amp;FertInputs&amp;CInsurance'!V20</f>
        <v>17</v>
      </c>
    </row>
    <row r="14" spans="1:34" ht="20">
      <c r="A14" s="15"/>
      <c r="B14" s="85" t="str">
        <f>'Chem&amp;FertInputs&amp;CInsurance'!B21</f>
        <v>Adjuvant - Ammonium Sulfate liquid-</v>
      </c>
      <c r="C14" s="23" t="str">
        <f>'Chem&amp;FertInputs&amp;CInsurance'!D21</f>
        <v>oz</v>
      </c>
      <c r="D14" s="116">
        <f>'Chem&amp;FertInputs&amp;CInsurance'!E21</f>
        <v>0.48</v>
      </c>
      <c r="E14" s="133">
        <f>'Chem&amp;FertInputs&amp;CInsurance'!V21</f>
        <v>5.0999999999999996</v>
      </c>
      <c r="F14" s="117">
        <f t="shared" ref="F14:F20" si="1">IF(D14*E14=0,"0",D14*E14)</f>
        <v>2.448</v>
      </c>
      <c r="G14" s="165">
        <f>E14/128</f>
        <v>3.9843749999999997E-2</v>
      </c>
      <c r="H14" s="1">
        <f>'Chem&amp;FertInputs&amp;CInsurance'!V22</f>
        <v>5.0999999999999996</v>
      </c>
      <c r="I14" s="1">
        <f>'Chem&amp;FertInputs&amp;CInsurance'!V23</f>
        <v>5.0999999999999996</v>
      </c>
    </row>
    <row r="15" spans="1:34" ht="20">
      <c r="A15" s="15"/>
      <c r="B15" s="85" t="str">
        <f>'Chem&amp;FertInputs&amp;CInsurance'!B24</f>
        <v>Adjuvant - Ammonium Sulfate  (other)-</v>
      </c>
      <c r="C15" s="23" t="str">
        <f>'Chem&amp;FertInputs&amp;CInsurance'!D24</f>
        <v>pound</v>
      </c>
      <c r="D15" s="116">
        <f>'Chem&amp;FertInputs&amp;CInsurance'!E24</f>
        <v>0.71</v>
      </c>
      <c r="E15" s="133">
        <f>'Chem&amp;FertInputs&amp;CInsurance'!V24</f>
        <v>0</v>
      </c>
      <c r="F15" s="117" t="str">
        <f t="shared" si="1"/>
        <v>0</v>
      </c>
      <c r="G15" s="165">
        <f>E15/16</f>
        <v>0</v>
      </c>
      <c r="H15" s="1">
        <f>'Chem&amp;FertInputs&amp;CInsurance'!V25</f>
        <v>0</v>
      </c>
      <c r="I15" s="1">
        <f>'Chem&amp;FertInputs&amp;CInsurance'!V26</f>
        <v>0</v>
      </c>
    </row>
    <row r="16" spans="1:34" ht="20">
      <c r="A16" s="15"/>
      <c r="B16" s="85" t="str">
        <f>'Chem&amp;FertInputs&amp;CInsurance'!C27</f>
        <v xml:space="preserve">crop oil concentrate </v>
      </c>
      <c r="C16" s="23" t="str">
        <f>'Chem&amp;FertInputs&amp;CInsurance'!D27</f>
        <v>pint</v>
      </c>
      <c r="D16" s="116">
        <f>'Chem&amp;FertInputs&amp;CInsurance'!E27</f>
        <v>1.6559999999999999</v>
      </c>
      <c r="E16" s="133">
        <f>'Chem&amp;FertInputs&amp;CInsurance'!V27</f>
        <v>0</v>
      </c>
      <c r="F16" s="117" t="str">
        <f t="shared" si="1"/>
        <v>0</v>
      </c>
      <c r="G16" s="165">
        <f>E16/8</f>
        <v>0</v>
      </c>
    </row>
    <row r="17" spans="1:7" ht="20">
      <c r="A17" s="15"/>
      <c r="B17" s="85" t="str">
        <f>'Chem&amp;FertInputs&amp;CInsurance'!C28</f>
        <v>In-place</v>
      </c>
      <c r="C17" s="23" t="str">
        <f>'Chem&amp;FertInputs&amp;CInsurance'!D28</f>
        <v>oz</v>
      </c>
      <c r="D17" s="116">
        <f>'Chem&amp;FertInputs&amp;CInsurance'!E28</f>
        <v>0.35649999999999998</v>
      </c>
      <c r="E17" s="133">
        <f>'Chem&amp;FertInputs&amp;CInsurance'!V28</f>
        <v>0</v>
      </c>
      <c r="F17" s="117" t="str">
        <f t="shared" si="1"/>
        <v>0</v>
      </c>
      <c r="G17" s="165">
        <f>E17/128</f>
        <v>0</v>
      </c>
    </row>
    <row r="18" spans="1:7" ht="20">
      <c r="A18" s="15"/>
      <c r="B18" s="85" t="str">
        <f>'Chem&amp;FertInputs&amp;CInsurance'!C29</f>
        <v xml:space="preserve">M90 </v>
      </c>
      <c r="C18" s="23" t="str">
        <f>'Chem&amp;FertInputs&amp;CInsurance'!D29</f>
        <v>oz</v>
      </c>
      <c r="D18" s="116">
        <f>'Chem&amp;FertInputs&amp;CInsurance'!E29</f>
        <v>0.253</v>
      </c>
      <c r="E18" s="133">
        <f>'Chem&amp;FertInputs&amp;CInsurance'!V29</f>
        <v>0</v>
      </c>
      <c r="F18" s="117" t="str">
        <f t="shared" si="1"/>
        <v>0</v>
      </c>
      <c r="G18" s="165">
        <f>E18/128</f>
        <v>0</v>
      </c>
    </row>
    <row r="19" spans="1:7" ht="20">
      <c r="A19" s="15"/>
      <c r="B19" s="85" t="str">
        <f>'Chem&amp;FertInputs&amp;CInsurance'!C30</f>
        <v>Surfactant</v>
      </c>
      <c r="C19" s="23" t="str">
        <f>'Chem&amp;FertInputs&amp;CInsurance'!D30</f>
        <v>oz</v>
      </c>
      <c r="D19" s="116">
        <f>'Chem&amp;FertInputs&amp;CInsurance'!E30</f>
        <v>0.26450000000000001</v>
      </c>
      <c r="E19" s="133">
        <f>'Chem&amp;FertInputs&amp;CInsurance'!V30</f>
        <v>4.5</v>
      </c>
      <c r="F19" s="117">
        <f t="shared" si="1"/>
        <v>1.19025</v>
      </c>
      <c r="G19" s="165">
        <f>E19/128</f>
        <v>3.515625E-2</v>
      </c>
    </row>
    <row r="20" spans="1:7" ht="20">
      <c r="A20" s="15"/>
      <c r="B20" s="85" t="str">
        <f>'Chem&amp;FertInputs&amp;CInsurance'!C31</f>
        <v>Syltac sticker</v>
      </c>
      <c r="C20" s="23" t="str">
        <f>'Chem&amp;FertInputs&amp;CInsurance'!D31</f>
        <v>pint</v>
      </c>
      <c r="D20" s="116">
        <f>'Chem&amp;FertInputs&amp;CInsurance'!E31</f>
        <v>7.1874999999999991</v>
      </c>
      <c r="E20" s="133">
        <f>'Chem&amp;FertInputs&amp;CInsurance'!V31</f>
        <v>0</v>
      </c>
      <c r="F20" s="117" t="str">
        <f t="shared" si="1"/>
        <v>0</v>
      </c>
      <c r="G20" s="165">
        <f>E20/8</f>
        <v>0</v>
      </c>
    </row>
    <row r="21" spans="1:7" ht="20">
      <c r="A21" s="15"/>
      <c r="B21" s="85" t="str">
        <f>'Chem&amp;FertInputs&amp;CInsurance'!C33</f>
        <v>2,4 - D</v>
      </c>
      <c r="C21" s="23" t="str">
        <f>'Chem&amp;FertInputs&amp;CInsurance'!D33</f>
        <v>oz</v>
      </c>
      <c r="D21" s="116">
        <f>'Chem&amp;FertInputs&amp;CInsurance'!E33</f>
        <v>0.33349999999999996</v>
      </c>
      <c r="E21" s="133">
        <f>'Chem&amp;FertInputs&amp;CInsurance'!V33</f>
        <v>0</v>
      </c>
      <c r="F21" s="117" t="str">
        <f t="shared" si="0"/>
        <v>0</v>
      </c>
      <c r="G21" s="165">
        <f t="shared" ref="G21:G30" si="2">E21/128</f>
        <v>0</v>
      </c>
    </row>
    <row r="22" spans="1:7" ht="20">
      <c r="A22" s="15"/>
      <c r="B22" s="85" t="str">
        <f>'Chem&amp;FertInputs&amp;CInsurance'!C34</f>
        <v>Achieve SC</v>
      </c>
      <c r="C22" s="23" t="str">
        <f>'Chem&amp;FertInputs&amp;CInsurance'!D34</f>
        <v>oz</v>
      </c>
      <c r="D22" s="116">
        <f>'Chem&amp;FertInputs&amp;CInsurance'!E34</f>
        <v>1.3454999999999999</v>
      </c>
      <c r="E22" s="133">
        <f>'Chem&amp;FertInputs&amp;CInsurance'!V34</f>
        <v>0</v>
      </c>
      <c r="F22" s="117" t="str">
        <f t="shared" si="0"/>
        <v>0</v>
      </c>
      <c r="G22" s="165">
        <f t="shared" si="2"/>
        <v>0</v>
      </c>
    </row>
    <row r="23" spans="1:7" ht="20">
      <c r="A23" s="15"/>
      <c r="B23" s="85" t="str">
        <f>'Chem&amp;FertInputs&amp;CInsurance'!C35</f>
        <v>Affintity TankMix</v>
      </c>
      <c r="C23" s="23" t="str">
        <f>'Chem&amp;FertInputs&amp;CInsurance'!D35</f>
        <v>oz</v>
      </c>
      <c r="D23" s="116">
        <f>'Chem&amp;FertInputs&amp;CInsurance'!E35</f>
        <v>8.9699999999999989</v>
      </c>
      <c r="E23" s="133">
        <f>'Chem&amp;FertInputs&amp;CInsurance'!V35</f>
        <v>0</v>
      </c>
      <c r="F23" s="117" t="str">
        <f t="shared" si="0"/>
        <v>0</v>
      </c>
      <c r="G23" s="165">
        <f t="shared" si="2"/>
        <v>0</v>
      </c>
    </row>
    <row r="24" spans="1:7" ht="20">
      <c r="A24" s="15"/>
      <c r="B24" s="85" t="str">
        <f>'Chem&amp;FertInputs&amp;CInsurance'!C36</f>
        <v xml:space="preserve">Ally </v>
      </c>
      <c r="C24" s="23" t="str">
        <f>'Chem&amp;FertInputs&amp;CInsurance'!D36</f>
        <v>oz</v>
      </c>
      <c r="D24" s="116">
        <f>'Chem&amp;FertInputs&amp;CInsurance'!E36</f>
        <v>1.7249999999999999</v>
      </c>
      <c r="E24" s="133">
        <f>'Chem&amp;FertInputs&amp;CInsurance'!V36</f>
        <v>0</v>
      </c>
      <c r="F24" s="117" t="str">
        <f t="shared" si="0"/>
        <v>0</v>
      </c>
      <c r="G24" s="165">
        <f t="shared" si="2"/>
        <v>0</v>
      </c>
    </row>
    <row r="25" spans="1:7" ht="20">
      <c r="A25" s="15"/>
      <c r="B25" s="85" t="str">
        <f>'Chem&amp;FertInputs&amp;CInsurance'!C37</f>
        <v>Assure</v>
      </c>
      <c r="C25" s="23" t="str">
        <f>'Chem&amp;FertInputs&amp;CInsurance'!D37</f>
        <v>oz</v>
      </c>
      <c r="D25" s="116">
        <f>'Chem&amp;FertInputs&amp;CInsurance'!E37</f>
        <v>0.98899999999999988</v>
      </c>
      <c r="E25" s="133">
        <f>'Chem&amp;FertInputs&amp;CInsurance'!V37</f>
        <v>0</v>
      </c>
      <c r="F25" s="117" t="str">
        <f t="shared" si="0"/>
        <v>0</v>
      </c>
      <c r="G25" s="165">
        <f t="shared" si="2"/>
        <v>0</v>
      </c>
    </row>
    <row r="26" spans="1:7" ht="20">
      <c r="A26" s="15"/>
      <c r="B26" s="85" t="str">
        <f>'Chem&amp;FertInputs&amp;CInsurance'!C38</f>
        <v>Axial Star</v>
      </c>
      <c r="C26" s="23" t="str">
        <f>'Chem&amp;FertInputs&amp;CInsurance'!D38</f>
        <v>oz</v>
      </c>
      <c r="D26" s="116">
        <f>'Chem&amp;FertInputs&amp;CInsurance'!E38</f>
        <v>1.3224999999999998</v>
      </c>
      <c r="E26" s="133">
        <f>'Chem&amp;FertInputs&amp;CInsurance'!V38</f>
        <v>0</v>
      </c>
      <c r="F26" s="117" t="str">
        <f t="shared" si="0"/>
        <v>0</v>
      </c>
      <c r="G26" s="165">
        <f t="shared" si="2"/>
        <v>0</v>
      </c>
    </row>
    <row r="27" spans="1:7" ht="20">
      <c r="A27" s="15"/>
      <c r="B27" s="85" t="str">
        <f>'Chem&amp;FertInputs&amp;CInsurance'!C39</f>
        <v>Axial Bold</v>
      </c>
      <c r="C27" s="23" t="str">
        <f>'Chem&amp;FertInputs&amp;CInsurance'!D39</f>
        <v>oz</v>
      </c>
      <c r="D27" s="116">
        <f>'Chem&amp;FertInputs&amp;CInsurance'!E39</f>
        <v>1.0924999999999998</v>
      </c>
      <c r="E27" s="133">
        <f>'Chem&amp;FertInputs&amp;CInsurance'!V39</f>
        <v>0</v>
      </c>
      <c r="F27" s="117" t="str">
        <f t="shared" si="0"/>
        <v>0</v>
      </c>
      <c r="G27" s="165">
        <f t="shared" si="2"/>
        <v>0</v>
      </c>
    </row>
    <row r="28" spans="1:7" ht="20">
      <c r="A28" s="15"/>
      <c r="B28" s="85" t="str">
        <f>'Chem&amp;FertInputs&amp;CInsurance'!C40</f>
        <v>Bronate</v>
      </c>
      <c r="C28" s="23" t="str">
        <f>'Chem&amp;FertInputs&amp;CInsurance'!D40</f>
        <v>oz</v>
      </c>
      <c r="D28" s="116">
        <f>'Chem&amp;FertInputs&amp;CInsurance'!E40</f>
        <v>7.911999999999999</v>
      </c>
      <c r="E28" s="133">
        <f>'Chem&amp;FertInputs&amp;CInsurance'!V40</f>
        <v>0</v>
      </c>
      <c r="F28" s="117" t="str">
        <f t="shared" si="0"/>
        <v>0</v>
      </c>
      <c r="G28" s="165">
        <f t="shared" si="2"/>
        <v>0</v>
      </c>
    </row>
    <row r="29" spans="1:7" ht="20">
      <c r="A29" s="15"/>
      <c r="B29" s="85" t="str">
        <f>'Chem&amp;FertInputs&amp;CInsurance'!C41</f>
        <v xml:space="preserve">Brox M </v>
      </c>
      <c r="C29" s="23" t="str">
        <f>'Chem&amp;FertInputs&amp;CInsurance'!D41</f>
        <v>oz</v>
      </c>
      <c r="D29" s="116">
        <f>'Chem&amp;FertInputs&amp;CInsurance'!E41</f>
        <v>0.42549999999999999</v>
      </c>
      <c r="E29" s="133">
        <f>'Chem&amp;FertInputs&amp;CInsurance'!V41</f>
        <v>0</v>
      </c>
      <c r="F29" s="117" t="str">
        <f t="shared" si="0"/>
        <v>0</v>
      </c>
      <c r="G29" s="165">
        <f t="shared" si="2"/>
        <v>0</v>
      </c>
    </row>
    <row r="30" spans="1:7" ht="20">
      <c r="A30" s="15"/>
      <c r="B30" s="85" t="str">
        <f>'Chem&amp;FertInputs&amp;CInsurance'!C42</f>
        <v>Capture</v>
      </c>
      <c r="C30" s="23" t="str">
        <f>'Chem&amp;FertInputs&amp;CInsurance'!D42</f>
        <v>oz</v>
      </c>
      <c r="D30" s="116">
        <f>'Chem&amp;FertInputs&amp;CInsurance'!E42</f>
        <v>2.7024999999999997</v>
      </c>
      <c r="E30" s="133">
        <f>'Chem&amp;FertInputs&amp;CInsurance'!V42</f>
        <v>5</v>
      </c>
      <c r="F30" s="117">
        <f t="shared" si="0"/>
        <v>13.512499999999999</v>
      </c>
      <c r="G30" s="165">
        <f t="shared" si="2"/>
        <v>3.90625E-2</v>
      </c>
    </row>
    <row r="31" spans="1:7" ht="20">
      <c r="A31" s="15"/>
      <c r="B31" s="85" t="str">
        <f>'Chem&amp;FertInputs&amp;CInsurance'!C43</f>
        <v xml:space="preserve">Dimethoate </v>
      </c>
      <c r="C31" s="23" t="str">
        <f>'Chem&amp;FertInputs&amp;CInsurance'!D43</f>
        <v>pint</v>
      </c>
      <c r="D31" s="116">
        <f>'Chem&amp;FertInputs&amp;CInsurance'!E43</f>
        <v>7.1874999999999991</v>
      </c>
      <c r="E31" s="133">
        <f>'Chem&amp;FertInputs&amp;CInsurance'!V43</f>
        <v>0</v>
      </c>
      <c r="F31" s="117" t="str">
        <f t="shared" si="0"/>
        <v>0</v>
      </c>
      <c r="G31" s="165">
        <f>E31/8</f>
        <v>0</v>
      </c>
    </row>
    <row r="32" spans="1:7" ht="20">
      <c r="A32" s="15"/>
      <c r="B32" s="85" t="str">
        <f>'Chem&amp;FertInputs&amp;CInsurance'!C44</f>
        <v>Clethodim</v>
      </c>
      <c r="C32" s="23" t="str">
        <f>'Chem&amp;FertInputs&amp;CInsurance'!D44</f>
        <v>oz</v>
      </c>
      <c r="D32" s="116">
        <f>'Chem&amp;FertInputs&amp;CInsurance'!E44</f>
        <v>0.75900000000000001</v>
      </c>
      <c r="E32" s="133">
        <f>'Chem&amp;FertInputs&amp;CInsurance'!V44</f>
        <v>0</v>
      </c>
      <c r="F32" s="117" t="str">
        <f t="shared" ref="F32" si="3">IF(D32*E32=0,"0",D32*E32)</f>
        <v>0</v>
      </c>
      <c r="G32" s="165">
        <f t="shared" ref="G32:G37" si="4">E32/128</f>
        <v>0</v>
      </c>
    </row>
    <row r="33" spans="1:7" ht="20">
      <c r="A33" s="15"/>
      <c r="B33" s="85" t="str">
        <f>'Chem&amp;FertInputs&amp;CInsurance'!C45</f>
        <v>Discover</v>
      </c>
      <c r="C33" s="23" t="str">
        <f>'Chem&amp;FertInputs&amp;CInsurance'!D45</f>
        <v>oz</v>
      </c>
      <c r="D33" s="116">
        <f>'Chem&amp;FertInputs&amp;CInsurance'!E45</f>
        <v>1.6904999999999999</v>
      </c>
      <c r="E33" s="133">
        <f>'Chem&amp;FertInputs&amp;CInsurance'!V45</f>
        <v>0</v>
      </c>
      <c r="F33" s="117" t="str">
        <f t="shared" si="0"/>
        <v>0</v>
      </c>
      <c r="G33" s="165">
        <f t="shared" si="4"/>
        <v>0</v>
      </c>
    </row>
    <row r="34" spans="1:7" ht="20">
      <c r="A34" s="15"/>
      <c r="B34" s="85" t="str">
        <f>'Chem&amp;FertInputs&amp;CInsurance'!C46</f>
        <v>FarGO</v>
      </c>
      <c r="C34" s="23" t="str">
        <f>'Chem&amp;FertInputs&amp;CInsurance'!D46</f>
        <v>oz</v>
      </c>
      <c r="D34" s="116">
        <f>'Chem&amp;FertInputs&amp;CInsurance'!E46</f>
        <v>19.158999999999999</v>
      </c>
      <c r="E34" s="133">
        <f>'Chem&amp;FertInputs&amp;CInsurance'!V46</f>
        <v>0</v>
      </c>
      <c r="F34" s="117" t="str">
        <f t="shared" si="0"/>
        <v>0</v>
      </c>
      <c r="G34" s="165">
        <f t="shared" si="4"/>
        <v>0</v>
      </c>
    </row>
    <row r="35" spans="1:7" ht="20">
      <c r="A35" s="15"/>
      <c r="B35" s="85" t="str">
        <f>'Chem&amp;FertInputs&amp;CInsurance'!C47</f>
        <v>Finesse</v>
      </c>
      <c r="C35" s="23" t="str">
        <f>'Chem&amp;FertInputs&amp;CInsurance'!D47</f>
        <v>oz</v>
      </c>
      <c r="D35" s="116">
        <f>'Chem&amp;FertInputs&amp;CInsurance'!E47</f>
        <v>19.940999999999999</v>
      </c>
      <c r="E35" s="133">
        <f>'Chem&amp;FertInputs&amp;CInsurance'!V47</f>
        <v>0</v>
      </c>
      <c r="F35" s="117" t="str">
        <f t="shared" si="0"/>
        <v>0</v>
      </c>
      <c r="G35" s="165">
        <f t="shared" si="4"/>
        <v>0</v>
      </c>
    </row>
    <row r="36" spans="1:7" ht="20">
      <c r="A36" s="15"/>
      <c r="B36" s="85" t="str">
        <f>'Chem&amp;FertInputs&amp;CInsurance'!C48</f>
        <v>Glyphosate</v>
      </c>
      <c r="C36" s="23" t="str">
        <f>'Chem&amp;FertInputs&amp;CInsurance'!D48</f>
        <v>oz</v>
      </c>
      <c r="D36" s="116">
        <f>'Chem&amp;FertInputs&amp;CInsurance'!E48</f>
        <v>0.14949999999999999</v>
      </c>
      <c r="E36" s="133">
        <f>'Chem&amp;FertInputs&amp;CInsurance'!V48</f>
        <v>0</v>
      </c>
      <c r="F36" s="117" t="str">
        <f t="shared" si="0"/>
        <v>0</v>
      </c>
      <c r="G36" s="165">
        <f t="shared" si="4"/>
        <v>0</v>
      </c>
    </row>
    <row r="37" spans="1:7" ht="20">
      <c r="A37" s="15"/>
      <c r="B37" s="85" t="str">
        <f>'Chem&amp;FertInputs&amp;CInsurance'!C49</f>
        <v>Huskie</v>
      </c>
      <c r="C37" s="23" t="str">
        <f>'Chem&amp;FertInputs&amp;CInsurance'!D49</f>
        <v>oz</v>
      </c>
      <c r="D37" s="116">
        <f>'Chem&amp;FertInputs&amp;CInsurance'!E49</f>
        <v>0.88549999999999995</v>
      </c>
      <c r="E37" s="133">
        <f>'Chem&amp;FertInputs&amp;CInsurance'!V49</f>
        <v>0</v>
      </c>
      <c r="F37" s="117" t="str">
        <f t="shared" si="0"/>
        <v>0</v>
      </c>
      <c r="G37" s="165">
        <f t="shared" si="4"/>
        <v>0</v>
      </c>
    </row>
    <row r="38" spans="1:7" ht="20">
      <c r="A38" s="15"/>
      <c r="B38" s="85" t="str">
        <f>'Chem&amp;FertInputs&amp;CInsurance'!C50</f>
        <v>Imidan 70</v>
      </c>
      <c r="C38" s="23" t="str">
        <f>'Chem&amp;FertInputs&amp;CInsurance'!D50</f>
        <v>lb</v>
      </c>
      <c r="D38" s="116">
        <f>'Chem&amp;FertInputs&amp;CInsurance'!E50</f>
        <v>17.295999999999999</v>
      </c>
      <c r="E38" s="133">
        <f>'Chem&amp;FertInputs&amp;CInsurance'!V50</f>
        <v>0</v>
      </c>
      <c r="F38" s="117" t="str">
        <f t="shared" si="0"/>
        <v>0</v>
      </c>
      <c r="G38" s="165">
        <f>E38/16</f>
        <v>0</v>
      </c>
    </row>
    <row r="39" spans="1:7" ht="20">
      <c r="A39" s="15"/>
      <c r="B39" s="85" t="str">
        <f>'Chem&amp;FertInputs&amp;CInsurance'!C51</f>
        <v xml:space="preserve">Maverick </v>
      </c>
      <c r="C39" s="23" t="str">
        <f>'Chem&amp;FertInputs&amp;CInsurance'!D51</f>
        <v>oz</v>
      </c>
      <c r="D39" s="116">
        <f>'Chem&amp;FertInputs&amp;CInsurance'!E51</f>
        <v>23.885499999999997</v>
      </c>
      <c r="E39" s="133">
        <f>'Chem&amp;FertInputs&amp;CInsurance'!V51</f>
        <v>0</v>
      </c>
      <c r="F39" s="117" t="str">
        <f t="shared" si="0"/>
        <v>0</v>
      </c>
      <c r="G39" s="165">
        <f t="shared" ref="G39:G51" si="5">E39/128</f>
        <v>0</v>
      </c>
    </row>
    <row r="40" spans="1:7" ht="20">
      <c r="A40" s="15"/>
      <c r="B40" s="85" t="str">
        <f>'Chem&amp;FertInputs&amp;CInsurance'!C52</f>
        <v>Osprey</v>
      </c>
      <c r="C40" s="23" t="str">
        <f>'Chem&amp;FertInputs&amp;CInsurance'!D52</f>
        <v>oz</v>
      </c>
      <c r="D40" s="116">
        <f>'Chem&amp;FertInputs&amp;CInsurance'!E52</f>
        <v>5.0484999999999989</v>
      </c>
      <c r="E40" s="133">
        <f>'Chem&amp;FertInputs&amp;CInsurance'!V52</f>
        <v>0</v>
      </c>
      <c r="F40" s="117" t="str">
        <f t="shared" si="0"/>
        <v>0</v>
      </c>
      <c r="G40" s="165">
        <f t="shared" si="5"/>
        <v>0</v>
      </c>
    </row>
    <row r="41" spans="1:7" ht="20">
      <c r="A41" s="15"/>
      <c r="B41" s="85" t="str">
        <f>'Chem&amp;FertInputs&amp;CInsurance'!C53</f>
        <v>Poast</v>
      </c>
      <c r="C41" s="23" t="str">
        <f>'Chem&amp;FertInputs&amp;CInsurance'!D53</f>
        <v>oz</v>
      </c>
      <c r="D41" s="116">
        <f>'Chem&amp;FertInputs&amp;CInsurance'!E53</f>
        <v>19.285499999999999</v>
      </c>
      <c r="E41" s="133">
        <f>'Chem&amp;FertInputs&amp;CInsurance'!V53</f>
        <v>0</v>
      </c>
      <c r="F41" s="117" t="str">
        <f t="shared" ref="F41" si="6">IF(D41*E41=0,"0",D41*E41)</f>
        <v>0</v>
      </c>
      <c r="G41" s="165">
        <f t="shared" si="5"/>
        <v>0</v>
      </c>
    </row>
    <row r="42" spans="1:7" ht="20">
      <c r="A42" s="15"/>
      <c r="B42" s="85" t="str">
        <f>'Chem&amp;FertInputs&amp;CInsurance'!C54</f>
        <v>Power Flex</v>
      </c>
      <c r="C42" s="23" t="str">
        <f>'Chem&amp;FertInputs&amp;CInsurance'!D54</f>
        <v>oz</v>
      </c>
      <c r="D42" s="116">
        <f>'Chem&amp;FertInputs&amp;CInsurance'!E54</f>
        <v>8.9124999999999996</v>
      </c>
      <c r="E42" s="133">
        <f>'Chem&amp;FertInputs&amp;CInsurance'!V54</f>
        <v>0</v>
      </c>
      <c r="F42" s="117" t="str">
        <f t="shared" si="0"/>
        <v>0</v>
      </c>
      <c r="G42" s="165">
        <f t="shared" si="5"/>
        <v>0</v>
      </c>
    </row>
    <row r="43" spans="1:7" ht="20">
      <c r="A43" s="15"/>
      <c r="B43" s="85" t="str">
        <f>'Chem&amp;FertInputs&amp;CInsurance'!C55</f>
        <v>Priaxor</v>
      </c>
      <c r="C43" s="23" t="str">
        <f>'Chem&amp;FertInputs&amp;CInsurance'!D55</f>
        <v>oz</v>
      </c>
      <c r="D43" s="116">
        <f>'Chem&amp;FertInputs&amp;CInsurance'!E55</f>
        <v>3.4269999999999996</v>
      </c>
      <c r="E43" s="133">
        <f>'Chem&amp;FertInputs&amp;CInsurance'!V55</f>
        <v>0</v>
      </c>
      <c r="F43" s="117" t="str">
        <f t="shared" si="0"/>
        <v>0</v>
      </c>
      <c r="G43" s="165">
        <f t="shared" si="5"/>
        <v>0</v>
      </c>
    </row>
    <row r="44" spans="1:7" ht="20">
      <c r="A44" s="15"/>
      <c r="B44" s="85" t="str">
        <f>'Chem&amp;FertInputs&amp;CInsurance'!C56</f>
        <v>Prowl</v>
      </c>
      <c r="C44" s="23" t="str">
        <f>'Chem&amp;FertInputs&amp;CInsurance'!D56</f>
        <v>oz</v>
      </c>
      <c r="D44" s="116">
        <f>'Chem&amp;FertInputs&amp;CInsurance'!E56</f>
        <v>0.51749999999999996</v>
      </c>
      <c r="E44" s="133">
        <f>'Chem&amp;FertInputs&amp;CInsurance'!V56</f>
        <v>0</v>
      </c>
      <c r="F44" s="117" t="str">
        <f t="shared" si="0"/>
        <v>0</v>
      </c>
      <c r="G44" s="165">
        <f t="shared" si="5"/>
        <v>0</v>
      </c>
    </row>
    <row r="45" spans="1:7" ht="20">
      <c r="A45" s="15"/>
      <c r="B45" s="85" t="str">
        <f>'Chem&amp;FertInputs&amp;CInsurance'!C57</f>
        <v>Pursuit</v>
      </c>
      <c r="C45" s="23" t="str">
        <f>'Chem&amp;FertInputs&amp;CInsurance'!D57</f>
        <v>oz</v>
      </c>
      <c r="D45" s="116">
        <f>'Chem&amp;FertInputs&amp;CInsurance'!E57</f>
        <v>4.0594999999999999</v>
      </c>
      <c r="E45" s="133">
        <f>'Chem&amp;FertInputs&amp;CInsurance'!V57</f>
        <v>0</v>
      </c>
      <c r="F45" s="117" t="str">
        <f t="shared" si="0"/>
        <v>0</v>
      </c>
      <c r="G45" s="165">
        <f t="shared" si="5"/>
        <v>0</v>
      </c>
    </row>
    <row r="46" spans="1:7" ht="20">
      <c r="A46" s="15"/>
      <c r="B46" s="85" t="str">
        <f>'Chem&amp;FertInputs&amp;CInsurance'!C58</f>
        <v xml:space="preserve">Quadris </v>
      </c>
      <c r="C46" s="23" t="str">
        <f>'Chem&amp;FertInputs&amp;CInsurance'!D58</f>
        <v>oz</v>
      </c>
      <c r="D46" s="116">
        <f>'Chem&amp;FertInputs&amp;CInsurance'!E58</f>
        <v>1.127</v>
      </c>
      <c r="E46" s="133">
        <f>'Chem&amp;FertInputs&amp;CInsurance'!V58</f>
        <v>0</v>
      </c>
      <c r="F46" s="117" t="str">
        <f t="shared" si="0"/>
        <v>0</v>
      </c>
      <c r="G46" s="165">
        <f t="shared" si="5"/>
        <v>0</v>
      </c>
    </row>
    <row r="47" spans="1:7" ht="20">
      <c r="A47" s="15"/>
      <c r="B47" s="85" t="str">
        <f>'Chem&amp;FertInputs&amp;CInsurance'!C59</f>
        <v>Quilt</v>
      </c>
      <c r="C47" s="23" t="str">
        <f>'Chem&amp;FertInputs&amp;CInsurance'!D59</f>
        <v>oz</v>
      </c>
      <c r="D47" s="116">
        <f>'Chem&amp;FertInputs&amp;CInsurance'!E59</f>
        <v>1.4834999999999998</v>
      </c>
      <c r="E47" s="133">
        <f>'Chem&amp;FertInputs&amp;CInsurance'!V59</f>
        <v>0</v>
      </c>
      <c r="F47" s="117" t="str">
        <f t="shared" si="0"/>
        <v>0</v>
      </c>
      <c r="G47" s="165">
        <f t="shared" si="5"/>
        <v>0</v>
      </c>
    </row>
    <row r="48" spans="1:7" ht="20">
      <c r="A48" s="15"/>
      <c r="B48" s="85" t="str">
        <f>'Chem&amp;FertInputs&amp;CInsurance'!C60</f>
        <v>R11</v>
      </c>
      <c r="C48" s="23" t="str">
        <f>'Chem&amp;FertInputs&amp;CInsurance'!D60</f>
        <v>oz</v>
      </c>
      <c r="D48" s="116">
        <f>'Chem&amp;FertInputs&amp;CInsurance'!E60</f>
        <v>0.26450000000000001</v>
      </c>
      <c r="E48" s="133">
        <f>'Chem&amp;FertInputs&amp;CInsurance'!V60</f>
        <v>0</v>
      </c>
      <c r="F48" s="117" t="str">
        <f t="shared" si="0"/>
        <v>0</v>
      </c>
      <c r="G48" s="165">
        <f t="shared" si="5"/>
        <v>0</v>
      </c>
    </row>
    <row r="49" spans="1:7" ht="20">
      <c r="A49" s="15"/>
      <c r="B49" s="85" t="str">
        <f>'Chem&amp;FertInputs&amp;CInsurance'!C61</f>
        <v>Starane</v>
      </c>
      <c r="C49" s="23" t="str">
        <f>'Chem&amp;FertInputs&amp;CInsurance'!D61</f>
        <v>oz</v>
      </c>
      <c r="D49" s="116">
        <f>'Chem&amp;FertInputs&amp;CInsurance'!E61</f>
        <v>0.77049999999999996</v>
      </c>
      <c r="E49" s="133">
        <f>'Chem&amp;FertInputs&amp;CInsurance'!V61</f>
        <v>0</v>
      </c>
      <c r="F49" s="117" t="str">
        <f t="shared" si="0"/>
        <v>0</v>
      </c>
      <c r="G49" s="165">
        <f t="shared" si="5"/>
        <v>0</v>
      </c>
    </row>
    <row r="50" spans="1:7" ht="20">
      <c r="A50" s="15"/>
      <c r="B50" s="85" t="str">
        <f>'Chem&amp;FertInputs&amp;CInsurance'!C62</f>
        <v>Starane + Salvo</v>
      </c>
      <c r="C50" s="23" t="str">
        <f>'Chem&amp;FertInputs&amp;CInsurance'!D62</f>
        <v>oz</v>
      </c>
      <c r="D50" s="116">
        <f>'Chem&amp;FertInputs&amp;CInsurance'!E62</f>
        <v>0.77049999999999996</v>
      </c>
      <c r="E50" s="133">
        <f>'Chem&amp;FertInputs&amp;CInsurance'!V62</f>
        <v>0</v>
      </c>
      <c r="F50" s="117" t="str">
        <f t="shared" si="0"/>
        <v>0</v>
      </c>
      <c r="G50" s="165">
        <f t="shared" si="5"/>
        <v>0</v>
      </c>
    </row>
    <row r="51" spans="1:7" ht="20">
      <c r="A51" s="15"/>
      <c r="B51" s="85" t="str">
        <f>'Chem&amp;FertInputs&amp;CInsurance'!C63</f>
        <v xml:space="preserve">Starane + Sword </v>
      </c>
      <c r="C51" s="23" t="str">
        <f>'Chem&amp;FertInputs&amp;CInsurance'!D63</f>
        <v>oz</v>
      </c>
      <c r="D51" s="116">
        <f>'Chem&amp;FertInputs&amp;CInsurance'!E63</f>
        <v>0.77049999999999996</v>
      </c>
      <c r="E51" s="133">
        <f>'Chem&amp;FertInputs&amp;CInsurance'!V63</f>
        <v>0</v>
      </c>
      <c r="F51" s="117" t="str">
        <f t="shared" si="0"/>
        <v>0</v>
      </c>
      <c r="G51" s="165">
        <f t="shared" si="5"/>
        <v>0</v>
      </c>
    </row>
    <row r="52" spans="1:7" ht="20">
      <c r="A52" s="15"/>
      <c r="B52" s="85" t="str">
        <f>'Chem&amp;FertInputs&amp;CInsurance'!C64</f>
        <v xml:space="preserve"> Tilt</v>
      </c>
      <c r="C52" s="23" t="str">
        <f>'Chem&amp;FertInputs&amp;CInsurance'!D64</f>
        <v>oz</v>
      </c>
      <c r="D52" s="116">
        <f>'Chem&amp;FertInputs&amp;CInsurance'!E64</f>
        <v>0.88549999999999995</v>
      </c>
      <c r="E52" s="133">
        <f>'Chem&amp;FertInputs&amp;CInsurance'!V64</f>
        <v>4</v>
      </c>
      <c r="F52" s="117">
        <f t="shared" ref="F52:F53" si="7">IF(D52*E52=0,"0",D52*E52)</f>
        <v>3.5419999999999998</v>
      </c>
      <c r="G52" s="165">
        <f t="shared" ref="G52:G53" si="8">E52/128</f>
        <v>3.125E-2</v>
      </c>
    </row>
    <row r="53" spans="1:7" ht="20">
      <c r="A53" s="15"/>
      <c r="B53" s="85" t="str">
        <f>'Chem&amp;FertInputs&amp;CInsurance'!C65</f>
        <v xml:space="preserve">Wildcard </v>
      </c>
      <c r="C53" s="23" t="str">
        <f>'Chem&amp;FertInputs&amp;CInsurance'!D65</f>
        <v>oz</v>
      </c>
      <c r="D53" s="116">
        <f>'Chem&amp;FertInputs&amp;CInsurance'!E65</f>
        <v>0.35649999999999998</v>
      </c>
      <c r="E53" s="133">
        <f>'Chem&amp;FertInputs&amp;CInsurance'!V65</f>
        <v>0</v>
      </c>
      <c r="F53" s="117" t="str">
        <f t="shared" si="7"/>
        <v>0</v>
      </c>
      <c r="G53" s="165">
        <f t="shared" si="8"/>
        <v>0</v>
      </c>
    </row>
    <row r="54" spans="1:7" ht="20">
      <c r="A54" s="15"/>
      <c r="B54" s="85" t="str">
        <f>'Chem&amp;FertInputs&amp;CInsurance'!C66</f>
        <v>Sharpen</v>
      </c>
      <c r="C54" s="23" t="str">
        <f>'Chem&amp;FertInputs&amp;CInsurance'!D66</f>
        <v>oz</v>
      </c>
      <c r="D54" s="116">
        <f>'Chem&amp;FertInputs&amp;CInsurance'!E66</f>
        <v>6.3134999999999994</v>
      </c>
      <c r="E54" s="133">
        <f>'Chem&amp;FertInputs&amp;CInsurance'!V66</f>
        <v>0</v>
      </c>
      <c r="F54" s="117" t="str">
        <f t="shared" si="0"/>
        <v>0</v>
      </c>
      <c r="G54" s="165">
        <f>E54/128</f>
        <v>0</v>
      </c>
    </row>
    <row r="55" spans="1:7" ht="20">
      <c r="A55" s="15"/>
      <c r="B55" s="85" t="str">
        <f>'Chem&amp;FertInputs&amp;CInsurance'!C67</f>
        <v>Sencor</v>
      </c>
      <c r="C55" s="23" t="str">
        <f>'Chem&amp;FertInputs&amp;CInsurance'!D67</f>
        <v>oz</v>
      </c>
      <c r="D55" s="116">
        <f>'Chem&amp;FertInputs&amp;CInsurance'!E67</f>
        <v>0.45999999999999996</v>
      </c>
      <c r="E55" s="133">
        <f>'Chem&amp;FertInputs&amp;CInsurance'!V67</f>
        <v>0</v>
      </c>
      <c r="F55" s="117" t="str">
        <f t="shared" si="0"/>
        <v>0</v>
      </c>
      <c r="G55" s="165">
        <f>E55/128</f>
        <v>0</v>
      </c>
    </row>
    <row r="56" spans="1:7" ht="20">
      <c r="A56" s="15"/>
      <c r="B56" s="85" t="str">
        <f>'Chem&amp;FertInputs&amp;CInsurance'!C68</f>
        <v>Warrior</v>
      </c>
      <c r="C56" s="23" t="str">
        <f>'Chem&amp;FertInputs&amp;CInsurance'!D68</f>
        <v>acre</v>
      </c>
      <c r="D56" s="116">
        <f>'Chem&amp;FertInputs&amp;CInsurance'!E68</f>
        <v>3.4499999999999997</v>
      </c>
      <c r="E56" s="133">
        <f>'Chem&amp;FertInputs&amp;CInsurance'!V68</f>
        <v>0</v>
      </c>
      <c r="F56" s="117" t="str">
        <f t="shared" si="0"/>
        <v>0</v>
      </c>
      <c r="G56" s="165">
        <f>E56/128</f>
        <v>0</v>
      </c>
    </row>
    <row r="57" spans="1:7" ht="20">
      <c r="A57" s="15"/>
      <c r="B57" s="85" t="str">
        <f>'Chem&amp;FertInputs&amp;CInsurance'!C69</f>
        <v xml:space="preserve"> Lorox</v>
      </c>
      <c r="C57" s="23" t="str">
        <f>'Chem&amp;FertInputs&amp;CInsurance'!D69</f>
        <v>lb</v>
      </c>
      <c r="D57" s="116">
        <f>'Chem&amp;FertInputs&amp;CInsurance'!E69</f>
        <v>26.565000000000001</v>
      </c>
      <c r="E57" s="133">
        <f>'Chem&amp;FertInputs&amp;CInsurance'!V69</f>
        <v>0</v>
      </c>
      <c r="F57" s="117" t="str">
        <f t="shared" si="0"/>
        <v>0</v>
      </c>
      <c r="G57" s="165">
        <f>E57/128</f>
        <v>0</v>
      </c>
    </row>
    <row r="58" spans="1:7" ht="20">
      <c r="A58" s="15"/>
      <c r="B58" s="85" t="str">
        <f>'Chem&amp;FertInputs&amp;CInsurance'!C70</f>
        <v xml:space="preserve"> Valor</v>
      </c>
      <c r="C58" s="23" t="str">
        <f>'Chem&amp;FertInputs&amp;CInsurance'!D70</f>
        <v>oz</v>
      </c>
      <c r="D58" s="116">
        <f>'Chem&amp;FertInputs&amp;CInsurance'!E70</f>
        <v>6.6124999999999998</v>
      </c>
      <c r="E58" s="133">
        <f>'Chem&amp;FertInputs&amp;CInsurance'!V70</f>
        <v>0</v>
      </c>
      <c r="F58" s="117" t="str">
        <f t="shared" ref="F58:F59" si="9">IF(D58*E58=0,"0",D58*E58)</f>
        <v>0</v>
      </c>
      <c r="G58" s="165">
        <f t="shared" ref="G58:G59" si="10">E58/128</f>
        <v>0</v>
      </c>
    </row>
    <row r="59" spans="1:7" ht="20">
      <c r="A59" s="15"/>
      <c r="B59" s="85" t="str">
        <f>'Chem&amp;FertInputs&amp;CInsurance'!C71</f>
        <v xml:space="preserve"> Diagon</v>
      </c>
      <c r="C59" s="23" t="str">
        <f>'Chem&amp;FertInputs&amp;CInsurance'!D71</f>
        <v>oz</v>
      </c>
      <c r="D59" s="116">
        <f>'Chem&amp;FertInputs&amp;CInsurance'!E71</f>
        <v>0.43699999999999994</v>
      </c>
      <c r="E59" s="133">
        <f>'Chem&amp;FertInputs&amp;CInsurance'!V71</f>
        <v>0</v>
      </c>
      <c r="F59" s="117" t="str">
        <f t="shared" si="9"/>
        <v>0</v>
      </c>
      <c r="G59" s="165">
        <f t="shared" si="10"/>
        <v>0</v>
      </c>
    </row>
    <row r="60" spans="1:7" ht="20">
      <c r="A60" s="15"/>
      <c r="B60" s="85" t="str">
        <f>'Chem&amp;FertInputs&amp;CInsurance'!C72</f>
        <v xml:space="preserve">Spartan </v>
      </c>
      <c r="C60" s="23" t="str">
        <f>'Chem&amp;FertInputs&amp;CInsurance'!D72</f>
        <v>oz</v>
      </c>
      <c r="D60" s="116">
        <f>'Chem&amp;FertInputs&amp;CInsurance'!E72</f>
        <v>2.0469999999999997</v>
      </c>
      <c r="E60" s="133">
        <f>'Chem&amp;FertInputs&amp;CInsurance'!V72</f>
        <v>0</v>
      </c>
      <c r="F60" s="117" t="str">
        <f t="shared" si="0"/>
        <v>0</v>
      </c>
      <c r="G60" s="165">
        <f>E60/128</f>
        <v>0</v>
      </c>
    </row>
    <row r="61" spans="1:7" ht="23">
      <c r="A61" s="15"/>
      <c r="B61" s="85" t="str">
        <f>'Chem&amp;FertInputs&amp;CInsurance'!C32</f>
        <v xml:space="preserve">Round Up </v>
      </c>
      <c r="C61" s="23" t="str">
        <f>'Chem&amp;FertInputs&amp;CInsurance'!D32</f>
        <v>oz</v>
      </c>
      <c r="D61" s="116">
        <f>'Chem&amp;FertInputs&amp;CInsurance'!E32</f>
        <v>0.14949999999999999</v>
      </c>
      <c r="E61" s="133">
        <f>'Chem&amp;FertInputs&amp;CInsurance'!V32</f>
        <v>58</v>
      </c>
      <c r="F61" s="117">
        <f t="shared" si="0"/>
        <v>8.6709999999999994</v>
      </c>
      <c r="G61" s="225">
        <f>E61/128</f>
        <v>0.453125</v>
      </c>
    </row>
    <row r="62" spans="1:7" ht="20">
      <c r="A62" s="15"/>
      <c r="B62" s="139" t="s">
        <v>86</v>
      </c>
      <c r="C62" s="23"/>
      <c r="D62" s="116"/>
      <c r="E62" s="133"/>
      <c r="F62" s="117"/>
      <c r="G62" s="165">
        <f>SUM(G14:G61)</f>
        <v>0.59843749999999996</v>
      </c>
    </row>
    <row r="63" spans="1:7" ht="20">
      <c r="A63" s="15"/>
      <c r="B63" s="125" t="str">
        <f>CustomRates!B5</f>
        <v>Aerial (Custom)</v>
      </c>
      <c r="C63" s="41" t="str">
        <f>CustomRates!C5</f>
        <v>acre</v>
      </c>
      <c r="D63" s="116">
        <f>CustomRates!T5</f>
        <v>8.9499999999999993</v>
      </c>
      <c r="E63" s="87">
        <f>CustomRates!T6</f>
        <v>2</v>
      </c>
      <c r="F63" s="117">
        <f t="shared" ref="F63:F70" si="11">IF(D63*E63=0,"0",D63*E63)</f>
        <v>17.899999999999999</v>
      </c>
    </row>
    <row r="64" spans="1:7" ht="20">
      <c r="A64" s="15"/>
      <c r="B64" s="125" t="str">
        <f>CustomRates!B7</f>
        <v>Sprayer (Rental 90')</v>
      </c>
      <c r="C64" s="41" t="str">
        <f>CustomRates!C7</f>
        <v>acre</v>
      </c>
      <c r="D64" s="116">
        <f>CustomRates!T7</f>
        <v>8</v>
      </c>
      <c r="E64" s="87">
        <f>CustomRates!T8</f>
        <v>0</v>
      </c>
      <c r="F64" s="117" t="str">
        <f t="shared" si="11"/>
        <v>0</v>
      </c>
    </row>
    <row r="65" spans="1:9" ht="20">
      <c r="A65" s="15"/>
      <c r="B65" s="125" t="str">
        <f>CustomRates!B9</f>
        <v>Fertilizer - Anhydrous Applicator (Rent)</v>
      </c>
      <c r="C65" s="41" t="str">
        <f>CustomRates!C9</f>
        <v>acre</v>
      </c>
      <c r="D65" s="116">
        <f>CustomRates!T9</f>
        <v>7</v>
      </c>
      <c r="E65" s="87">
        <f>CustomRates!T10</f>
        <v>0</v>
      </c>
      <c r="F65" s="117" t="str">
        <f t="shared" si="11"/>
        <v>0</v>
      </c>
    </row>
    <row r="66" spans="1:9" ht="20">
      <c r="A66" s="15"/>
      <c r="B66" s="125" t="str">
        <f>CustomRates!B11</f>
        <v>Fertilizer Applicator</v>
      </c>
      <c r="C66" s="41" t="str">
        <f>CustomRates!C11</f>
        <v>acre</v>
      </c>
      <c r="D66" s="116">
        <f>CustomRates!T11</f>
        <v>22</v>
      </c>
      <c r="E66" s="87">
        <f>CustomRates!T12</f>
        <v>0</v>
      </c>
      <c r="F66" s="117" t="str">
        <f t="shared" si="11"/>
        <v>0</v>
      </c>
    </row>
    <row r="67" spans="1:9" ht="20">
      <c r="A67" s="15"/>
      <c r="B67" s="125" t="str">
        <f>CustomRates!B13</f>
        <v>26' Rental Shredder</v>
      </c>
      <c r="C67" s="41" t="str">
        <f>CustomRates!C13</f>
        <v>acre</v>
      </c>
      <c r="D67" s="116">
        <f>CustomRates!T13</f>
        <v>10</v>
      </c>
      <c r="E67" s="87">
        <f>CustomRates!T14</f>
        <v>0</v>
      </c>
      <c r="F67" s="117" t="str">
        <f t="shared" si="11"/>
        <v>0</v>
      </c>
    </row>
    <row r="68" spans="1:9" ht="20">
      <c r="A68" s="15"/>
      <c r="B68" s="125" t="str">
        <f>CustomRates!B15</f>
        <v>36' Ripper Shooter</v>
      </c>
      <c r="C68" s="41" t="str">
        <f>CustomRates!C15</f>
        <v>acre</v>
      </c>
      <c r="D68" s="116">
        <f>CustomRates!T15</f>
        <v>2.5</v>
      </c>
      <c r="E68" s="87">
        <f>CustomRates!T16</f>
        <v>0</v>
      </c>
      <c r="F68" s="117" t="str">
        <f t="shared" si="11"/>
        <v>0</v>
      </c>
    </row>
    <row r="69" spans="1:9" ht="20">
      <c r="A69" s="15"/>
      <c r="B69" s="125" t="str">
        <f>CustomRates!B17</f>
        <v>Custom self-propelled sprayer</v>
      </c>
      <c r="C69" s="41" t="str">
        <f>CustomRates!C17</f>
        <v>acre</v>
      </c>
      <c r="D69" s="116">
        <f>CustomRates!T17</f>
        <v>8</v>
      </c>
      <c r="E69" s="87">
        <f>CustomRates!T18</f>
        <v>0</v>
      </c>
      <c r="F69" s="117" t="str">
        <f t="shared" si="11"/>
        <v>0</v>
      </c>
    </row>
    <row r="70" spans="1:9" ht="20">
      <c r="A70" s="15"/>
      <c r="B70" s="125" t="str">
        <f>CustomRates!B19</f>
        <v>Additional Operation #8 (Custom)</v>
      </c>
      <c r="C70" s="41" t="str">
        <f>CustomRates!C19</f>
        <v>acre</v>
      </c>
      <c r="D70" s="116">
        <f>CustomRates!T19</f>
        <v>0</v>
      </c>
      <c r="E70" s="87">
        <f>CustomRates!T20</f>
        <v>0</v>
      </c>
      <c r="F70" s="117" t="str">
        <f t="shared" si="11"/>
        <v>0</v>
      </c>
    </row>
    <row r="71" spans="1:9" ht="20">
      <c r="A71" s="15"/>
      <c r="B71" s="139" t="s">
        <v>87</v>
      </c>
      <c r="C71" s="41"/>
      <c r="D71" s="116"/>
      <c r="E71" s="116"/>
      <c r="F71" s="117"/>
      <c r="H71" s="1" t="s">
        <v>204</v>
      </c>
      <c r="I71" s="1" t="s">
        <v>135</v>
      </c>
    </row>
    <row r="72" spans="1:9" ht="20">
      <c r="A72" s="15"/>
      <c r="B72" s="85" t="str">
        <f>MachineAssumptions!B7&amp;" - Labor"</f>
        <v>Shredder - Labor</v>
      </c>
      <c r="C72" s="41" t="s">
        <v>246</v>
      </c>
      <c r="D72" s="116">
        <f>MachineAssumptions!$R$7</f>
        <v>1.4996591683708247</v>
      </c>
      <c r="E72" s="87">
        <f>FieldApplications!$S$6</f>
        <v>0</v>
      </c>
      <c r="F72" s="117" t="str">
        <f t="shared" ref="F72:F113" si="12">IF(D72*E72=0,"0",D72*E72)</f>
        <v>0</v>
      </c>
      <c r="H72" s="246">
        <f>MachineAssumptions!$R$28*E72</f>
        <v>0</v>
      </c>
      <c r="I72" s="166">
        <f>MachineAssumptions!$R$48*E72</f>
        <v>0</v>
      </c>
    </row>
    <row r="73" spans="1:9" ht="20">
      <c r="A73" s="15"/>
      <c r="B73" s="85" t="str">
        <f>MachineAssumptions!B7&amp;" - Fuel, Lube"</f>
        <v>Shredder - Fuel, Lube</v>
      </c>
      <c r="C73" s="41" t="s">
        <v>246</v>
      </c>
      <c r="D73" s="116">
        <f>MachineAssumptions!$S$7</f>
        <v>5.7486934787548281</v>
      </c>
      <c r="E73" s="87">
        <f>FieldApplications!$S$6</f>
        <v>0</v>
      </c>
      <c r="F73" s="117" t="str">
        <f t="shared" si="12"/>
        <v>0</v>
      </c>
      <c r="H73" s="246">
        <f>MachineAssumptions!$S$28*E73</f>
        <v>0</v>
      </c>
      <c r="I73" s="166">
        <f>MachineAssumptions!$S$48*E73</f>
        <v>0</v>
      </c>
    </row>
    <row r="74" spans="1:9" ht="20">
      <c r="A74" s="15"/>
      <c r="B74" s="85" t="str">
        <f>MachineAssumptions!B7&amp;" - Repairs"</f>
        <v>Shredder - Repairs</v>
      </c>
      <c r="C74" s="41" t="s">
        <v>246</v>
      </c>
      <c r="D74" s="116">
        <f>MachineAssumptions!$T$7</f>
        <v>0.46726721181997538</v>
      </c>
      <c r="E74" s="87">
        <f>FieldApplications!$S$6</f>
        <v>0</v>
      </c>
      <c r="F74" s="117" t="str">
        <f t="shared" si="12"/>
        <v>0</v>
      </c>
      <c r="H74" s="246">
        <f>MachineAssumptions!$T$28*E74</f>
        <v>0</v>
      </c>
      <c r="I74" s="166">
        <f>MachineAssumptions!$T$48*E74</f>
        <v>0</v>
      </c>
    </row>
    <row r="75" spans="1:9" ht="20">
      <c r="A75" s="15"/>
      <c r="B75" s="85" t="str">
        <f>MachineAssumptions!B8&amp;" - Labor"</f>
        <v>Harrow - Labor</v>
      </c>
      <c r="C75" s="41" t="s">
        <v>246</v>
      </c>
      <c r="D75" s="116">
        <f>MachineAssumptions!$R$8</f>
        <v>0.59412746734753996</v>
      </c>
      <c r="E75" s="87">
        <f>FieldApplications!$S$7</f>
        <v>0</v>
      </c>
      <c r="F75" s="117" t="str">
        <f t="shared" si="12"/>
        <v>0</v>
      </c>
      <c r="H75" s="246">
        <f>MachineAssumptions!$R$29*E75</f>
        <v>0</v>
      </c>
      <c r="I75" s="166">
        <f>MachineAssumptions!$R$49*E75</f>
        <v>0</v>
      </c>
    </row>
    <row r="76" spans="1:9" ht="20">
      <c r="A76" s="15"/>
      <c r="B76" s="85" t="str">
        <f>MachineAssumptions!B8&amp;" - Fuel, Lube"</f>
        <v>Harrow - Fuel, Lube</v>
      </c>
      <c r="C76" s="41" t="s">
        <v>246</v>
      </c>
      <c r="D76" s="116">
        <f>MachineAssumptions!$S$8</f>
        <v>2.4845330452715308</v>
      </c>
      <c r="E76" s="87">
        <f>FieldApplications!$S$7</f>
        <v>0</v>
      </c>
      <c r="F76" s="117" t="str">
        <f t="shared" si="12"/>
        <v>0</v>
      </c>
      <c r="H76" s="246">
        <f>MachineAssumptions!$S$29*E76</f>
        <v>0</v>
      </c>
      <c r="I76" s="166">
        <f>MachineAssumptions!$S$49*E76</f>
        <v>0</v>
      </c>
    </row>
    <row r="77" spans="1:9" ht="20">
      <c r="A77" s="15"/>
      <c r="B77" s="85" t="str">
        <f>MachineAssumptions!B8&amp;" - Repairs"</f>
        <v>Harrow - Repairs</v>
      </c>
      <c r="C77" s="41" t="s">
        <v>246</v>
      </c>
      <c r="D77" s="116">
        <f>MachineAssumptions!$T$8</f>
        <v>0.14755184964846621</v>
      </c>
      <c r="E77" s="87">
        <f>FieldApplications!$S$7</f>
        <v>0</v>
      </c>
      <c r="F77" s="117" t="str">
        <f t="shared" si="12"/>
        <v>0</v>
      </c>
      <c r="H77" s="246">
        <f>MachineAssumptions!$T$29*E77</f>
        <v>0</v>
      </c>
      <c r="I77" s="166">
        <f>MachineAssumptions!$T$49*E77</f>
        <v>0</v>
      </c>
    </row>
    <row r="78" spans="1:9" ht="20">
      <c r="A78" s="15"/>
      <c r="B78" s="85" t="str">
        <f>MachineAssumptions!B9&amp;" - Labor"</f>
        <v>Chisel plow - Labor</v>
      </c>
      <c r="C78" s="41" t="s">
        <v>246</v>
      </c>
      <c r="D78" s="116">
        <f>MachineAssumptions!$R$9</f>
        <v>0</v>
      </c>
      <c r="E78" s="87">
        <f>FieldApplications!$S$8</f>
        <v>0</v>
      </c>
      <c r="F78" s="117" t="str">
        <f t="shared" si="12"/>
        <v>0</v>
      </c>
      <c r="H78" s="246">
        <f>MachineAssumptions!$R$30*E78</f>
        <v>0</v>
      </c>
      <c r="I78" s="166">
        <f>MachineAssumptions!$R$50*E78</f>
        <v>0</v>
      </c>
    </row>
    <row r="79" spans="1:9" ht="20">
      <c r="A79" s="15"/>
      <c r="B79" s="85" t="str">
        <f>MachineAssumptions!B9&amp;" - Fuel, Lube"</f>
        <v>Chisel plow - Fuel, Lube</v>
      </c>
      <c r="C79" s="41" t="s">
        <v>246</v>
      </c>
      <c r="D79" s="116">
        <f>MachineAssumptions!$S$9</f>
        <v>0</v>
      </c>
      <c r="E79" s="87">
        <f>FieldApplications!$S$8</f>
        <v>0</v>
      </c>
      <c r="F79" s="117" t="str">
        <f t="shared" si="12"/>
        <v>0</v>
      </c>
      <c r="H79" s="246">
        <f>MachineAssumptions!$R$30*E79</f>
        <v>0</v>
      </c>
      <c r="I79" s="166">
        <f>MachineAssumptions!$S$50*E79</f>
        <v>0</v>
      </c>
    </row>
    <row r="80" spans="1:9" ht="20">
      <c r="A80" s="15"/>
      <c r="B80" s="85" t="str">
        <f>MachineAssumptions!B9&amp;" - Repairs"</f>
        <v>Chisel plow - Repairs</v>
      </c>
      <c r="C80" s="41" t="s">
        <v>246</v>
      </c>
      <c r="D80" s="116">
        <f>MachineAssumptions!$T$9</f>
        <v>0</v>
      </c>
      <c r="E80" s="87">
        <f>FieldApplications!$S$8</f>
        <v>0</v>
      </c>
      <c r="F80" s="117" t="str">
        <f t="shared" si="12"/>
        <v>0</v>
      </c>
      <c r="H80" s="246">
        <f>MachineAssumptions!$T$30*E80</f>
        <v>0</v>
      </c>
      <c r="I80" s="166">
        <f>MachineAssumptions!$T$50*E80</f>
        <v>0</v>
      </c>
    </row>
    <row r="81" spans="1:9" ht="20">
      <c r="A81" s="15"/>
      <c r="B81" s="85" t="str">
        <f>MachineAssumptions!B10&amp;" - Labor"</f>
        <v>Moldboard plow - Labor</v>
      </c>
      <c r="C81" s="41" t="s">
        <v>246</v>
      </c>
      <c r="D81" s="116">
        <f>MachineAssumptions!$R$10</f>
        <v>0</v>
      </c>
      <c r="E81" s="87">
        <f>FieldApplications!$S$9</f>
        <v>0</v>
      </c>
      <c r="F81" s="117" t="str">
        <f t="shared" si="12"/>
        <v>0</v>
      </c>
      <c r="H81" s="246">
        <f>MachineAssumptions!$R$31*E81</f>
        <v>0</v>
      </c>
      <c r="I81" s="166">
        <f>MachineAssumptions!$R$51*E81</f>
        <v>0</v>
      </c>
    </row>
    <row r="82" spans="1:9" ht="20">
      <c r="A82" s="15"/>
      <c r="B82" s="85" t="str">
        <f>MachineAssumptions!B10&amp;" - Fuel, Lube"</f>
        <v>Moldboard plow - Fuel, Lube</v>
      </c>
      <c r="C82" s="41" t="s">
        <v>246</v>
      </c>
      <c r="D82" s="116">
        <f>MachineAssumptions!$S$10</f>
        <v>0</v>
      </c>
      <c r="E82" s="87">
        <f>FieldApplications!$S$9</f>
        <v>0</v>
      </c>
      <c r="F82" s="117" t="str">
        <f t="shared" si="12"/>
        <v>0</v>
      </c>
      <c r="H82" s="246">
        <f>MachineAssumptions!$S$31*E82</f>
        <v>0</v>
      </c>
      <c r="I82" s="166">
        <f>MachineAssumptions!$S$51*E82</f>
        <v>0</v>
      </c>
    </row>
    <row r="83" spans="1:9" ht="20">
      <c r="A83" s="15"/>
      <c r="B83" s="85" t="str">
        <f>MachineAssumptions!B10&amp;" - Repairs"</f>
        <v>Moldboard plow - Repairs</v>
      </c>
      <c r="C83" s="41" t="s">
        <v>246</v>
      </c>
      <c r="D83" s="116">
        <f>MachineAssumptions!$T$10</f>
        <v>0</v>
      </c>
      <c r="E83" s="87">
        <f>FieldApplications!$S$9</f>
        <v>0</v>
      </c>
      <c r="F83" s="117" t="str">
        <f t="shared" si="12"/>
        <v>0</v>
      </c>
      <c r="H83" s="246">
        <f>MachineAssumptions!$T$31*E83</f>
        <v>0</v>
      </c>
      <c r="I83" s="166">
        <f>MachineAssumptions!$T$51*E83</f>
        <v>0</v>
      </c>
    </row>
    <row r="84" spans="1:9" ht="20">
      <c r="A84" s="15"/>
      <c r="B84" s="85" t="str">
        <f>MachineAssumptions!B11&amp;" - Labor"</f>
        <v>Cultivator - Labor</v>
      </c>
      <c r="C84" s="41" t="s">
        <v>246</v>
      </c>
      <c r="D84" s="116">
        <f>MachineAssumptions!$R$11</f>
        <v>0</v>
      </c>
      <c r="E84" s="87">
        <f>FieldApplications!$S$10</f>
        <v>0</v>
      </c>
      <c r="F84" s="117" t="str">
        <f t="shared" si="12"/>
        <v>0</v>
      </c>
      <c r="H84" s="246">
        <f>MachineAssumptions!$R$32*E84</f>
        <v>0</v>
      </c>
      <c r="I84" s="166">
        <f>MachineAssumptions!$R$52*E84</f>
        <v>0</v>
      </c>
    </row>
    <row r="85" spans="1:9" ht="20">
      <c r="A85" s="15"/>
      <c r="B85" s="85" t="str">
        <f>MachineAssumptions!B11&amp;" - Fuel, Lube"</f>
        <v>Cultivator - Fuel, Lube</v>
      </c>
      <c r="C85" s="41" t="s">
        <v>246</v>
      </c>
      <c r="D85" s="116">
        <f>MachineAssumptions!$S$11</f>
        <v>0</v>
      </c>
      <c r="E85" s="87">
        <f>FieldApplications!$S$10</f>
        <v>0</v>
      </c>
      <c r="F85" s="117" t="str">
        <f t="shared" si="12"/>
        <v>0</v>
      </c>
      <c r="H85" s="246">
        <f>MachineAssumptions!$S$32*E85</f>
        <v>0</v>
      </c>
      <c r="I85" s="166">
        <f>MachineAssumptions!$S$52*E85</f>
        <v>0</v>
      </c>
    </row>
    <row r="86" spans="1:9" ht="20">
      <c r="A86" s="15"/>
      <c r="B86" s="85" t="str">
        <f>MachineAssumptions!B11&amp;" - Repairs"</f>
        <v>Cultivator - Repairs</v>
      </c>
      <c r="C86" s="41" t="s">
        <v>246</v>
      </c>
      <c r="D86" s="116">
        <f>MachineAssumptions!$T$11</f>
        <v>0</v>
      </c>
      <c r="E86" s="87">
        <f>FieldApplications!$S$10</f>
        <v>0</v>
      </c>
      <c r="F86" s="117" t="str">
        <f t="shared" si="12"/>
        <v>0</v>
      </c>
      <c r="H86" s="246">
        <f>MachineAssumptions!$T$32*E86</f>
        <v>0</v>
      </c>
      <c r="I86" s="166">
        <f>MachineAssumptions!$T$52*E86</f>
        <v>0</v>
      </c>
    </row>
    <row r="87" spans="1:9" ht="20">
      <c r="A87" s="15"/>
      <c r="B87" s="85" t="str">
        <f>MachineAssumptions!B12&amp;" - Labor"</f>
        <v>Cultiweeder - Labor</v>
      </c>
      <c r="C87" s="41" t="s">
        <v>246</v>
      </c>
      <c r="D87" s="116">
        <f>MachineAssumptions!$R$12</f>
        <v>0</v>
      </c>
      <c r="E87" s="87">
        <f>FieldApplications!$S$11</f>
        <v>0</v>
      </c>
      <c r="F87" s="117" t="str">
        <f t="shared" si="12"/>
        <v>0</v>
      </c>
      <c r="H87" s="246">
        <f>MachineAssumptions!$R$33*E87</f>
        <v>0</v>
      </c>
      <c r="I87" s="166">
        <f>MachineAssumptions!$R$53*E87</f>
        <v>0</v>
      </c>
    </row>
    <row r="88" spans="1:9" ht="20">
      <c r="A88" s="15"/>
      <c r="B88" s="85" t="str">
        <f>MachineAssumptions!B12&amp;" - Fuel, Lube"</f>
        <v>Cultiweeder - Fuel, Lube</v>
      </c>
      <c r="C88" s="41" t="s">
        <v>246</v>
      </c>
      <c r="D88" s="116">
        <f>MachineAssumptions!$S$12</f>
        <v>0</v>
      </c>
      <c r="E88" s="87">
        <f>FieldApplications!$S$11</f>
        <v>0</v>
      </c>
      <c r="F88" s="117" t="str">
        <f t="shared" si="12"/>
        <v>0</v>
      </c>
      <c r="H88" s="246">
        <f>MachineAssumptions!$S$33*E88</f>
        <v>0</v>
      </c>
      <c r="I88" s="166">
        <f>MachineAssumptions!$S$53*E88</f>
        <v>0</v>
      </c>
    </row>
    <row r="89" spans="1:9" ht="20">
      <c r="A89" s="15"/>
      <c r="B89" s="85" t="str">
        <f>MachineAssumptions!B12&amp;" - Repairs"</f>
        <v>Cultiweeder - Repairs</v>
      </c>
      <c r="C89" s="41" t="s">
        <v>246</v>
      </c>
      <c r="D89" s="116">
        <f>MachineAssumptions!$T$12</f>
        <v>0</v>
      </c>
      <c r="E89" s="87">
        <f>FieldApplications!$S$11</f>
        <v>0</v>
      </c>
      <c r="F89" s="117" t="str">
        <f t="shared" si="12"/>
        <v>0</v>
      </c>
      <c r="H89" s="246">
        <f>MachineAssumptions!$T$33*E89</f>
        <v>0</v>
      </c>
      <c r="I89" s="166">
        <f>MachineAssumptions!$T$53*E89</f>
        <v>0</v>
      </c>
    </row>
    <row r="90" spans="1:9" ht="20">
      <c r="A90" s="15"/>
      <c r="B90" s="85" t="str">
        <f>MachineAssumptions!B13&amp;" - Labor"</f>
        <v>Drill - Labor</v>
      </c>
      <c r="C90" s="41" t="s">
        <v>246</v>
      </c>
      <c r="D90" s="116">
        <f>MachineAssumptions!$R$13</f>
        <v>1.6703109815354713</v>
      </c>
      <c r="E90" s="87">
        <f>FieldApplications!$S$12</f>
        <v>1</v>
      </c>
      <c r="F90" s="117">
        <f t="shared" si="12"/>
        <v>1.6703109815354713</v>
      </c>
      <c r="H90" s="246">
        <f>MachineAssumptions!$R$34*E90</f>
        <v>1.6703109815354713</v>
      </c>
      <c r="I90" s="166">
        <f>MachineAssumptions!$R$54*E90</f>
        <v>1.6703109815354713</v>
      </c>
    </row>
    <row r="91" spans="1:9" ht="20">
      <c r="A91" s="15"/>
      <c r="B91" s="85" t="str">
        <f>MachineAssumptions!B13&amp;" - Fuel, Lube"</f>
        <v>Drill - Fuel, Lube</v>
      </c>
      <c r="C91" s="41" t="s">
        <v>246</v>
      </c>
      <c r="D91" s="116">
        <f>MachineAssumptions!$S$13</f>
        <v>6.146744412050535</v>
      </c>
      <c r="E91" s="87">
        <f>FieldApplications!$S$12</f>
        <v>1</v>
      </c>
      <c r="F91" s="117">
        <f t="shared" si="12"/>
        <v>6.146744412050535</v>
      </c>
      <c r="H91" s="246">
        <f>MachineAssumptions!$S$34*E91</f>
        <v>6.146744412050535</v>
      </c>
      <c r="I91" s="166">
        <f>MachineAssumptions!$S$54*E91</f>
        <v>6.146744412050535</v>
      </c>
    </row>
    <row r="92" spans="1:9" ht="20">
      <c r="A92" s="15"/>
      <c r="B92" s="85" t="str">
        <f>MachineAssumptions!B13&amp;" - Repairs"</f>
        <v>Drill - Repairs</v>
      </c>
      <c r="C92" s="41" t="s">
        <v>246</v>
      </c>
      <c r="D92" s="116">
        <f>MachineAssumptions!$T$13</f>
        <v>5.740409656342587</v>
      </c>
      <c r="E92" s="87">
        <f>FieldApplications!$S$12</f>
        <v>1</v>
      </c>
      <c r="F92" s="117">
        <f t="shared" si="12"/>
        <v>5.740409656342587</v>
      </c>
      <c r="H92" s="246">
        <f>MachineAssumptions!$T$34*E92</f>
        <v>5.740409656342587</v>
      </c>
      <c r="I92" s="166">
        <f>MachineAssumptions!$T$54*E92</f>
        <v>5.740409656342587</v>
      </c>
    </row>
    <row r="93" spans="1:9" ht="20">
      <c r="A93" s="15"/>
      <c r="B93" s="85" t="str">
        <f>MachineAssumptions!B14&amp;" - Labor"</f>
        <v>Combine w/ 36' header - Labor</v>
      </c>
      <c r="C93" s="41" t="s">
        <v>246</v>
      </c>
      <c r="D93" s="116">
        <f>MachineAssumptions!$R$14</f>
        <v>1.9161092530657748</v>
      </c>
      <c r="E93" s="87">
        <f>FieldApplications!$S$13</f>
        <v>1</v>
      </c>
      <c r="F93" s="117">
        <f t="shared" si="12"/>
        <v>1.9161092530657748</v>
      </c>
      <c r="H93" s="246">
        <f>MachineAssumptions!$R$35*E93</f>
        <v>1.9161092530657748</v>
      </c>
      <c r="I93" s="166">
        <f>MachineAssumptions!$R$55*E93</f>
        <v>1.9161092530657748</v>
      </c>
    </row>
    <row r="94" spans="1:9" ht="20">
      <c r="A94" s="15"/>
      <c r="B94" s="85" t="str">
        <f>MachineAssumptions!B14&amp;" - Fuel, Lube"</f>
        <v>Combine w/ 36' header - Fuel, Lube</v>
      </c>
      <c r="C94" s="41" t="s">
        <v>246</v>
      </c>
      <c r="D94" s="116">
        <f>MachineAssumptions!$S$14</f>
        <v>7.0512820512820511</v>
      </c>
      <c r="E94" s="87">
        <f>FieldApplications!$S$13</f>
        <v>1</v>
      </c>
      <c r="F94" s="117">
        <f t="shared" si="12"/>
        <v>7.0512820512820511</v>
      </c>
      <c r="H94" s="246">
        <f>MachineAssumptions!$S$35*E94</f>
        <v>7.0512820512820511</v>
      </c>
      <c r="I94" s="166">
        <f>MachineAssumptions!$S$55*E94</f>
        <v>7.0512820512820511</v>
      </c>
    </row>
    <row r="95" spans="1:9" ht="20">
      <c r="A95" s="15"/>
      <c r="B95" s="85" t="str">
        <f>MachineAssumptions!B14&amp;" - Repairs"</f>
        <v>Combine w/ 36' header - Repairs</v>
      </c>
      <c r="C95" s="41" t="s">
        <v>246</v>
      </c>
      <c r="D95" s="116">
        <f>MachineAssumptions!$T$14</f>
        <v>6.4258281801385913</v>
      </c>
      <c r="E95" s="87">
        <f>FieldApplications!$S$13</f>
        <v>1</v>
      </c>
      <c r="F95" s="117">
        <f t="shared" si="12"/>
        <v>6.4258281801385913</v>
      </c>
      <c r="H95" s="246">
        <f>MachineAssumptions!$T$35*E95</f>
        <v>6.4258281801385913</v>
      </c>
      <c r="I95" s="166">
        <f>MachineAssumptions!$T$55*E95</f>
        <v>4.0416300769413871</v>
      </c>
    </row>
    <row r="96" spans="1:9" ht="20">
      <c r="A96" s="15"/>
      <c r="B96" s="85" t="str">
        <f>MachineAssumptions!B16&amp;" - Labor"</f>
        <v>Fertilizer Spreader - Labor</v>
      </c>
      <c r="C96" s="41" t="s">
        <v>246</v>
      </c>
      <c r="D96" s="116">
        <f>MachineAssumptions!$R$16</f>
        <v>0</v>
      </c>
      <c r="E96" s="87">
        <f>FieldApplications!$S$14</f>
        <v>0</v>
      </c>
      <c r="F96" s="117" t="str">
        <f t="shared" si="12"/>
        <v>0</v>
      </c>
      <c r="H96" s="246">
        <f>MachineAssumptions!$R$36*E96</f>
        <v>0</v>
      </c>
      <c r="I96" s="166">
        <f>MachineAssumptions!$R$56*E96</f>
        <v>0</v>
      </c>
    </row>
    <row r="97" spans="1:9" ht="20">
      <c r="A97" s="15"/>
      <c r="B97" s="85" t="str">
        <f>MachineAssumptions!B16&amp;" - Fuel, Lube"</f>
        <v>Fertilizer Spreader - Fuel, Lube</v>
      </c>
      <c r="C97" s="41" t="s">
        <v>246</v>
      </c>
      <c r="D97" s="116">
        <f>MachineAssumptions!$S$16</f>
        <v>0</v>
      </c>
      <c r="E97" s="87">
        <f>FieldApplications!$S$14</f>
        <v>0</v>
      </c>
      <c r="F97" s="117" t="str">
        <f t="shared" si="12"/>
        <v>0</v>
      </c>
      <c r="H97" s="246">
        <f>MachineAssumptions!$S$36*E97</f>
        <v>0</v>
      </c>
      <c r="I97" s="166">
        <f>MachineAssumptions!$S$56*E97</f>
        <v>0</v>
      </c>
    </row>
    <row r="98" spans="1:9" ht="20">
      <c r="A98" s="15"/>
      <c r="B98" s="85" t="str">
        <f>MachineAssumptions!B16&amp;" - Repairs"</f>
        <v>Fertilizer Spreader - Repairs</v>
      </c>
      <c r="C98" s="41" t="s">
        <v>246</v>
      </c>
      <c r="D98" s="116">
        <f>MachineAssumptions!$T$16</f>
        <v>0</v>
      </c>
      <c r="E98" s="87">
        <f>FieldApplications!$S$14</f>
        <v>0</v>
      </c>
      <c r="F98" s="117" t="str">
        <f t="shared" si="12"/>
        <v>0</v>
      </c>
      <c r="H98" s="246">
        <f>MachineAssumptions!$T$36*E98</f>
        <v>0</v>
      </c>
      <c r="I98" s="166">
        <f>MachineAssumptions!$T$56*E98</f>
        <v>0</v>
      </c>
    </row>
    <row r="99" spans="1:9" ht="20">
      <c r="A99" s="15"/>
      <c r="B99" s="85" t="str">
        <f>MachineAssumptions!B17&amp;" - Labor"</f>
        <v>Fertilizer tanks and pump - Labor</v>
      </c>
      <c r="C99" s="41" t="s">
        <v>246</v>
      </c>
      <c r="D99" s="116">
        <f>MachineAssumptions!$R$17</f>
        <v>2.2448979591836737</v>
      </c>
      <c r="E99" s="87">
        <f>FieldApplications!$S$15</f>
        <v>1</v>
      </c>
      <c r="F99" s="117">
        <f t="shared" si="12"/>
        <v>2.2448979591836737</v>
      </c>
      <c r="H99" s="246">
        <f>MachineAssumptions!$R$37*E99</f>
        <v>2.2448979591836737</v>
      </c>
      <c r="I99" s="166">
        <f>MachineAssumptions!$R$57*E99</f>
        <v>2.2448979591836737</v>
      </c>
    </row>
    <row r="100" spans="1:9" ht="20">
      <c r="A100" s="15"/>
      <c r="B100" s="85" t="str">
        <f>MachineAssumptions!B17&amp;" - Fuel, Lube"</f>
        <v>Fertilizer tanks and pump - Fuel, Lube</v>
      </c>
      <c r="C100" s="41" t="s">
        <v>246</v>
      </c>
      <c r="D100" s="116">
        <f>MachineAssumptions!$S$17</f>
        <v>9.387755102040817</v>
      </c>
      <c r="E100" s="87">
        <f>FieldApplications!$S$15</f>
        <v>1</v>
      </c>
      <c r="F100" s="117">
        <f t="shared" si="12"/>
        <v>9.387755102040817</v>
      </c>
      <c r="H100" s="246">
        <f>MachineAssumptions!$S$37*E100</f>
        <v>9.387755102040817</v>
      </c>
      <c r="I100" s="166">
        <f>MachineAssumptions!$S$57*E100</f>
        <v>9.387755102040817</v>
      </c>
    </row>
    <row r="101" spans="1:9" ht="20">
      <c r="A101" s="15"/>
      <c r="B101" s="85" t="str">
        <f>MachineAssumptions!B17&amp;" - Repairs"</f>
        <v>Fertilizer tanks and pump - Repairs</v>
      </c>
      <c r="C101" s="41" t="s">
        <v>246</v>
      </c>
      <c r="D101" s="116">
        <f>MachineAssumptions!$T$17</f>
        <v>0</v>
      </c>
      <c r="E101" s="87">
        <f>FieldApplications!$S$15</f>
        <v>1</v>
      </c>
      <c r="F101" s="117" t="str">
        <f t="shared" si="12"/>
        <v>0</v>
      </c>
      <c r="H101" s="246">
        <f>MachineAssumptions!$T$37*E101</f>
        <v>0</v>
      </c>
      <c r="I101" s="166">
        <f>MachineAssumptions!$T$57*E101</f>
        <v>0</v>
      </c>
    </row>
    <row r="102" spans="1:9" ht="20">
      <c r="A102" s="15"/>
      <c r="B102" s="85" t="str">
        <f>MachineAssumptions!B18&amp;" - Labor"</f>
        <v>Boom sprayer - Labor</v>
      </c>
      <c r="C102" s="41" t="s">
        <v>246</v>
      </c>
      <c r="D102" s="116">
        <f>MachineAssumptions!$R$18</f>
        <v>0.4708120318630365</v>
      </c>
      <c r="E102" s="87">
        <f>FieldApplications!$S$16</f>
        <v>3</v>
      </c>
      <c r="F102" s="117">
        <f t="shared" si="12"/>
        <v>1.4124360955891095</v>
      </c>
      <c r="H102" s="246">
        <f>MachineAssumptions!$R$38*E102</f>
        <v>1.4124360955891095</v>
      </c>
      <c r="I102" s="166">
        <f>MachineAssumptions!$R$58*E102</f>
        <v>1.4124360955891095</v>
      </c>
    </row>
    <row r="103" spans="1:9" ht="20">
      <c r="A103" s="15"/>
      <c r="B103" s="85" t="str">
        <f>MachineAssumptions!B18&amp;" - Fuel, Lube"</f>
        <v>Boom sprayer - Fuel, Lube</v>
      </c>
      <c r="C103" s="41" t="s">
        <v>246</v>
      </c>
      <c r="D103" s="116">
        <f>MachineAssumptions!$S$18</f>
        <v>1.8047794554749732</v>
      </c>
      <c r="E103" s="87">
        <f>FieldApplications!$S$16</f>
        <v>3</v>
      </c>
      <c r="F103" s="117">
        <f t="shared" si="12"/>
        <v>5.4143383664249196</v>
      </c>
      <c r="H103" s="246">
        <f>MachineAssumptions!$S$38*E103</f>
        <v>5.4143383664249196</v>
      </c>
      <c r="I103" s="166">
        <f>MachineAssumptions!$S$58*E103</f>
        <v>5.4143383664249196</v>
      </c>
    </row>
    <row r="104" spans="1:9" ht="20">
      <c r="A104" s="15"/>
      <c r="B104" s="85" t="str">
        <f>MachineAssumptions!B18&amp;" - Repairs"</f>
        <v>Boom sprayer - Repairs</v>
      </c>
      <c r="C104" s="41" t="s">
        <v>246</v>
      </c>
      <c r="D104" s="116">
        <f>MachineAssumptions!$T$18</f>
        <v>0.49795949063219769</v>
      </c>
      <c r="E104" s="87">
        <f>FieldApplications!$S$16</f>
        <v>3</v>
      </c>
      <c r="F104" s="117">
        <f t="shared" si="12"/>
        <v>1.493878471896593</v>
      </c>
      <c r="H104" s="246">
        <f>MachineAssumptions!$T$38*E104</f>
        <v>1.5084005569154613</v>
      </c>
      <c r="I104" s="166">
        <f>MachineAssumptions!$T$58*E104</f>
        <v>1.3532484858048683</v>
      </c>
    </row>
    <row r="105" spans="1:9" ht="20">
      <c r="A105" s="15"/>
      <c r="B105" s="85" t="str">
        <f>MachineAssumptions!B15&amp;" - Labor"</f>
        <v>Bankout Wagon - Labor</v>
      </c>
      <c r="C105" s="41" t="s">
        <v>246</v>
      </c>
      <c r="D105" s="116">
        <f>MachineAssumptions!$R$15</f>
        <v>1.6861761426978819</v>
      </c>
      <c r="E105" s="87">
        <f t="shared" ref="E105:E113" si="13">IF($E$93&gt;0,1,0)</f>
        <v>1</v>
      </c>
      <c r="F105" s="117">
        <f t="shared" si="12"/>
        <v>1.6861761426978819</v>
      </c>
      <c r="H105" s="246">
        <f>MachineAssumptions!$R$39*E105</f>
        <v>1.6861761426978819</v>
      </c>
      <c r="I105" s="166">
        <f>MachineAssumptions!$R$59*E105</f>
        <v>1.6861761426978819</v>
      </c>
    </row>
    <row r="106" spans="1:9" ht="20">
      <c r="A106" s="15"/>
      <c r="B106" s="85" t="str">
        <f>MachineAssumptions!B15&amp;" - Fuel, Lube"</f>
        <v>Bankout Wagon - Fuel, Lube</v>
      </c>
      <c r="C106" s="41" t="s">
        <v>246</v>
      </c>
      <c r="D106" s="116">
        <f>MachineAssumptions!$S$15</f>
        <v>7.0512820512820511</v>
      </c>
      <c r="E106" s="87">
        <f t="shared" si="13"/>
        <v>1</v>
      </c>
      <c r="F106" s="117">
        <f t="shared" si="12"/>
        <v>7.0512820512820511</v>
      </c>
      <c r="H106" s="246">
        <f>MachineAssumptions!$S$39*E106</f>
        <v>7.0512820512820511</v>
      </c>
      <c r="I106" s="166">
        <f>MachineAssumptions!$S$59*E106</f>
        <v>7.0512820512820511</v>
      </c>
    </row>
    <row r="107" spans="1:9" ht="20">
      <c r="A107" s="15"/>
      <c r="B107" s="85" t="str">
        <f>MachineAssumptions!B15&amp;" - Repairs"</f>
        <v>Bankout Wagon - Repairs</v>
      </c>
      <c r="C107" s="41" t="s">
        <v>246</v>
      </c>
      <c r="D107" s="116">
        <f>MachineAssumptions!$T$15</f>
        <v>0.5058930256896228</v>
      </c>
      <c r="E107" s="87">
        <f t="shared" si="13"/>
        <v>1</v>
      </c>
      <c r="F107" s="117">
        <f t="shared" si="12"/>
        <v>0.5058930256896228</v>
      </c>
      <c r="H107" s="246">
        <f>MachineAssumptions!$T$39*E107</f>
        <v>0.5058930256896228</v>
      </c>
      <c r="I107" s="166">
        <f>MachineAssumptions!$T$59*E107</f>
        <v>0.43525361955195507</v>
      </c>
    </row>
    <row r="108" spans="1:9" ht="20">
      <c r="A108" s="15"/>
      <c r="B108" s="85" t="str">
        <f>MachineAssumptions!B19&amp;" - Labor"</f>
        <v>Tandem Axle Truck  - Labor</v>
      </c>
      <c r="C108" s="41" t="s">
        <v>246</v>
      </c>
      <c r="D108" s="116">
        <f>MachineAssumptions!$R$19</f>
        <v>3.6</v>
      </c>
      <c r="E108" s="87">
        <f t="shared" si="13"/>
        <v>1</v>
      </c>
      <c r="F108" s="117">
        <f t="shared" si="12"/>
        <v>3.6</v>
      </c>
      <c r="H108" s="246">
        <f>MachineAssumptions!$R$40*E108</f>
        <v>3.6</v>
      </c>
      <c r="I108" s="166">
        <f>MachineAssumptions!$R$60*E108</f>
        <v>3.6</v>
      </c>
    </row>
    <row r="109" spans="1:9" ht="20">
      <c r="A109" s="15"/>
      <c r="B109" s="85" t="str">
        <f>MachineAssumptions!B19&amp;" - Fuel, Lube"</f>
        <v>Tandem Axle Truck  - Fuel, Lube</v>
      </c>
      <c r="C109" s="41" t="s">
        <v>246</v>
      </c>
      <c r="D109" s="116">
        <f>MachineAssumptions!$S$19</f>
        <v>1.1499999999999999</v>
      </c>
      <c r="E109" s="87">
        <f t="shared" si="13"/>
        <v>1</v>
      </c>
      <c r="F109" s="117">
        <f t="shared" si="12"/>
        <v>1.1499999999999999</v>
      </c>
      <c r="H109" s="246">
        <f>MachineAssumptions!$S$40*E109</f>
        <v>1.1499999999999999</v>
      </c>
      <c r="I109" s="166">
        <f>MachineAssumptions!$S$60*E109</f>
        <v>1.1499999999999999</v>
      </c>
    </row>
    <row r="110" spans="1:9" ht="20">
      <c r="A110" s="15"/>
      <c r="B110" s="85" t="str">
        <f>MachineAssumptions!B19&amp;" - Repairs"</f>
        <v>Tandem Axle Truck  - Repairs</v>
      </c>
      <c r="C110" s="41" t="s">
        <v>246</v>
      </c>
      <c r="D110" s="116">
        <f>MachineAssumptions!$T$19</f>
        <v>0.8</v>
      </c>
      <c r="E110" s="87">
        <f t="shared" si="13"/>
        <v>1</v>
      </c>
      <c r="F110" s="117">
        <f t="shared" si="12"/>
        <v>0.8</v>
      </c>
      <c r="H110" s="246">
        <f>MachineAssumptions!$T$40*E110</f>
        <v>0.8</v>
      </c>
      <c r="I110" s="166">
        <f>MachineAssumptions!$T$60*E110</f>
        <v>0.8</v>
      </c>
    </row>
    <row r="111" spans="1:9" ht="20">
      <c r="A111" s="15"/>
      <c r="B111" s="85" t="str">
        <f>MachineAssumptions!B20&amp;" - Labor"</f>
        <v>Tandem Axle Truck  - Labor</v>
      </c>
      <c r="C111" s="41" t="s">
        <v>246</v>
      </c>
      <c r="D111" s="116">
        <f>MachineAssumptions!$R$20</f>
        <v>3.6</v>
      </c>
      <c r="E111" s="87">
        <f t="shared" si="13"/>
        <v>1</v>
      </c>
      <c r="F111" s="117">
        <f t="shared" si="12"/>
        <v>3.6</v>
      </c>
      <c r="H111" s="416">
        <f>MachineAssumptions!$R$41*E111</f>
        <v>3.6</v>
      </c>
      <c r="I111" s="369">
        <f>MachineAssumptions!$R$61*E111</f>
        <v>3.6</v>
      </c>
    </row>
    <row r="112" spans="1:9" ht="20">
      <c r="A112" s="15"/>
      <c r="B112" s="85" t="str">
        <f>MachineAssumptions!B20&amp;" - Fuel, Lube"</f>
        <v>Tandem Axle Truck  - Fuel, Lube</v>
      </c>
      <c r="C112" s="41" t="s">
        <v>246</v>
      </c>
      <c r="D112" s="116">
        <f>MachineAssumptions!$S$20</f>
        <v>1.72</v>
      </c>
      <c r="E112" s="87">
        <f t="shared" si="13"/>
        <v>1</v>
      </c>
      <c r="F112" s="117">
        <f t="shared" si="12"/>
        <v>1.72</v>
      </c>
      <c r="H112" s="416">
        <f>MachineAssumptions!$S$41*E112</f>
        <v>1.72</v>
      </c>
      <c r="I112" s="369">
        <f>MachineAssumptions!$S$61*E112</f>
        <v>1.72</v>
      </c>
    </row>
    <row r="113" spans="1:13" ht="23">
      <c r="A113" s="15"/>
      <c r="B113" s="85" t="str">
        <f>MachineAssumptions!B20&amp;" - Repairs"</f>
        <v>Tandem Axle Truck  - Repairs</v>
      </c>
      <c r="C113" s="41" t="s">
        <v>246</v>
      </c>
      <c r="D113" s="116">
        <f>MachineAssumptions!$T$20</f>
        <v>0.8</v>
      </c>
      <c r="E113" s="87">
        <f t="shared" si="13"/>
        <v>1</v>
      </c>
      <c r="F113" s="117">
        <f t="shared" si="12"/>
        <v>0.8</v>
      </c>
      <c r="H113" s="248">
        <f>MachineAssumptions!$T$41*E113</f>
        <v>0.8</v>
      </c>
      <c r="I113" s="247">
        <f>MachineAssumptions!$T$61*E113</f>
        <v>0.8</v>
      </c>
    </row>
    <row r="114" spans="1:13" ht="21">
      <c r="A114" s="15"/>
      <c r="B114" s="139" t="s">
        <v>88</v>
      </c>
      <c r="C114" s="41"/>
      <c r="D114" s="116"/>
      <c r="E114" s="87"/>
      <c r="F114" s="117"/>
      <c r="H114" s="249">
        <f>SUM(H74:H113)</f>
        <v>69.831863834238547</v>
      </c>
      <c r="I114" s="249">
        <f>SUM(I74:I113)</f>
        <v>67.221874253793075</v>
      </c>
    </row>
    <row r="115" spans="1:13" ht="20">
      <c r="A115" s="15"/>
      <c r="B115" s="85" t="str">
        <f>'Chem&amp;FertInputs&amp;CInsurance'!B73</f>
        <v>Crop Insurance</v>
      </c>
      <c r="C115" s="23" t="str">
        <f>'Chem&amp;FertInputs&amp;CInsurance'!D73</f>
        <v>acre</v>
      </c>
      <c r="D115" s="116">
        <f>'Chem&amp;FertInputs&amp;CInsurance'!V73</f>
        <v>18</v>
      </c>
      <c r="E115" s="87">
        <v>1</v>
      </c>
      <c r="F115" s="117">
        <f>IF(D115*E115=0,"0",D115*E115)</f>
        <v>18</v>
      </c>
      <c r="H115" s="1" t="s">
        <v>181</v>
      </c>
      <c r="I115" s="1" t="s">
        <v>181</v>
      </c>
    </row>
    <row r="116" spans="1:13" ht="20">
      <c r="A116" s="15"/>
      <c r="B116" s="85" t="s">
        <v>72</v>
      </c>
      <c r="C116" s="41" t="s">
        <v>83</v>
      </c>
      <c r="D116" s="111">
        <f>MachineAssumptions!D25</f>
        <v>0.05</v>
      </c>
      <c r="E116" s="87"/>
      <c r="F116" s="86">
        <f>SUM(F8:F115)*D116</f>
        <v>11.594979587460983</v>
      </c>
      <c r="G116" s="1" t="s">
        <v>111</v>
      </c>
      <c r="H116" s="49">
        <f>(SUM($F8:$F70)+$F115+SUM(H72:H113))*$D116</f>
        <v>11.595705691711927</v>
      </c>
      <c r="I116" s="49">
        <f>(SUM($F8:$F70)+$F115+SUM(I72:I113))*$D116</f>
        <v>11.465206212689655</v>
      </c>
      <c r="J116" s="49">
        <f>F72+F75+F78+F81+F84+F87+F90+F93+F96+F99+F102+F105+F108+F111</f>
        <v>16.129930432071912</v>
      </c>
      <c r="K116" s="1" t="s">
        <v>111</v>
      </c>
    </row>
    <row r="117" spans="1:13" ht="20">
      <c r="A117" s="15"/>
      <c r="B117" s="85" t="s">
        <v>84</v>
      </c>
      <c r="C117" s="41" t="s">
        <v>83</v>
      </c>
      <c r="D117" s="111">
        <f>MachineAssumptions!D26</f>
        <v>6.7500000000000004E-2</v>
      </c>
      <c r="E117" s="112"/>
      <c r="F117" s="140">
        <f>SUM(F8:F116)*(D117/12*MachineAssumptions!D27)</f>
        <v>12.326912673919459</v>
      </c>
      <c r="G117" s="1" t="s">
        <v>4</v>
      </c>
      <c r="H117" s="49">
        <f>(SUM(F8:F70)+(F115+F116+H114))*((D117/12)*MachineAssumptions!D27)</f>
        <v>12.327647854473541</v>
      </c>
      <c r="I117" s="49">
        <f>(SUM(F8:F70)+(F115+F116+I114))*((D117/12)*MachineAssumptions!D27)</f>
        <v>12.19551713196349</v>
      </c>
      <c r="J117" s="49">
        <f>F73+F76+F79+F82+F85+F88+F91+F94+F97+F100+F103+F106+F109+F112</f>
        <v>37.921401983080372</v>
      </c>
      <c r="K117" s="1" t="s">
        <v>4</v>
      </c>
    </row>
    <row r="118" spans="1:13" ht="20">
      <c r="A118" s="15"/>
      <c r="B118" s="14" t="s">
        <v>85</v>
      </c>
      <c r="C118" s="29"/>
      <c r="D118" s="141"/>
      <c r="E118" s="142"/>
      <c r="F118" s="143">
        <f>SUM(F8:F117)</f>
        <v>255.8214840106001</v>
      </c>
      <c r="G118" s="1" t="s">
        <v>112</v>
      </c>
      <c r="J118" s="49">
        <f>F74+F77+F80+F83+F86+F89+F92+F95+F98+F101+F104+F107+F110+F113</f>
        <v>15.766009334067396</v>
      </c>
      <c r="K118" s="1" t="s">
        <v>112</v>
      </c>
      <c r="L118" s="49">
        <f>H74+H77+H80+H83+H86+H89+H92+H95+H98+H101+H104+H107+H110+H113</f>
        <v>15.780531419086264</v>
      </c>
      <c r="M118" s="49">
        <f>I74+I77+I80+I83+I86+I89+I92+I95+I98+I101+I104+I107+I110+I113</f>
        <v>13.1705418386408</v>
      </c>
    </row>
    <row r="119" spans="1:13">
      <c r="A119" s="15"/>
      <c r="B119" s="113"/>
      <c r="C119" s="113"/>
      <c r="D119" s="113"/>
      <c r="E119" s="114"/>
      <c r="F119" s="115"/>
      <c r="H119" s="115"/>
      <c r="J119" s="49">
        <f>SUM(J116:J118)</f>
        <v>69.817341749219679</v>
      </c>
      <c r="K119" s="115"/>
    </row>
    <row r="120" spans="1:13" ht="20">
      <c r="A120" s="15"/>
      <c r="B120" s="132" t="s">
        <v>89</v>
      </c>
      <c r="C120" s="19" t="s">
        <v>2</v>
      </c>
      <c r="D120" s="20" t="s">
        <v>12</v>
      </c>
      <c r="E120" s="21" t="s">
        <v>13</v>
      </c>
      <c r="F120" s="45" t="s">
        <v>0</v>
      </c>
      <c r="H120" s="1" t="s">
        <v>136</v>
      </c>
      <c r="I120" s="1" t="s">
        <v>139</v>
      </c>
    </row>
    <row r="121" spans="1:13" ht="20">
      <c r="A121" s="15"/>
      <c r="B121" s="18" t="str">
        <f>MachineAssumptions!B7&amp;" - Replacement Costs"</f>
        <v>Shredder - Replacement Costs</v>
      </c>
      <c r="C121" s="41" t="str">
        <f>C72</f>
        <v>acre</v>
      </c>
      <c r="D121" s="34">
        <f>MachineAssumptions!U7</f>
        <v>4.3329737628911431</v>
      </c>
      <c r="E121" s="145">
        <f>E72</f>
        <v>0</v>
      </c>
      <c r="F121" s="42" t="str">
        <f t="shared" ref="F121:F134" si="14">IF(D121*E121=0,"0",D121*E121)</f>
        <v>0</v>
      </c>
      <c r="H121" s="166">
        <f>MachineAssumptions!U28*E121</f>
        <v>0</v>
      </c>
      <c r="I121" s="166">
        <f>MachineAssumptions!U48*E121</f>
        <v>0</v>
      </c>
    </row>
    <row r="122" spans="1:13" ht="20">
      <c r="A122" s="15"/>
      <c r="B122" s="18" t="str">
        <f>MachineAssumptions!B8&amp;" - Replacement Costs"</f>
        <v>Harrow - Replacement Costs</v>
      </c>
      <c r="C122" s="41" t="str">
        <f>C75</f>
        <v>acre</v>
      </c>
      <c r="D122" s="34">
        <f>MachineAssumptions!U8</f>
        <v>1.1988479209967022</v>
      </c>
      <c r="E122" s="145">
        <f>E75</f>
        <v>0</v>
      </c>
      <c r="F122" s="42" t="str">
        <f t="shared" si="14"/>
        <v>0</v>
      </c>
      <c r="H122" s="166">
        <f>MachineAssumptions!U29*E122</f>
        <v>0</v>
      </c>
      <c r="I122" s="166">
        <f>MachineAssumptions!U49*E122</f>
        <v>0</v>
      </c>
    </row>
    <row r="123" spans="1:13" ht="20">
      <c r="A123" s="15"/>
      <c r="B123" s="18" t="str">
        <f>MachineAssumptions!B9&amp;" - Replacement Costs"</f>
        <v>Chisel plow - Replacement Costs</v>
      </c>
      <c r="C123" s="41" t="str">
        <f>C78</f>
        <v>acre</v>
      </c>
      <c r="D123" s="34">
        <f>MachineAssumptions!U9</f>
        <v>0</v>
      </c>
      <c r="E123" s="145">
        <f>E78</f>
        <v>0</v>
      </c>
      <c r="F123" s="42" t="str">
        <f t="shared" si="14"/>
        <v>0</v>
      </c>
      <c r="H123" s="166">
        <f>MachineAssumptions!U30*E123</f>
        <v>0</v>
      </c>
      <c r="I123" s="166">
        <f>MachineAssumptions!U50*E123</f>
        <v>0</v>
      </c>
    </row>
    <row r="124" spans="1:13" ht="20">
      <c r="A124" s="15"/>
      <c r="B124" s="18" t="str">
        <f>MachineAssumptions!B10&amp;" - Replacement Costs"</f>
        <v>Moldboard plow - Replacement Costs</v>
      </c>
      <c r="C124" s="41" t="str">
        <f>C81</f>
        <v>acre</v>
      </c>
      <c r="D124" s="34">
        <f>MachineAssumptions!U10</f>
        <v>0</v>
      </c>
      <c r="E124" s="145">
        <f>E81</f>
        <v>0</v>
      </c>
      <c r="F124" s="42" t="str">
        <f t="shared" si="14"/>
        <v>0</v>
      </c>
      <c r="H124" s="166">
        <f>MachineAssumptions!U31*E124</f>
        <v>0</v>
      </c>
      <c r="I124" s="166">
        <f>MachineAssumptions!U51*E124</f>
        <v>0</v>
      </c>
    </row>
    <row r="125" spans="1:13" ht="20">
      <c r="A125" s="15"/>
      <c r="B125" s="18" t="str">
        <f>MachineAssumptions!B11&amp;" - Replacement Costs"</f>
        <v>Cultivator - Replacement Costs</v>
      </c>
      <c r="C125" s="41" t="str">
        <f t="shared" ref="C125:C126" si="15">C82</f>
        <v>acre</v>
      </c>
      <c r="D125" s="34">
        <f>MachineAssumptions!U11</f>
        <v>0</v>
      </c>
      <c r="E125" s="145">
        <f>E84</f>
        <v>0</v>
      </c>
      <c r="F125" s="42" t="str">
        <f t="shared" si="14"/>
        <v>0</v>
      </c>
      <c r="H125" s="166">
        <f>MachineAssumptions!U32*E125</f>
        <v>0</v>
      </c>
      <c r="I125" s="166">
        <f>MachineAssumptions!U52*E125</f>
        <v>0</v>
      </c>
    </row>
    <row r="126" spans="1:13" ht="20">
      <c r="A126" s="15"/>
      <c r="B126" s="18" t="str">
        <f>MachineAssumptions!B12&amp;" - Replacement Costs"</f>
        <v>Cultiweeder - Replacement Costs</v>
      </c>
      <c r="C126" s="41" t="str">
        <f t="shared" si="15"/>
        <v>acre</v>
      </c>
      <c r="D126" s="34">
        <f>MachineAssumptions!U12</f>
        <v>0</v>
      </c>
      <c r="E126" s="145">
        <f>E87</f>
        <v>0</v>
      </c>
      <c r="F126" s="42" t="str">
        <f t="shared" si="14"/>
        <v>0</v>
      </c>
      <c r="H126" s="166">
        <f>MachineAssumptions!U33*E126</f>
        <v>0</v>
      </c>
      <c r="I126" s="166">
        <f>MachineAssumptions!U53*E126</f>
        <v>0</v>
      </c>
    </row>
    <row r="127" spans="1:13" ht="20">
      <c r="A127" s="15"/>
      <c r="B127" s="18" t="str">
        <f>MachineAssumptions!B13&amp;" - Replacement Costs"</f>
        <v>Drill - Replacement Costs</v>
      </c>
      <c r="C127" s="41" t="str">
        <f>C90</f>
        <v>acre</v>
      </c>
      <c r="D127" s="34">
        <f>MachineAssumptions!U13</f>
        <v>7.2419265221735989</v>
      </c>
      <c r="E127" s="145">
        <f>E90</f>
        <v>1</v>
      </c>
      <c r="F127" s="42">
        <f t="shared" si="14"/>
        <v>7.2419265221735989</v>
      </c>
      <c r="H127" s="166">
        <f>MachineAssumptions!U34*E127</f>
        <v>7.2419265221735989</v>
      </c>
      <c r="I127" s="166">
        <f>MachineAssumptions!U54*E127</f>
        <v>7.2419265221735989</v>
      </c>
    </row>
    <row r="128" spans="1:13" ht="20">
      <c r="A128" s="15"/>
      <c r="B128" s="18" t="str">
        <f>MachineAssumptions!B14&amp;" - Replacement Costs"</f>
        <v>Combine w/ 36' header - Replacement Costs</v>
      </c>
      <c r="C128" s="41" t="str">
        <f>C93</f>
        <v>acre</v>
      </c>
      <c r="D128" s="34">
        <f>MachineAssumptions!U14</f>
        <v>9.7031999999999989</v>
      </c>
      <c r="E128" s="145">
        <f>E93</f>
        <v>1</v>
      </c>
      <c r="F128" s="42">
        <f t="shared" si="14"/>
        <v>9.7031999999999989</v>
      </c>
      <c r="H128" s="166">
        <f>MachineAssumptions!U35*E128</f>
        <v>9.7031999999999989</v>
      </c>
      <c r="I128" s="166">
        <f>MachineAssumptions!U55*E128</f>
        <v>9.7032000000000007</v>
      </c>
    </row>
    <row r="129" spans="1:9" ht="20">
      <c r="A129" s="15"/>
      <c r="B129" s="18" t="str">
        <f>MachineAssumptions!B16&amp;" - Replacement Costs"</f>
        <v>Fertilizer Spreader - Replacement Costs</v>
      </c>
      <c r="C129" s="41" t="str">
        <f>C96</f>
        <v>acre</v>
      </c>
      <c r="D129" s="34">
        <f>MachineAssumptions!U16</f>
        <v>0</v>
      </c>
      <c r="E129" s="145">
        <f>E96</f>
        <v>0</v>
      </c>
      <c r="F129" s="42" t="str">
        <f t="shared" si="14"/>
        <v>0</v>
      </c>
      <c r="H129" s="166">
        <f>MachineAssumptions!U36*E129</f>
        <v>0</v>
      </c>
      <c r="I129" s="166">
        <f>MachineAssumptions!U56*E129</f>
        <v>0</v>
      </c>
    </row>
    <row r="130" spans="1:9" ht="20">
      <c r="A130" s="15"/>
      <c r="B130" s="18" t="str">
        <f>MachineAssumptions!B17&amp;" - Replacement Costs"</f>
        <v>Fertilizer tanks and pump - Replacement Costs</v>
      </c>
      <c r="C130" s="41" t="str">
        <f>C99</f>
        <v>acre</v>
      </c>
      <c r="D130" s="34">
        <f>MachineAssumptions!U17</f>
        <v>0.6</v>
      </c>
      <c r="E130" s="145">
        <f>E99</f>
        <v>1</v>
      </c>
      <c r="F130" s="42">
        <f t="shared" si="14"/>
        <v>0.6</v>
      </c>
      <c r="H130" s="166">
        <f>MachineAssumptions!U37*E130</f>
        <v>0.6</v>
      </c>
      <c r="I130" s="166">
        <f>MachineAssumptions!U57*E130</f>
        <v>0.6</v>
      </c>
    </row>
    <row r="131" spans="1:9" ht="20">
      <c r="A131" s="15"/>
      <c r="B131" s="18" t="str">
        <f>MachineAssumptions!B18&amp;" - Replacement Costs"</f>
        <v>Boom sprayer - Replacement Costs</v>
      </c>
      <c r="C131" s="41" t="str">
        <f>C102</f>
        <v>acre</v>
      </c>
      <c r="D131" s="34">
        <f>MachineAssumptions!U18</f>
        <v>0.80913316225248511</v>
      </c>
      <c r="E131" s="145">
        <f>E102</f>
        <v>3</v>
      </c>
      <c r="F131" s="42">
        <f t="shared" si="14"/>
        <v>2.4273994867574551</v>
      </c>
      <c r="H131" s="166">
        <f>MachineAssumptions!U38*E131</f>
        <v>2.4270356342009749</v>
      </c>
      <c r="I131" s="166">
        <f>MachineAssumptions!U58*E131</f>
        <v>2.4273994867574551</v>
      </c>
    </row>
    <row r="132" spans="1:9" ht="20">
      <c r="A132" s="15"/>
      <c r="B132" s="18" t="str">
        <f>MachineAssumptions!B15&amp;" - Replacement Costs"</f>
        <v>Bankout Wagon - Replacement Costs</v>
      </c>
      <c r="C132" s="41" t="str">
        <f>C105</f>
        <v>acre</v>
      </c>
      <c r="D132" s="34">
        <f>MachineAssumptions!U15</f>
        <v>2.9461434675395459</v>
      </c>
      <c r="E132" s="145">
        <f>E105</f>
        <v>1</v>
      </c>
      <c r="F132" s="42">
        <f t="shared" si="14"/>
        <v>2.9461434675395459</v>
      </c>
      <c r="H132" s="166">
        <f>MachineAssumptions!U39*E132</f>
        <v>2.9461434675395459</v>
      </c>
      <c r="I132" s="166">
        <f>MachineAssumptions!U59*E132</f>
        <v>2.9461434675395459</v>
      </c>
    </row>
    <row r="133" spans="1:9" ht="20">
      <c r="A133" s="15"/>
      <c r="B133" s="18" t="str">
        <f>MachineAssumptions!B19&amp;" - Replacement Costs"</f>
        <v>Tandem Axle Truck  - Replacement Costs</v>
      </c>
      <c r="C133" s="41" t="str">
        <f>C108</f>
        <v>acre</v>
      </c>
      <c r="D133" s="34">
        <f>MachineAssumptions!U19</f>
        <v>0.64</v>
      </c>
      <c r="E133" s="145">
        <f>E108</f>
        <v>1</v>
      </c>
      <c r="F133" s="42">
        <f t="shared" si="14"/>
        <v>0.64</v>
      </c>
      <c r="H133" s="166">
        <f>MachineAssumptions!U40*E133</f>
        <v>0.64</v>
      </c>
      <c r="I133" s="166">
        <f>MachineAssumptions!U60*E133</f>
        <v>0.64</v>
      </c>
    </row>
    <row r="134" spans="1:9" ht="23">
      <c r="A134" s="15"/>
      <c r="B134" s="18" t="str">
        <f>MachineAssumptions!B20&amp;" - Replacement Costs"</f>
        <v>Tandem Axle Truck  - Replacement Costs</v>
      </c>
      <c r="C134" s="41" t="str">
        <f t="shared" ref="C134" si="16">C111</f>
        <v>acre</v>
      </c>
      <c r="D134" s="34">
        <f>MachineAssumptions!U20</f>
        <v>0.64</v>
      </c>
      <c r="E134" s="145">
        <f t="shared" ref="E134" si="17">E111</f>
        <v>1</v>
      </c>
      <c r="F134" s="43">
        <f t="shared" si="14"/>
        <v>0.64</v>
      </c>
      <c r="H134" s="247">
        <f>MachineAssumptions!U41*E134</f>
        <v>0.64</v>
      </c>
      <c r="I134" s="247">
        <f>MachineAssumptions!U61*E134</f>
        <v>0.64</v>
      </c>
    </row>
    <row r="135" spans="1:9" ht="20">
      <c r="A135" s="15"/>
      <c r="B135" s="144" t="s">
        <v>38</v>
      </c>
      <c r="C135" s="29"/>
      <c r="D135" s="30"/>
      <c r="E135" s="29"/>
      <c r="F135" s="46">
        <f>SUM(F121:F134)</f>
        <v>24.198669476470602</v>
      </c>
      <c r="H135" s="46">
        <f t="shared" ref="H135:I135" si="18">SUM(H121:H134)</f>
        <v>24.198305623914123</v>
      </c>
      <c r="I135" s="46">
        <f t="shared" si="18"/>
        <v>24.198669476470602</v>
      </c>
    </row>
    <row r="136" spans="1:9" ht="20">
      <c r="A136" s="15"/>
      <c r="B136" s="16"/>
      <c r="C136" s="16"/>
      <c r="D136" s="17"/>
      <c r="E136" s="16"/>
      <c r="F136" s="113"/>
    </row>
    <row r="137" spans="1:9" ht="20">
      <c r="A137" s="15"/>
      <c r="B137" s="14" t="s">
        <v>31</v>
      </c>
      <c r="C137" s="29"/>
      <c r="D137" s="30"/>
      <c r="E137" s="29"/>
      <c r="F137" s="47">
        <f>F118+F135</f>
        <v>280.02015348707073</v>
      </c>
      <c r="H137" s="47">
        <f>SUM(F16:F70)+H114+F115+H116+H117+H135+F8+(H9*D9)+(H10*D10)+(H11*D11)+(H12*D12)+(H13*D13)+(H14*D14)+(H15*D15)</f>
        <v>280.03577300433818</v>
      </c>
      <c r="I137" s="47">
        <f>SUM(F16:F70)+I114+F115+I116+I117+I135+F8+(I9*D9)+(I10*D10)+(I11*D11)+(I12*D12)+(I13*D13)+(I14*D14)+(I15*D15)</f>
        <v>277.1635170749168</v>
      </c>
    </row>
    <row r="138" spans="1:9" ht="21">
      <c r="A138" s="15"/>
      <c r="B138" s="31" t="s">
        <v>32</v>
      </c>
      <c r="C138" s="32"/>
      <c r="D138" s="33"/>
      <c r="E138" s="32"/>
      <c r="F138" s="48">
        <f>F5-F137</f>
        <v>-10.020153487070729</v>
      </c>
      <c r="H138" s="250">
        <f>H5-H137</f>
        <v>-10.035773004338182</v>
      </c>
      <c r="I138" s="250">
        <f>I5-I137</f>
        <v>-7.1635170749167969</v>
      </c>
    </row>
  </sheetData>
  <mergeCells count="1">
    <mergeCell ref="B2:F2"/>
  </mergeCells>
  <pageMargins left="0.7" right="0.7" top="0.75" bottom="0.75" header="0.3" footer="0.3"/>
  <pageSetup scale="62" orientation="portrait" horizontalDpi="0" verticalDpi="0"/>
  <ignoredErrors>
    <ignoredError sqref="B63:F70 B114:F114 B135:F138 B121:C134 E121:F134 B2 B72:B113 D72:F113 B60:F61 B3:F3 B4:F8 B54:F57 B42:F51 B33:F40 B21:F31 B16:G20 B32:G32 G21:G31 B41:G41 G33:G40 B52:G53 G42:G51 B58:G59 G54:G57 B116:F120 B115:D115 E115:F115 C14:F14 C9:F9 C10:F10 C11:F11 C12:F12 C13:F13 C15:G15 B9:B15" unlockedFormula="1"/>
    <ignoredError sqref="D121:D134" formula="1" unlockedFormula="1"/>
  </ignoredErrors>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8EBF5-F240-6A41-A445-0D1711397E25}">
  <sheetPr codeName="Sheet23">
    <pageSetUpPr fitToPage="1"/>
  </sheetPr>
  <dimension ref="A1:R138"/>
  <sheetViews>
    <sheetView zoomScale="120" zoomScaleNormal="120" workbookViewId="0">
      <selection activeCell="B2" sqref="B2:F2"/>
    </sheetView>
  </sheetViews>
  <sheetFormatPr baseColWidth="10" defaultColWidth="11.5" defaultRowHeight="15"/>
  <cols>
    <col min="1" max="1" width="4.83203125" style="1" customWidth="1"/>
    <col min="2" max="2" width="57.83203125" style="1" customWidth="1"/>
    <col min="3" max="6" width="12.83203125" style="1" customWidth="1"/>
    <col min="7" max="15" width="11.5" style="1" hidden="1" customWidth="1"/>
    <col min="16" max="16" width="0" style="1" hidden="1" customWidth="1"/>
    <col min="17" max="16384" width="11.5" style="1"/>
  </cols>
  <sheetData>
    <row r="1" spans="1:18" ht="20">
      <c r="A1" s="352" t="s">
        <v>8</v>
      </c>
      <c r="B1" s="27"/>
      <c r="C1" s="16"/>
      <c r="D1" s="17"/>
      <c r="E1" s="16"/>
      <c r="F1" s="16"/>
    </row>
    <row r="2" spans="1:18" ht="20">
      <c r="A2" s="15"/>
      <c r="B2" s="807" t="str">
        <f>'Prices_Yields&amp;SeedInputs'!B22&amp;", Cash Costs and Returns of Producing, $/acre."</f>
        <v>Spring Canola, Cash Costs and Returns of Producing, $/acre.</v>
      </c>
      <c r="C2" s="807"/>
      <c r="D2" s="807"/>
      <c r="E2" s="807"/>
      <c r="F2" s="807"/>
    </row>
    <row r="3" spans="1:18" ht="20">
      <c r="A3" s="15"/>
      <c r="B3" s="131" t="s">
        <v>11</v>
      </c>
      <c r="C3" s="24" t="s">
        <v>2</v>
      </c>
      <c r="D3" s="25" t="s">
        <v>12</v>
      </c>
      <c r="E3" s="26" t="s">
        <v>13</v>
      </c>
      <c r="F3" s="26" t="s">
        <v>0</v>
      </c>
      <c r="H3" s="1" t="str">
        <f>'Prices_Yields&amp;SeedInputs'!F3</f>
        <v>Incremental Rotation</v>
      </c>
      <c r="I3" s="1" t="str">
        <f>'Prices_Yields&amp;SeedInputs'!G3</f>
        <v>Aspirational Rotation</v>
      </c>
      <c r="Q3" s="674"/>
      <c r="R3" s="674"/>
    </row>
    <row r="4" spans="1:18" ht="20">
      <c r="A4" s="15"/>
      <c r="B4" s="127" t="str">
        <f>'Prices_Yields&amp;SeedInputs'!B22</f>
        <v>Spring Canola</v>
      </c>
      <c r="C4" s="22" t="str">
        <f>'Prices_Yields&amp;SeedInputs'!C22</f>
        <v>lb</v>
      </c>
      <c r="D4" s="17">
        <f>'Prices_Yields&amp;SeedInputs'!D22</f>
        <v>0.15</v>
      </c>
      <c r="E4" s="90">
        <f>'Prices_Yields&amp;SeedInputs'!E22</f>
        <v>1800</v>
      </c>
      <c r="F4" s="35">
        <f>D4*E4</f>
        <v>270</v>
      </c>
      <c r="Q4" s="674"/>
      <c r="R4" s="674"/>
    </row>
    <row r="5" spans="1:18" ht="20">
      <c r="A5" s="15"/>
      <c r="B5" s="14" t="s">
        <v>14</v>
      </c>
      <c r="C5" s="29"/>
      <c r="D5" s="30"/>
      <c r="E5" s="29"/>
      <c r="F5" s="46">
        <f>SUM(F4:F4)</f>
        <v>270</v>
      </c>
      <c r="H5" s="1">
        <f>D4*'Prices_Yields&amp;SeedInputs'!F22</f>
        <v>270</v>
      </c>
      <c r="I5" s="1">
        <f>D4*'Prices_Yields&amp;SeedInputs'!G22</f>
        <v>270</v>
      </c>
      <c r="Q5" s="674"/>
      <c r="R5" s="674"/>
    </row>
    <row r="6" spans="1:18" ht="20">
      <c r="A6" s="15"/>
      <c r="B6" s="16"/>
      <c r="C6" s="16"/>
      <c r="D6" s="17"/>
      <c r="E6" s="16"/>
      <c r="F6" s="44"/>
    </row>
    <row r="7" spans="1:18" ht="20">
      <c r="A7" s="15"/>
      <c r="B7" s="132" t="s">
        <v>37</v>
      </c>
      <c r="C7" s="19" t="s">
        <v>2</v>
      </c>
      <c r="D7" s="20" t="s">
        <v>12</v>
      </c>
      <c r="E7" s="21" t="s">
        <v>13</v>
      </c>
      <c r="F7" s="45" t="s">
        <v>0</v>
      </c>
    </row>
    <row r="8" spans="1:18" ht="20">
      <c r="A8" s="15"/>
      <c r="B8" s="85" t="s">
        <v>169</v>
      </c>
      <c r="C8" s="119" t="str">
        <f>'Prices_Yields&amp;SeedInputs'!H22</f>
        <v>pound</v>
      </c>
      <c r="D8" s="120">
        <f>'Prices_Yields&amp;SeedInputs'!I22</f>
        <v>0.4</v>
      </c>
      <c r="E8" s="133">
        <f>'Prices_Yields&amp;SeedInputs'!J22</f>
        <v>4</v>
      </c>
      <c r="F8" s="117">
        <f t="shared" ref="F8:F61" si="0">IF(D8*E8=0,"0",D8*E8)</f>
        <v>1.6</v>
      </c>
    </row>
    <row r="9" spans="1:18" ht="20">
      <c r="A9" s="15"/>
      <c r="B9" s="85" t="str">
        <f>'Chem&amp;FertInputs&amp;CInsurance'!B6</f>
        <v>Fertilizer - Nitrogen-</v>
      </c>
      <c r="C9" s="23" t="str">
        <f>'Chem&amp;FertInputs&amp;CInsurance'!D6</f>
        <v>pound</v>
      </c>
      <c r="D9" s="116">
        <f>'Chem&amp;FertInputs&amp;CInsurance'!E6</f>
        <v>0.48749999999999999</v>
      </c>
      <c r="E9" s="133">
        <f>'Chem&amp;FertInputs&amp;CInsurance'!W6</f>
        <v>90</v>
      </c>
      <c r="F9" s="117">
        <f t="shared" si="0"/>
        <v>43.875</v>
      </c>
      <c r="H9" s="1">
        <f>'Chem&amp;FertInputs&amp;CInsurance'!W7</f>
        <v>90</v>
      </c>
      <c r="I9" s="1">
        <f>'Chem&amp;FertInputs&amp;CInsurance'!W8</f>
        <v>90</v>
      </c>
    </row>
    <row r="10" spans="1:18" ht="20">
      <c r="A10" s="15"/>
      <c r="B10" s="85" t="str">
        <f>'Chem&amp;FertInputs&amp;CInsurance'!B9</f>
        <v>Fertilizer - Anhydrous Ammonia-</v>
      </c>
      <c r="C10" s="23" t="str">
        <f>'Chem&amp;FertInputs&amp;CInsurance'!D9</f>
        <v>pound</v>
      </c>
      <c r="D10" s="116">
        <f>'Chem&amp;FertInputs&amp;CInsurance'!E9</f>
        <v>0.75770000000000004</v>
      </c>
      <c r="E10" s="133">
        <f>'Chem&amp;FertInputs&amp;CInsurance'!W9</f>
        <v>0</v>
      </c>
      <c r="F10" s="117" t="str">
        <f t="shared" si="0"/>
        <v>0</v>
      </c>
      <c r="H10" s="1">
        <f>'Chem&amp;FertInputs&amp;CInsurance'!W10</f>
        <v>0</v>
      </c>
      <c r="I10" s="1">
        <f>'Chem&amp;FertInputs&amp;CInsurance'!W11</f>
        <v>0</v>
      </c>
    </row>
    <row r="11" spans="1:18" ht="20">
      <c r="A11" s="15"/>
      <c r="B11" s="85" t="str">
        <f>'Chem&amp;FertInputs&amp;CInsurance'!B12</f>
        <v xml:space="preserve">Fertilizer - Phosphorus- </v>
      </c>
      <c r="C11" s="23" t="str">
        <f>'Chem&amp;FertInputs&amp;CInsurance'!D12</f>
        <v>pound</v>
      </c>
      <c r="D11" s="116">
        <f>'Chem&amp;FertInputs&amp;CInsurance'!E12</f>
        <v>0.47499999999999998</v>
      </c>
      <c r="E11" s="133">
        <f>'Chem&amp;FertInputs&amp;CInsurance'!W12</f>
        <v>8</v>
      </c>
      <c r="F11" s="117">
        <f t="shared" si="0"/>
        <v>3.8</v>
      </c>
      <c r="H11" s="1">
        <f>'Chem&amp;FertInputs&amp;CInsurance'!W13</f>
        <v>8</v>
      </c>
      <c r="I11" s="1">
        <f>'Chem&amp;FertInputs&amp;CInsurance'!W14</f>
        <v>8</v>
      </c>
    </row>
    <row r="12" spans="1:18" ht="20">
      <c r="A12" s="15"/>
      <c r="B12" s="85" t="str">
        <f>'Chem&amp;FertInputs&amp;CInsurance'!B15</f>
        <v>Fertilizer - Potassium-</v>
      </c>
      <c r="C12" s="23" t="str">
        <f>'Chem&amp;FertInputs&amp;CInsurance'!D15</f>
        <v>pound</v>
      </c>
      <c r="D12" s="116">
        <f>'Chem&amp;FertInputs&amp;CInsurance'!E15</f>
        <v>0.441</v>
      </c>
      <c r="E12" s="133">
        <f>'Chem&amp;FertInputs&amp;CInsurance'!W15</f>
        <v>0</v>
      </c>
      <c r="F12" s="117" t="str">
        <f t="shared" si="0"/>
        <v>0</v>
      </c>
      <c r="H12" s="1">
        <f>'Chem&amp;FertInputs&amp;CInsurance'!W16</f>
        <v>0</v>
      </c>
      <c r="I12" s="1">
        <f>'Chem&amp;FertInputs&amp;CInsurance'!W17</f>
        <v>0</v>
      </c>
    </row>
    <row r="13" spans="1:18" ht="20">
      <c r="A13" s="15"/>
      <c r="B13" s="85" t="str">
        <f>'Chem&amp;FertInputs&amp;CInsurance'!B18</f>
        <v>Fertilizer - Sulfur-</v>
      </c>
      <c r="C13" s="23" t="str">
        <f>'Chem&amp;FertInputs&amp;CInsurance'!D18</f>
        <v>pound</v>
      </c>
      <c r="D13" s="116">
        <f>'Chem&amp;FertInputs&amp;CInsurance'!E18</f>
        <v>0.2555</v>
      </c>
      <c r="E13" s="133">
        <f>'Chem&amp;FertInputs&amp;CInsurance'!W18</f>
        <v>17</v>
      </c>
      <c r="F13" s="117">
        <f t="shared" si="0"/>
        <v>4.3434999999999997</v>
      </c>
      <c r="H13" s="1">
        <f>'Chem&amp;FertInputs&amp;CInsurance'!W19</f>
        <v>17</v>
      </c>
      <c r="I13" s="1">
        <f>'Chem&amp;FertInputs&amp;CInsurance'!W20</f>
        <v>17</v>
      </c>
    </row>
    <row r="14" spans="1:18" ht="20">
      <c r="A14" s="15"/>
      <c r="B14" s="85" t="str">
        <f>'Chem&amp;FertInputs&amp;CInsurance'!B21</f>
        <v>Adjuvant - Ammonium Sulfate liquid-</v>
      </c>
      <c r="C14" s="23" t="str">
        <f>'Chem&amp;FertInputs&amp;CInsurance'!D21</f>
        <v>oz</v>
      </c>
      <c r="D14" s="116">
        <f>'Chem&amp;FertInputs&amp;CInsurance'!E21</f>
        <v>0.48</v>
      </c>
      <c r="E14" s="133">
        <f>'Chem&amp;FertInputs&amp;CInsurance'!W21</f>
        <v>5.0999999999999996</v>
      </c>
      <c r="F14" s="117">
        <f t="shared" ref="F14:F20" si="1">IF(D14*E14=0,"0",D14*E14)</f>
        <v>2.448</v>
      </c>
      <c r="G14" s="165">
        <f>E14/128</f>
        <v>3.9843749999999997E-2</v>
      </c>
      <c r="H14" s="1">
        <f>'Chem&amp;FertInputs&amp;CInsurance'!W22</f>
        <v>5.0999999999999996</v>
      </c>
      <c r="I14" s="1">
        <f>'Chem&amp;FertInputs&amp;CInsurance'!W23</f>
        <v>5.0999999999999996</v>
      </c>
    </row>
    <row r="15" spans="1:18" ht="20">
      <c r="A15" s="15"/>
      <c r="B15" s="85" t="str">
        <f>'Chem&amp;FertInputs&amp;CInsurance'!B24</f>
        <v>Adjuvant - Ammonium Sulfate  (other)-</v>
      </c>
      <c r="C15" s="23" t="str">
        <f>'Chem&amp;FertInputs&amp;CInsurance'!D24</f>
        <v>pound</v>
      </c>
      <c r="D15" s="116">
        <f>'Chem&amp;FertInputs&amp;CInsurance'!E24</f>
        <v>0.71</v>
      </c>
      <c r="E15" s="133">
        <f>'Chem&amp;FertInputs&amp;CInsurance'!W24</f>
        <v>0</v>
      </c>
      <c r="F15" s="117" t="str">
        <f t="shared" si="1"/>
        <v>0</v>
      </c>
      <c r="G15" s="165">
        <f>E15/16</f>
        <v>0</v>
      </c>
      <c r="H15" s="1">
        <f>'Chem&amp;FertInputs&amp;CInsurance'!W25</f>
        <v>0</v>
      </c>
      <c r="I15" s="1">
        <f>'Chem&amp;FertInputs&amp;CInsurance'!W26</f>
        <v>0</v>
      </c>
    </row>
    <row r="16" spans="1:18" ht="20">
      <c r="A16" s="15"/>
      <c r="B16" s="85" t="str">
        <f>'Chem&amp;FertInputs&amp;CInsurance'!C27</f>
        <v xml:space="preserve">crop oil concentrate </v>
      </c>
      <c r="C16" s="23" t="str">
        <f>'Chem&amp;FertInputs&amp;CInsurance'!D27</f>
        <v>pint</v>
      </c>
      <c r="D16" s="116">
        <f>'Chem&amp;FertInputs&amp;CInsurance'!E27</f>
        <v>1.6559999999999999</v>
      </c>
      <c r="E16" s="133">
        <f>'Chem&amp;FertInputs&amp;CInsurance'!W27</f>
        <v>0</v>
      </c>
      <c r="F16" s="117" t="str">
        <f t="shared" si="1"/>
        <v>0</v>
      </c>
      <c r="G16" s="165">
        <f>E16/8</f>
        <v>0</v>
      </c>
    </row>
    <row r="17" spans="1:7" ht="20">
      <c r="A17" s="15"/>
      <c r="B17" s="85" t="str">
        <f>'Chem&amp;FertInputs&amp;CInsurance'!C28</f>
        <v>In-place</v>
      </c>
      <c r="C17" s="23" t="str">
        <f>'Chem&amp;FertInputs&amp;CInsurance'!D28</f>
        <v>oz</v>
      </c>
      <c r="D17" s="116">
        <f>'Chem&amp;FertInputs&amp;CInsurance'!E28</f>
        <v>0.35649999999999998</v>
      </c>
      <c r="E17" s="133">
        <f>'Chem&amp;FertInputs&amp;CInsurance'!W28</f>
        <v>0</v>
      </c>
      <c r="F17" s="117" t="str">
        <f t="shared" si="1"/>
        <v>0</v>
      </c>
      <c r="G17" s="165">
        <f>E17/128</f>
        <v>0</v>
      </c>
    </row>
    <row r="18" spans="1:7" ht="20">
      <c r="A18" s="15"/>
      <c r="B18" s="85" t="str">
        <f>'Chem&amp;FertInputs&amp;CInsurance'!C29</f>
        <v xml:space="preserve">M90 </v>
      </c>
      <c r="C18" s="23" t="str">
        <f>'Chem&amp;FertInputs&amp;CInsurance'!D29</f>
        <v>oz</v>
      </c>
      <c r="D18" s="116">
        <f>'Chem&amp;FertInputs&amp;CInsurance'!E29</f>
        <v>0.253</v>
      </c>
      <c r="E18" s="133">
        <f>'Chem&amp;FertInputs&amp;CInsurance'!W29</f>
        <v>0</v>
      </c>
      <c r="F18" s="117" t="str">
        <f t="shared" si="1"/>
        <v>0</v>
      </c>
      <c r="G18" s="165">
        <f>E18/128</f>
        <v>0</v>
      </c>
    </row>
    <row r="19" spans="1:7" ht="20">
      <c r="A19" s="15"/>
      <c r="B19" s="85" t="str">
        <f>'Chem&amp;FertInputs&amp;CInsurance'!C30</f>
        <v>Surfactant</v>
      </c>
      <c r="C19" s="23" t="str">
        <f>'Chem&amp;FertInputs&amp;CInsurance'!D30</f>
        <v>oz</v>
      </c>
      <c r="D19" s="116">
        <f>'Chem&amp;FertInputs&amp;CInsurance'!E30</f>
        <v>0.26450000000000001</v>
      </c>
      <c r="E19" s="133">
        <f>'Chem&amp;FertInputs&amp;CInsurance'!W30</f>
        <v>4.5</v>
      </c>
      <c r="F19" s="117">
        <f t="shared" si="1"/>
        <v>1.19025</v>
      </c>
      <c r="G19" s="165">
        <f>E19/128</f>
        <v>3.515625E-2</v>
      </c>
    </row>
    <row r="20" spans="1:7" ht="20">
      <c r="A20" s="15"/>
      <c r="B20" s="85" t="str">
        <f>'Chem&amp;FertInputs&amp;CInsurance'!C31</f>
        <v>Syltac sticker</v>
      </c>
      <c r="C20" s="23" t="str">
        <f>'Chem&amp;FertInputs&amp;CInsurance'!D31</f>
        <v>pint</v>
      </c>
      <c r="D20" s="116">
        <f>'Chem&amp;FertInputs&amp;CInsurance'!E31</f>
        <v>7.1874999999999991</v>
      </c>
      <c r="E20" s="133">
        <f>'Chem&amp;FertInputs&amp;CInsurance'!W31</f>
        <v>0</v>
      </c>
      <c r="F20" s="117" t="str">
        <f t="shared" si="1"/>
        <v>0</v>
      </c>
      <c r="G20" s="165">
        <f>E20/8</f>
        <v>0</v>
      </c>
    </row>
    <row r="21" spans="1:7" ht="20">
      <c r="A21" s="15"/>
      <c r="B21" s="85" t="str">
        <f>'Chem&amp;FertInputs&amp;CInsurance'!C33</f>
        <v>2,4 - D</v>
      </c>
      <c r="C21" s="23" t="str">
        <f>'Chem&amp;FertInputs&amp;CInsurance'!D33</f>
        <v>oz</v>
      </c>
      <c r="D21" s="116">
        <f>'Chem&amp;FertInputs&amp;CInsurance'!E33</f>
        <v>0.33349999999999996</v>
      </c>
      <c r="E21" s="133">
        <f>'Chem&amp;FertInputs&amp;CInsurance'!W33</f>
        <v>0</v>
      </c>
      <c r="F21" s="117" t="str">
        <f t="shared" si="0"/>
        <v>0</v>
      </c>
      <c r="G21" s="165">
        <f t="shared" ref="G21:G30" si="2">E21/128</f>
        <v>0</v>
      </c>
    </row>
    <row r="22" spans="1:7" ht="20">
      <c r="A22" s="15"/>
      <c r="B22" s="85" t="str">
        <f>'Chem&amp;FertInputs&amp;CInsurance'!C34</f>
        <v>Achieve SC</v>
      </c>
      <c r="C22" s="23" t="str">
        <f>'Chem&amp;FertInputs&amp;CInsurance'!D34</f>
        <v>oz</v>
      </c>
      <c r="D22" s="116">
        <f>'Chem&amp;FertInputs&amp;CInsurance'!E34</f>
        <v>1.3454999999999999</v>
      </c>
      <c r="E22" s="133">
        <f>'Chem&amp;FertInputs&amp;CInsurance'!W34</f>
        <v>0</v>
      </c>
      <c r="F22" s="117" t="str">
        <f t="shared" si="0"/>
        <v>0</v>
      </c>
      <c r="G22" s="165">
        <f t="shared" si="2"/>
        <v>0</v>
      </c>
    </row>
    <row r="23" spans="1:7" ht="20">
      <c r="A23" s="15"/>
      <c r="B23" s="85" t="str">
        <f>'Chem&amp;FertInputs&amp;CInsurance'!C35</f>
        <v>Affintity TankMix</v>
      </c>
      <c r="C23" s="23" t="str">
        <f>'Chem&amp;FertInputs&amp;CInsurance'!D35</f>
        <v>oz</v>
      </c>
      <c r="D23" s="116">
        <f>'Chem&amp;FertInputs&amp;CInsurance'!E35</f>
        <v>8.9699999999999989</v>
      </c>
      <c r="E23" s="133">
        <f>'Chem&amp;FertInputs&amp;CInsurance'!W35</f>
        <v>0</v>
      </c>
      <c r="F23" s="117" t="str">
        <f t="shared" si="0"/>
        <v>0</v>
      </c>
      <c r="G23" s="165">
        <f t="shared" si="2"/>
        <v>0</v>
      </c>
    </row>
    <row r="24" spans="1:7" ht="20">
      <c r="A24" s="15"/>
      <c r="B24" s="85" t="str">
        <f>'Chem&amp;FertInputs&amp;CInsurance'!C36</f>
        <v xml:space="preserve">Ally </v>
      </c>
      <c r="C24" s="23" t="str">
        <f>'Chem&amp;FertInputs&amp;CInsurance'!D36</f>
        <v>oz</v>
      </c>
      <c r="D24" s="116">
        <f>'Chem&amp;FertInputs&amp;CInsurance'!E36</f>
        <v>1.7249999999999999</v>
      </c>
      <c r="E24" s="133">
        <f>'Chem&amp;FertInputs&amp;CInsurance'!W36</f>
        <v>0</v>
      </c>
      <c r="F24" s="117" t="str">
        <f t="shared" si="0"/>
        <v>0</v>
      </c>
      <c r="G24" s="165">
        <f t="shared" si="2"/>
        <v>0</v>
      </c>
    </row>
    <row r="25" spans="1:7" ht="20">
      <c r="A25" s="15"/>
      <c r="B25" s="85" t="str">
        <f>'Chem&amp;FertInputs&amp;CInsurance'!C37</f>
        <v>Assure</v>
      </c>
      <c r="C25" s="23" t="str">
        <f>'Chem&amp;FertInputs&amp;CInsurance'!D37</f>
        <v>oz</v>
      </c>
      <c r="D25" s="116">
        <f>'Chem&amp;FertInputs&amp;CInsurance'!E37</f>
        <v>0.98899999999999988</v>
      </c>
      <c r="E25" s="133">
        <f>'Chem&amp;FertInputs&amp;CInsurance'!W37</f>
        <v>0</v>
      </c>
      <c r="F25" s="117" t="str">
        <f t="shared" si="0"/>
        <v>0</v>
      </c>
      <c r="G25" s="165">
        <f t="shared" si="2"/>
        <v>0</v>
      </c>
    </row>
    <row r="26" spans="1:7" ht="20">
      <c r="A26" s="15"/>
      <c r="B26" s="85" t="str">
        <f>'Chem&amp;FertInputs&amp;CInsurance'!C38</f>
        <v>Axial Star</v>
      </c>
      <c r="C26" s="23" t="str">
        <f>'Chem&amp;FertInputs&amp;CInsurance'!D38</f>
        <v>oz</v>
      </c>
      <c r="D26" s="116">
        <f>'Chem&amp;FertInputs&amp;CInsurance'!E38</f>
        <v>1.3224999999999998</v>
      </c>
      <c r="E26" s="133">
        <f>'Chem&amp;FertInputs&amp;CInsurance'!W38</f>
        <v>0</v>
      </c>
      <c r="F26" s="117" t="str">
        <f t="shared" si="0"/>
        <v>0</v>
      </c>
      <c r="G26" s="165">
        <f t="shared" si="2"/>
        <v>0</v>
      </c>
    </row>
    <row r="27" spans="1:7" ht="20">
      <c r="A27" s="15"/>
      <c r="B27" s="85" t="str">
        <f>'Chem&amp;FertInputs&amp;CInsurance'!C39</f>
        <v>Axial Bold</v>
      </c>
      <c r="C27" s="23" t="str">
        <f>'Chem&amp;FertInputs&amp;CInsurance'!D39</f>
        <v>oz</v>
      </c>
      <c r="D27" s="116">
        <f>'Chem&amp;FertInputs&amp;CInsurance'!E39</f>
        <v>1.0924999999999998</v>
      </c>
      <c r="E27" s="133">
        <f>'Chem&amp;FertInputs&amp;CInsurance'!W39</f>
        <v>0</v>
      </c>
      <c r="F27" s="117" t="str">
        <f t="shared" si="0"/>
        <v>0</v>
      </c>
      <c r="G27" s="165">
        <f t="shared" si="2"/>
        <v>0</v>
      </c>
    </row>
    <row r="28" spans="1:7" ht="20">
      <c r="A28" s="15"/>
      <c r="B28" s="85" t="str">
        <f>'Chem&amp;FertInputs&amp;CInsurance'!C40</f>
        <v>Bronate</v>
      </c>
      <c r="C28" s="23" t="str">
        <f>'Chem&amp;FertInputs&amp;CInsurance'!D40</f>
        <v>oz</v>
      </c>
      <c r="D28" s="116">
        <f>'Chem&amp;FertInputs&amp;CInsurance'!E40</f>
        <v>7.911999999999999</v>
      </c>
      <c r="E28" s="133">
        <f>'Chem&amp;FertInputs&amp;CInsurance'!W40</f>
        <v>0</v>
      </c>
      <c r="F28" s="117" t="str">
        <f t="shared" si="0"/>
        <v>0</v>
      </c>
      <c r="G28" s="165">
        <f t="shared" si="2"/>
        <v>0</v>
      </c>
    </row>
    <row r="29" spans="1:7" ht="20">
      <c r="A29" s="15"/>
      <c r="B29" s="85" t="str">
        <f>'Chem&amp;FertInputs&amp;CInsurance'!C41</f>
        <v xml:space="preserve">Brox M </v>
      </c>
      <c r="C29" s="23" t="str">
        <f>'Chem&amp;FertInputs&amp;CInsurance'!D41</f>
        <v>oz</v>
      </c>
      <c r="D29" s="116">
        <f>'Chem&amp;FertInputs&amp;CInsurance'!E41</f>
        <v>0.42549999999999999</v>
      </c>
      <c r="E29" s="133">
        <f>'Chem&amp;FertInputs&amp;CInsurance'!W41</f>
        <v>0</v>
      </c>
      <c r="F29" s="117" t="str">
        <f t="shared" si="0"/>
        <v>0</v>
      </c>
      <c r="G29" s="165">
        <f t="shared" si="2"/>
        <v>0</v>
      </c>
    </row>
    <row r="30" spans="1:7" ht="20">
      <c r="A30" s="15"/>
      <c r="B30" s="85" t="str">
        <f>'Chem&amp;FertInputs&amp;CInsurance'!C42</f>
        <v>Capture</v>
      </c>
      <c r="C30" s="23" t="str">
        <f>'Chem&amp;FertInputs&amp;CInsurance'!D42</f>
        <v>oz</v>
      </c>
      <c r="D30" s="116">
        <f>'Chem&amp;FertInputs&amp;CInsurance'!E42</f>
        <v>2.7024999999999997</v>
      </c>
      <c r="E30" s="133">
        <f>'Chem&amp;FertInputs&amp;CInsurance'!W42</f>
        <v>5</v>
      </c>
      <c r="F30" s="117">
        <f t="shared" si="0"/>
        <v>13.512499999999999</v>
      </c>
      <c r="G30" s="165">
        <f t="shared" si="2"/>
        <v>3.90625E-2</v>
      </c>
    </row>
    <row r="31" spans="1:7" ht="20">
      <c r="A31" s="15"/>
      <c r="B31" s="85" t="str">
        <f>'Chem&amp;FertInputs&amp;CInsurance'!C43</f>
        <v xml:space="preserve">Dimethoate </v>
      </c>
      <c r="C31" s="23" t="str">
        <f>'Chem&amp;FertInputs&amp;CInsurance'!D43</f>
        <v>pint</v>
      </c>
      <c r="D31" s="116">
        <f>'Chem&amp;FertInputs&amp;CInsurance'!E43</f>
        <v>7.1874999999999991</v>
      </c>
      <c r="E31" s="133">
        <f>'Chem&amp;FertInputs&amp;CInsurance'!W43</f>
        <v>0</v>
      </c>
      <c r="F31" s="117" t="str">
        <f t="shared" si="0"/>
        <v>0</v>
      </c>
      <c r="G31" s="165">
        <f>E31/8</f>
        <v>0</v>
      </c>
    </row>
    <row r="32" spans="1:7" ht="20">
      <c r="A32" s="15"/>
      <c r="B32" s="85" t="str">
        <f>'Chem&amp;FertInputs&amp;CInsurance'!C44</f>
        <v>Clethodim</v>
      </c>
      <c r="C32" s="23" t="str">
        <f>'Chem&amp;FertInputs&amp;CInsurance'!D44</f>
        <v>oz</v>
      </c>
      <c r="D32" s="116">
        <f>'Chem&amp;FertInputs&amp;CInsurance'!E44</f>
        <v>0.75900000000000001</v>
      </c>
      <c r="E32" s="133">
        <f>'Chem&amp;FertInputs&amp;CInsurance'!W44</f>
        <v>0</v>
      </c>
      <c r="F32" s="117" t="str">
        <f t="shared" ref="F32" si="3">IF(D32*E32=0,"0",D32*E32)</f>
        <v>0</v>
      </c>
      <c r="G32" s="165">
        <f t="shared" ref="G32:G37" si="4">E32/128</f>
        <v>0</v>
      </c>
    </row>
    <row r="33" spans="1:7" ht="20">
      <c r="A33" s="15"/>
      <c r="B33" s="85" t="str">
        <f>'Chem&amp;FertInputs&amp;CInsurance'!C45</f>
        <v>Discover</v>
      </c>
      <c r="C33" s="23" t="str">
        <f>'Chem&amp;FertInputs&amp;CInsurance'!D45</f>
        <v>oz</v>
      </c>
      <c r="D33" s="116">
        <f>'Chem&amp;FertInputs&amp;CInsurance'!E45</f>
        <v>1.6904999999999999</v>
      </c>
      <c r="E33" s="133">
        <f>'Chem&amp;FertInputs&amp;CInsurance'!W45</f>
        <v>0</v>
      </c>
      <c r="F33" s="117" t="str">
        <f t="shared" si="0"/>
        <v>0</v>
      </c>
      <c r="G33" s="165">
        <f t="shared" si="4"/>
        <v>0</v>
      </c>
    </row>
    <row r="34" spans="1:7" ht="20">
      <c r="A34" s="15"/>
      <c r="B34" s="85" t="str">
        <f>'Chem&amp;FertInputs&amp;CInsurance'!C46</f>
        <v>FarGO</v>
      </c>
      <c r="C34" s="23" t="str">
        <f>'Chem&amp;FertInputs&amp;CInsurance'!D46</f>
        <v>oz</v>
      </c>
      <c r="D34" s="116">
        <f>'Chem&amp;FertInputs&amp;CInsurance'!E46</f>
        <v>19.158999999999999</v>
      </c>
      <c r="E34" s="133">
        <f>'Chem&amp;FertInputs&amp;CInsurance'!W46</f>
        <v>0</v>
      </c>
      <c r="F34" s="117" t="str">
        <f t="shared" si="0"/>
        <v>0</v>
      </c>
      <c r="G34" s="165">
        <f t="shared" si="4"/>
        <v>0</v>
      </c>
    </row>
    <row r="35" spans="1:7" ht="20">
      <c r="A35" s="15"/>
      <c r="B35" s="85" t="str">
        <f>'Chem&amp;FertInputs&amp;CInsurance'!C47</f>
        <v>Finesse</v>
      </c>
      <c r="C35" s="23" t="str">
        <f>'Chem&amp;FertInputs&amp;CInsurance'!D47</f>
        <v>oz</v>
      </c>
      <c r="D35" s="116">
        <f>'Chem&amp;FertInputs&amp;CInsurance'!E47</f>
        <v>19.940999999999999</v>
      </c>
      <c r="E35" s="133">
        <f>'Chem&amp;FertInputs&amp;CInsurance'!W47</f>
        <v>0</v>
      </c>
      <c r="F35" s="117" t="str">
        <f t="shared" si="0"/>
        <v>0</v>
      </c>
      <c r="G35" s="165">
        <f t="shared" si="4"/>
        <v>0</v>
      </c>
    </row>
    <row r="36" spans="1:7" ht="20">
      <c r="A36" s="15"/>
      <c r="B36" s="85" t="str">
        <f>'Chem&amp;FertInputs&amp;CInsurance'!C48</f>
        <v>Glyphosate</v>
      </c>
      <c r="C36" s="23" t="str">
        <f>'Chem&amp;FertInputs&amp;CInsurance'!D48</f>
        <v>oz</v>
      </c>
      <c r="D36" s="116">
        <f>'Chem&amp;FertInputs&amp;CInsurance'!E48</f>
        <v>0.14949999999999999</v>
      </c>
      <c r="E36" s="133">
        <f>'Chem&amp;FertInputs&amp;CInsurance'!W48</f>
        <v>0</v>
      </c>
      <c r="F36" s="117" t="str">
        <f t="shared" si="0"/>
        <v>0</v>
      </c>
      <c r="G36" s="165">
        <f t="shared" si="4"/>
        <v>0</v>
      </c>
    </row>
    <row r="37" spans="1:7" ht="20">
      <c r="A37" s="15"/>
      <c r="B37" s="85" t="str">
        <f>'Chem&amp;FertInputs&amp;CInsurance'!C49</f>
        <v>Huskie</v>
      </c>
      <c r="C37" s="23" t="str">
        <f>'Chem&amp;FertInputs&amp;CInsurance'!D49</f>
        <v>oz</v>
      </c>
      <c r="D37" s="116">
        <f>'Chem&amp;FertInputs&amp;CInsurance'!E49</f>
        <v>0.88549999999999995</v>
      </c>
      <c r="E37" s="133">
        <f>'Chem&amp;FertInputs&amp;CInsurance'!W49</f>
        <v>0</v>
      </c>
      <c r="F37" s="117" t="str">
        <f t="shared" si="0"/>
        <v>0</v>
      </c>
      <c r="G37" s="165">
        <f t="shared" si="4"/>
        <v>0</v>
      </c>
    </row>
    <row r="38" spans="1:7" ht="20">
      <c r="A38" s="15"/>
      <c r="B38" s="85" t="str">
        <f>'Chem&amp;FertInputs&amp;CInsurance'!C50</f>
        <v>Imidan 70</v>
      </c>
      <c r="C38" s="23" t="str">
        <f>'Chem&amp;FertInputs&amp;CInsurance'!D50</f>
        <v>lb</v>
      </c>
      <c r="D38" s="116">
        <f>'Chem&amp;FertInputs&amp;CInsurance'!E50</f>
        <v>17.295999999999999</v>
      </c>
      <c r="E38" s="133">
        <f>'Chem&amp;FertInputs&amp;CInsurance'!W50</f>
        <v>0</v>
      </c>
      <c r="F38" s="117" t="str">
        <f t="shared" si="0"/>
        <v>0</v>
      </c>
      <c r="G38" s="165">
        <f>E38/16</f>
        <v>0</v>
      </c>
    </row>
    <row r="39" spans="1:7" ht="20">
      <c r="A39" s="15"/>
      <c r="B39" s="85" t="str">
        <f>'Chem&amp;FertInputs&amp;CInsurance'!C51</f>
        <v xml:space="preserve">Maverick </v>
      </c>
      <c r="C39" s="23" t="str">
        <f>'Chem&amp;FertInputs&amp;CInsurance'!D51</f>
        <v>oz</v>
      </c>
      <c r="D39" s="116">
        <f>'Chem&amp;FertInputs&amp;CInsurance'!E51</f>
        <v>23.885499999999997</v>
      </c>
      <c r="E39" s="133">
        <f>'Chem&amp;FertInputs&amp;CInsurance'!W51</f>
        <v>0</v>
      </c>
      <c r="F39" s="117" t="str">
        <f t="shared" si="0"/>
        <v>0</v>
      </c>
      <c r="G39" s="165">
        <f t="shared" ref="G39:G51" si="5">E39/128</f>
        <v>0</v>
      </c>
    </row>
    <row r="40" spans="1:7" ht="20">
      <c r="A40" s="15"/>
      <c r="B40" s="85" t="str">
        <f>'Chem&amp;FertInputs&amp;CInsurance'!C52</f>
        <v>Osprey</v>
      </c>
      <c r="C40" s="23" t="str">
        <f>'Chem&amp;FertInputs&amp;CInsurance'!D52</f>
        <v>oz</v>
      </c>
      <c r="D40" s="116">
        <f>'Chem&amp;FertInputs&amp;CInsurance'!E52</f>
        <v>5.0484999999999989</v>
      </c>
      <c r="E40" s="133">
        <f>'Chem&amp;FertInputs&amp;CInsurance'!W52</f>
        <v>0</v>
      </c>
      <c r="F40" s="117" t="str">
        <f t="shared" si="0"/>
        <v>0</v>
      </c>
      <c r="G40" s="165">
        <f t="shared" si="5"/>
        <v>0</v>
      </c>
    </row>
    <row r="41" spans="1:7" ht="20">
      <c r="A41" s="15"/>
      <c r="B41" s="85" t="str">
        <f>'Chem&amp;FertInputs&amp;CInsurance'!C53</f>
        <v>Poast</v>
      </c>
      <c r="C41" s="23" t="str">
        <f>'Chem&amp;FertInputs&amp;CInsurance'!D53</f>
        <v>oz</v>
      </c>
      <c r="D41" s="116">
        <f>'Chem&amp;FertInputs&amp;CInsurance'!E53</f>
        <v>19.285499999999999</v>
      </c>
      <c r="E41" s="133">
        <f>'Chem&amp;FertInputs&amp;CInsurance'!W53</f>
        <v>0</v>
      </c>
      <c r="F41" s="117" t="str">
        <f t="shared" ref="F41" si="6">IF(D41*E41=0,"0",D41*E41)</f>
        <v>0</v>
      </c>
      <c r="G41" s="165">
        <f t="shared" si="5"/>
        <v>0</v>
      </c>
    </row>
    <row r="42" spans="1:7" ht="20">
      <c r="A42" s="15"/>
      <c r="B42" s="85" t="str">
        <f>'Chem&amp;FertInputs&amp;CInsurance'!C54</f>
        <v>Power Flex</v>
      </c>
      <c r="C42" s="23" t="str">
        <f>'Chem&amp;FertInputs&amp;CInsurance'!D54</f>
        <v>oz</v>
      </c>
      <c r="D42" s="116">
        <f>'Chem&amp;FertInputs&amp;CInsurance'!E54</f>
        <v>8.9124999999999996</v>
      </c>
      <c r="E42" s="133">
        <f>'Chem&amp;FertInputs&amp;CInsurance'!W54</f>
        <v>0</v>
      </c>
      <c r="F42" s="117" t="str">
        <f t="shared" si="0"/>
        <v>0</v>
      </c>
      <c r="G42" s="165">
        <f t="shared" si="5"/>
        <v>0</v>
      </c>
    </row>
    <row r="43" spans="1:7" ht="20">
      <c r="A43" s="15"/>
      <c r="B43" s="85" t="str">
        <f>'Chem&amp;FertInputs&amp;CInsurance'!C55</f>
        <v>Priaxor</v>
      </c>
      <c r="C43" s="23" t="str">
        <f>'Chem&amp;FertInputs&amp;CInsurance'!D55</f>
        <v>oz</v>
      </c>
      <c r="D43" s="116">
        <f>'Chem&amp;FertInputs&amp;CInsurance'!E55</f>
        <v>3.4269999999999996</v>
      </c>
      <c r="E43" s="133">
        <f>'Chem&amp;FertInputs&amp;CInsurance'!W55</f>
        <v>0</v>
      </c>
      <c r="F43" s="117" t="str">
        <f t="shared" si="0"/>
        <v>0</v>
      </c>
      <c r="G43" s="165">
        <f t="shared" si="5"/>
        <v>0</v>
      </c>
    </row>
    <row r="44" spans="1:7" ht="20">
      <c r="A44" s="15"/>
      <c r="B44" s="85" t="str">
        <f>'Chem&amp;FertInputs&amp;CInsurance'!C56</f>
        <v>Prowl</v>
      </c>
      <c r="C44" s="23" t="str">
        <f>'Chem&amp;FertInputs&amp;CInsurance'!D56</f>
        <v>oz</v>
      </c>
      <c r="D44" s="116">
        <f>'Chem&amp;FertInputs&amp;CInsurance'!E56</f>
        <v>0.51749999999999996</v>
      </c>
      <c r="E44" s="133">
        <f>'Chem&amp;FertInputs&amp;CInsurance'!W56</f>
        <v>0</v>
      </c>
      <c r="F44" s="117" t="str">
        <f t="shared" si="0"/>
        <v>0</v>
      </c>
      <c r="G44" s="165">
        <f t="shared" si="5"/>
        <v>0</v>
      </c>
    </row>
    <row r="45" spans="1:7" ht="20">
      <c r="A45" s="15"/>
      <c r="B45" s="85" t="str">
        <f>'Chem&amp;FertInputs&amp;CInsurance'!C57</f>
        <v>Pursuit</v>
      </c>
      <c r="C45" s="23" t="str">
        <f>'Chem&amp;FertInputs&amp;CInsurance'!D57</f>
        <v>oz</v>
      </c>
      <c r="D45" s="116">
        <f>'Chem&amp;FertInputs&amp;CInsurance'!E57</f>
        <v>4.0594999999999999</v>
      </c>
      <c r="E45" s="133">
        <f>'Chem&amp;FertInputs&amp;CInsurance'!W57</f>
        <v>0</v>
      </c>
      <c r="F45" s="117" t="str">
        <f t="shared" si="0"/>
        <v>0</v>
      </c>
      <c r="G45" s="165">
        <f t="shared" si="5"/>
        <v>0</v>
      </c>
    </row>
    <row r="46" spans="1:7" ht="20">
      <c r="A46" s="15"/>
      <c r="B46" s="85" t="str">
        <f>'Chem&amp;FertInputs&amp;CInsurance'!C58</f>
        <v xml:space="preserve">Quadris </v>
      </c>
      <c r="C46" s="23" t="str">
        <f>'Chem&amp;FertInputs&amp;CInsurance'!D58</f>
        <v>oz</v>
      </c>
      <c r="D46" s="116">
        <f>'Chem&amp;FertInputs&amp;CInsurance'!E58</f>
        <v>1.127</v>
      </c>
      <c r="E46" s="133">
        <f>'Chem&amp;FertInputs&amp;CInsurance'!W58</f>
        <v>0</v>
      </c>
      <c r="F46" s="117" t="str">
        <f t="shared" si="0"/>
        <v>0</v>
      </c>
      <c r="G46" s="165">
        <f t="shared" si="5"/>
        <v>0</v>
      </c>
    </row>
    <row r="47" spans="1:7" ht="20">
      <c r="A47" s="15"/>
      <c r="B47" s="85" t="str">
        <f>'Chem&amp;FertInputs&amp;CInsurance'!C59</f>
        <v>Quilt</v>
      </c>
      <c r="C47" s="23" t="str">
        <f>'Chem&amp;FertInputs&amp;CInsurance'!D59</f>
        <v>oz</v>
      </c>
      <c r="D47" s="116">
        <f>'Chem&amp;FertInputs&amp;CInsurance'!E59</f>
        <v>1.4834999999999998</v>
      </c>
      <c r="E47" s="133">
        <f>'Chem&amp;FertInputs&amp;CInsurance'!W59</f>
        <v>0</v>
      </c>
      <c r="F47" s="117" t="str">
        <f t="shared" si="0"/>
        <v>0</v>
      </c>
      <c r="G47" s="165">
        <f t="shared" si="5"/>
        <v>0</v>
      </c>
    </row>
    <row r="48" spans="1:7" ht="20">
      <c r="A48" s="15"/>
      <c r="B48" s="85" t="str">
        <f>'Chem&amp;FertInputs&amp;CInsurance'!C60</f>
        <v>R11</v>
      </c>
      <c r="C48" s="23" t="str">
        <f>'Chem&amp;FertInputs&amp;CInsurance'!D60</f>
        <v>oz</v>
      </c>
      <c r="D48" s="116">
        <f>'Chem&amp;FertInputs&amp;CInsurance'!E60</f>
        <v>0.26450000000000001</v>
      </c>
      <c r="E48" s="133">
        <f>'Chem&amp;FertInputs&amp;CInsurance'!W60</f>
        <v>0</v>
      </c>
      <c r="F48" s="117" t="str">
        <f t="shared" si="0"/>
        <v>0</v>
      </c>
      <c r="G48" s="165">
        <f t="shared" si="5"/>
        <v>0</v>
      </c>
    </row>
    <row r="49" spans="1:7" ht="20">
      <c r="A49" s="15"/>
      <c r="B49" s="85" t="str">
        <f>'Chem&amp;FertInputs&amp;CInsurance'!C61</f>
        <v>Starane</v>
      </c>
      <c r="C49" s="23" t="str">
        <f>'Chem&amp;FertInputs&amp;CInsurance'!D61</f>
        <v>oz</v>
      </c>
      <c r="D49" s="116">
        <f>'Chem&amp;FertInputs&amp;CInsurance'!E61</f>
        <v>0.77049999999999996</v>
      </c>
      <c r="E49" s="133">
        <f>'Chem&amp;FertInputs&amp;CInsurance'!W61</f>
        <v>0</v>
      </c>
      <c r="F49" s="117" t="str">
        <f t="shared" si="0"/>
        <v>0</v>
      </c>
      <c r="G49" s="165">
        <f t="shared" si="5"/>
        <v>0</v>
      </c>
    </row>
    <row r="50" spans="1:7" ht="20">
      <c r="A50" s="15"/>
      <c r="B50" s="85" t="str">
        <f>'Chem&amp;FertInputs&amp;CInsurance'!C62</f>
        <v>Starane + Salvo</v>
      </c>
      <c r="C50" s="23" t="str">
        <f>'Chem&amp;FertInputs&amp;CInsurance'!D62</f>
        <v>oz</v>
      </c>
      <c r="D50" s="116">
        <f>'Chem&amp;FertInputs&amp;CInsurance'!E62</f>
        <v>0.77049999999999996</v>
      </c>
      <c r="E50" s="133">
        <f>'Chem&amp;FertInputs&amp;CInsurance'!W62</f>
        <v>0</v>
      </c>
      <c r="F50" s="117" t="str">
        <f t="shared" si="0"/>
        <v>0</v>
      </c>
      <c r="G50" s="165">
        <f t="shared" si="5"/>
        <v>0</v>
      </c>
    </row>
    <row r="51" spans="1:7" ht="20">
      <c r="A51" s="15"/>
      <c r="B51" s="85" t="str">
        <f>'Chem&amp;FertInputs&amp;CInsurance'!C63</f>
        <v xml:space="preserve">Starane + Sword </v>
      </c>
      <c r="C51" s="23" t="str">
        <f>'Chem&amp;FertInputs&amp;CInsurance'!D63</f>
        <v>oz</v>
      </c>
      <c r="D51" s="116">
        <f>'Chem&amp;FertInputs&amp;CInsurance'!E63</f>
        <v>0.77049999999999996</v>
      </c>
      <c r="E51" s="133">
        <f>'Chem&amp;FertInputs&amp;CInsurance'!W63</f>
        <v>0</v>
      </c>
      <c r="F51" s="117" t="str">
        <f t="shared" si="0"/>
        <v>0</v>
      </c>
      <c r="G51" s="165">
        <f t="shared" si="5"/>
        <v>0</v>
      </c>
    </row>
    <row r="52" spans="1:7" ht="20">
      <c r="A52" s="15"/>
      <c r="B52" s="85" t="str">
        <f>'Chem&amp;FertInputs&amp;CInsurance'!C64</f>
        <v xml:space="preserve"> Tilt</v>
      </c>
      <c r="C52" s="23" t="str">
        <f>'Chem&amp;FertInputs&amp;CInsurance'!D64</f>
        <v>oz</v>
      </c>
      <c r="D52" s="116">
        <f>'Chem&amp;FertInputs&amp;CInsurance'!E64</f>
        <v>0.88549999999999995</v>
      </c>
      <c r="E52" s="133">
        <f>'Chem&amp;FertInputs&amp;CInsurance'!W64</f>
        <v>4</v>
      </c>
      <c r="F52" s="117">
        <f t="shared" ref="F52:F53" si="7">IF(D52*E52=0,"0",D52*E52)</f>
        <v>3.5419999999999998</v>
      </c>
      <c r="G52" s="165">
        <f t="shared" ref="G52:G53" si="8">E52/128</f>
        <v>3.125E-2</v>
      </c>
    </row>
    <row r="53" spans="1:7" ht="20">
      <c r="A53" s="15"/>
      <c r="B53" s="85" t="str">
        <f>'Chem&amp;FertInputs&amp;CInsurance'!C65</f>
        <v xml:space="preserve">Wildcard </v>
      </c>
      <c r="C53" s="23" t="str">
        <f>'Chem&amp;FertInputs&amp;CInsurance'!D65</f>
        <v>oz</v>
      </c>
      <c r="D53" s="116">
        <f>'Chem&amp;FertInputs&amp;CInsurance'!E65</f>
        <v>0.35649999999999998</v>
      </c>
      <c r="E53" s="133">
        <f>'Chem&amp;FertInputs&amp;CInsurance'!W65</f>
        <v>0</v>
      </c>
      <c r="F53" s="117" t="str">
        <f t="shared" si="7"/>
        <v>0</v>
      </c>
      <c r="G53" s="165">
        <f t="shared" si="8"/>
        <v>0</v>
      </c>
    </row>
    <row r="54" spans="1:7" ht="20">
      <c r="A54" s="15"/>
      <c r="B54" s="85" t="str">
        <f>'Chem&amp;FertInputs&amp;CInsurance'!C66</f>
        <v>Sharpen</v>
      </c>
      <c r="C54" s="23" t="str">
        <f>'Chem&amp;FertInputs&amp;CInsurance'!D66</f>
        <v>oz</v>
      </c>
      <c r="D54" s="116">
        <f>'Chem&amp;FertInputs&amp;CInsurance'!E66</f>
        <v>6.3134999999999994</v>
      </c>
      <c r="E54" s="133">
        <f>'Chem&amp;FertInputs&amp;CInsurance'!W66</f>
        <v>0</v>
      </c>
      <c r="F54" s="117" t="str">
        <f t="shared" si="0"/>
        <v>0</v>
      </c>
      <c r="G54" s="165">
        <f>E54/128</f>
        <v>0</v>
      </c>
    </row>
    <row r="55" spans="1:7" ht="20">
      <c r="A55" s="15"/>
      <c r="B55" s="85" t="str">
        <f>'Chem&amp;FertInputs&amp;CInsurance'!C67</f>
        <v>Sencor</v>
      </c>
      <c r="C55" s="23" t="str">
        <f>'Chem&amp;FertInputs&amp;CInsurance'!D67</f>
        <v>oz</v>
      </c>
      <c r="D55" s="116">
        <f>'Chem&amp;FertInputs&amp;CInsurance'!E67</f>
        <v>0.45999999999999996</v>
      </c>
      <c r="E55" s="133">
        <f>'Chem&amp;FertInputs&amp;CInsurance'!W67</f>
        <v>0</v>
      </c>
      <c r="F55" s="117" t="str">
        <f t="shared" si="0"/>
        <v>0</v>
      </c>
      <c r="G55" s="165">
        <f>E55/128</f>
        <v>0</v>
      </c>
    </row>
    <row r="56" spans="1:7" ht="20">
      <c r="A56" s="15"/>
      <c r="B56" s="85" t="str">
        <f>'Chem&amp;FertInputs&amp;CInsurance'!C68</f>
        <v>Warrior</v>
      </c>
      <c r="C56" s="23" t="str">
        <f>'Chem&amp;FertInputs&amp;CInsurance'!D68</f>
        <v>acre</v>
      </c>
      <c r="D56" s="116">
        <f>'Chem&amp;FertInputs&amp;CInsurance'!E68</f>
        <v>3.4499999999999997</v>
      </c>
      <c r="E56" s="133">
        <f>'Chem&amp;FertInputs&amp;CInsurance'!W68</f>
        <v>0</v>
      </c>
      <c r="F56" s="117" t="str">
        <f t="shared" si="0"/>
        <v>0</v>
      </c>
      <c r="G56" s="165">
        <f>E56/128</f>
        <v>0</v>
      </c>
    </row>
    <row r="57" spans="1:7" ht="20">
      <c r="A57" s="15"/>
      <c r="B57" s="85" t="str">
        <f>'Chem&amp;FertInputs&amp;CInsurance'!C69</f>
        <v xml:space="preserve"> Lorox</v>
      </c>
      <c r="C57" s="23" t="str">
        <f>'Chem&amp;FertInputs&amp;CInsurance'!D69</f>
        <v>lb</v>
      </c>
      <c r="D57" s="116">
        <f>'Chem&amp;FertInputs&amp;CInsurance'!E69</f>
        <v>26.565000000000001</v>
      </c>
      <c r="E57" s="133">
        <f>'Chem&amp;FertInputs&amp;CInsurance'!W69</f>
        <v>0</v>
      </c>
      <c r="F57" s="117" t="str">
        <f t="shared" si="0"/>
        <v>0</v>
      </c>
      <c r="G57" s="165">
        <f>E57/128</f>
        <v>0</v>
      </c>
    </row>
    <row r="58" spans="1:7" ht="20">
      <c r="A58" s="15"/>
      <c r="B58" s="85" t="str">
        <f>'Chem&amp;FertInputs&amp;CInsurance'!C70</f>
        <v xml:space="preserve"> Valor</v>
      </c>
      <c r="C58" s="23" t="str">
        <f>'Chem&amp;FertInputs&amp;CInsurance'!D70</f>
        <v>oz</v>
      </c>
      <c r="D58" s="116">
        <f>'Chem&amp;FertInputs&amp;CInsurance'!E70</f>
        <v>6.6124999999999998</v>
      </c>
      <c r="E58" s="133">
        <f>'Chem&amp;FertInputs&amp;CInsurance'!W70</f>
        <v>0</v>
      </c>
      <c r="F58" s="117" t="str">
        <f t="shared" ref="F58:F59" si="9">IF(D58*E58=0,"0",D58*E58)</f>
        <v>0</v>
      </c>
      <c r="G58" s="165">
        <f t="shared" ref="G58:G59" si="10">E58/128</f>
        <v>0</v>
      </c>
    </row>
    <row r="59" spans="1:7" ht="20">
      <c r="A59" s="15"/>
      <c r="B59" s="85" t="str">
        <f>'Chem&amp;FertInputs&amp;CInsurance'!C71</f>
        <v xml:space="preserve"> Diagon</v>
      </c>
      <c r="C59" s="23" t="str">
        <f>'Chem&amp;FertInputs&amp;CInsurance'!D71</f>
        <v>oz</v>
      </c>
      <c r="D59" s="116">
        <f>'Chem&amp;FertInputs&amp;CInsurance'!E71</f>
        <v>0.43699999999999994</v>
      </c>
      <c r="E59" s="133">
        <f>'Chem&amp;FertInputs&amp;CInsurance'!W71</f>
        <v>0</v>
      </c>
      <c r="F59" s="117" t="str">
        <f t="shared" si="9"/>
        <v>0</v>
      </c>
      <c r="G59" s="165">
        <f t="shared" si="10"/>
        <v>0</v>
      </c>
    </row>
    <row r="60" spans="1:7" ht="20">
      <c r="A60" s="15"/>
      <c r="B60" s="85" t="str">
        <f>'Chem&amp;FertInputs&amp;CInsurance'!C72</f>
        <v xml:space="preserve">Spartan </v>
      </c>
      <c r="C60" s="23" t="str">
        <f>'Chem&amp;FertInputs&amp;CInsurance'!D72</f>
        <v>oz</v>
      </c>
      <c r="D60" s="116">
        <f>'Chem&amp;FertInputs&amp;CInsurance'!E72</f>
        <v>2.0469999999999997</v>
      </c>
      <c r="E60" s="133">
        <f>'Chem&amp;FertInputs&amp;CInsurance'!W72</f>
        <v>0</v>
      </c>
      <c r="F60" s="117" t="str">
        <f t="shared" si="0"/>
        <v>0</v>
      </c>
      <c r="G60" s="165">
        <f>E60/128</f>
        <v>0</v>
      </c>
    </row>
    <row r="61" spans="1:7" ht="23">
      <c r="A61" s="15"/>
      <c r="B61" s="85" t="str">
        <f>'Chem&amp;FertInputs&amp;CInsurance'!C32</f>
        <v xml:space="preserve">Round Up </v>
      </c>
      <c r="C61" s="23" t="str">
        <f>'Chem&amp;FertInputs&amp;CInsurance'!D32</f>
        <v>oz</v>
      </c>
      <c r="D61" s="116">
        <f>'Chem&amp;FertInputs&amp;CInsurance'!E32</f>
        <v>0.14949999999999999</v>
      </c>
      <c r="E61" s="133">
        <f>'Chem&amp;FertInputs&amp;CInsurance'!W32</f>
        <v>58</v>
      </c>
      <c r="F61" s="117">
        <f t="shared" si="0"/>
        <v>8.6709999999999994</v>
      </c>
      <c r="G61" s="225">
        <f>E61/128</f>
        <v>0.453125</v>
      </c>
    </row>
    <row r="62" spans="1:7" ht="20">
      <c r="A62" s="15"/>
      <c r="B62" s="139" t="s">
        <v>86</v>
      </c>
      <c r="C62" s="23"/>
      <c r="D62" s="116"/>
      <c r="E62" s="133"/>
      <c r="F62" s="117"/>
      <c r="G62" s="165">
        <f>SUM(G14:G61)</f>
        <v>0.59843749999999996</v>
      </c>
    </row>
    <row r="63" spans="1:7" ht="20">
      <c r="A63" s="15"/>
      <c r="B63" s="125" t="str">
        <f>CustomRates!B5</f>
        <v>Aerial (Custom)</v>
      </c>
      <c r="C63" s="41" t="str">
        <f>CustomRates!C5</f>
        <v>acre</v>
      </c>
      <c r="D63" s="116">
        <f>CustomRates!U5</f>
        <v>8.9499999999999993</v>
      </c>
      <c r="E63" s="87">
        <f>CustomRates!U6</f>
        <v>2</v>
      </c>
      <c r="F63" s="117">
        <f t="shared" ref="F63:F70" si="11">IF(D63*E63=0,"0",D63*E63)</f>
        <v>17.899999999999999</v>
      </c>
    </row>
    <row r="64" spans="1:7" ht="20">
      <c r="A64" s="15"/>
      <c r="B64" s="125" t="str">
        <f>CustomRates!B7</f>
        <v>Sprayer (Rental 90')</v>
      </c>
      <c r="C64" s="41" t="str">
        <f>CustomRates!C7</f>
        <v>acre</v>
      </c>
      <c r="D64" s="116">
        <f>CustomRates!U7</f>
        <v>8</v>
      </c>
      <c r="E64" s="87">
        <f>CustomRates!U8</f>
        <v>0</v>
      </c>
      <c r="F64" s="117" t="str">
        <f t="shared" si="11"/>
        <v>0</v>
      </c>
    </row>
    <row r="65" spans="1:9" ht="20">
      <c r="A65" s="15"/>
      <c r="B65" s="125" t="str">
        <f>CustomRates!B9</f>
        <v>Fertilizer - Anhydrous Applicator (Rent)</v>
      </c>
      <c r="C65" s="41" t="str">
        <f>CustomRates!C9</f>
        <v>acre</v>
      </c>
      <c r="D65" s="116">
        <f>CustomRates!U9</f>
        <v>7</v>
      </c>
      <c r="E65" s="87">
        <f>CustomRates!U10</f>
        <v>0</v>
      </c>
      <c r="F65" s="117" t="str">
        <f t="shared" si="11"/>
        <v>0</v>
      </c>
    </row>
    <row r="66" spans="1:9" ht="20">
      <c r="A66" s="15"/>
      <c r="B66" s="125" t="str">
        <f>CustomRates!B11</f>
        <v>Fertilizer Applicator</v>
      </c>
      <c r="C66" s="41" t="str">
        <f>CustomRates!C11</f>
        <v>acre</v>
      </c>
      <c r="D66" s="116">
        <f>CustomRates!U11</f>
        <v>22</v>
      </c>
      <c r="E66" s="87">
        <f>CustomRates!U12</f>
        <v>0</v>
      </c>
      <c r="F66" s="117" t="str">
        <f t="shared" si="11"/>
        <v>0</v>
      </c>
    </row>
    <row r="67" spans="1:9" ht="20">
      <c r="A67" s="15"/>
      <c r="B67" s="125" t="str">
        <f>CustomRates!B13</f>
        <v>26' Rental Shredder</v>
      </c>
      <c r="C67" s="41" t="str">
        <f>CustomRates!C13</f>
        <v>acre</v>
      </c>
      <c r="D67" s="116">
        <f>CustomRates!U13</f>
        <v>10</v>
      </c>
      <c r="E67" s="87">
        <f>CustomRates!U14</f>
        <v>0</v>
      </c>
      <c r="F67" s="117" t="str">
        <f t="shared" si="11"/>
        <v>0</v>
      </c>
    </row>
    <row r="68" spans="1:9" ht="20">
      <c r="A68" s="15"/>
      <c r="B68" s="125" t="str">
        <f>CustomRates!B15</f>
        <v>36' Ripper Shooter</v>
      </c>
      <c r="C68" s="41" t="str">
        <f>CustomRates!C15</f>
        <v>acre</v>
      </c>
      <c r="D68" s="116">
        <f>CustomRates!U15</f>
        <v>2.5</v>
      </c>
      <c r="E68" s="87">
        <f>CustomRates!U16</f>
        <v>0</v>
      </c>
      <c r="F68" s="117" t="str">
        <f t="shared" si="11"/>
        <v>0</v>
      </c>
    </row>
    <row r="69" spans="1:9" ht="20">
      <c r="A69" s="15"/>
      <c r="B69" s="125" t="str">
        <f>CustomRates!B17</f>
        <v>Custom self-propelled sprayer</v>
      </c>
      <c r="C69" s="41" t="str">
        <f>CustomRates!C17</f>
        <v>acre</v>
      </c>
      <c r="D69" s="116">
        <f>CustomRates!U17</f>
        <v>8</v>
      </c>
      <c r="E69" s="87">
        <f>CustomRates!U18</f>
        <v>0</v>
      </c>
      <c r="F69" s="117" t="str">
        <f t="shared" si="11"/>
        <v>0</v>
      </c>
    </row>
    <row r="70" spans="1:9" ht="20">
      <c r="A70" s="15"/>
      <c r="B70" s="125" t="str">
        <f>CustomRates!B19</f>
        <v>Additional Operation #8 (Custom)</v>
      </c>
      <c r="C70" s="41" t="str">
        <f>CustomRates!C19</f>
        <v>acre</v>
      </c>
      <c r="D70" s="116">
        <f>CustomRates!U19</f>
        <v>0</v>
      </c>
      <c r="E70" s="87">
        <f>CustomRates!U20</f>
        <v>0</v>
      </c>
      <c r="F70" s="117" t="str">
        <f t="shared" si="11"/>
        <v>0</v>
      </c>
    </row>
    <row r="71" spans="1:9" ht="20">
      <c r="A71" s="15"/>
      <c r="B71" s="139" t="s">
        <v>87</v>
      </c>
      <c r="C71" s="41"/>
      <c r="D71" s="116"/>
      <c r="E71" s="116"/>
      <c r="F71" s="117"/>
      <c r="H71" s="1" t="s">
        <v>204</v>
      </c>
      <c r="I71" s="1" t="s">
        <v>135</v>
      </c>
    </row>
    <row r="72" spans="1:9" ht="20">
      <c r="A72" s="15"/>
      <c r="B72" s="85" t="str">
        <f>MachineAssumptions!B7&amp;" - Labor"</f>
        <v>Shredder - Labor</v>
      </c>
      <c r="C72" s="41" t="s">
        <v>246</v>
      </c>
      <c r="D72" s="116">
        <f>MachineAssumptions!$R$7</f>
        <v>1.4996591683708247</v>
      </c>
      <c r="E72" s="87">
        <f>FieldApplications!$T$6</f>
        <v>0</v>
      </c>
      <c r="F72" s="117" t="str">
        <f t="shared" ref="F72:F113" si="12">IF(D72*E72=0,"0",D72*E72)</f>
        <v>0</v>
      </c>
      <c r="H72" s="246">
        <f>MachineAssumptions!$R$28*E72</f>
        <v>0</v>
      </c>
      <c r="I72" s="166">
        <f>MachineAssumptions!$R$48*E72</f>
        <v>0</v>
      </c>
    </row>
    <row r="73" spans="1:9" ht="20">
      <c r="A73" s="15"/>
      <c r="B73" s="85" t="str">
        <f>MachineAssumptions!B7&amp;" - Fuel, Lube"</f>
        <v>Shredder - Fuel, Lube</v>
      </c>
      <c r="C73" s="41" t="s">
        <v>246</v>
      </c>
      <c r="D73" s="116">
        <f>MachineAssumptions!$S$7</f>
        <v>5.7486934787548281</v>
      </c>
      <c r="E73" s="87">
        <f>FieldApplications!$T$6</f>
        <v>0</v>
      </c>
      <c r="F73" s="117" t="str">
        <f t="shared" si="12"/>
        <v>0</v>
      </c>
      <c r="H73" s="246">
        <f>MachineAssumptions!$S$28*E73</f>
        <v>0</v>
      </c>
      <c r="I73" s="166">
        <f>MachineAssumptions!$S$48*E73</f>
        <v>0</v>
      </c>
    </row>
    <row r="74" spans="1:9" ht="20">
      <c r="A74" s="15"/>
      <c r="B74" s="85" t="str">
        <f>MachineAssumptions!B7&amp;" - Repairs"</f>
        <v>Shredder - Repairs</v>
      </c>
      <c r="C74" s="41" t="s">
        <v>246</v>
      </c>
      <c r="D74" s="116">
        <f>MachineAssumptions!$T$7</f>
        <v>0.46726721181997538</v>
      </c>
      <c r="E74" s="87">
        <f>FieldApplications!$T$6</f>
        <v>0</v>
      </c>
      <c r="F74" s="117" t="str">
        <f t="shared" si="12"/>
        <v>0</v>
      </c>
      <c r="H74" s="246">
        <f>MachineAssumptions!$T$28*E74</f>
        <v>0</v>
      </c>
      <c r="I74" s="166">
        <f>MachineAssumptions!$T$48*E74</f>
        <v>0</v>
      </c>
    </row>
    <row r="75" spans="1:9" ht="20">
      <c r="A75" s="15"/>
      <c r="B75" s="85" t="str">
        <f>MachineAssumptions!B8&amp;" - Labor"</f>
        <v>Harrow - Labor</v>
      </c>
      <c r="C75" s="41" t="s">
        <v>246</v>
      </c>
      <c r="D75" s="116">
        <f>MachineAssumptions!$R$8</f>
        <v>0.59412746734753996</v>
      </c>
      <c r="E75" s="87">
        <f>FieldApplications!$T$7</f>
        <v>0</v>
      </c>
      <c r="F75" s="117" t="str">
        <f t="shared" si="12"/>
        <v>0</v>
      </c>
      <c r="H75" s="246">
        <f>MachineAssumptions!$R$29*E75</f>
        <v>0</v>
      </c>
      <c r="I75" s="166">
        <f>MachineAssumptions!$R$49*E75</f>
        <v>0</v>
      </c>
    </row>
    <row r="76" spans="1:9" ht="20">
      <c r="A76" s="15"/>
      <c r="B76" s="85" t="str">
        <f>MachineAssumptions!B8&amp;" - Fuel, Lube"</f>
        <v>Harrow - Fuel, Lube</v>
      </c>
      <c r="C76" s="41" t="s">
        <v>246</v>
      </c>
      <c r="D76" s="116">
        <f>MachineAssumptions!$S$8</f>
        <v>2.4845330452715308</v>
      </c>
      <c r="E76" s="87">
        <f>FieldApplications!$T$7</f>
        <v>0</v>
      </c>
      <c r="F76" s="117" t="str">
        <f t="shared" si="12"/>
        <v>0</v>
      </c>
      <c r="H76" s="246">
        <f>MachineAssumptions!$S$29*E76</f>
        <v>0</v>
      </c>
      <c r="I76" s="166">
        <f>MachineAssumptions!$S$49*E76</f>
        <v>0</v>
      </c>
    </row>
    <row r="77" spans="1:9" ht="20">
      <c r="A77" s="15"/>
      <c r="B77" s="85" t="str">
        <f>MachineAssumptions!B8&amp;" - Repairs"</f>
        <v>Harrow - Repairs</v>
      </c>
      <c r="C77" s="41" t="s">
        <v>246</v>
      </c>
      <c r="D77" s="116">
        <f>MachineAssumptions!$T$8</f>
        <v>0.14755184964846621</v>
      </c>
      <c r="E77" s="87">
        <f>FieldApplications!$T$7</f>
        <v>0</v>
      </c>
      <c r="F77" s="117" t="str">
        <f t="shared" si="12"/>
        <v>0</v>
      </c>
      <c r="H77" s="246">
        <f>MachineAssumptions!$T$29*E77</f>
        <v>0</v>
      </c>
      <c r="I77" s="166">
        <f>MachineAssumptions!$T$49*E77</f>
        <v>0</v>
      </c>
    </row>
    <row r="78" spans="1:9" ht="20">
      <c r="A78" s="15"/>
      <c r="B78" s="85" t="str">
        <f>MachineAssumptions!B9&amp;" - Labor"</f>
        <v>Chisel plow - Labor</v>
      </c>
      <c r="C78" s="41" t="s">
        <v>246</v>
      </c>
      <c r="D78" s="116">
        <f>MachineAssumptions!$R$9</f>
        <v>0</v>
      </c>
      <c r="E78" s="87">
        <f>FieldApplications!$T$8</f>
        <v>0</v>
      </c>
      <c r="F78" s="117" t="str">
        <f t="shared" si="12"/>
        <v>0</v>
      </c>
      <c r="H78" s="246">
        <f>MachineAssumptions!$R$30*E78</f>
        <v>0</v>
      </c>
      <c r="I78" s="166">
        <f>MachineAssumptions!$R$50*E78</f>
        <v>0</v>
      </c>
    </row>
    <row r="79" spans="1:9" ht="20">
      <c r="A79" s="15"/>
      <c r="B79" s="85" t="str">
        <f>MachineAssumptions!B9&amp;" - Fuel, Lube"</f>
        <v>Chisel plow - Fuel, Lube</v>
      </c>
      <c r="C79" s="41" t="s">
        <v>246</v>
      </c>
      <c r="D79" s="116">
        <f>MachineAssumptions!$S$9</f>
        <v>0</v>
      </c>
      <c r="E79" s="87">
        <f>FieldApplications!$T$8</f>
        <v>0</v>
      </c>
      <c r="F79" s="117" t="str">
        <f t="shared" si="12"/>
        <v>0</v>
      </c>
      <c r="H79" s="246">
        <f>MachineAssumptions!$R$30*E79</f>
        <v>0</v>
      </c>
      <c r="I79" s="166">
        <f>MachineAssumptions!$S$50*E79</f>
        <v>0</v>
      </c>
    </row>
    <row r="80" spans="1:9" ht="20">
      <c r="A80" s="15"/>
      <c r="B80" s="85" t="str">
        <f>MachineAssumptions!B9&amp;" - Repairs"</f>
        <v>Chisel plow - Repairs</v>
      </c>
      <c r="C80" s="41" t="s">
        <v>246</v>
      </c>
      <c r="D80" s="116">
        <f>MachineAssumptions!$T$9</f>
        <v>0</v>
      </c>
      <c r="E80" s="87">
        <f>FieldApplications!$T$8</f>
        <v>0</v>
      </c>
      <c r="F80" s="117" t="str">
        <f t="shared" si="12"/>
        <v>0</v>
      </c>
      <c r="H80" s="246">
        <f>MachineAssumptions!$T$30*E80</f>
        <v>0</v>
      </c>
      <c r="I80" s="166">
        <f>MachineAssumptions!$T$50*E80</f>
        <v>0</v>
      </c>
    </row>
    <row r="81" spans="1:9" ht="20">
      <c r="A81" s="15"/>
      <c r="B81" s="85" t="str">
        <f>MachineAssumptions!B10&amp;" - Labor"</f>
        <v>Moldboard plow - Labor</v>
      </c>
      <c r="C81" s="41" t="s">
        <v>246</v>
      </c>
      <c r="D81" s="116">
        <f>MachineAssumptions!$R$10</f>
        <v>0</v>
      </c>
      <c r="E81" s="87">
        <f>FieldApplications!$T$9</f>
        <v>0</v>
      </c>
      <c r="F81" s="117" t="str">
        <f t="shared" si="12"/>
        <v>0</v>
      </c>
      <c r="H81" s="246">
        <f>MachineAssumptions!$R$31*E81</f>
        <v>0</v>
      </c>
      <c r="I81" s="166">
        <f>MachineAssumptions!$R$51*E81</f>
        <v>0</v>
      </c>
    </row>
    <row r="82" spans="1:9" ht="20">
      <c r="A82" s="15"/>
      <c r="B82" s="85" t="str">
        <f>MachineAssumptions!B10&amp;" - Fuel, Lube"</f>
        <v>Moldboard plow - Fuel, Lube</v>
      </c>
      <c r="C82" s="41" t="s">
        <v>246</v>
      </c>
      <c r="D82" s="116">
        <f>MachineAssumptions!$S$10</f>
        <v>0</v>
      </c>
      <c r="E82" s="87">
        <f>FieldApplications!$T$9</f>
        <v>0</v>
      </c>
      <c r="F82" s="117" t="str">
        <f t="shared" si="12"/>
        <v>0</v>
      </c>
      <c r="H82" s="246">
        <f>MachineAssumptions!$S$31*E82</f>
        <v>0</v>
      </c>
      <c r="I82" s="166">
        <f>MachineAssumptions!$S$51*E82</f>
        <v>0</v>
      </c>
    </row>
    <row r="83" spans="1:9" ht="20">
      <c r="A83" s="15"/>
      <c r="B83" s="85" t="str">
        <f>MachineAssumptions!B10&amp;" - Repairs"</f>
        <v>Moldboard plow - Repairs</v>
      </c>
      <c r="C83" s="41" t="s">
        <v>246</v>
      </c>
      <c r="D83" s="116">
        <f>MachineAssumptions!$T$10</f>
        <v>0</v>
      </c>
      <c r="E83" s="87">
        <f>FieldApplications!$T$9</f>
        <v>0</v>
      </c>
      <c r="F83" s="117" t="str">
        <f t="shared" si="12"/>
        <v>0</v>
      </c>
      <c r="H83" s="246">
        <f>MachineAssumptions!$T$31*E83</f>
        <v>0</v>
      </c>
      <c r="I83" s="166">
        <f>MachineAssumptions!$T$51*E83</f>
        <v>0</v>
      </c>
    </row>
    <row r="84" spans="1:9" ht="20">
      <c r="A84" s="15"/>
      <c r="B84" s="85" t="str">
        <f>MachineAssumptions!B11&amp;" - Labor"</f>
        <v>Cultivator - Labor</v>
      </c>
      <c r="C84" s="41" t="s">
        <v>246</v>
      </c>
      <c r="D84" s="116">
        <f>MachineAssumptions!$R$11</f>
        <v>0</v>
      </c>
      <c r="E84" s="87">
        <f>FieldApplications!$T$10</f>
        <v>0</v>
      </c>
      <c r="F84" s="117" t="str">
        <f t="shared" si="12"/>
        <v>0</v>
      </c>
      <c r="H84" s="246">
        <f>MachineAssumptions!$R$32*E84</f>
        <v>0</v>
      </c>
      <c r="I84" s="166">
        <f>MachineAssumptions!$R$52*E84</f>
        <v>0</v>
      </c>
    </row>
    <row r="85" spans="1:9" ht="20">
      <c r="A85" s="15"/>
      <c r="B85" s="85" t="str">
        <f>MachineAssumptions!B11&amp;" - Fuel, Lube"</f>
        <v>Cultivator - Fuel, Lube</v>
      </c>
      <c r="C85" s="41" t="s">
        <v>246</v>
      </c>
      <c r="D85" s="116">
        <f>MachineAssumptions!$S$11</f>
        <v>0</v>
      </c>
      <c r="E85" s="87">
        <f>FieldApplications!$T$10</f>
        <v>0</v>
      </c>
      <c r="F85" s="117" t="str">
        <f t="shared" si="12"/>
        <v>0</v>
      </c>
      <c r="H85" s="246">
        <f>MachineAssumptions!$S$32*E85</f>
        <v>0</v>
      </c>
      <c r="I85" s="166">
        <f>MachineAssumptions!$S$52*E85</f>
        <v>0</v>
      </c>
    </row>
    <row r="86" spans="1:9" ht="20">
      <c r="A86" s="15"/>
      <c r="B86" s="85" t="str">
        <f>MachineAssumptions!B11&amp;" - Repairs"</f>
        <v>Cultivator - Repairs</v>
      </c>
      <c r="C86" s="41" t="s">
        <v>246</v>
      </c>
      <c r="D86" s="116">
        <f>MachineAssumptions!$T$11</f>
        <v>0</v>
      </c>
      <c r="E86" s="87">
        <f>FieldApplications!$T$10</f>
        <v>0</v>
      </c>
      <c r="F86" s="117" t="str">
        <f t="shared" si="12"/>
        <v>0</v>
      </c>
      <c r="H86" s="246">
        <f>MachineAssumptions!$T$32*E86</f>
        <v>0</v>
      </c>
      <c r="I86" s="166">
        <f>MachineAssumptions!$T$52*E86</f>
        <v>0</v>
      </c>
    </row>
    <row r="87" spans="1:9" ht="20">
      <c r="A87" s="15"/>
      <c r="B87" s="85" t="str">
        <f>MachineAssumptions!B12&amp;" - Labor"</f>
        <v>Cultiweeder - Labor</v>
      </c>
      <c r="C87" s="41" t="s">
        <v>246</v>
      </c>
      <c r="D87" s="116">
        <f>MachineAssumptions!$R$12</f>
        <v>0</v>
      </c>
      <c r="E87" s="87">
        <f>FieldApplications!$T$11</f>
        <v>0</v>
      </c>
      <c r="F87" s="117" t="str">
        <f t="shared" si="12"/>
        <v>0</v>
      </c>
      <c r="H87" s="246">
        <f>MachineAssumptions!$R$33*E87</f>
        <v>0</v>
      </c>
      <c r="I87" s="166">
        <f>MachineAssumptions!$R$53*E87</f>
        <v>0</v>
      </c>
    </row>
    <row r="88" spans="1:9" ht="20">
      <c r="A88" s="15"/>
      <c r="B88" s="85" t="str">
        <f>MachineAssumptions!B12&amp;" - Fuel, Lube"</f>
        <v>Cultiweeder - Fuel, Lube</v>
      </c>
      <c r="C88" s="41" t="s">
        <v>246</v>
      </c>
      <c r="D88" s="116">
        <f>MachineAssumptions!$S$12</f>
        <v>0</v>
      </c>
      <c r="E88" s="87">
        <f>FieldApplications!$T$11</f>
        <v>0</v>
      </c>
      <c r="F88" s="117" t="str">
        <f t="shared" si="12"/>
        <v>0</v>
      </c>
      <c r="H88" s="246">
        <f>MachineAssumptions!$S$33*E88</f>
        <v>0</v>
      </c>
      <c r="I88" s="166">
        <f>MachineAssumptions!$S$53*E88</f>
        <v>0</v>
      </c>
    </row>
    <row r="89" spans="1:9" ht="20">
      <c r="A89" s="15"/>
      <c r="B89" s="85" t="str">
        <f>MachineAssumptions!B12&amp;" - Repairs"</f>
        <v>Cultiweeder - Repairs</v>
      </c>
      <c r="C89" s="41" t="s">
        <v>246</v>
      </c>
      <c r="D89" s="116">
        <f>MachineAssumptions!$T$12</f>
        <v>0</v>
      </c>
      <c r="E89" s="87">
        <f>FieldApplications!$T$11</f>
        <v>0</v>
      </c>
      <c r="F89" s="117" t="str">
        <f t="shared" si="12"/>
        <v>0</v>
      </c>
      <c r="H89" s="246">
        <f>MachineAssumptions!$T$33*E89</f>
        <v>0</v>
      </c>
      <c r="I89" s="166">
        <f>MachineAssumptions!$T$53*E89</f>
        <v>0</v>
      </c>
    </row>
    <row r="90" spans="1:9" ht="20">
      <c r="A90" s="15"/>
      <c r="B90" s="85" t="str">
        <f>MachineAssumptions!B13&amp;" - Labor"</f>
        <v>Drill - Labor</v>
      </c>
      <c r="C90" s="41" t="s">
        <v>246</v>
      </c>
      <c r="D90" s="116">
        <f>MachineAssumptions!$R$13</f>
        <v>1.6703109815354713</v>
      </c>
      <c r="E90" s="87">
        <f>FieldApplications!$T$12</f>
        <v>1</v>
      </c>
      <c r="F90" s="117">
        <f t="shared" si="12"/>
        <v>1.6703109815354713</v>
      </c>
      <c r="H90" s="246">
        <f>MachineAssumptions!$R$34*E90</f>
        <v>1.6703109815354713</v>
      </c>
      <c r="I90" s="166">
        <f>MachineAssumptions!$R$54*E90</f>
        <v>1.6703109815354713</v>
      </c>
    </row>
    <row r="91" spans="1:9" ht="20">
      <c r="A91" s="15"/>
      <c r="B91" s="85" t="str">
        <f>MachineAssumptions!B13&amp;" - Fuel, Lube"</f>
        <v>Drill - Fuel, Lube</v>
      </c>
      <c r="C91" s="41" t="s">
        <v>246</v>
      </c>
      <c r="D91" s="116">
        <f>MachineAssumptions!$S$13</f>
        <v>6.146744412050535</v>
      </c>
      <c r="E91" s="87">
        <f>FieldApplications!$T$12</f>
        <v>1</v>
      </c>
      <c r="F91" s="117">
        <f t="shared" si="12"/>
        <v>6.146744412050535</v>
      </c>
      <c r="H91" s="246">
        <f>MachineAssumptions!$S$34*E91</f>
        <v>6.146744412050535</v>
      </c>
      <c r="I91" s="166">
        <f>MachineAssumptions!$S$54*E91</f>
        <v>6.146744412050535</v>
      </c>
    </row>
    <row r="92" spans="1:9" ht="20">
      <c r="A92" s="15"/>
      <c r="B92" s="85" t="str">
        <f>MachineAssumptions!B13&amp;" - Repairs"</f>
        <v>Drill - Repairs</v>
      </c>
      <c r="C92" s="41" t="s">
        <v>246</v>
      </c>
      <c r="D92" s="116">
        <f>MachineAssumptions!$T$13</f>
        <v>5.740409656342587</v>
      </c>
      <c r="E92" s="87">
        <f>FieldApplications!$T$12</f>
        <v>1</v>
      </c>
      <c r="F92" s="117">
        <f t="shared" si="12"/>
        <v>5.740409656342587</v>
      </c>
      <c r="H92" s="246">
        <f>MachineAssumptions!$T$34*E92</f>
        <v>5.740409656342587</v>
      </c>
      <c r="I92" s="166">
        <f>MachineAssumptions!$T$54*E92</f>
        <v>5.740409656342587</v>
      </c>
    </row>
    <row r="93" spans="1:9" ht="20">
      <c r="A93" s="15"/>
      <c r="B93" s="85" t="str">
        <f>MachineAssumptions!B14&amp;" - Labor"</f>
        <v>Combine w/ 36' header - Labor</v>
      </c>
      <c r="C93" s="41" t="s">
        <v>246</v>
      </c>
      <c r="D93" s="116">
        <f>MachineAssumptions!$R$14</f>
        <v>1.9161092530657748</v>
      </c>
      <c r="E93" s="87">
        <f>FieldApplications!$T$13</f>
        <v>1</v>
      </c>
      <c r="F93" s="117">
        <f t="shared" si="12"/>
        <v>1.9161092530657748</v>
      </c>
      <c r="H93" s="246">
        <f>MachineAssumptions!$R$35*E93</f>
        <v>1.9161092530657748</v>
      </c>
      <c r="I93" s="166">
        <f>MachineAssumptions!$R$55*E93</f>
        <v>1.9161092530657748</v>
      </c>
    </row>
    <row r="94" spans="1:9" ht="20">
      <c r="A94" s="15"/>
      <c r="B94" s="85" t="str">
        <f>MachineAssumptions!B14&amp;" - Fuel, Lube"</f>
        <v>Combine w/ 36' header - Fuel, Lube</v>
      </c>
      <c r="C94" s="41" t="s">
        <v>246</v>
      </c>
      <c r="D94" s="116">
        <f>MachineAssumptions!$S$14</f>
        <v>7.0512820512820511</v>
      </c>
      <c r="E94" s="87">
        <f>FieldApplications!$T$13</f>
        <v>1</v>
      </c>
      <c r="F94" s="117">
        <f t="shared" si="12"/>
        <v>7.0512820512820511</v>
      </c>
      <c r="H94" s="246">
        <f>MachineAssumptions!$S$35*E94</f>
        <v>7.0512820512820511</v>
      </c>
      <c r="I94" s="166">
        <f>MachineAssumptions!$S$55*E94</f>
        <v>7.0512820512820511</v>
      </c>
    </row>
    <row r="95" spans="1:9" ht="20">
      <c r="A95" s="15"/>
      <c r="B95" s="85" t="str">
        <f>MachineAssumptions!B14&amp;" - Repairs"</f>
        <v>Combine w/ 36' header - Repairs</v>
      </c>
      <c r="C95" s="41" t="s">
        <v>246</v>
      </c>
      <c r="D95" s="116">
        <f>MachineAssumptions!$T$14</f>
        <v>6.4258281801385913</v>
      </c>
      <c r="E95" s="87">
        <f>FieldApplications!$T$13</f>
        <v>1</v>
      </c>
      <c r="F95" s="117">
        <f t="shared" si="12"/>
        <v>6.4258281801385913</v>
      </c>
      <c r="H95" s="246">
        <f>MachineAssumptions!$T$35*E95</f>
        <v>6.4258281801385913</v>
      </c>
      <c r="I95" s="166">
        <f>MachineAssumptions!$T$55*E95</f>
        <v>4.0416300769413871</v>
      </c>
    </row>
    <row r="96" spans="1:9" ht="20">
      <c r="A96" s="15"/>
      <c r="B96" s="85" t="str">
        <f>MachineAssumptions!B16&amp;" - Labor"</f>
        <v>Fertilizer Spreader - Labor</v>
      </c>
      <c r="C96" s="41" t="s">
        <v>246</v>
      </c>
      <c r="D96" s="116">
        <f>MachineAssumptions!$R$16</f>
        <v>0</v>
      </c>
      <c r="E96" s="87">
        <f>FieldApplications!$T$14</f>
        <v>0</v>
      </c>
      <c r="F96" s="117" t="str">
        <f t="shared" si="12"/>
        <v>0</v>
      </c>
      <c r="H96" s="246">
        <f>MachineAssumptions!$R$36*E96</f>
        <v>0</v>
      </c>
      <c r="I96" s="166">
        <f>MachineAssumptions!$R$56*E96</f>
        <v>0</v>
      </c>
    </row>
    <row r="97" spans="1:9" ht="20">
      <c r="A97" s="15"/>
      <c r="B97" s="85" t="str">
        <f>MachineAssumptions!B16&amp;" - Fuel, Lube"</f>
        <v>Fertilizer Spreader - Fuel, Lube</v>
      </c>
      <c r="C97" s="41" t="s">
        <v>246</v>
      </c>
      <c r="D97" s="116">
        <f>MachineAssumptions!$S$16</f>
        <v>0</v>
      </c>
      <c r="E97" s="87">
        <f>FieldApplications!$T$14</f>
        <v>0</v>
      </c>
      <c r="F97" s="117" t="str">
        <f t="shared" si="12"/>
        <v>0</v>
      </c>
      <c r="H97" s="246">
        <f>MachineAssumptions!$S$36*E97</f>
        <v>0</v>
      </c>
      <c r="I97" s="166">
        <f>MachineAssumptions!$S$56*E97</f>
        <v>0</v>
      </c>
    </row>
    <row r="98" spans="1:9" ht="20">
      <c r="A98" s="15"/>
      <c r="B98" s="85" t="str">
        <f>MachineAssumptions!B16&amp;" - Repairs"</f>
        <v>Fertilizer Spreader - Repairs</v>
      </c>
      <c r="C98" s="41" t="s">
        <v>246</v>
      </c>
      <c r="D98" s="116">
        <f>MachineAssumptions!$T$16</f>
        <v>0</v>
      </c>
      <c r="E98" s="87">
        <f>FieldApplications!$T$14</f>
        <v>0</v>
      </c>
      <c r="F98" s="117" t="str">
        <f t="shared" si="12"/>
        <v>0</v>
      </c>
      <c r="H98" s="246">
        <f>MachineAssumptions!$T$36*E98</f>
        <v>0</v>
      </c>
      <c r="I98" s="166">
        <f>MachineAssumptions!$T$56*E98</f>
        <v>0</v>
      </c>
    </row>
    <row r="99" spans="1:9" ht="20">
      <c r="A99" s="15"/>
      <c r="B99" s="85" t="str">
        <f>MachineAssumptions!B17&amp;" - Labor"</f>
        <v>Fertilizer tanks and pump - Labor</v>
      </c>
      <c r="C99" s="41" t="s">
        <v>246</v>
      </c>
      <c r="D99" s="116">
        <f>MachineAssumptions!$R$17</f>
        <v>2.2448979591836737</v>
      </c>
      <c r="E99" s="87">
        <f>FieldApplications!$T$15</f>
        <v>1</v>
      </c>
      <c r="F99" s="117">
        <f t="shared" si="12"/>
        <v>2.2448979591836737</v>
      </c>
      <c r="H99" s="246">
        <f>MachineAssumptions!$R$37*E99</f>
        <v>2.2448979591836737</v>
      </c>
      <c r="I99" s="166">
        <f>MachineAssumptions!$R$57*E99</f>
        <v>2.2448979591836737</v>
      </c>
    </row>
    <row r="100" spans="1:9" ht="20">
      <c r="A100" s="15"/>
      <c r="B100" s="85" t="str">
        <f>MachineAssumptions!B17&amp;" - Fuel, Lube"</f>
        <v>Fertilizer tanks and pump - Fuel, Lube</v>
      </c>
      <c r="C100" s="41" t="s">
        <v>246</v>
      </c>
      <c r="D100" s="116">
        <f>MachineAssumptions!$S$17</f>
        <v>9.387755102040817</v>
      </c>
      <c r="E100" s="87">
        <f>FieldApplications!$T$15</f>
        <v>1</v>
      </c>
      <c r="F100" s="117">
        <f t="shared" si="12"/>
        <v>9.387755102040817</v>
      </c>
      <c r="H100" s="246">
        <f>MachineAssumptions!$S$37*E100</f>
        <v>9.387755102040817</v>
      </c>
      <c r="I100" s="166">
        <f>MachineAssumptions!$S$57*E100</f>
        <v>9.387755102040817</v>
      </c>
    </row>
    <row r="101" spans="1:9" ht="20">
      <c r="A101" s="15"/>
      <c r="B101" s="85" t="str">
        <f>MachineAssumptions!B17&amp;" - Repairs"</f>
        <v>Fertilizer tanks and pump - Repairs</v>
      </c>
      <c r="C101" s="41" t="s">
        <v>246</v>
      </c>
      <c r="D101" s="116">
        <f>MachineAssumptions!$T$17</f>
        <v>0</v>
      </c>
      <c r="E101" s="87">
        <f>FieldApplications!$T$15</f>
        <v>1</v>
      </c>
      <c r="F101" s="117" t="str">
        <f t="shared" si="12"/>
        <v>0</v>
      </c>
      <c r="H101" s="246">
        <f>MachineAssumptions!$T$37*E101</f>
        <v>0</v>
      </c>
      <c r="I101" s="166">
        <f>MachineAssumptions!$T$57*E101</f>
        <v>0</v>
      </c>
    </row>
    <row r="102" spans="1:9" ht="20">
      <c r="A102" s="15"/>
      <c r="B102" s="85" t="str">
        <f>MachineAssumptions!B18&amp;" - Labor"</f>
        <v>Boom sprayer - Labor</v>
      </c>
      <c r="C102" s="41" t="s">
        <v>246</v>
      </c>
      <c r="D102" s="116">
        <f>MachineAssumptions!$R$18</f>
        <v>0.4708120318630365</v>
      </c>
      <c r="E102" s="87">
        <f>FieldApplications!$T$16</f>
        <v>2</v>
      </c>
      <c r="F102" s="117">
        <f t="shared" si="12"/>
        <v>0.94162406372607299</v>
      </c>
      <c r="H102" s="246">
        <f>MachineAssumptions!$R$38*E102</f>
        <v>0.94162406372607299</v>
      </c>
      <c r="I102" s="166">
        <f>MachineAssumptions!$R$58*E102</f>
        <v>0.94162406372607299</v>
      </c>
    </row>
    <row r="103" spans="1:9" ht="20">
      <c r="A103" s="15"/>
      <c r="B103" s="85" t="str">
        <f>MachineAssumptions!B18&amp;" - Fuel, Lube"</f>
        <v>Boom sprayer - Fuel, Lube</v>
      </c>
      <c r="C103" s="41" t="s">
        <v>246</v>
      </c>
      <c r="D103" s="116">
        <f>MachineAssumptions!$S$18</f>
        <v>1.8047794554749732</v>
      </c>
      <c r="E103" s="87">
        <f>FieldApplications!$T$16</f>
        <v>2</v>
      </c>
      <c r="F103" s="117">
        <f t="shared" si="12"/>
        <v>3.6095589109499464</v>
      </c>
      <c r="H103" s="246">
        <f>MachineAssumptions!$S$38*E103</f>
        <v>3.6095589109499464</v>
      </c>
      <c r="I103" s="166">
        <f>MachineAssumptions!$S$58*E103</f>
        <v>3.6095589109499464</v>
      </c>
    </row>
    <row r="104" spans="1:9" ht="20">
      <c r="A104" s="15"/>
      <c r="B104" s="85" t="str">
        <f>MachineAssumptions!B18&amp;" - Repairs"</f>
        <v>Boom sprayer - Repairs</v>
      </c>
      <c r="C104" s="41" t="s">
        <v>246</v>
      </c>
      <c r="D104" s="116">
        <f>MachineAssumptions!$T$18</f>
        <v>0.49795949063219769</v>
      </c>
      <c r="E104" s="87">
        <f>FieldApplications!$T$16</f>
        <v>2</v>
      </c>
      <c r="F104" s="117">
        <f t="shared" si="12"/>
        <v>0.99591898126439538</v>
      </c>
      <c r="H104" s="246">
        <f>MachineAssumptions!$T$38*E104</f>
        <v>1.0056003712769741</v>
      </c>
      <c r="I104" s="166">
        <f>MachineAssumptions!$T$58*E104</f>
        <v>0.9021656572032456</v>
      </c>
    </row>
    <row r="105" spans="1:9" ht="20">
      <c r="A105" s="15"/>
      <c r="B105" s="85" t="str">
        <f>MachineAssumptions!B15&amp;" - Labor"</f>
        <v>Bankout Wagon - Labor</v>
      </c>
      <c r="C105" s="41" t="s">
        <v>246</v>
      </c>
      <c r="D105" s="116">
        <f>MachineAssumptions!$R$15</f>
        <v>1.6861761426978819</v>
      </c>
      <c r="E105" s="87">
        <f t="shared" ref="E105:E113" si="13">IF($E$93&gt;0,1,0)</f>
        <v>1</v>
      </c>
      <c r="F105" s="117">
        <f t="shared" si="12"/>
        <v>1.6861761426978819</v>
      </c>
      <c r="H105" s="246">
        <f>MachineAssumptions!$R$39*E105</f>
        <v>1.6861761426978819</v>
      </c>
      <c r="I105" s="166">
        <f>MachineAssumptions!$R$59*E105</f>
        <v>1.6861761426978819</v>
      </c>
    </row>
    <row r="106" spans="1:9" ht="20">
      <c r="A106" s="15"/>
      <c r="B106" s="85" t="str">
        <f>MachineAssumptions!B15&amp;" - Fuel, Lube"</f>
        <v>Bankout Wagon - Fuel, Lube</v>
      </c>
      <c r="C106" s="41" t="s">
        <v>246</v>
      </c>
      <c r="D106" s="116">
        <f>MachineAssumptions!$S$15</f>
        <v>7.0512820512820511</v>
      </c>
      <c r="E106" s="87">
        <f t="shared" si="13"/>
        <v>1</v>
      </c>
      <c r="F106" s="117">
        <f t="shared" si="12"/>
        <v>7.0512820512820511</v>
      </c>
      <c r="H106" s="246">
        <f>MachineAssumptions!$S$39*E106</f>
        <v>7.0512820512820511</v>
      </c>
      <c r="I106" s="166">
        <f>MachineAssumptions!$S$59*E106</f>
        <v>7.0512820512820511</v>
      </c>
    </row>
    <row r="107" spans="1:9" ht="20">
      <c r="A107" s="15"/>
      <c r="B107" s="85" t="str">
        <f>MachineAssumptions!B15&amp;" - Repairs"</f>
        <v>Bankout Wagon - Repairs</v>
      </c>
      <c r="C107" s="41" t="s">
        <v>246</v>
      </c>
      <c r="D107" s="116">
        <f>MachineAssumptions!$T$15</f>
        <v>0.5058930256896228</v>
      </c>
      <c r="E107" s="87">
        <f t="shared" si="13"/>
        <v>1</v>
      </c>
      <c r="F107" s="117">
        <f t="shared" si="12"/>
        <v>0.5058930256896228</v>
      </c>
      <c r="H107" s="246">
        <f>MachineAssumptions!$T$39*E107</f>
        <v>0.5058930256896228</v>
      </c>
      <c r="I107" s="166">
        <f>MachineAssumptions!$T$59*E107</f>
        <v>0.43525361955195507</v>
      </c>
    </row>
    <row r="108" spans="1:9" ht="20">
      <c r="A108" s="15"/>
      <c r="B108" s="85" t="str">
        <f>MachineAssumptions!B19&amp;" - Labor"</f>
        <v>Tandem Axle Truck  - Labor</v>
      </c>
      <c r="C108" s="41" t="s">
        <v>246</v>
      </c>
      <c r="D108" s="116">
        <f>MachineAssumptions!$R$19</f>
        <v>3.6</v>
      </c>
      <c r="E108" s="87">
        <f t="shared" si="13"/>
        <v>1</v>
      </c>
      <c r="F108" s="117">
        <f t="shared" si="12"/>
        <v>3.6</v>
      </c>
      <c r="H108" s="246">
        <f>MachineAssumptions!$R$40*E108</f>
        <v>3.6</v>
      </c>
      <c r="I108" s="166">
        <f>MachineAssumptions!$R$60*E108</f>
        <v>3.6</v>
      </c>
    </row>
    <row r="109" spans="1:9" ht="20">
      <c r="A109" s="15"/>
      <c r="B109" s="85" t="str">
        <f>MachineAssumptions!B19&amp;" - Fuel, Lube"</f>
        <v>Tandem Axle Truck  - Fuel, Lube</v>
      </c>
      <c r="C109" s="41" t="s">
        <v>246</v>
      </c>
      <c r="D109" s="116">
        <f>MachineAssumptions!$S$19</f>
        <v>1.1499999999999999</v>
      </c>
      <c r="E109" s="87">
        <f t="shared" si="13"/>
        <v>1</v>
      </c>
      <c r="F109" s="117">
        <f t="shared" si="12"/>
        <v>1.1499999999999999</v>
      </c>
      <c r="H109" s="246">
        <f>MachineAssumptions!$S$40*E109</f>
        <v>1.1499999999999999</v>
      </c>
      <c r="I109" s="166">
        <f>MachineAssumptions!$S$60*E109</f>
        <v>1.1499999999999999</v>
      </c>
    </row>
    <row r="110" spans="1:9" ht="20">
      <c r="A110" s="15"/>
      <c r="B110" s="85" t="str">
        <f>MachineAssumptions!B19&amp;" - Repairs"</f>
        <v>Tandem Axle Truck  - Repairs</v>
      </c>
      <c r="C110" s="41" t="s">
        <v>246</v>
      </c>
      <c r="D110" s="116">
        <f>MachineAssumptions!$T$19</f>
        <v>0.8</v>
      </c>
      <c r="E110" s="87">
        <f t="shared" si="13"/>
        <v>1</v>
      </c>
      <c r="F110" s="117">
        <f t="shared" si="12"/>
        <v>0.8</v>
      </c>
      <c r="H110" s="246">
        <f>MachineAssumptions!$T$40*E110</f>
        <v>0.8</v>
      </c>
      <c r="I110" s="166">
        <f>MachineAssumptions!$T$60*E110</f>
        <v>0.8</v>
      </c>
    </row>
    <row r="111" spans="1:9" ht="20">
      <c r="A111" s="15"/>
      <c r="B111" s="85" t="str">
        <f>MachineAssumptions!B20&amp;" - Labor"</f>
        <v>Tandem Axle Truck  - Labor</v>
      </c>
      <c r="C111" s="41" t="s">
        <v>246</v>
      </c>
      <c r="D111" s="116">
        <f>MachineAssumptions!$R$20</f>
        <v>3.6</v>
      </c>
      <c r="E111" s="87">
        <f t="shared" si="13"/>
        <v>1</v>
      </c>
      <c r="F111" s="117">
        <f t="shared" si="12"/>
        <v>3.6</v>
      </c>
      <c r="H111" s="416">
        <f>MachineAssumptions!$R$41*E111</f>
        <v>3.6</v>
      </c>
      <c r="I111" s="369">
        <f>MachineAssumptions!$R$61*E111</f>
        <v>3.6</v>
      </c>
    </row>
    <row r="112" spans="1:9" ht="20">
      <c r="A112" s="15"/>
      <c r="B112" s="85" t="str">
        <f>MachineAssumptions!B20&amp;" - Fuel, Lube"</f>
        <v>Tandem Axle Truck  - Fuel, Lube</v>
      </c>
      <c r="C112" s="41" t="s">
        <v>246</v>
      </c>
      <c r="D112" s="116">
        <f>MachineAssumptions!$S$20</f>
        <v>1.72</v>
      </c>
      <c r="E112" s="87">
        <f t="shared" si="13"/>
        <v>1</v>
      </c>
      <c r="F112" s="117">
        <f t="shared" si="12"/>
        <v>1.72</v>
      </c>
      <c r="H112" s="416">
        <f>MachineAssumptions!$S$41*E112</f>
        <v>1.72</v>
      </c>
      <c r="I112" s="369">
        <f>MachineAssumptions!$S$61*E112</f>
        <v>1.72</v>
      </c>
    </row>
    <row r="113" spans="1:13" ht="23">
      <c r="A113" s="15"/>
      <c r="B113" s="85" t="str">
        <f>MachineAssumptions!B20&amp;" - Repairs"</f>
        <v>Tandem Axle Truck  - Repairs</v>
      </c>
      <c r="C113" s="41" t="s">
        <v>246</v>
      </c>
      <c r="D113" s="116">
        <f>MachineAssumptions!$T$20</f>
        <v>0.8</v>
      </c>
      <c r="E113" s="87">
        <f t="shared" si="13"/>
        <v>1</v>
      </c>
      <c r="F113" s="117">
        <f t="shared" si="12"/>
        <v>0.8</v>
      </c>
      <c r="H113" s="248">
        <f>MachineAssumptions!$T$41*E113</f>
        <v>0.8</v>
      </c>
      <c r="I113" s="247">
        <f>MachineAssumptions!$T$61*E113</f>
        <v>0.8</v>
      </c>
    </row>
    <row r="114" spans="1:13" ht="21">
      <c r="A114" s="15"/>
      <c r="B114" s="139" t="s">
        <v>88</v>
      </c>
      <c r="C114" s="41"/>
      <c r="D114" s="116"/>
      <c r="E114" s="87"/>
      <c r="F114" s="117"/>
      <c r="H114" s="249">
        <f>SUM(H74:H113)</f>
        <v>67.05347216126205</v>
      </c>
      <c r="I114" s="249">
        <f>SUM(I74:I113)</f>
        <v>64.495199937853457</v>
      </c>
    </row>
    <row r="115" spans="1:13" ht="20">
      <c r="A115" s="15"/>
      <c r="B115" s="85" t="str">
        <f>'Chem&amp;FertInputs&amp;CInsurance'!B73</f>
        <v>Crop Insurance</v>
      </c>
      <c r="C115" s="23" t="str">
        <f>'Chem&amp;FertInputs&amp;CInsurance'!D73</f>
        <v>acre</v>
      </c>
      <c r="D115" s="116">
        <f>'Chem&amp;FertInputs&amp;CInsurance'!W73</f>
        <v>18</v>
      </c>
      <c r="E115" s="87">
        <v>1</v>
      </c>
      <c r="F115" s="117">
        <f>IF(D115*E115=0,"0",D115*E115)</f>
        <v>18</v>
      </c>
      <c r="H115" s="1" t="s">
        <v>181</v>
      </c>
      <c r="I115" s="1" t="s">
        <v>181</v>
      </c>
    </row>
    <row r="116" spans="1:13" ht="20">
      <c r="A116" s="15"/>
      <c r="B116" s="85" t="s">
        <v>72</v>
      </c>
      <c r="C116" s="41" t="s">
        <v>83</v>
      </c>
      <c r="D116" s="111">
        <f>MachineAssumptions!D25</f>
        <v>0.05</v>
      </c>
      <c r="E116" s="87"/>
      <c r="F116" s="86">
        <f>SUM(F8:F115)*D116</f>
        <v>9.2963020385624731</v>
      </c>
      <c r="G116" s="1" t="s">
        <v>111</v>
      </c>
      <c r="H116" s="49">
        <f>(SUM($F8:$F70)+$F115+SUM(H72:H113))*$D116</f>
        <v>9.2967861080631025</v>
      </c>
      <c r="I116" s="49">
        <f>(SUM($F8:$F70)+$F115+SUM(I72:I113))*$D116</f>
        <v>9.1688724968926731</v>
      </c>
      <c r="J116" s="49">
        <f>F72+F75+F78+F81+F84+F87+F90+F93+F96+F99+F102+F105+F108+F111</f>
        <v>15.659118400208875</v>
      </c>
      <c r="K116" s="1" t="s">
        <v>111</v>
      </c>
    </row>
    <row r="117" spans="1:13" ht="20">
      <c r="A117" s="15"/>
      <c r="B117" s="85" t="s">
        <v>84</v>
      </c>
      <c r="C117" s="41" t="s">
        <v>83</v>
      </c>
      <c r="D117" s="111">
        <f>MachineAssumptions!D26</f>
        <v>6.7500000000000004E-2</v>
      </c>
      <c r="E117" s="112"/>
      <c r="F117" s="140">
        <f>SUM(F8:F116)*(D117/12*MachineAssumptions!D27)</f>
        <v>9.883131104746731</v>
      </c>
      <c r="G117" s="1" t="s">
        <v>4</v>
      </c>
      <c r="H117" s="49">
        <f>(SUM(F8:F70)+(F115+F116+H114))*((D117/12)*MachineAssumptions!D27)</f>
        <v>9.8836212251161175</v>
      </c>
      <c r="I117" s="49">
        <f>(SUM(F8:F70)+(F115+F116+I114))*((D117/12)*MachineAssumptions!D27)</f>
        <v>9.7541086938060566</v>
      </c>
      <c r="J117" s="49">
        <f>F73+F76+F79+F82+F85+F88+F91+F94+F97+F100+F103+F106+F109+F112</f>
        <v>36.116622527605394</v>
      </c>
      <c r="K117" s="1" t="s">
        <v>4</v>
      </c>
    </row>
    <row r="118" spans="1:13" ht="20">
      <c r="A118" s="15"/>
      <c r="B118" s="14" t="s">
        <v>85</v>
      </c>
      <c r="C118" s="29"/>
      <c r="D118" s="141"/>
      <c r="E118" s="142"/>
      <c r="F118" s="143">
        <f>SUM(F8:F117)</f>
        <v>205.10547391455867</v>
      </c>
      <c r="G118" s="1" t="s">
        <v>112</v>
      </c>
      <c r="J118" s="49">
        <f>F74+F77+F80+F83+F86+F89+F92+F95+F98+F101+F104+F107+F110+F113</f>
        <v>15.268049843435199</v>
      </c>
      <c r="K118" s="1" t="s">
        <v>112</v>
      </c>
      <c r="L118" s="49">
        <f>H74+H77+H80+H83+H86+H89+H92+H95+H98+H101+H104+H107+H110+H113</f>
        <v>15.277731233447778</v>
      </c>
      <c r="M118" s="49">
        <f>I74+I77+I80+I83+I86+I89+I92+I95+I98+I101+I104+I107+I110+I113</f>
        <v>12.719459010039175</v>
      </c>
    </row>
    <row r="119" spans="1:13">
      <c r="A119" s="15"/>
      <c r="B119" s="113"/>
      <c r="C119" s="113"/>
      <c r="D119" s="113"/>
      <c r="E119" s="114"/>
      <c r="F119" s="115"/>
      <c r="H119" s="115"/>
      <c r="J119" s="49">
        <f>SUM(J116:J118)</f>
        <v>67.043790771249462</v>
      </c>
      <c r="K119" s="115"/>
    </row>
    <row r="120" spans="1:13" ht="20">
      <c r="A120" s="15"/>
      <c r="B120" s="132" t="s">
        <v>89</v>
      </c>
      <c r="C120" s="19" t="s">
        <v>2</v>
      </c>
      <c r="D120" s="20" t="s">
        <v>12</v>
      </c>
      <c r="E120" s="21" t="s">
        <v>13</v>
      </c>
      <c r="F120" s="45" t="s">
        <v>0</v>
      </c>
      <c r="H120" s="1" t="s">
        <v>136</v>
      </c>
      <c r="I120" s="1" t="s">
        <v>139</v>
      </c>
    </row>
    <row r="121" spans="1:13" ht="20">
      <c r="A121" s="15"/>
      <c r="B121" s="18" t="str">
        <f>MachineAssumptions!B7&amp;" - Replacement Costs"</f>
        <v>Shredder - Replacement Costs</v>
      </c>
      <c r="C121" s="41" t="str">
        <f>C72</f>
        <v>acre</v>
      </c>
      <c r="D121" s="34">
        <f>MachineAssumptions!U7</f>
        <v>4.3329737628911431</v>
      </c>
      <c r="E121" s="145">
        <f>E72</f>
        <v>0</v>
      </c>
      <c r="F121" s="42" t="str">
        <f t="shared" ref="F121:F134" si="14">IF(D121*E121=0,"0",D121*E121)</f>
        <v>0</v>
      </c>
      <c r="H121" s="166">
        <f>MachineAssumptions!U28*E121</f>
        <v>0</v>
      </c>
      <c r="I121" s="166">
        <f>MachineAssumptions!U48*E121</f>
        <v>0</v>
      </c>
    </row>
    <row r="122" spans="1:13" ht="20">
      <c r="A122" s="15"/>
      <c r="B122" s="18" t="str">
        <f>MachineAssumptions!B8&amp;" - Replacement Costs"</f>
        <v>Harrow - Replacement Costs</v>
      </c>
      <c r="C122" s="41" t="str">
        <f>C75</f>
        <v>acre</v>
      </c>
      <c r="D122" s="34">
        <f>MachineAssumptions!U8</f>
        <v>1.1988479209967022</v>
      </c>
      <c r="E122" s="145">
        <f>E75</f>
        <v>0</v>
      </c>
      <c r="F122" s="42" t="str">
        <f t="shared" si="14"/>
        <v>0</v>
      </c>
      <c r="H122" s="166">
        <f>MachineAssumptions!U29*E122</f>
        <v>0</v>
      </c>
      <c r="I122" s="166">
        <f>MachineAssumptions!U49*E122</f>
        <v>0</v>
      </c>
    </row>
    <row r="123" spans="1:13" ht="20">
      <c r="A123" s="15"/>
      <c r="B123" s="18" t="str">
        <f>MachineAssumptions!B9&amp;" - Replacement Costs"</f>
        <v>Chisel plow - Replacement Costs</v>
      </c>
      <c r="C123" s="41" t="str">
        <f>C78</f>
        <v>acre</v>
      </c>
      <c r="D123" s="34">
        <f>MachineAssumptions!U9</f>
        <v>0</v>
      </c>
      <c r="E123" s="145">
        <f>E78</f>
        <v>0</v>
      </c>
      <c r="F123" s="42" t="str">
        <f t="shared" si="14"/>
        <v>0</v>
      </c>
      <c r="H123" s="166">
        <f>MachineAssumptions!U30*E123</f>
        <v>0</v>
      </c>
      <c r="I123" s="166">
        <f>MachineAssumptions!U50*E123</f>
        <v>0</v>
      </c>
    </row>
    <row r="124" spans="1:13" ht="20">
      <c r="A124" s="15"/>
      <c r="B124" s="18" t="str">
        <f>MachineAssumptions!B10&amp;" - Replacement Costs"</f>
        <v>Moldboard plow - Replacement Costs</v>
      </c>
      <c r="C124" s="41" t="str">
        <f>C81</f>
        <v>acre</v>
      </c>
      <c r="D124" s="34">
        <f>MachineAssumptions!U10</f>
        <v>0</v>
      </c>
      <c r="E124" s="145">
        <f>E81</f>
        <v>0</v>
      </c>
      <c r="F124" s="42" t="str">
        <f t="shared" si="14"/>
        <v>0</v>
      </c>
      <c r="H124" s="166">
        <f>MachineAssumptions!U31*E124</f>
        <v>0</v>
      </c>
      <c r="I124" s="166">
        <f>MachineAssumptions!U51*E124</f>
        <v>0</v>
      </c>
    </row>
    <row r="125" spans="1:13" ht="20">
      <c r="A125" s="15"/>
      <c r="B125" s="18" t="str">
        <f>MachineAssumptions!B11&amp;" - Replacement Costs"</f>
        <v>Cultivator - Replacement Costs</v>
      </c>
      <c r="C125" s="41" t="str">
        <f t="shared" ref="C125:C126" si="15">C82</f>
        <v>acre</v>
      </c>
      <c r="D125" s="34">
        <f>MachineAssumptions!U11</f>
        <v>0</v>
      </c>
      <c r="E125" s="145">
        <f>E84</f>
        <v>0</v>
      </c>
      <c r="F125" s="42" t="str">
        <f t="shared" si="14"/>
        <v>0</v>
      </c>
      <c r="H125" s="166">
        <f>MachineAssumptions!U32*E125</f>
        <v>0</v>
      </c>
      <c r="I125" s="166">
        <f>MachineAssumptions!U52*E125</f>
        <v>0</v>
      </c>
    </row>
    <row r="126" spans="1:13" ht="20">
      <c r="A126" s="15"/>
      <c r="B126" s="18" t="str">
        <f>MachineAssumptions!B12&amp;" - Replacement Costs"</f>
        <v>Cultiweeder - Replacement Costs</v>
      </c>
      <c r="C126" s="41" t="str">
        <f t="shared" si="15"/>
        <v>acre</v>
      </c>
      <c r="D126" s="34">
        <f>MachineAssumptions!U12</f>
        <v>0</v>
      </c>
      <c r="E126" s="145">
        <f>E87</f>
        <v>0</v>
      </c>
      <c r="F126" s="42" t="str">
        <f t="shared" si="14"/>
        <v>0</v>
      </c>
      <c r="H126" s="166">
        <f>MachineAssumptions!U33*E126</f>
        <v>0</v>
      </c>
      <c r="I126" s="166">
        <f>MachineAssumptions!U53*E126</f>
        <v>0</v>
      </c>
    </row>
    <row r="127" spans="1:13" ht="20">
      <c r="A127" s="15"/>
      <c r="B127" s="18" t="str">
        <f>MachineAssumptions!B13&amp;" - Replacement Costs"</f>
        <v>Drill - Replacement Costs</v>
      </c>
      <c r="C127" s="41" t="str">
        <f>C90</f>
        <v>acre</v>
      </c>
      <c r="D127" s="34">
        <f>MachineAssumptions!U13</f>
        <v>7.2419265221735989</v>
      </c>
      <c r="E127" s="145">
        <f>E90</f>
        <v>1</v>
      </c>
      <c r="F127" s="42">
        <f t="shared" si="14"/>
        <v>7.2419265221735989</v>
      </c>
      <c r="H127" s="166">
        <f>MachineAssumptions!U34*E127</f>
        <v>7.2419265221735989</v>
      </c>
      <c r="I127" s="166">
        <f>MachineAssumptions!U54*E127</f>
        <v>7.2419265221735989</v>
      </c>
    </row>
    <row r="128" spans="1:13" ht="20">
      <c r="A128" s="15"/>
      <c r="B128" s="18" t="str">
        <f>MachineAssumptions!B14&amp;" - Replacement Costs"</f>
        <v>Combine w/ 36' header - Replacement Costs</v>
      </c>
      <c r="C128" s="41" t="str">
        <f>C93</f>
        <v>acre</v>
      </c>
      <c r="D128" s="34">
        <f>MachineAssumptions!U14</f>
        <v>9.7031999999999989</v>
      </c>
      <c r="E128" s="145">
        <f>E93</f>
        <v>1</v>
      </c>
      <c r="F128" s="42">
        <f t="shared" si="14"/>
        <v>9.7031999999999989</v>
      </c>
      <c r="H128" s="166">
        <f>MachineAssumptions!U35*E128</f>
        <v>9.7031999999999989</v>
      </c>
      <c r="I128" s="166">
        <f>MachineAssumptions!U55*E128</f>
        <v>9.7032000000000007</v>
      </c>
    </row>
    <row r="129" spans="1:9" ht="20">
      <c r="A129" s="15"/>
      <c r="B129" s="18" t="str">
        <f>MachineAssumptions!B16&amp;" - Replacement Costs"</f>
        <v>Fertilizer Spreader - Replacement Costs</v>
      </c>
      <c r="C129" s="41" t="str">
        <f>C96</f>
        <v>acre</v>
      </c>
      <c r="D129" s="34">
        <f>MachineAssumptions!U16</f>
        <v>0</v>
      </c>
      <c r="E129" s="145">
        <f>E96</f>
        <v>0</v>
      </c>
      <c r="F129" s="42" t="str">
        <f t="shared" si="14"/>
        <v>0</v>
      </c>
      <c r="H129" s="166">
        <f>MachineAssumptions!U36*E129</f>
        <v>0</v>
      </c>
      <c r="I129" s="166">
        <f>MachineAssumptions!U56*E129</f>
        <v>0</v>
      </c>
    </row>
    <row r="130" spans="1:9" ht="20">
      <c r="A130" s="15"/>
      <c r="B130" s="18" t="str">
        <f>MachineAssumptions!B17&amp;" - Replacement Costs"</f>
        <v>Fertilizer tanks and pump - Replacement Costs</v>
      </c>
      <c r="C130" s="41" t="str">
        <f>C99</f>
        <v>acre</v>
      </c>
      <c r="D130" s="34">
        <f>MachineAssumptions!U17</f>
        <v>0.6</v>
      </c>
      <c r="E130" s="145">
        <f>E99</f>
        <v>1</v>
      </c>
      <c r="F130" s="42">
        <f t="shared" si="14"/>
        <v>0.6</v>
      </c>
      <c r="H130" s="166">
        <f>MachineAssumptions!U37*E130</f>
        <v>0.6</v>
      </c>
      <c r="I130" s="166">
        <f>MachineAssumptions!U57*E130</f>
        <v>0.6</v>
      </c>
    </row>
    <row r="131" spans="1:9" ht="20">
      <c r="A131" s="15"/>
      <c r="B131" s="18" t="str">
        <f>MachineAssumptions!B18&amp;" - Replacement Costs"</f>
        <v>Boom sprayer - Replacement Costs</v>
      </c>
      <c r="C131" s="41" t="str">
        <f>C102</f>
        <v>acre</v>
      </c>
      <c r="D131" s="34">
        <f>MachineAssumptions!U18</f>
        <v>0.80913316225248511</v>
      </c>
      <c r="E131" s="145">
        <f>E102</f>
        <v>2</v>
      </c>
      <c r="F131" s="42">
        <f t="shared" si="14"/>
        <v>1.6182663245049702</v>
      </c>
      <c r="H131" s="166">
        <f>MachineAssumptions!U38*E131</f>
        <v>1.6180237561339832</v>
      </c>
      <c r="I131" s="166">
        <f>MachineAssumptions!U58*E131</f>
        <v>1.6182663245049702</v>
      </c>
    </row>
    <row r="132" spans="1:9" ht="20">
      <c r="A132" s="15"/>
      <c r="B132" s="18" t="str">
        <f>MachineAssumptions!B15&amp;" - Replacement Costs"</f>
        <v>Bankout Wagon - Replacement Costs</v>
      </c>
      <c r="C132" s="41" t="str">
        <f>C105</f>
        <v>acre</v>
      </c>
      <c r="D132" s="34">
        <f>MachineAssumptions!U15</f>
        <v>2.9461434675395459</v>
      </c>
      <c r="E132" s="145">
        <f>E105</f>
        <v>1</v>
      </c>
      <c r="F132" s="42">
        <f t="shared" si="14"/>
        <v>2.9461434675395459</v>
      </c>
      <c r="H132" s="166">
        <f>MachineAssumptions!U39*E132</f>
        <v>2.9461434675395459</v>
      </c>
      <c r="I132" s="166">
        <f>MachineAssumptions!U59*E132</f>
        <v>2.9461434675395459</v>
      </c>
    </row>
    <row r="133" spans="1:9" ht="20">
      <c r="A133" s="15"/>
      <c r="B133" s="18" t="str">
        <f>MachineAssumptions!B19&amp;" - Replacement Costs"</f>
        <v>Tandem Axle Truck  - Replacement Costs</v>
      </c>
      <c r="C133" s="41" t="str">
        <f>C108</f>
        <v>acre</v>
      </c>
      <c r="D133" s="34">
        <f>MachineAssumptions!U19</f>
        <v>0.64</v>
      </c>
      <c r="E133" s="145">
        <f>E108</f>
        <v>1</v>
      </c>
      <c r="F133" s="42">
        <f t="shared" si="14"/>
        <v>0.64</v>
      </c>
      <c r="H133" s="166">
        <f>MachineAssumptions!U40*E133</f>
        <v>0.64</v>
      </c>
      <c r="I133" s="166">
        <f>MachineAssumptions!U60*E133</f>
        <v>0.64</v>
      </c>
    </row>
    <row r="134" spans="1:9" ht="23">
      <c r="A134" s="15"/>
      <c r="B134" s="18" t="str">
        <f>MachineAssumptions!B20&amp;" - Replacement Costs"</f>
        <v>Tandem Axle Truck  - Replacement Costs</v>
      </c>
      <c r="C134" s="41" t="str">
        <f t="shared" ref="C134" si="16">C111</f>
        <v>acre</v>
      </c>
      <c r="D134" s="34">
        <f>MachineAssumptions!U20</f>
        <v>0.64</v>
      </c>
      <c r="E134" s="145">
        <f t="shared" ref="E134" si="17">E111</f>
        <v>1</v>
      </c>
      <c r="F134" s="43">
        <f t="shared" si="14"/>
        <v>0.64</v>
      </c>
      <c r="H134" s="247">
        <f>MachineAssumptions!U41*E134</f>
        <v>0.64</v>
      </c>
      <c r="I134" s="247">
        <f>MachineAssumptions!U61*E134</f>
        <v>0.64</v>
      </c>
    </row>
    <row r="135" spans="1:9" ht="20">
      <c r="A135" s="15"/>
      <c r="B135" s="144" t="s">
        <v>38</v>
      </c>
      <c r="C135" s="29"/>
      <c r="D135" s="30"/>
      <c r="E135" s="29"/>
      <c r="F135" s="46">
        <f>SUM(F121:F134)</f>
        <v>23.389536314218116</v>
      </c>
      <c r="H135" s="46">
        <f t="shared" ref="H135:I135" si="18">SUM(H121:H134)</f>
        <v>23.38929374584713</v>
      </c>
      <c r="I135" s="46">
        <f t="shared" si="18"/>
        <v>23.389536314218116</v>
      </c>
    </row>
    <row r="136" spans="1:9" ht="20">
      <c r="A136" s="15"/>
      <c r="B136" s="16"/>
      <c r="C136" s="16"/>
      <c r="D136" s="17"/>
      <c r="E136" s="16"/>
      <c r="F136" s="113"/>
    </row>
    <row r="137" spans="1:9" ht="20">
      <c r="A137" s="15"/>
      <c r="B137" s="14" t="s">
        <v>31</v>
      </c>
      <c r="C137" s="29"/>
      <c r="D137" s="30"/>
      <c r="E137" s="29"/>
      <c r="F137" s="47">
        <f>F118+F135</f>
        <v>228.49501022877678</v>
      </c>
      <c r="H137" s="47">
        <f>SUM(F16:F70)+H114+F115+H116+H117+H135+F8+(H9*D9)+(H10*D10)+(H11*D11)+(H12*D12)+(H13*D13)+(H14*D14)+(H15*D15)</f>
        <v>228.50542324028839</v>
      </c>
      <c r="I137" s="47">
        <f>SUM(F16:F70)+I114+F115+I116+I117+I135+F8+(I9*D9)+(I10*D10)+(I11*D11)+(I12*D12)+(I13*D13)+(I14*D14)+(I15*D15)</f>
        <v>225.6899674427703</v>
      </c>
    </row>
    <row r="138" spans="1:9" ht="21">
      <c r="A138" s="15"/>
      <c r="B138" s="31" t="s">
        <v>32</v>
      </c>
      <c r="C138" s="32"/>
      <c r="D138" s="33"/>
      <c r="E138" s="32"/>
      <c r="F138" s="48">
        <f>F5-F137</f>
        <v>41.504989771223222</v>
      </c>
      <c r="H138" s="250">
        <f>H5-H137</f>
        <v>41.494576759711606</v>
      </c>
      <c r="I138" s="250">
        <f>I5-I137</f>
        <v>44.310032557229704</v>
      </c>
    </row>
  </sheetData>
  <mergeCells count="1">
    <mergeCell ref="B2:F2"/>
  </mergeCells>
  <pageMargins left="0.7" right="0.7" top="0.75" bottom="0.75" header="0.3" footer="0.3"/>
  <pageSetup scale="62" orientation="portrait" horizontalDpi="0" verticalDpi="0"/>
  <ignoredErrors>
    <ignoredError sqref="B135:F138 B114:F114 B90:B113 B116:F116 B115:D115 B127:C134 E127:G134 E121:F123 E124:G124 B121:C124 B84:B89 B125:F126 B62:E62 C14:D14 B118:F120 B117:E117 C13:D13 C9:D9 C10:D10 C11:D11 C12:D12 F14 B61:D61 D4:F4 B5:F7 B3:F3 B4:C4 B8:F8 B71:E71 B63:C63 B64:C64 B65:C65 B66:C66 B67:C67 B68:C68 B69:C69 B70:C70 D63:E70 B2 B73:B83 B72 D72:E72 D90:E113 D84:F89 D73:E83 B57:D57 B56:D56 B55:D55 B54:D54 B51:D51 B50:D50 B49:D49 B48:D48 B47:D47 B46:D46 B45:D45 B44:D44 B43:D43 B42:D42 B40:D40 B39:D39 B38:D38 B37:D37 B36:D36 B35:D35 B34:D34 B33:D33 B31:D31 B30:D30 B29:D29 B28:D28 B27:D27 B26:D26 B25:D25 B24:D24 B23:D23 B22:D22 B21:D21 B60:D60 B16:G20 E60:G60 B32:G32 E21:G21 E22:G22 E23:G23 E24:G24 E25:G25 E26:G26 E27:G27 E28:G28 E29:G29 E30:G30 E31:G31 B41:G41 E33:G33 E34:G34 E35:G35 E36:G36 E37:G37 E38:G38 E39:G39 E40:G40 B52:G53 E42:G42 E43:G43 E44:G44 E45:G45 E46:G46 E47:G47 E48:G48 E49:G49 E50:G50 E51:G51 B58:G59 E54:G54 E55:G55 E56:G56 E57:G57 E115 C15:G15 B9:B15" unlockedFormula="1"/>
    <ignoredError sqref="D127:D134 D121:D124" formula="1" unlockedFormula="1"/>
  </ignoredErrors>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88127-8C33-8841-8DD1-6C9E3AA1723E}">
  <sheetPr codeName="Sheet22">
    <pageSetUpPr fitToPage="1"/>
  </sheetPr>
  <dimension ref="A1:S138"/>
  <sheetViews>
    <sheetView zoomScale="120" zoomScaleNormal="120" workbookViewId="0">
      <selection activeCell="B2" sqref="B2:F2"/>
    </sheetView>
  </sheetViews>
  <sheetFormatPr baseColWidth="10" defaultColWidth="11.5" defaultRowHeight="15"/>
  <cols>
    <col min="1" max="1" width="4.83203125" style="1" customWidth="1"/>
    <col min="2" max="2" width="57.83203125" style="1" customWidth="1"/>
    <col min="3" max="6" width="12.83203125" style="1" customWidth="1"/>
    <col min="7" max="17" width="11.5" style="1" hidden="1" customWidth="1"/>
    <col min="18" max="24" width="11.5" style="1" customWidth="1"/>
    <col min="25" max="16384" width="11.5" style="1"/>
  </cols>
  <sheetData>
    <row r="1" spans="1:19" ht="20">
      <c r="A1" s="352" t="s">
        <v>8</v>
      </c>
      <c r="B1" s="27"/>
      <c r="C1" s="16"/>
      <c r="D1" s="17"/>
      <c r="E1" s="16"/>
      <c r="F1" s="16"/>
    </row>
    <row r="2" spans="1:19" ht="20">
      <c r="A2" s="15"/>
      <c r="B2" s="807" t="str">
        <f>'Prices_Yields&amp;SeedInputs'!B23&amp;", Cash Costs and Returns of Producing, $/acre."</f>
        <v>Spring Lentils, Cash Costs and Returns of Producing, $/acre.</v>
      </c>
      <c r="C2" s="807"/>
      <c r="D2" s="807"/>
      <c r="E2" s="807"/>
      <c r="F2" s="807"/>
    </row>
    <row r="3" spans="1:19" ht="20">
      <c r="A3" s="15"/>
      <c r="B3" s="131" t="s">
        <v>11</v>
      </c>
      <c r="C3" s="24" t="s">
        <v>2</v>
      </c>
      <c r="D3" s="25" t="s">
        <v>12</v>
      </c>
      <c r="E3" s="26" t="s">
        <v>13</v>
      </c>
      <c r="F3" s="26" t="s">
        <v>0</v>
      </c>
      <c r="H3" s="1" t="str">
        <f>'Prices_Yields&amp;SeedInputs'!F3</f>
        <v>Incremental Rotation</v>
      </c>
      <c r="I3" s="1" t="str">
        <f>'Prices_Yields&amp;SeedInputs'!G3</f>
        <v>Aspirational Rotation</v>
      </c>
      <c r="R3" s="674"/>
      <c r="S3" s="674"/>
    </row>
    <row r="4" spans="1:19" ht="20">
      <c r="A4" s="15"/>
      <c r="B4" s="127" t="str">
        <f>'Prices_Yields&amp;SeedInputs'!B23</f>
        <v>Spring Lentils</v>
      </c>
      <c r="C4" s="22" t="str">
        <f>'Prices_Yields&amp;SeedInputs'!C23</f>
        <v>lb</v>
      </c>
      <c r="D4" s="17">
        <f>'Prices_Yields&amp;SeedInputs'!D23</f>
        <v>0.18</v>
      </c>
      <c r="E4" s="90">
        <f>'Prices_Yields&amp;SeedInputs'!E23</f>
        <v>1800</v>
      </c>
      <c r="F4" s="35">
        <f>D4*E4</f>
        <v>324</v>
      </c>
      <c r="R4" s="674"/>
      <c r="S4" s="674"/>
    </row>
    <row r="5" spans="1:19" ht="20">
      <c r="A5" s="15"/>
      <c r="B5" s="14" t="s">
        <v>14</v>
      </c>
      <c r="C5" s="29"/>
      <c r="D5" s="30"/>
      <c r="E5" s="29"/>
      <c r="F5" s="46">
        <f>SUM(F4:F4)</f>
        <v>324</v>
      </c>
      <c r="H5" s="1">
        <f>D4*'Prices_Yields&amp;SeedInputs'!F23</f>
        <v>324</v>
      </c>
      <c r="I5" s="1">
        <f>D4*'Prices_Yields&amp;SeedInputs'!G23</f>
        <v>324</v>
      </c>
      <c r="R5" s="674"/>
      <c r="S5" s="674"/>
    </row>
    <row r="6" spans="1:19" ht="20">
      <c r="A6" s="15"/>
      <c r="B6" s="16"/>
      <c r="C6" s="16"/>
      <c r="D6" s="17"/>
      <c r="E6" s="16"/>
      <c r="F6" s="44"/>
    </row>
    <row r="7" spans="1:19" ht="20">
      <c r="A7" s="15"/>
      <c r="B7" s="132" t="s">
        <v>37</v>
      </c>
      <c r="C7" s="19" t="s">
        <v>2</v>
      </c>
      <c r="D7" s="20" t="s">
        <v>12</v>
      </c>
      <c r="E7" s="21" t="s">
        <v>13</v>
      </c>
      <c r="F7" s="45" t="s">
        <v>0</v>
      </c>
    </row>
    <row r="8" spans="1:19" ht="20">
      <c r="A8" s="15"/>
      <c r="B8" s="272" t="s">
        <v>169</v>
      </c>
      <c r="C8" s="119" t="str">
        <f>'Prices_Yields&amp;SeedInputs'!H23</f>
        <v>pound</v>
      </c>
      <c r="D8" s="120">
        <f>'Prices_Yields&amp;SeedInputs'!I23</f>
        <v>0.39</v>
      </c>
      <c r="E8" s="121">
        <f>'Prices_Yields&amp;SeedInputs'!J23</f>
        <v>45</v>
      </c>
      <c r="F8" s="117">
        <f t="shared" ref="F8:F61" si="0">IF(D8*E8=0,"0",D8*E8)</f>
        <v>17.55</v>
      </c>
    </row>
    <row r="9" spans="1:19" ht="20">
      <c r="A9" s="15"/>
      <c r="B9" s="85" t="str">
        <f>'Chem&amp;FertInputs&amp;CInsurance'!B6</f>
        <v>Fertilizer - Nitrogen-</v>
      </c>
      <c r="C9" s="23" t="str">
        <f>'Chem&amp;FertInputs&amp;CInsurance'!D6</f>
        <v>pound</v>
      </c>
      <c r="D9" s="116">
        <f>'Chem&amp;FertInputs&amp;CInsurance'!E6</f>
        <v>0.48749999999999999</v>
      </c>
      <c r="E9" s="133">
        <f>'Chem&amp;FertInputs&amp;CInsurance'!X6</f>
        <v>0</v>
      </c>
      <c r="F9" s="117" t="str">
        <f t="shared" si="0"/>
        <v>0</v>
      </c>
      <c r="H9" s="1">
        <f>'Chem&amp;FertInputs&amp;CInsurance'!X7</f>
        <v>0</v>
      </c>
      <c r="I9" s="1">
        <f>'Chem&amp;FertInputs&amp;CInsurance'!X8</f>
        <v>0</v>
      </c>
    </row>
    <row r="10" spans="1:19" ht="20">
      <c r="A10" s="15"/>
      <c r="B10" s="85" t="str">
        <f>'Chem&amp;FertInputs&amp;CInsurance'!B9</f>
        <v>Fertilizer - Anhydrous Ammonia-</v>
      </c>
      <c r="C10" s="23" t="str">
        <f>'Chem&amp;FertInputs&amp;CInsurance'!D9</f>
        <v>pound</v>
      </c>
      <c r="D10" s="116">
        <f>'Chem&amp;FertInputs&amp;CInsurance'!E9</f>
        <v>0.75770000000000004</v>
      </c>
      <c r="E10" s="133">
        <f>'Chem&amp;FertInputs&amp;CInsurance'!X9</f>
        <v>0</v>
      </c>
      <c r="F10" s="117" t="str">
        <f t="shared" si="0"/>
        <v>0</v>
      </c>
      <c r="H10" s="1">
        <f>'Chem&amp;FertInputs&amp;CInsurance'!X10</f>
        <v>0</v>
      </c>
      <c r="I10" s="1">
        <f>'Chem&amp;FertInputs&amp;CInsurance'!X11</f>
        <v>0</v>
      </c>
    </row>
    <row r="11" spans="1:19" ht="20">
      <c r="A11" s="15"/>
      <c r="B11" s="85" t="str">
        <f>'Chem&amp;FertInputs&amp;CInsurance'!B12</f>
        <v xml:space="preserve">Fertilizer - Phosphorus- </v>
      </c>
      <c r="C11" s="23" t="str">
        <f>'Chem&amp;FertInputs&amp;CInsurance'!D12</f>
        <v>pound</v>
      </c>
      <c r="D11" s="116">
        <f>'Chem&amp;FertInputs&amp;CInsurance'!E12</f>
        <v>0.47499999999999998</v>
      </c>
      <c r="E11" s="133">
        <f>'Chem&amp;FertInputs&amp;CInsurance'!X12</f>
        <v>0</v>
      </c>
      <c r="F11" s="117" t="str">
        <f t="shared" si="0"/>
        <v>0</v>
      </c>
      <c r="H11" s="1">
        <f>'Chem&amp;FertInputs&amp;CInsurance'!X13</f>
        <v>0</v>
      </c>
      <c r="I11" s="1">
        <f>'Chem&amp;FertInputs&amp;CInsurance'!X14</f>
        <v>0</v>
      </c>
    </row>
    <row r="12" spans="1:19" ht="20">
      <c r="A12" s="15"/>
      <c r="B12" s="85" t="str">
        <f>'Chem&amp;FertInputs&amp;CInsurance'!B15</f>
        <v>Fertilizer - Potassium-</v>
      </c>
      <c r="C12" s="23" t="str">
        <f>'Chem&amp;FertInputs&amp;CInsurance'!D15</f>
        <v>pound</v>
      </c>
      <c r="D12" s="116">
        <f>'Chem&amp;FertInputs&amp;CInsurance'!E15</f>
        <v>0.441</v>
      </c>
      <c r="E12" s="133">
        <f>'Chem&amp;FertInputs&amp;CInsurance'!X15</f>
        <v>0</v>
      </c>
      <c r="F12" s="117" t="str">
        <f t="shared" si="0"/>
        <v>0</v>
      </c>
      <c r="H12" s="1">
        <f>'Chem&amp;FertInputs&amp;CInsurance'!X16</f>
        <v>0</v>
      </c>
      <c r="I12" s="1">
        <f>'Chem&amp;FertInputs&amp;CInsurance'!X17</f>
        <v>0</v>
      </c>
    </row>
    <row r="13" spans="1:19" ht="20">
      <c r="A13" s="15"/>
      <c r="B13" s="85" t="str">
        <f>'Chem&amp;FertInputs&amp;CInsurance'!B18</f>
        <v>Fertilizer - Sulfur-</v>
      </c>
      <c r="C13" s="23" t="str">
        <f>'Chem&amp;FertInputs&amp;CInsurance'!D18</f>
        <v>pound</v>
      </c>
      <c r="D13" s="116">
        <f>'Chem&amp;FertInputs&amp;CInsurance'!E18</f>
        <v>0.2555</v>
      </c>
      <c r="E13" s="133">
        <f>'Chem&amp;FertInputs&amp;CInsurance'!X18</f>
        <v>0</v>
      </c>
      <c r="F13" s="117" t="str">
        <f t="shared" si="0"/>
        <v>0</v>
      </c>
      <c r="H13" s="1">
        <f>'Chem&amp;FertInputs&amp;CInsurance'!X19</f>
        <v>0</v>
      </c>
      <c r="I13" s="1">
        <f>'Chem&amp;FertInputs&amp;CInsurance'!X20</f>
        <v>0</v>
      </c>
    </row>
    <row r="14" spans="1:19" ht="20">
      <c r="A14" s="15"/>
      <c r="B14" s="85" t="str">
        <f>'Chem&amp;FertInputs&amp;CInsurance'!B21</f>
        <v>Adjuvant - Ammonium Sulfate liquid-</v>
      </c>
      <c r="C14" s="23" t="str">
        <f>'Chem&amp;FertInputs&amp;CInsurance'!D21</f>
        <v>oz</v>
      </c>
      <c r="D14" s="116">
        <f>'Chem&amp;FertInputs&amp;CInsurance'!E21</f>
        <v>0.48</v>
      </c>
      <c r="E14" s="133">
        <f>'Chem&amp;FertInputs&amp;CInsurance'!X21</f>
        <v>3.4</v>
      </c>
      <c r="F14" s="117">
        <f t="shared" ref="F14:F20" si="1">IF(D14*E14=0,"0",D14*E14)</f>
        <v>1.6319999999999999</v>
      </c>
      <c r="G14" s="165">
        <f>E14/128</f>
        <v>2.6562499999999999E-2</v>
      </c>
      <c r="H14" s="1">
        <f>'Chem&amp;FertInputs&amp;CInsurance'!X22</f>
        <v>3.4</v>
      </c>
      <c r="I14" s="1">
        <f>'Chem&amp;FertInputs&amp;CInsurance'!X23</f>
        <v>3.4</v>
      </c>
    </row>
    <row r="15" spans="1:19" ht="20">
      <c r="A15" s="15"/>
      <c r="B15" s="85" t="str">
        <f>'Chem&amp;FertInputs&amp;CInsurance'!B24</f>
        <v>Adjuvant - Ammonium Sulfate  (other)-</v>
      </c>
      <c r="C15" s="23" t="str">
        <f>'Chem&amp;FertInputs&amp;CInsurance'!D24</f>
        <v>pound</v>
      </c>
      <c r="D15" s="116">
        <f>'Chem&amp;FertInputs&amp;CInsurance'!E24</f>
        <v>0.71</v>
      </c>
      <c r="E15" s="133">
        <f>'Chem&amp;FertInputs&amp;CInsurance'!X24</f>
        <v>0</v>
      </c>
      <c r="F15" s="117" t="str">
        <f t="shared" si="1"/>
        <v>0</v>
      </c>
      <c r="G15" s="165">
        <f>E15/16</f>
        <v>0</v>
      </c>
      <c r="H15" s="1">
        <f>'Chem&amp;FertInputs&amp;CInsurance'!X25</f>
        <v>0</v>
      </c>
      <c r="I15" s="1">
        <f>'Chem&amp;FertInputs&amp;CInsurance'!X26</f>
        <v>0</v>
      </c>
    </row>
    <row r="16" spans="1:19" ht="20">
      <c r="A16" s="15"/>
      <c r="B16" s="85" t="str">
        <f>'Chem&amp;FertInputs&amp;CInsurance'!C27</f>
        <v xml:space="preserve">crop oil concentrate </v>
      </c>
      <c r="C16" s="23" t="str">
        <f>'Chem&amp;FertInputs&amp;CInsurance'!D27</f>
        <v>pint</v>
      </c>
      <c r="D16" s="116">
        <f>'Chem&amp;FertInputs&amp;CInsurance'!E27</f>
        <v>1.6559999999999999</v>
      </c>
      <c r="E16" s="133">
        <f>'Chem&amp;FertInputs&amp;CInsurance'!X27</f>
        <v>0</v>
      </c>
      <c r="F16" s="117" t="str">
        <f t="shared" si="1"/>
        <v>0</v>
      </c>
      <c r="G16" s="165">
        <f>E16/8</f>
        <v>0</v>
      </c>
    </row>
    <row r="17" spans="1:7" ht="20">
      <c r="A17" s="15"/>
      <c r="B17" s="85" t="str">
        <f>'Chem&amp;FertInputs&amp;CInsurance'!C28</f>
        <v>In-place</v>
      </c>
      <c r="C17" s="23" t="str">
        <f>'Chem&amp;FertInputs&amp;CInsurance'!D28</f>
        <v>oz</v>
      </c>
      <c r="D17" s="116">
        <f>'Chem&amp;FertInputs&amp;CInsurance'!E28</f>
        <v>0.35649999999999998</v>
      </c>
      <c r="E17" s="133">
        <f>'Chem&amp;FertInputs&amp;CInsurance'!X28</f>
        <v>0</v>
      </c>
      <c r="F17" s="117" t="str">
        <f t="shared" si="1"/>
        <v>0</v>
      </c>
      <c r="G17" s="165">
        <f>E17/128</f>
        <v>0</v>
      </c>
    </row>
    <row r="18" spans="1:7" ht="20">
      <c r="A18" s="15"/>
      <c r="B18" s="85" t="str">
        <f>'Chem&amp;FertInputs&amp;CInsurance'!C29</f>
        <v xml:space="preserve">M90 </v>
      </c>
      <c r="C18" s="23" t="str">
        <f>'Chem&amp;FertInputs&amp;CInsurance'!D29</f>
        <v>oz</v>
      </c>
      <c r="D18" s="116">
        <f>'Chem&amp;FertInputs&amp;CInsurance'!E29</f>
        <v>0.253</v>
      </c>
      <c r="E18" s="133">
        <f>'Chem&amp;FertInputs&amp;CInsurance'!X29</f>
        <v>3</v>
      </c>
      <c r="F18" s="117">
        <f t="shared" si="1"/>
        <v>0.75900000000000001</v>
      </c>
      <c r="G18" s="165">
        <f>E18/128</f>
        <v>2.34375E-2</v>
      </c>
    </row>
    <row r="19" spans="1:7" ht="20">
      <c r="A19" s="15"/>
      <c r="B19" s="85" t="str">
        <f>'Chem&amp;FertInputs&amp;CInsurance'!C30</f>
        <v>Surfactant</v>
      </c>
      <c r="C19" s="23" t="str">
        <f>'Chem&amp;FertInputs&amp;CInsurance'!D30</f>
        <v>oz</v>
      </c>
      <c r="D19" s="116">
        <f>'Chem&amp;FertInputs&amp;CInsurance'!E30</f>
        <v>0.26450000000000001</v>
      </c>
      <c r="E19" s="133">
        <f>'Chem&amp;FertInputs&amp;CInsurance'!X30</f>
        <v>0</v>
      </c>
      <c r="F19" s="117" t="str">
        <f t="shared" si="1"/>
        <v>0</v>
      </c>
      <c r="G19" s="165">
        <f>E19/128</f>
        <v>0</v>
      </c>
    </row>
    <row r="20" spans="1:7" ht="20">
      <c r="A20" s="15"/>
      <c r="B20" s="85" t="str">
        <f>'Chem&amp;FertInputs&amp;CInsurance'!C31</f>
        <v>Syltac sticker</v>
      </c>
      <c r="C20" s="23" t="str">
        <f>'Chem&amp;FertInputs&amp;CInsurance'!D31</f>
        <v>pint</v>
      </c>
      <c r="D20" s="116">
        <f>'Chem&amp;FertInputs&amp;CInsurance'!E31</f>
        <v>7.1874999999999991</v>
      </c>
      <c r="E20" s="133">
        <f>'Chem&amp;FertInputs&amp;CInsurance'!X31</f>
        <v>0</v>
      </c>
      <c r="F20" s="117" t="str">
        <f t="shared" si="1"/>
        <v>0</v>
      </c>
      <c r="G20" s="165">
        <f>E20/8</f>
        <v>0</v>
      </c>
    </row>
    <row r="21" spans="1:7" ht="20">
      <c r="A21" s="15"/>
      <c r="B21" s="85" t="str">
        <f>'Chem&amp;FertInputs&amp;CInsurance'!C33</f>
        <v>2,4 - D</v>
      </c>
      <c r="C21" s="23" t="str">
        <f>'Chem&amp;FertInputs&amp;CInsurance'!D33</f>
        <v>oz</v>
      </c>
      <c r="D21" s="116">
        <f>'Chem&amp;FertInputs&amp;CInsurance'!E33</f>
        <v>0.33349999999999996</v>
      </c>
      <c r="E21" s="133">
        <f>'Chem&amp;FertInputs&amp;CInsurance'!X33</f>
        <v>0</v>
      </c>
      <c r="F21" s="117" t="str">
        <f t="shared" si="0"/>
        <v>0</v>
      </c>
      <c r="G21" s="165">
        <f t="shared" ref="G21:G30" si="2">E21/128</f>
        <v>0</v>
      </c>
    </row>
    <row r="22" spans="1:7" ht="20">
      <c r="A22" s="15"/>
      <c r="B22" s="85" t="str">
        <f>'Chem&amp;FertInputs&amp;CInsurance'!C34</f>
        <v>Achieve SC</v>
      </c>
      <c r="C22" s="23" t="str">
        <f>'Chem&amp;FertInputs&amp;CInsurance'!D34</f>
        <v>oz</v>
      </c>
      <c r="D22" s="116">
        <f>'Chem&amp;FertInputs&amp;CInsurance'!E34</f>
        <v>1.3454999999999999</v>
      </c>
      <c r="E22" s="133">
        <f>'Chem&amp;FertInputs&amp;CInsurance'!X34</f>
        <v>0</v>
      </c>
      <c r="F22" s="117" t="str">
        <f t="shared" si="0"/>
        <v>0</v>
      </c>
      <c r="G22" s="165">
        <f t="shared" si="2"/>
        <v>0</v>
      </c>
    </row>
    <row r="23" spans="1:7" ht="20">
      <c r="A23" s="15"/>
      <c r="B23" s="85" t="str">
        <f>'Chem&amp;FertInputs&amp;CInsurance'!C35</f>
        <v>Affintity TankMix</v>
      </c>
      <c r="C23" s="23" t="str">
        <f>'Chem&amp;FertInputs&amp;CInsurance'!D35</f>
        <v>oz</v>
      </c>
      <c r="D23" s="116">
        <f>'Chem&amp;FertInputs&amp;CInsurance'!E35</f>
        <v>8.9699999999999989</v>
      </c>
      <c r="E23" s="133">
        <f>'Chem&amp;FertInputs&amp;CInsurance'!X35</f>
        <v>0</v>
      </c>
      <c r="F23" s="117" t="str">
        <f t="shared" si="0"/>
        <v>0</v>
      </c>
      <c r="G23" s="165">
        <f t="shared" si="2"/>
        <v>0</v>
      </c>
    </row>
    <row r="24" spans="1:7" ht="20">
      <c r="A24" s="15"/>
      <c r="B24" s="85" t="str">
        <f>'Chem&amp;FertInputs&amp;CInsurance'!C36</f>
        <v xml:space="preserve">Ally </v>
      </c>
      <c r="C24" s="23" t="str">
        <f>'Chem&amp;FertInputs&amp;CInsurance'!D36</f>
        <v>oz</v>
      </c>
      <c r="D24" s="116">
        <f>'Chem&amp;FertInputs&amp;CInsurance'!E36</f>
        <v>1.7249999999999999</v>
      </c>
      <c r="E24" s="133">
        <f>'Chem&amp;FertInputs&amp;CInsurance'!X36</f>
        <v>0</v>
      </c>
      <c r="F24" s="117" t="str">
        <f t="shared" si="0"/>
        <v>0</v>
      </c>
      <c r="G24" s="165">
        <f t="shared" si="2"/>
        <v>0</v>
      </c>
    </row>
    <row r="25" spans="1:7" ht="20">
      <c r="A25" s="15"/>
      <c r="B25" s="85" t="str">
        <f>'Chem&amp;FertInputs&amp;CInsurance'!C37</f>
        <v>Assure</v>
      </c>
      <c r="C25" s="23" t="str">
        <f>'Chem&amp;FertInputs&amp;CInsurance'!D37</f>
        <v>oz</v>
      </c>
      <c r="D25" s="116">
        <f>'Chem&amp;FertInputs&amp;CInsurance'!E37</f>
        <v>0.98899999999999988</v>
      </c>
      <c r="E25" s="133">
        <f>'Chem&amp;FertInputs&amp;CInsurance'!X37</f>
        <v>0</v>
      </c>
      <c r="F25" s="117" t="str">
        <f t="shared" si="0"/>
        <v>0</v>
      </c>
      <c r="G25" s="165">
        <f t="shared" si="2"/>
        <v>0</v>
      </c>
    </row>
    <row r="26" spans="1:7" ht="20">
      <c r="A26" s="15"/>
      <c r="B26" s="85" t="str">
        <f>'Chem&amp;FertInputs&amp;CInsurance'!C38</f>
        <v>Axial Star</v>
      </c>
      <c r="C26" s="23" t="str">
        <f>'Chem&amp;FertInputs&amp;CInsurance'!D38</f>
        <v>oz</v>
      </c>
      <c r="D26" s="116">
        <f>'Chem&amp;FertInputs&amp;CInsurance'!E38</f>
        <v>1.3224999999999998</v>
      </c>
      <c r="E26" s="133">
        <f>'Chem&amp;FertInputs&amp;CInsurance'!X38</f>
        <v>0</v>
      </c>
      <c r="F26" s="117" t="str">
        <f t="shared" si="0"/>
        <v>0</v>
      </c>
      <c r="G26" s="165">
        <f t="shared" si="2"/>
        <v>0</v>
      </c>
    </row>
    <row r="27" spans="1:7" ht="20">
      <c r="A27" s="15"/>
      <c r="B27" s="85" t="str">
        <f>'Chem&amp;FertInputs&amp;CInsurance'!C39</f>
        <v>Axial Bold</v>
      </c>
      <c r="C27" s="23" t="str">
        <f>'Chem&amp;FertInputs&amp;CInsurance'!D39</f>
        <v>oz</v>
      </c>
      <c r="D27" s="116">
        <f>'Chem&amp;FertInputs&amp;CInsurance'!E39</f>
        <v>1.0924999999999998</v>
      </c>
      <c r="E27" s="133">
        <f>'Chem&amp;FertInputs&amp;CInsurance'!X39</f>
        <v>0</v>
      </c>
      <c r="F27" s="117" t="str">
        <f t="shared" si="0"/>
        <v>0</v>
      </c>
      <c r="G27" s="165">
        <f t="shared" si="2"/>
        <v>0</v>
      </c>
    </row>
    <row r="28" spans="1:7" ht="20">
      <c r="A28" s="15"/>
      <c r="B28" s="85" t="str">
        <f>'Chem&amp;FertInputs&amp;CInsurance'!C40</f>
        <v>Bronate</v>
      </c>
      <c r="C28" s="23" t="str">
        <f>'Chem&amp;FertInputs&amp;CInsurance'!D40</f>
        <v>oz</v>
      </c>
      <c r="D28" s="116">
        <f>'Chem&amp;FertInputs&amp;CInsurance'!E40</f>
        <v>7.911999999999999</v>
      </c>
      <c r="E28" s="133">
        <f>'Chem&amp;FertInputs&amp;CInsurance'!X40</f>
        <v>0</v>
      </c>
      <c r="F28" s="117" t="str">
        <f t="shared" si="0"/>
        <v>0</v>
      </c>
      <c r="G28" s="165">
        <f t="shared" si="2"/>
        <v>0</v>
      </c>
    </row>
    <row r="29" spans="1:7" ht="20">
      <c r="A29" s="15"/>
      <c r="B29" s="85" t="str">
        <f>'Chem&amp;FertInputs&amp;CInsurance'!C41</f>
        <v xml:space="preserve">Brox M </v>
      </c>
      <c r="C29" s="23" t="str">
        <f>'Chem&amp;FertInputs&amp;CInsurance'!D41</f>
        <v>oz</v>
      </c>
      <c r="D29" s="116">
        <f>'Chem&amp;FertInputs&amp;CInsurance'!E41</f>
        <v>0.42549999999999999</v>
      </c>
      <c r="E29" s="133">
        <f>'Chem&amp;FertInputs&amp;CInsurance'!X41</f>
        <v>0</v>
      </c>
      <c r="F29" s="117" t="str">
        <f t="shared" si="0"/>
        <v>0</v>
      </c>
      <c r="G29" s="165">
        <f t="shared" si="2"/>
        <v>0</v>
      </c>
    </row>
    <row r="30" spans="1:7" ht="20">
      <c r="A30" s="15"/>
      <c r="B30" s="85" t="str">
        <f>'Chem&amp;FertInputs&amp;CInsurance'!C42</f>
        <v>Capture</v>
      </c>
      <c r="C30" s="23" t="str">
        <f>'Chem&amp;FertInputs&amp;CInsurance'!D42</f>
        <v>oz</v>
      </c>
      <c r="D30" s="116">
        <f>'Chem&amp;FertInputs&amp;CInsurance'!E42</f>
        <v>2.7024999999999997</v>
      </c>
      <c r="E30" s="133">
        <f>'Chem&amp;FertInputs&amp;CInsurance'!X42</f>
        <v>0</v>
      </c>
      <c r="F30" s="117" t="str">
        <f t="shared" si="0"/>
        <v>0</v>
      </c>
      <c r="G30" s="165">
        <f t="shared" si="2"/>
        <v>0</v>
      </c>
    </row>
    <row r="31" spans="1:7" ht="20">
      <c r="A31" s="15"/>
      <c r="B31" s="85" t="str">
        <f>'Chem&amp;FertInputs&amp;CInsurance'!C43</f>
        <v xml:space="preserve">Dimethoate </v>
      </c>
      <c r="C31" s="23" t="str">
        <f>'Chem&amp;FertInputs&amp;CInsurance'!D43</f>
        <v>pint</v>
      </c>
      <c r="D31" s="116">
        <f>'Chem&amp;FertInputs&amp;CInsurance'!E43</f>
        <v>7.1874999999999991</v>
      </c>
      <c r="E31" s="133">
        <f>'Chem&amp;FertInputs&amp;CInsurance'!X43</f>
        <v>1</v>
      </c>
      <c r="F31" s="117">
        <f t="shared" si="0"/>
        <v>7.1874999999999991</v>
      </c>
      <c r="G31" s="165">
        <f>E31/8</f>
        <v>0.125</v>
      </c>
    </row>
    <row r="32" spans="1:7" ht="20">
      <c r="A32" s="15"/>
      <c r="B32" s="85" t="str">
        <f>'Chem&amp;FertInputs&amp;CInsurance'!C44</f>
        <v>Clethodim</v>
      </c>
      <c r="C32" s="23" t="str">
        <f>'Chem&amp;FertInputs&amp;CInsurance'!D44</f>
        <v>oz</v>
      </c>
      <c r="D32" s="116">
        <f>'Chem&amp;FertInputs&amp;CInsurance'!E44</f>
        <v>0.75900000000000001</v>
      </c>
      <c r="E32" s="133">
        <f>'Chem&amp;FertInputs&amp;CInsurance'!X44</f>
        <v>4</v>
      </c>
      <c r="F32" s="117">
        <f t="shared" ref="F32" si="3">IF(D32*E32=0,"0",D32*E32)</f>
        <v>3.036</v>
      </c>
      <c r="G32" s="165">
        <f t="shared" ref="G32:G37" si="4">E32/128</f>
        <v>3.125E-2</v>
      </c>
    </row>
    <row r="33" spans="1:7" ht="20">
      <c r="A33" s="15"/>
      <c r="B33" s="85" t="str">
        <f>'Chem&amp;FertInputs&amp;CInsurance'!C45</f>
        <v>Discover</v>
      </c>
      <c r="C33" s="23" t="str">
        <f>'Chem&amp;FertInputs&amp;CInsurance'!D45</f>
        <v>oz</v>
      </c>
      <c r="D33" s="116">
        <f>'Chem&amp;FertInputs&amp;CInsurance'!E45</f>
        <v>1.6904999999999999</v>
      </c>
      <c r="E33" s="133">
        <f>'Chem&amp;FertInputs&amp;CInsurance'!X45</f>
        <v>0</v>
      </c>
      <c r="F33" s="117" t="str">
        <f t="shared" si="0"/>
        <v>0</v>
      </c>
      <c r="G33" s="165">
        <f t="shared" si="4"/>
        <v>0</v>
      </c>
    </row>
    <row r="34" spans="1:7" ht="20">
      <c r="A34" s="15"/>
      <c r="B34" s="85" t="str">
        <f>'Chem&amp;FertInputs&amp;CInsurance'!C46</f>
        <v>FarGO</v>
      </c>
      <c r="C34" s="23" t="str">
        <f>'Chem&amp;FertInputs&amp;CInsurance'!D46</f>
        <v>oz</v>
      </c>
      <c r="D34" s="116">
        <f>'Chem&amp;FertInputs&amp;CInsurance'!E46</f>
        <v>19.158999999999999</v>
      </c>
      <c r="E34" s="133">
        <f>'Chem&amp;FertInputs&amp;CInsurance'!X46</f>
        <v>0</v>
      </c>
      <c r="F34" s="117" t="str">
        <f t="shared" si="0"/>
        <v>0</v>
      </c>
      <c r="G34" s="165">
        <f t="shared" si="4"/>
        <v>0</v>
      </c>
    </row>
    <row r="35" spans="1:7" ht="20">
      <c r="A35" s="15"/>
      <c r="B35" s="85" t="str">
        <f>'Chem&amp;FertInputs&amp;CInsurance'!C47</f>
        <v>Finesse</v>
      </c>
      <c r="C35" s="23" t="str">
        <f>'Chem&amp;FertInputs&amp;CInsurance'!D47</f>
        <v>oz</v>
      </c>
      <c r="D35" s="116">
        <f>'Chem&amp;FertInputs&amp;CInsurance'!E47</f>
        <v>19.940999999999999</v>
      </c>
      <c r="E35" s="133">
        <f>'Chem&amp;FertInputs&amp;CInsurance'!X47</f>
        <v>0</v>
      </c>
      <c r="F35" s="117" t="str">
        <f t="shared" si="0"/>
        <v>0</v>
      </c>
      <c r="G35" s="165">
        <f t="shared" si="4"/>
        <v>0</v>
      </c>
    </row>
    <row r="36" spans="1:7" ht="20">
      <c r="A36" s="15"/>
      <c r="B36" s="85" t="str">
        <f>'Chem&amp;FertInputs&amp;CInsurance'!C48</f>
        <v>Glyphosate</v>
      </c>
      <c r="C36" s="23" t="str">
        <f>'Chem&amp;FertInputs&amp;CInsurance'!D48</f>
        <v>oz</v>
      </c>
      <c r="D36" s="116">
        <f>'Chem&amp;FertInputs&amp;CInsurance'!E48</f>
        <v>0.14949999999999999</v>
      </c>
      <c r="E36" s="133">
        <f>'Chem&amp;FertInputs&amp;CInsurance'!X48</f>
        <v>0</v>
      </c>
      <c r="F36" s="117" t="str">
        <f t="shared" si="0"/>
        <v>0</v>
      </c>
      <c r="G36" s="165">
        <f t="shared" si="4"/>
        <v>0</v>
      </c>
    </row>
    <row r="37" spans="1:7" ht="20">
      <c r="A37" s="15"/>
      <c r="B37" s="85" t="str">
        <f>'Chem&amp;FertInputs&amp;CInsurance'!C49</f>
        <v>Huskie</v>
      </c>
      <c r="C37" s="23" t="str">
        <f>'Chem&amp;FertInputs&amp;CInsurance'!D49</f>
        <v>oz</v>
      </c>
      <c r="D37" s="116">
        <f>'Chem&amp;FertInputs&amp;CInsurance'!E49</f>
        <v>0.88549999999999995</v>
      </c>
      <c r="E37" s="133">
        <f>'Chem&amp;FertInputs&amp;CInsurance'!X49</f>
        <v>0</v>
      </c>
      <c r="F37" s="117" t="str">
        <f t="shared" si="0"/>
        <v>0</v>
      </c>
      <c r="G37" s="165">
        <f t="shared" si="4"/>
        <v>0</v>
      </c>
    </row>
    <row r="38" spans="1:7" ht="20">
      <c r="A38" s="15"/>
      <c r="B38" s="85" t="str">
        <f>'Chem&amp;FertInputs&amp;CInsurance'!C50</f>
        <v>Imidan 70</v>
      </c>
      <c r="C38" s="23" t="str">
        <f>'Chem&amp;FertInputs&amp;CInsurance'!D50</f>
        <v>lb</v>
      </c>
      <c r="D38" s="116">
        <f>'Chem&amp;FertInputs&amp;CInsurance'!E50</f>
        <v>17.295999999999999</v>
      </c>
      <c r="E38" s="133">
        <f>'Chem&amp;FertInputs&amp;CInsurance'!X50</f>
        <v>0</v>
      </c>
      <c r="F38" s="117" t="str">
        <f t="shared" si="0"/>
        <v>0</v>
      </c>
      <c r="G38" s="165">
        <f>E38/16</f>
        <v>0</v>
      </c>
    </row>
    <row r="39" spans="1:7" ht="20">
      <c r="A39" s="15"/>
      <c r="B39" s="85" t="str">
        <f>'Chem&amp;FertInputs&amp;CInsurance'!C51</f>
        <v xml:space="preserve">Maverick </v>
      </c>
      <c r="C39" s="23" t="str">
        <f>'Chem&amp;FertInputs&amp;CInsurance'!D51</f>
        <v>oz</v>
      </c>
      <c r="D39" s="116">
        <f>'Chem&amp;FertInputs&amp;CInsurance'!E51</f>
        <v>23.885499999999997</v>
      </c>
      <c r="E39" s="133">
        <f>'Chem&amp;FertInputs&amp;CInsurance'!X51</f>
        <v>0</v>
      </c>
      <c r="F39" s="117" t="str">
        <f t="shared" si="0"/>
        <v>0</v>
      </c>
      <c r="G39" s="165">
        <f t="shared" ref="G39:G51" si="5">E39/128</f>
        <v>0</v>
      </c>
    </row>
    <row r="40" spans="1:7" ht="20">
      <c r="A40" s="15"/>
      <c r="B40" s="85" t="str">
        <f>'Chem&amp;FertInputs&amp;CInsurance'!C52</f>
        <v>Osprey</v>
      </c>
      <c r="C40" s="23" t="str">
        <f>'Chem&amp;FertInputs&amp;CInsurance'!D52</f>
        <v>oz</v>
      </c>
      <c r="D40" s="116">
        <f>'Chem&amp;FertInputs&amp;CInsurance'!E52</f>
        <v>5.0484999999999989</v>
      </c>
      <c r="E40" s="133">
        <f>'Chem&amp;FertInputs&amp;CInsurance'!X52</f>
        <v>0</v>
      </c>
      <c r="F40" s="117" t="str">
        <f t="shared" si="0"/>
        <v>0</v>
      </c>
      <c r="G40" s="165">
        <f t="shared" si="5"/>
        <v>0</v>
      </c>
    </row>
    <row r="41" spans="1:7" ht="20">
      <c r="A41" s="15"/>
      <c r="B41" s="85" t="str">
        <f>'Chem&amp;FertInputs&amp;CInsurance'!C53</f>
        <v>Poast</v>
      </c>
      <c r="C41" s="23" t="str">
        <f>'Chem&amp;FertInputs&amp;CInsurance'!D53</f>
        <v>oz</v>
      </c>
      <c r="D41" s="116">
        <f>'Chem&amp;FertInputs&amp;CInsurance'!E53</f>
        <v>19.285499999999999</v>
      </c>
      <c r="E41" s="133">
        <f>'Chem&amp;FertInputs&amp;CInsurance'!X53</f>
        <v>0</v>
      </c>
      <c r="F41" s="117" t="str">
        <f t="shared" ref="F41" si="6">IF(D41*E41=0,"0",D41*E41)</f>
        <v>0</v>
      </c>
      <c r="G41" s="165">
        <f t="shared" si="5"/>
        <v>0</v>
      </c>
    </row>
    <row r="42" spans="1:7" ht="20">
      <c r="A42" s="15"/>
      <c r="B42" s="85" t="str">
        <f>'Chem&amp;FertInputs&amp;CInsurance'!C54</f>
        <v>Power Flex</v>
      </c>
      <c r="C42" s="23" t="str">
        <f>'Chem&amp;FertInputs&amp;CInsurance'!D54</f>
        <v>oz</v>
      </c>
      <c r="D42" s="116">
        <f>'Chem&amp;FertInputs&amp;CInsurance'!E54</f>
        <v>8.9124999999999996</v>
      </c>
      <c r="E42" s="133">
        <f>'Chem&amp;FertInputs&amp;CInsurance'!X54</f>
        <v>0</v>
      </c>
      <c r="F42" s="117" t="str">
        <f t="shared" si="0"/>
        <v>0</v>
      </c>
      <c r="G42" s="165">
        <f t="shared" si="5"/>
        <v>0</v>
      </c>
    </row>
    <row r="43" spans="1:7" ht="20">
      <c r="A43" s="15"/>
      <c r="B43" s="85" t="str">
        <f>'Chem&amp;FertInputs&amp;CInsurance'!C55</f>
        <v>Priaxor</v>
      </c>
      <c r="C43" s="23" t="str">
        <f>'Chem&amp;FertInputs&amp;CInsurance'!D55</f>
        <v>oz</v>
      </c>
      <c r="D43" s="116">
        <f>'Chem&amp;FertInputs&amp;CInsurance'!E55</f>
        <v>3.4269999999999996</v>
      </c>
      <c r="E43" s="133">
        <f>'Chem&amp;FertInputs&amp;CInsurance'!X55</f>
        <v>3.2</v>
      </c>
      <c r="F43" s="117">
        <f t="shared" si="0"/>
        <v>10.9664</v>
      </c>
      <c r="G43" s="165">
        <f t="shared" si="5"/>
        <v>2.5000000000000001E-2</v>
      </c>
    </row>
    <row r="44" spans="1:7" ht="20">
      <c r="A44" s="15"/>
      <c r="B44" s="85" t="str">
        <f>'Chem&amp;FertInputs&amp;CInsurance'!C56</f>
        <v>Prowl</v>
      </c>
      <c r="C44" s="23" t="str">
        <f>'Chem&amp;FertInputs&amp;CInsurance'!D56</f>
        <v>oz</v>
      </c>
      <c r="D44" s="116">
        <f>'Chem&amp;FertInputs&amp;CInsurance'!E56</f>
        <v>0.51749999999999996</v>
      </c>
      <c r="E44" s="133">
        <f>'Chem&amp;FertInputs&amp;CInsurance'!X56</f>
        <v>0</v>
      </c>
      <c r="F44" s="117" t="str">
        <f t="shared" si="0"/>
        <v>0</v>
      </c>
      <c r="G44" s="165">
        <f t="shared" si="5"/>
        <v>0</v>
      </c>
    </row>
    <row r="45" spans="1:7" ht="20">
      <c r="A45" s="15"/>
      <c r="B45" s="85" t="str">
        <f>'Chem&amp;FertInputs&amp;CInsurance'!C57</f>
        <v>Pursuit</v>
      </c>
      <c r="C45" s="23" t="str">
        <f>'Chem&amp;FertInputs&amp;CInsurance'!D57</f>
        <v>oz</v>
      </c>
      <c r="D45" s="116">
        <f>'Chem&amp;FertInputs&amp;CInsurance'!E57</f>
        <v>4.0594999999999999</v>
      </c>
      <c r="E45" s="133">
        <f>'Chem&amp;FertInputs&amp;CInsurance'!X57</f>
        <v>0</v>
      </c>
      <c r="F45" s="117" t="str">
        <f t="shared" si="0"/>
        <v>0</v>
      </c>
      <c r="G45" s="165">
        <f t="shared" si="5"/>
        <v>0</v>
      </c>
    </row>
    <row r="46" spans="1:7" ht="20">
      <c r="A46" s="15"/>
      <c r="B46" s="85" t="str">
        <f>'Chem&amp;FertInputs&amp;CInsurance'!C58</f>
        <v xml:space="preserve">Quadris </v>
      </c>
      <c r="C46" s="23" t="str">
        <f>'Chem&amp;FertInputs&amp;CInsurance'!D58</f>
        <v>oz</v>
      </c>
      <c r="D46" s="116">
        <f>'Chem&amp;FertInputs&amp;CInsurance'!E58</f>
        <v>1.127</v>
      </c>
      <c r="E46" s="133">
        <f>'Chem&amp;FertInputs&amp;CInsurance'!X58</f>
        <v>0</v>
      </c>
      <c r="F46" s="117" t="str">
        <f t="shared" si="0"/>
        <v>0</v>
      </c>
      <c r="G46" s="165">
        <f t="shared" si="5"/>
        <v>0</v>
      </c>
    </row>
    <row r="47" spans="1:7" ht="20">
      <c r="A47" s="15"/>
      <c r="B47" s="85" t="str">
        <f>'Chem&amp;FertInputs&amp;CInsurance'!C59</f>
        <v>Quilt</v>
      </c>
      <c r="C47" s="23" t="str">
        <f>'Chem&amp;FertInputs&amp;CInsurance'!D59</f>
        <v>oz</v>
      </c>
      <c r="D47" s="116">
        <f>'Chem&amp;FertInputs&amp;CInsurance'!E59</f>
        <v>1.4834999999999998</v>
      </c>
      <c r="E47" s="133">
        <f>'Chem&amp;FertInputs&amp;CInsurance'!X59</f>
        <v>0</v>
      </c>
      <c r="F47" s="117" t="str">
        <f t="shared" si="0"/>
        <v>0</v>
      </c>
      <c r="G47" s="165">
        <f t="shared" si="5"/>
        <v>0</v>
      </c>
    </row>
    <row r="48" spans="1:7" ht="20">
      <c r="A48" s="15"/>
      <c r="B48" s="85" t="str">
        <f>'Chem&amp;FertInputs&amp;CInsurance'!C60</f>
        <v>R11</v>
      </c>
      <c r="C48" s="23" t="str">
        <f>'Chem&amp;FertInputs&amp;CInsurance'!D60</f>
        <v>oz</v>
      </c>
      <c r="D48" s="116">
        <f>'Chem&amp;FertInputs&amp;CInsurance'!E60</f>
        <v>0.26450000000000001</v>
      </c>
      <c r="E48" s="133">
        <f>'Chem&amp;FertInputs&amp;CInsurance'!X60</f>
        <v>0</v>
      </c>
      <c r="F48" s="117" t="str">
        <f t="shared" si="0"/>
        <v>0</v>
      </c>
      <c r="G48" s="165">
        <f t="shared" si="5"/>
        <v>0</v>
      </c>
    </row>
    <row r="49" spans="1:7" ht="20">
      <c r="A49" s="15"/>
      <c r="B49" s="85" t="str">
        <f>'Chem&amp;FertInputs&amp;CInsurance'!C61</f>
        <v>Starane</v>
      </c>
      <c r="C49" s="23" t="str">
        <f>'Chem&amp;FertInputs&amp;CInsurance'!D61</f>
        <v>oz</v>
      </c>
      <c r="D49" s="116">
        <f>'Chem&amp;FertInputs&amp;CInsurance'!E61</f>
        <v>0.77049999999999996</v>
      </c>
      <c r="E49" s="133">
        <f>'Chem&amp;FertInputs&amp;CInsurance'!X61</f>
        <v>0</v>
      </c>
      <c r="F49" s="117" t="str">
        <f t="shared" si="0"/>
        <v>0</v>
      </c>
      <c r="G49" s="165">
        <f t="shared" si="5"/>
        <v>0</v>
      </c>
    </row>
    <row r="50" spans="1:7" ht="20">
      <c r="A50" s="15"/>
      <c r="B50" s="85" t="str">
        <f>'Chem&amp;FertInputs&amp;CInsurance'!C62</f>
        <v>Starane + Salvo</v>
      </c>
      <c r="C50" s="23" t="str">
        <f>'Chem&amp;FertInputs&amp;CInsurance'!D62</f>
        <v>oz</v>
      </c>
      <c r="D50" s="116">
        <f>'Chem&amp;FertInputs&amp;CInsurance'!E62</f>
        <v>0.77049999999999996</v>
      </c>
      <c r="E50" s="133">
        <f>'Chem&amp;FertInputs&amp;CInsurance'!X62</f>
        <v>0</v>
      </c>
      <c r="F50" s="117" t="str">
        <f t="shared" si="0"/>
        <v>0</v>
      </c>
      <c r="G50" s="165">
        <f t="shared" si="5"/>
        <v>0</v>
      </c>
    </row>
    <row r="51" spans="1:7" ht="20">
      <c r="A51" s="15"/>
      <c r="B51" s="85" t="str">
        <f>'Chem&amp;FertInputs&amp;CInsurance'!C63</f>
        <v xml:space="preserve">Starane + Sword </v>
      </c>
      <c r="C51" s="23" t="str">
        <f>'Chem&amp;FertInputs&amp;CInsurance'!D63</f>
        <v>oz</v>
      </c>
      <c r="D51" s="116">
        <f>'Chem&amp;FertInputs&amp;CInsurance'!E63</f>
        <v>0.77049999999999996</v>
      </c>
      <c r="E51" s="133">
        <f>'Chem&amp;FertInputs&amp;CInsurance'!X63</f>
        <v>0</v>
      </c>
      <c r="F51" s="117" t="str">
        <f t="shared" si="0"/>
        <v>0</v>
      </c>
      <c r="G51" s="165">
        <f t="shared" si="5"/>
        <v>0</v>
      </c>
    </row>
    <row r="52" spans="1:7" ht="20">
      <c r="A52" s="15"/>
      <c r="B52" s="85" t="str">
        <f>'Chem&amp;FertInputs&amp;CInsurance'!C64</f>
        <v xml:space="preserve"> Tilt</v>
      </c>
      <c r="C52" s="23" t="str">
        <f>'Chem&amp;FertInputs&amp;CInsurance'!D64</f>
        <v>oz</v>
      </c>
      <c r="D52" s="116">
        <f>'Chem&amp;FertInputs&amp;CInsurance'!E64</f>
        <v>0.88549999999999995</v>
      </c>
      <c r="E52" s="133">
        <f>'Chem&amp;FertInputs&amp;CInsurance'!X64</f>
        <v>0</v>
      </c>
      <c r="F52" s="117" t="str">
        <f t="shared" ref="F52:F53" si="7">IF(D52*E52=0,"0",D52*E52)</f>
        <v>0</v>
      </c>
      <c r="G52" s="165">
        <f t="shared" ref="G52:G53" si="8">E52/128</f>
        <v>0</v>
      </c>
    </row>
    <row r="53" spans="1:7" ht="20">
      <c r="A53" s="15"/>
      <c r="B53" s="85" t="str">
        <f>'Chem&amp;FertInputs&amp;CInsurance'!C65</f>
        <v xml:space="preserve">Wildcard </v>
      </c>
      <c r="C53" s="23" t="str">
        <f>'Chem&amp;FertInputs&amp;CInsurance'!D65</f>
        <v>oz</v>
      </c>
      <c r="D53" s="116">
        <f>'Chem&amp;FertInputs&amp;CInsurance'!E65</f>
        <v>0.35649999999999998</v>
      </c>
      <c r="E53" s="133">
        <f>'Chem&amp;FertInputs&amp;CInsurance'!X65</f>
        <v>0</v>
      </c>
      <c r="F53" s="117" t="str">
        <f t="shared" si="7"/>
        <v>0</v>
      </c>
      <c r="G53" s="165">
        <f t="shared" si="8"/>
        <v>0</v>
      </c>
    </row>
    <row r="54" spans="1:7" ht="20">
      <c r="A54" s="15"/>
      <c r="B54" s="85" t="str">
        <f>'Chem&amp;FertInputs&amp;CInsurance'!C66</f>
        <v>Sharpen</v>
      </c>
      <c r="C54" s="23" t="str">
        <f>'Chem&amp;FertInputs&amp;CInsurance'!D66</f>
        <v>oz</v>
      </c>
      <c r="D54" s="116">
        <f>'Chem&amp;FertInputs&amp;CInsurance'!E66</f>
        <v>6.3134999999999994</v>
      </c>
      <c r="E54" s="133">
        <f>'Chem&amp;FertInputs&amp;CInsurance'!X66</f>
        <v>0</v>
      </c>
      <c r="F54" s="117" t="str">
        <f t="shared" si="0"/>
        <v>0</v>
      </c>
      <c r="G54" s="165">
        <f>E54/128</f>
        <v>0</v>
      </c>
    </row>
    <row r="55" spans="1:7" ht="20">
      <c r="A55" s="15"/>
      <c r="B55" s="85" t="str">
        <f>'Chem&amp;FertInputs&amp;CInsurance'!C67</f>
        <v>Sencor</v>
      </c>
      <c r="C55" s="23" t="str">
        <f>'Chem&amp;FertInputs&amp;CInsurance'!D67</f>
        <v>oz</v>
      </c>
      <c r="D55" s="116">
        <f>'Chem&amp;FertInputs&amp;CInsurance'!E67</f>
        <v>0.45999999999999996</v>
      </c>
      <c r="E55" s="133">
        <f>'Chem&amp;FertInputs&amp;CInsurance'!X67</f>
        <v>4</v>
      </c>
      <c r="F55" s="117">
        <f t="shared" si="0"/>
        <v>1.8399999999999999</v>
      </c>
      <c r="G55" s="165">
        <f>E55/128</f>
        <v>3.125E-2</v>
      </c>
    </row>
    <row r="56" spans="1:7" ht="20">
      <c r="A56" s="15"/>
      <c r="B56" s="85" t="str">
        <f>'Chem&amp;FertInputs&amp;CInsurance'!C68</f>
        <v>Warrior</v>
      </c>
      <c r="C56" s="23" t="str">
        <f>'Chem&amp;FertInputs&amp;CInsurance'!D68</f>
        <v>acre</v>
      </c>
      <c r="D56" s="116">
        <f>'Chem&amp;FertInputs&amp;CInsurance'!E68</f>
        <v>3.4499999999999997</v>
      </c>
      <c r="E56" s="133">
        <f>'Chem&amp;FertInputs&amp;CInsurance'!X68</f>
        <v>0</v>
      </c>
      <c r="F56" s="117" t="str">
        <f t="shared" si="0"/>
        <v>0</v>
      </c>
      <c r="G56" s="165">
        <f>E56/128</f>
        <v>0</v>
      </c>
    </row>
    <row r="57" spans="1:7" ht="20">
      <c r="A57" s="15"/>
      <c r="B57" s="85" t="str">
        <f>'Chem&amp;FertInputs&amp;CInsurance'!C69</f>
        <v xml:space="preserve"> Lorox</v>
      </c>
      <c r="C57" s="23" t="str">
        <f>'Chem&amp;FertInputs&amp;CInsurance'!D69</f>
        <v>lb</v>
      </c>
      <c r="D57" s="116">
        <f>'Chem&amp;FertInputs&amp;CInsurance'!E69</f>
        <v>26.565000000000001</v>
      </c>
      <c r="E57" s="133">
        <f>'Chem&amp;FertInputs&amp;CInsurance'!X69</f>
        <v>1.25</v>
      </c>
      <c r="F57" s="117">
        <f t="shared" si="0"/>
        <v>33.206250000000004</v>
      </c>
      <c r="G57" s="165">
        <f>E57/128</f>
        <v>9.765625E-3</v>
      </c>
    </row>
    <row r="58" spans="1:7" ht="20">
      <c r="A58" s="15"/>
      <c r="B58" s="85" t="str">
        <f>'Chem&amp;FertInputs&amp;CInsurance'!C70</f>
        <v xml:space="preserve"> Valor</v>
      </c>
      <c r="C58" s="23" t="str">
        <f>'Chem&amp;FertInputs&amp;CInsurance'!D70</f>
        <v>oz</v>
      </c>
      <c r="D58" s="116">
        <f>'Chem&amp;FertInputs&amp;CInsurance'!E70</f>
        <v>6.6124999999999998</v>
      </c>
      <c r="E58" s="133">
        <f>'Chem&amp;FertInputs&amp;CInsurance'!X70</f>
        <v>0</v>
      </c>
      <c r="F58" s="117" t="str">
        <f t="shared" ref="F58:F59" si="9">IF(D58*E58=0,"0",D58*E58)</f>
        <v>0</v>
      </c>
      <c r="G58" s="165">
        <f t="shared" ref="G58:G59" si="10">E58/128</f>
        <v>0</v>
      </c>
    </row>
    <row r="59" spans="1:7" ht="20">
      <c r="A59" s="15"/>
      <c r="B59" s="85" t="str">
        <f>'Chem&amp;FertInputs&amp;CInsurance'!C71</f>
        <v xml:space="preserve"> Diagon</v>
      </c>
      <c r="C59" s="23" t="str">
        <f>'Chem&amp;FertInputs&amp;CInsurance'!D71</f>
        <v>oz</v>
      </c>
      <c r="D59" s="116">
        <f>'Chem&amp;FertInputs&amp;CInsurance'!E71</f>
        <v>0.43699999999999994</v>
      </c>
      <c r="E59" s="133">
        <f>'Chem&amp;FertInputs&amp;CInsurance'!X71</f>
        <v>0</v>
      </c>
      <c r="F59" s="117" t="str">
        <f t="shared" si="9"/>
        <v>0</v>
      </c>
      <c r="G59" s="165">
        <f t="shared" si="10"/>
        <v>0</v>
      </c>
    </row>
    <row r="60" spans="1:7" ht="20">
      <c r="A60" s="15"/>
      <c r="B60" s="85" t="str">
        <f>'Chem&amp;FertInputs&amp;CInsurance'!C72</f>
        <v xml:space="preserve">Spartan </v>
      </c>
      <c r="C60" s="23" t="str">
        <f>'Chem&amp;FertInputs&amp;CInsurance'!D72</f>
        <v>oz</v>
      </c>
      <c r="D60" s="116">
        <f>'Chem&amp;FertInputs&amp;CInsurance'!E72</f>
        <v>2.0469999999999997</v>
      </c>
      <c r="E60" s="133">
        <f>'Chem&amp;FertInputs&amp;CInsurance'!X72</f>
        <v>0</v>
      </c>
      <c r="F60" s="117" t="str">
        <f t="shared" si="0"/>
        <v>0</v>
      </c>
      <c r="G60" s="165">
        <f>E60/128</f>
        <v>0</v>
      </c>
    </row>
    <row r="61" spans="1:7" ht="23">
      <c r="A61" s="15"/>
      <c r="B61" s="85" t="str">
        <f>'Chem&amp;FertInputs&amp;CInsurance'!C32</f>
        <v xml:space="preserve">Round Up </v>
      </c>
      <c r="C61" s="23" t="str">
        <f>'Chem&amp;FertInputs&amp;CInsurance'!D32</f>
        <v>oz</v>
      </c>
      <c r="D61" s="116">
        <f>'Chem&amp;FertInputs&amp;CInsurance'!E32</f>
        <v>0.14949999999999999</v>
      </c>
      <c r="E61" s="133">
        <f>'Chem&amp;FertInputs&amp;CInsurance'!X32</f>
        <v>36</v>
      </c>
      <c r="F61" s="117">
        <f t="shared" si="0"/>
        <v>5.3819999999999997</v>
      </c>
      <c r="G61" s="225">
        <f>E61/128</f>
        <v>0.28125</v>
      </c>
    </row>
    <row r="62" spans="1:7" ht="20">
      <c r="A62" s="15"/>
      <c r="B62" s="139" t="s">
        <v>86</v>
      </c>
      <c r="C62" s="23"/>
      <c r="D62" s="116"/>
      <c r="E62" s="133"/>
      <c r="F62" s="117"/>
      <c r="G62" s="165">
        <f>SUM(G14:G61)</f>
        <v>0.55351562499999996</v>
      </c>
    </row>
    <row r="63" spans="1:7" ht="20">
      <c r="A63" s="15"/>
      <c r="B63" s="125" t="str">
        <f>CustomRates!B5</f>
        <v>Aerial (Custom)</v>
      </c>
      <c r="C63" s="41" t="str">
        <f>CustomRates!C5</f>
        <v>acre</v>
      </c>
      <c r="D63" s="116">
        <f>CustomRates!V5</f>
        <v>8.9499999999999993</v>
      </c>
      <c r="E63" s="87">
        <f>CustomRates!V6</f>
        <v>1</v>
      </c>
      <c r="F63" s="117">
        <f t="shared" ref="F63:F70" si="11">IF(D63*E63=0,"0",D63*E63)</f>
        <v>8.9499999999999993</v>
      </c>
    </row>
    <row r="64" spans="1:7" ht="20">
      <c r="A64" s="15"/>
      <c r="B64" s="125" t="str">
        <f>CustomRates!B7</f>
        <v>Sprayer (Rental 90')</v>
      </c>
      <c r="C64" s="41" t="str">
        <f>CustomRates!C7</f>
        <v>acre</v>
      </c>
      <c r="D64" s="116">
        <f>CustomRates!V7</f>
        <v>8</v>
      </c>
      <c r="E64" s="87">
        <f>CustomRates!V8</f>
        <v>0</v>
      </c>
      <c r="F64" s="117" t="str">
        <f t="shared" si="11"/>
        <v>0</v>
      </c>
    </row>
    <row r="65" spans="1:9" ht="20">
      <c r="A65" s="15"/>
      <c r="B65" s="125" t="str">
        <f>CustomRates!B9</f>
        <v>Fertilizer - Anhydrous Applicator (Rent)</v>
      </c>
      <c r="C65" s="41" t="str">
        <f>CustomRates!C9</f>
        <v>acre</v>
      </c>
      <c r="D65" s="116">
        <f>CustomRates!V9</f>
        <v>7</v>
      </c>
      <c r="E65" s="87">
        <f>CustomRates!V10</f>
        <v>0</v>
      </c>
      <c r="F65" s="117" t="str">
        <f t="shared" si="11"/>
        <v>0</v>
      </c>
    </row>
    <row r="66" spans="1:9" ht="20">
      <c r="A66" s="15"/>
      <c r="B66" s="125" t="str">
        <f>CustomRates!B11</f>
        <v>Fertilizer Applicator</v>
      </c>
      <c r="C66" s="41" t="str">
        <f>CustomRates!C11</f>
        <v>acre</v>
      </c>
      <c r="D66" s="116">
        <f>CustomRates!V11</f>
        <v>2</v>
      </c>
      <c r="E66" s="87">
        <f>CustomRates!V12</f>
        <v>0</v>
      </c>
      <c r="F66" s="117" t="str">
        <f t="shared" si="11"/>
        <v>0</v>
      </c>
    </row>
    <row r="67" spans="1:9" ht="20">
      <c r="A67" s="15"/>
      <c r="B67" s="125" t="str">
        <f>CustomRates!B13</f>
        <v>26' Rental Shredder</v>
      </c>
      <c r="C67" s="41" t="str">
        <f>CustomRates!C13</f>
        <v>acre</v>
      </c>
      <c r="D67" s="116">
        <f>CustomRates!V13</f>
        <v>10</v>
      </c>
      <c r="E67" s="87">
        <f>CustomRates!V14</f>
        <v>0</v>
      </c>
      <c r="F67" s="117" t="str">
        <f t="shared" si="11"/>
        <v>0</v>
      </c>
    </row>
    <row r="68" spans="1:9" ht="20">
      <c r="A68" s="15"/>
      <c r="B68" s="125" t="str">
        <f>CustomRates!B15</f>
        <v>36' Ripper Shooter</v>
      </c>
      <c r="C68" s="41" t="str">
        <f>CustomRates!C15</f>
        <v>acre</v>
      </c>
      <c r="D68" s="116">
        <f>CustomRates!V15</f>
        <v>2.5</v>
      </c>
      <c r="E68" s="87">
        <f>CustomRates!V16</f>
        <v>0</v>
      </c>
      <c r="F68" s="117" t="str">
        <f t="shared" si="11"/>
        <v>0</v>
      </c>
    </row>
    <row r="69" spans="1:9" ht="20">
      <c r="A69" s="15"/>
      <c r="B69" s="125" t="str">
        <f>CustomRates!B17</f>
        <v>Custom self-propelled sprayer</v>
      </c>
      <c r="C69" s="41" t="str">
        <f>CustomRates!C17</f>
        <v>acre</v>
      </c>
      <c r="D69" s="116">
        <f>CustomRates!V17</f>
        <v>8</v>
      </c>
      <c r="E69" s="87">
        <f>CustomRates!V18</f>
        <v>0</v>
      </c>
      <c r="F69" s="117" t="str">
        <f t="shared" si="11"/>
        <v>0</v>
      </c>
    </row>
    <row r="70" spans="1:9" ht="20">
      <c r="A70" s="15"/>
      <c r="B70" s="125" t="str">
        <f>CustomRates!B19</f>
        <v>Additional Operation #8 (Custom)</v>
      </c>
      <c r="C70" s="41" t="str">
        <f>CustomRates!C19</f>
        <v>acre</v>
      </c>
      <c r="D70" s="116">
        <f>CustomRates!V19</f>
        <v>0</v>
      </c>
      <c r="E70" s="87">
        <f>CustomRates!V20</f>
        <v>0</v>
      </c>
      <c r="F70" s="117" t="str">
        <f t="shared" si="11"/>
        <v>0</v>
      </c>
    </row>
    <row r="71" spans="1:9" ht="20">
      <c r="A71" s="15"/>
      <c r="B71" s="139" t="s">
        <v>87</v>
      </c>
      <c r="C71" s="41"/>
      <c r="D71" s="116"/>
      <c r="E71" s="116"/>
      <c r="F71" s="117"/>
      <c r="H71" s="1" t="s">
        <v>204</v>
      </c>
      <c r="I71" s="1" t="s">
        <v>135</v>
      </c>
    </row>
    <row r="72" spans="1:9" ht="20">
      <c r="A72" s="15"/>
      <c r="B72" s="85" t="str">
        <f>MachineAssumptions!B7&amp;" - Labor"</f>
        <v>Shredder - Labor</v>
      </c>
      <c r="C72" s="41" t="s">
        <v>246</v>
      </c>
      <c r="D72" s="116">
        <f>MachineAssumptions!$R$7</f>
        <v>1.4996591683708247</v>
      </c>
      <c r="E72" s="87">
        <f>FieldApplications!$U$6</f>
        <v>0</v>
      </c>
      <c r="F72" s="117" t="str">
        <f t="shared" ref="F72:F113" si="12">IF(D72*E72=0,"0",D72*E72)</f>
        <v>0</v>
      </c>
      <c r="H72" s="246">
        <f>MachineAssumptions!$R$28*E72</f>
        <v>0</v>
      </c>
      <c r="I72" s="166">
        <f>MachineAssumptions!$R$48*E72</f>
        <v>0</v>
      </c>
    </row>
    <row r="73" spans="1:9" ht="20">
      <c r="A73" s="15"/>
      <c r="B73" s="85" t="str">
        <f>MachineAssumptions!B7&amp;" - Fuel, Lube"</f>
        <v>Shredder - Fuel, Lube</v>
      </c>
      <c r="C73" s="41" t="s">
        <v>246</v>
      </c>
      <c r="D73" s="116">
        <f>MachineAssumptions!$S$7</f>
        <v>5.7486934787548281</v>
      </c>
      <c r="E73" s="87">
        <f>FieldApplications!$U$6</f>
        <v>0</v>
      </c>
      <c r="F73" s="117" t="str">
        <f t="shared" si="12"/>
        <v>0</v>
      </c>
      <c r="H73" s="246">
        <f>MachineAssumptions!$S$28*E73</f>
        <v>0</v>
      </c>
      <c r="I73" s="166">
        <f>MachineAssumptions!$S$48*E73</f>
        <v>0</v>
      </c>
    </row>
    <row r="74" spans="1:9" ht="20">
      <c r="A74" s="15"/>
      <c r="B74" s="85" t="str">
        <f>MachineAssumptions!B7&amp;" - Repairs"</f>
        <v>Shredder - Repairs</v>
      </c>
      <c r="C74" s="41" t="s">
        <v>246</v>
      </c>
      <c r="D74" s="116">
        <f>MachineAssumptions!$T$7</f>
        <v>0.46726721181997538</v>
      </c>
      <c r="E74" s="87">
        <f>FieldApplications!$U$6</f>
        <v>0</v>
      </c>
      <c r="F74" s="117" t="str">
        <f t="shared" si="12"/>
        <v>0</v>
      </c>
      <c r="H74" s="246">
        <f>MachineAssumptions!$T$28*E74</f>
        <v>0</v>
      </c>
      <c r="I74" s="166">
        <f>MachineAssumptions!$T$48*E74</f>
        <v>0</v>
      </c>
    </row>
    <row r="75" spans="1:9" ht="20">
      <c r="A75" s="15"/>
      <c r="B75" s="85" t="str">
        <f>MachineAssumptions!B8&amp;" - Labor"</f>
        <v>Harrow - Labor</v>
      </c>
      <c r="C75" s="41" t="s">
        <v>246</v>
      </c>
      <c r="D75" s="116">
        <f>MachineAssumptions!$R$8</f>
        <v>0.59412746734753996</v>
      </c>
      <c r="E75" s="87">
        <f>FieldApplications!$U$7</f>
        <v>0</v>
      </c>
      <c r="F75" s="117" t="str">
        <f t="shared" si="12"/>
        <v>0</v>
      </c>
      <c r="H75" s="246">
        <f>MachineAssumptions!$R$29*E75</f>
        <v>0</v>
      </c>
      <c r="I75" s="166">
        <f>MachineAssumptions!$R$49*E75</f>
        <v>0</v>
      </c>
    </row>
    <row r="76" spans="1:9" ht="20">
      <c r="A76" s="15"/>
      <c r="B76" s="85" t="str">
        <f>MachineAssumptions!B8&amp;" - Fuel, Lube"</f>
        <v>Harrow - Fuel, Lube</v>
      </c>
      <c r="C76" s="41" t="s">
        <v>246</v>
      </c>
      <c r="D76" s="116">
        <f>MachineAssumptions!$S$8</f>
        <v>2.4845330452715308</v>
      </c>
      <c r="E76" s="87">
        <f>FieldApplications!$U$7</f>
        <v>0</v>
      </c>
      <c r="F76" s="117" t="str">
        <f t="shared" si="12"/>
        <v>0</v>
      </c>
      <c r="H76" s="246">
        <f>MachineAssumptions!$S$29*E76</f>
        <v>0</v>
      </c>
      <c r="I76" s="166">
        <f>MachineAssumptions!$S$49*E76</f>
        <v>0</v>
      </c>
    </row>
    <row r="77" spans="1:9" ht="20">
      <c r="A77" s="15"/>
      <c r="B77" s="85" t="str">
        <f>MachineAssumptions!B8&amp;" - Repairs"</f>
        <v>Harrow - Repairs</v>
      </c>
      <c r="C77" s="41" t="s">
        <v>246</v>
      </c>
      <c r="D77" s="116">
        <f>MachineAssumptions!$T$8</f>
        <v>0.14755184964846621</v>
      </c>
      <c r="E77" s="87">
        <f>FieldApplications!$U$7</f>
        <v>0</v>
      </c>
      <c r="F77" s="117" t="str">
        <f t="shared" si="12"/>
        <v>0</v>
      </c>
      <c r="H77" s="246">
        <f>MachineAssumptions!$T$29*E77</f>
        <v>0</v>
      </c>
      <c r="I77" s="166">
        <f>MachineAssumptions!$T$49*E77</f>
        <v>0</v>
      </c>
    </row>
    <row r="78" spans="1:9" ht="20">
      <c r="A78" s="15"/>
      <c r="B78" s="85" t="str">
        <f>MachineAssumptions!B9&amp;" - Labor"</f>
        <v>Chisel plow - Labor</v>
      </c>
      <c r="C78" s="41" t="s">
        <v>246</v>
      </c>
      <c r="D78" s="116">
        <f>MachineAssumptions!$R$9</f>
        <v>0</v>
      </c>
      <c r="E78" s="87">
        <f>FieldApplications!$U$8</f>
        <v>0</v>
      </c>
      <c r="F78" s="117" t="str">
        <f t="shared" si="12"/>
        <v>0</v>
      </c>
      <c r="H78" s="246">
        <f>MachineAssumptions!$R$30*E78</f>
        <v>0</v>
      </c>
      <c r="I78" s="166">
        <f>MachineAssumptions!$R$50*E78</f>
        <v>0</v>
      </c>
    </row>
    <row r="79" spans="1:9" ht="20">
      <c r="A79" s="15"/>
      <c r="B79" s="85" t="str">
        <f>MachineAssumptions!B9&amp;" - Fuel, Lube"</f>
        <v>Chisel plow - Fuel, Lube</v>
      </c>
      <c r="C79" s="41" t="s">
        <v>246</v>
      </c>
      <c r="D79" s="116">
        <f>MachineAssumptions!$S$9</f>
        <v>0</v>
      </c>
      <c r="E79" s="87">
        <f>FieldApplications!$U$8</f>
        <v>0</v>
      </c>
      <c r="F79" s="117" t="str">
        <f t="shared" si="12"/>
        <v>0</v>
      </c>
      <c r="H79" s="246">
        <f>MachineAssumptions!$R$30*E79</f>
        <v>0</v>
      </c>
      <c r="I79" s="166">
        <f>MachineAssumptions!$S$50*E79</f>
        <v>0</v>
      </c>
    </row>
    <row r="80" spans="1:9" ht="20">
      <c r="A80" s="15"/>
      <c r="B80" s="85" t="str">
        <f>MachineAssumptions!B9&amp;" - Repairs"</f>
        <v>Chisel plow - Repairs</v>
      </c>
      <c r="C80" s="41" t="s">
        <v>246</v>
      </c>
      <c r="D80" s="116">
        <f>MachineAssumptions!$T$9</f>
        <v>0</v>
      </c>
      <c r="E80" s="87">
        <f>FieldApplications!$U$8</f>
        <v>0</v>
      </c>
      <c r="F80" s="117" t="str">
        <f t="shared" si="12"/>
        <v>0</v>
      </c>
      <c r="H80" s="246">
        <f>MachineAssumptions!$T$30*E80</f>
        <v>0</v>
      </c>
      <c r="I80" s="166">
        <f>MachineAssumptions!$T$50*E80</f>
        <v>0</v>
      </c>
    </row>
    <row r="81" spans="1:9" ht="20">
      <c r="A81" s="15"/>
      <c r="B81" s="85" t="str">
        <f>MachineAssumptions!B10&amp;" - Labor"</f>
        <v>Moldboard plow - Labor</v>
      </c>
      <c r="C81" s="41" t="s">
        <v>246</v>
      </c>
      <c r="D81" s="116">
        <f>MachineAssumptions!$R$10</f>
        <v>0</v>
      </c>
      <c r="E81" s="87">
        <f>FieldApplications!$U$9</f>
        <v>0</v>
      </c>
      <c r="F81" s="117" t="str">
        <f t="shared" si="12"/>
        <v>0</v>
      </c>
      <c r="H81" s="246">
        <f>MachineAssumptions!$R$31*E81</f>
        <v>0</v>
      </c>
      <c r="I81" s="166">
        <f>MachineAssumptions!$R$51*E81</f>
        <v>0</v>
      </c>
    </row>
    <row r="82" spans="1:9" ht="20">
      <c r="A82" s="15"/>
      <c r="B82" s="85" t="str">
        <f>MachineAssumptions!B10&amp;" - Fuel, Lube"</f>
        <v>Moldboard plow - Fuel, Lube</v>
      </c>
      <c r="C82" s="41" t="s">
        <v>246</v>
      </c>
      <c r="D82" s="116">
        <f>MachineAssumptions!$S$10</f>
        <v>0</v>
      </c>
      <c r="E82" s="87">
        <f>FieldApplications!$U$9</f>
        <v>0</v>
      </c>
      <c r="F82" s="117" t="str">
        <f t="shared" si="12"/>
        <v>0</v>
      </c>
      <c r="H82" s="246">
        <f>MachineAssumptions!$S$31*E82</f>
        <v>0</v>
      </c>
      <c r="I82" s="166">
        <f>MachineAssumptions!$S$51*E82</f>
        <v>0</v>
      </c>
    </row>
    <row r="83" spans="1:9" ht="20">
      <c r="A83" s="15"/>
      <c r="B83" s="85" t="str">
        <f>MachineAssumptions!B10&amp;" - Repairs"</f>
        <v>Moldboard plow - Repairs</v>
      </c>
      <c r="C83" s="41" t="s">
        <v>246</v>
      </c>
      <c r="D83" s="116">
        <f>MachineAssumptions!$T$10</f>
        <v>0</v>
      </c>
      <c r="E83" s="87">
        <f>FieldApplications!$U$9</f>
        <v>0</v>
      </c>
      <c r="F83" s="117" t="str">
        <f t="shared" si="12"/>
        <v>0</v>
      </c>
      <c r="H83" s="246">
        <f>MachineAssumptions!$T$31*E83</f>
        <v>0</v>
      </c>
      <c r="I83" s="166">
        <f>MachineAssumptions!$T$51*E83</f>
        <v>0</v>
      </c>
    </row>
    <row r="84" spans="1:9" ht="20">
      <c r="A84" s="15"/>
      <c r="B84" s="85" t="str">
        <f>MachineAssumptions!B11&amp;" - Labor"</f>
        <v>Cultivator - Labor</v>
      </c>
      <c r="C84" s="41" t="s">
        <v>246</v>
      </c>
      <c r="D84" s="116">
        <f>MachineAssumptions!$R$11</f>
        <v>0</v>
      </c>
      <c r="E84" s="87">
        <f>FieldApplications!$U$10</f>
        <v>0</v>
      </c>
      <c r="F84" s="117" t="str">
        <f t="shared" si="12"/>
        <v>0</v>
      </c>
      <c r="H84" s="246">
        <f>MachineAssumptions!$R$32*E84</f>
        <v>0</v>
      </c>
      <c r="I84" s="166">
        <f>MachineAssumptions!$R$52*E84</f>
        <v>0</v>
      </c>
    </row>
    <row r="85" spans="1:9" ht="20">
      <c r="A85" s="15"/>
      <c r="B85" s="85" t="str">
        <f>MachineAssumptions!B11&amp;" - Fuel, Lube"</f>
        <v>Cultivator - Fuel, Lube</v>
      </c>
      <c r="C85" s="41" t="s">
        <v>246</v>
      </c>
      <c r="D85" s="116">
        <f>MachineAssumptions!$S$11</f>
        <v>0</v>
      </c>
      <c r="E85" s="87">
        <f>FieldApplications!$U$10</f>
        <v>0</v>
      </c>
      <c r="F85" s="117" t="str">
        <f t="shared" si="12"/>
        <v>0</v>
      </c>
      <c r="H85" s="246">
        <f>MachineAssumptions!$S$32*E85</f>
        <v>0</v>
      </c>
      <c r="I85" s="166">
        <f>MachineAssumptions!$S$52*E85</f>
        <v>0</v>
      </c>
    </row>
    <row r="86" spans="1:9" ht="20">
      <c r="A86" s="15"/>
      <c r="B86" s="85" t="str">
        <f>MachineAssumptions!B11&amp;" - Repairs"</f>
        <v>Cultivator - Repairs</v>
      </c>
      <c r="C86" s="41" t="s">
        <v>246</v>
      </c>
      <c r="D86" s="116">
        <f>MachineAssumptions!$T$11</f>
        <v>0</v>
      </c>
      <c r="E86" s="87">
        <f>FieldApplications!$U$10</f>
        <v>0</v>
      </c>
      <c r="F86" s="117" t="str">
        <f t="shared" si="12"/>
        <v>0</v>
      </c>
      <c r="H86" s="246">
        <f>MachineAssumptions!$T$32*E86</f>
        <v>0</v>
      </c>
      <c r="I86" s="166">
        <f>MachineAssumptions!$T$52*E86</f>
        <v>0</v>
      </c>
    </row>
    <row r="87" spans="1:9" ht="20">
      <c r="A87" s="15"/>
      <c r="B87" s="85" t="str">
        <f>MachineAssumptions!B12&amp;" - Labor"</f>
        <v>Cultiweeder - Labor</v>
      </c>
      <c r="C87" s="41" t="s">
        <v>246</v>
      </c>
      <c r="D87" s="116">
        <f>MachineAssumptions!$R$12</f>
        <v>0</v>
      </c>
      <c r="E87" s="87">
        <f>FieldApplications!$U$11</f>
        <v>0</v>
      </c>
      <c r="F87" s="117" t="str">
        <f t="shared" si="12"/>
        <v>0</v>
      </c>
      <c r="H87" s="246">
        <f>MachineAssumptions!$R$33*E87</f>
        <v>0</v>
      </c>
      <c r="I87" s="166">
        <f>MachineAssumptions!$R$53*E87</f>
        <v>0</v>
      </c>
    </row>
    <row r="88" spans="1:9" ht="20">
      <c r="A88" s="15"/>
      <c r="B88" s="85" t="str">
        <f>MachineAssumptions!B12&amp;" - Fuel, Lube"</f>
        <v>Cultiweeder - Fuel, Lube</v>
      </c>
      <c r="C88" s="41" t="s">
        <v>246</v>
      </c>
      <c r="D88" s="116">
        <f>MachineAssumptions!$S$12</f>
        <v>0</v>
      </c>
      <c r="E88" s="87">
        <f>FieldApplications!$U$11</f>
        <v>0</v>
      </c>
      <c r="F88" s="117" t="str">
        <f t="shared" si="12"/>
        <v>0</v>
      </c>
      <c r="H88" s="246">
        <f>MachineAssumptions!$S$33*E88</f>
        <v>0</v>
      </c>
      <c r="I88" s="166">
        <f>MachineAssumptions!$S$53*E88</f>
        <v>0</v>
      </c>
    </row>
    <row r="89" spans="1:9" ht="20">
      <c r="A89" s="15"/>
      <c r="B89" s="85" t="str">
        <f>MachineAssumptions!B12&amp;" - Repairs"</f>
        <v>Cultiweeder - Repairs</v>
      </c>
      <c r="C89" s="41" t="s">
        <v>246</v>
      </c>
      <c r="D89" s="116">
        <f>MachineAssumptions!$T$12</f>
        <v>0</v>
      </c>
      <c r="E89" s="87">
        <f>FieldApplications!$U$11</f>
        <v>0</v>
      </c>
      <c r="F89" s="117" t="str">
        <f t="shared" si="12"/>
        <v>0</v>
      </c>
      <c r="H89" s="246">
        <f>MachineAssumptions!$T$33*E89</f>
        <v>0</v>
      </c>
      <c r="I89" s="166">
        <f>MachineAssumptions!$T$53*E89</f>
        <v>0</v>
      </c>
    </row>
    <row r="90" spans="1:9" ht="20">
      <c r="A90" s="15"/>
      <c r="B90" s="85" t="str">
        <f>MachineAssumptions!B13&amp;" - Labor"</f>
        <v>Drill - Labor</v>
      </c>
      <c r="C90" s="41" t="s">
        <v>246</v>
      </c>
      <c r="D90" s="116">
        <f>MachineAssumptions!$R$13</f>
        <v>1.6703109815354713</v>
      </c>
      <c r="E90" s="87">
        <f>FieldApplications!$U$12</f>
        <v>1</v>
      </c>
      <c r="F90" s="117">
        <f t="shared" si="12"/>
        <v>1.6703109815354713</v>
      </c>
      <c r="H90" s="246">
        <f>MachineAssumptions!$R$34*E90</f>
        <v>1.6703109815354713</v>
      </c>
      <c r="I90" s="166">
        <f>MachineAssumptions!$R$54*E90</f>
        <v>1.6703109815354713</v>
      </c>
    </row>
    <row r="91" spans="1:9" ht="20">
      <c r="A91" s="15"/>
      <c r="B91" s="85" t="str">
        <f>MachineAssumptions!B13&amp;" - Fuel, Lube"</f>
        <v>Drill - Fuel, Lube</v>
      </c>
      <c r="C91" s="41" t="s">
        <v>246</v>
      </c>
      <c r="D91" s="116">
        <f>MachineAssumptions!$S$13</f>
        <v>6.146744412050535</v>
      </c>
      <c r="E91" s="87">
        <f>FieldApplications!$U$12</f>
        <v>1</v>
      </c>
      <c r="F91" s="117">
        <f t="shared" si="12"/>
        <v>6.146744412050535</v>
      </c>
      <c r="H91" s="246">
        <f>MachineAssumptions!$S$34*E91</f>
        <v>6.146744412050535</v>
      </c>
      <c r="I91" s="166">
        <f>MachineAssumptions!$S$54*E91</f>
        <v>6.146744412050535</v>
      </c>
    </row>
    <row r="92" spans="1:9" ht="20">
      <c r="A92" s="15"/>
      <c r="B92" s="85" t="str">
        <f>MachineAssumptions!B13&amp;" - Repairs"</f>
        <v>Drill - Repairs</v>
      </c>
      <c r="C92" s="41" t="s">
        <v>246</v>
      </c>
      <c r="D92" s="116">
        <f>MachineAssumptions!$T$13</f>
        <v>5.740409656342587</v>
      </c>
      <c r="E92" s="87">
        <f>FieldApplications!$U$12</f>
        <v>1</v>
      </c>
      <c r="F92" s="117">
        <f t="shared" si="12"/>
        <v>5.740409656342587</v>
      </c>
      <c r="H92" s="246">
        <f>MachineAssumptions!$T$34*E92</f>
        <v>5.740409656342587</v>
      </c>
      <c r="I92" s="166">
        <f>MachineAssumptions!$T$54*E92</f>
        <v>5.740409656342587</v>
      </c>
    </row>
    <row r="93" spans="1:9" ht="20">
      <c r="A93" s="15"/>
      <c r="B93" s="85" t="str">
        <f>MachineAssumptions!B14&amp;" - Labor"</f>
        <v>Combine w/ 36' header - Labor</v>
      </c>
      <c r="C93" s="41" t="s">
        <v>246</v>
      </c>
      <c r="D93" s="116">
        <f>MachineAssumptions!$R$14</f>
        <v>1.9161092530657748</v>
      </c>
      <c r="E93" s="87">
        <f>FieldApplications!$U$13</f>
        <v>1</v>
      </c>
      <c r="F93" s="117">
        <f t="shared" si="12"/>
        <v>1.9161092530657748</v>
      </c>
      <c r="H93" s="246">
        <f>MachineAssumptions!$R$35*E93</f>
        <v>1.9161092530657748</v>
      </c>
      <c r="I93" s="166">
        <f>MachineAssumptions!$R$55*E93</f>
        <v>1.9161092530657748</v>
      </c>
    </row>
    <row r="94" spans="1:9" ht="20">
      <c r="A94" s="15"/>
      <c r="B94" s="85" t="str">
        <f>MachineAssumptions!B14&amp;" - Fuel, Lube"</f>
        <v>Combine w/ 36' header - Fuel, Lube</v>
      </c>
      <c r="C94" s="41" t="s">
        <v>246</v>
      </c>
      <c r="D94" s="116">
        <f>MachineAssumptions!$S$14</f>
        <v>7.0512820512820511</v>
      </c>
      <c r="E94" s="87">
        <f>FieldApplications!$U$13</f>
        <v>1</v>
      </c>
      <c r="F94" s="117">
        <f t="shared" si="12"/>
        <v>7.0512820512820511</v>
      </c>
      <c r="H94" s="246">
        <f>MachineAssumptions!$S$35*E94</f>
        <v>7.0512820512820511</v>
      </c>
      <c r="I94" s="166">
        <f>MachineAssumptions!$S$55*E94</f>
        <v>7.0512820512820511</v>
      </c>
    </row>
    <row r="95" spans="1:9" ht="20">
      <c r="A95" s="15"/>
      <c r="B95" s="85" t="str">
        <f>MachineAssumptions!B14&amp;" - Repairs"</f>
        <v>Combine w/ 36' header - Repairs</v>
      </c>
      <c r="C95" s="41" t="s">
        <v>246</v>
      </c>
      <c r="D95" s="116">
        <f>MachineAssumptions!$T$14</f>
        <v>6.4258281801385913</v>
      </c>
      <c r="E95" s="87">
        <f>FieldApplications!$U$13</f>
        <v>1</v>
      </c>
      <c r="F95" s="117">
        <f t="shared" si="12"/>
        <v>6.4258281801385913</v>
      </c>
      <c r="H95" s="246">
        <f>MachineAssumptions!$T$35*E95</f>
        <v>6.4258281801385913</v>
      </c>
      <c r="I95" s="166">
        <f>MachineAssumptions!$T$55*E95</f>
        <v>4.0416300769413871</v>
      </c>
    </row>
    <row r="96" spans="1:9" ht="20">
      <c r="A96" s="15"/>
      <c r="B96" s="85" t="str">
        <f>MachineAssumptions!B16&amp;" - Labor"</f>
        <v>Fertilizer Spreader - Labor</v>
      </c>
      <c r="C96" s="41" t="s">
        <v>246</v>
      </c>
      <c r="D96" s="116">
        <f>MachineAssumptions!$R$16</f>
        <v>0</v>
      </c>
      <c r="E96" s="87">
        <f>FieldApplications!$U$14</f>
        <v>0</v>
      </c>
      <c r="F96" s="117" t="str">
        <f t="shared" si="12"/>
        <v>0</v>
      </c>
      <c r="H96" s="246">
        <f>MachineAssumptions!$R$36*E96</f>
        <v>0</v>
      </c>
      <c r="I96" s="166">
        <f>MachineAssumptions!$R$56*E96</f>
        <v>0</v>
      </c>
    </row>
    <row r="97" spans="1:9" ht="20">
      <c r="A97" s="15"/>
      <c r="B97" s="85" t="str">
        <f>MachineAssumptions!B16&amp;" - Fuel, Lube"</f>
        <v>Fertilizer Spreader - Fuel, Lube</v>
      </c>
      <c r="C97" s="41" t="s">
        <v>246</v>
      </c>
      <c r="D97" s="116">
        <f>MachineAssumptions!$S$16</f>
        <v>0</v>
      </c>
      <c r="E97" s="87">
        <f>FieldApplications!$U$14</f>
        <v>0</v>
      </c>
      <c r="F97" s="117" t="str">
        <f t="shared" si="12"/>
        <v>0</v>
      </c>
      <c r="H97" s="246">
        <f>MachineAssumptions!$S$36*E97</f>
        <v>0</v>
      </c>
      <c r="I97" s="166">
        <f>MachineAssumptions!$S$56*E97</f>
        <v>0</v>
      </c>
    </row>
    <row r="98" spans="1:9" ht="20">
      <c r="A98" s="15"/>
      <c r="B98" s="85" t="str">
        <f>MachineAssumptions!B16&amp;" - Repairs"</f>
        <v>Fertilizer Spreader - Repairs</v>
      </c>
      <c r="C98" s="41" t="s">
        <v>246</v>
      </c>
      <c r="D98" s="116">
        <f>MachineAssumptions!$T$16</f>
        <v>0</v>
      </c>
      <c r="E98" s="87">
        <f>FieldApplications!$U$14</f>
        <v>0</v>
      </c>
      <c r="F98" s="117" t="str">
        <f t="shared" si="12"/>
        <v>0</v>
      </c>
      <c r="H98" s="246">
        <f>MachineAssumptions!$T$36*E98</f>
        <v>0</v>
      </c>
      <c r="I98" s="166">
        <f>MachineAssumptions!$T$56*E98</f>
        <v>0</v>
      </c>
    </row>
    <row r="99" spans="1:9" ht="20">
      <c r="A99" s="15"/>
      <c r="B99" s="85" t="str">
        <f>MachineAssumptions!B17&amp;" - Labor"</f>
        <v>Fertilizer tanks and pump - Labor</v>
      </c>
      <c r="C99" s="41" t="s">
        <v>246</v>
      </c>
      <c r="D99" s="116">
        <f>MachineAssumptions!$R$17</f>
        <v>2.2448979591836737</v>
      </c>
      <c r="E99" s="87">
        <f>FieldApplications!$U$15</f>
        <v>1</v>
      </c>
      <c r="F99" s="117">
        <f t="shared" si="12"/>
        <v>2.2448979591836737</v>
      </c>
      <c r="H99" s="246">
        <f>MachineAssumptions!$R$37*E99</f>
        <v>2.2448979591836737</v>
      </c>
      <c r="I99" s="166">
        <f>MachineAssumptions!$R$57*E99</f>
        <v>2.2448979591836737</v>
      </c>
    </row>
    <row r="100" spans="1:9" ht="20">
      <c r="A100" s="15"/>
      <c r="B100" s="85" t="str">
        <f>MachineAssumptions!B17&amp;" - Fuel, Lube"</f>
        <v>Fertilizer tanks and pump - Fuel, Lube</v>
      </c>
      <c r="C100" s="41" t="s">
        <v>246</v>
      </c>
      <c r="D100" s="116">
        <f>MachineAssumptions!$S$17</f>
        <v>9.387755102040817</v>
      </c>
      <c r="E100" s="87">
        <f>FieldApplications!$U$15</f>
        <v>1</v>
      </c>
      <c r="F100" s="117">
        <f t="shared" si="12"/>
        <v>9.387755102040817</v>
      </c>
      <c r="H100" s="246">
        <f>MachineAssumptions!$S$37*E100</f>
        <v>9.387755102040817</v>
      </c>
      <c r="I100" s="166">
        <f>MachineAssumptions!$S$57*E100</f>
        <v>9.387755102040817</v>
      </c>
    </row>
    <row r="101" spans="1:9" ht="20">
      <c r="A101" s="15"/>
      <c r="B101" s="85" t="str">
        <f>MachineAssumptions!B17&amp;" - Repairs"</f>
        <v>Fertilizer tanks and pump - Repairs</v>
      </c>
      <c r="C101" s="41" t="s">
        <v>246</v>
      </c>
      <c r="D101" s="116">
        <f>MachineAssumptions!$T$17</f>
        <v>0</v>
      </c>
      <c r="E101" s="87">
        <f>FieldApplications!$U$15</f>
        <v>1</v>
      </c>
      <c r="F101" s="117" t="str">
        <f t="shared" si="12"/>
        <v>0</v>
      </c>
      <c r="H101" s="246">
        <f>MachineAssumptions!$T$37*E101</f>
        <v>0</v>
      </c>
      <c r="I101" s="166">
        <f>MachineAssumptions!$T$57*E101</f>
        <v>0</v>
      </c>
    </row>
    <row r="102" spans="1:9" ht="20">
      <c r="A102" s="15"/>
      <c r="B102" s="85" t="str">
        <f>MachineAssumptions!B18&amp;" - Labor"</f>
        <v>Boom sprayer - Labor</v>
      </c>
      <c r="C102" s="41" t="s">
        <v>246</v>
      </c>
      <c r="D102" s="116">
        <f>MachineAssumptions!$R$18</f>
        <v>0.4708120318630365</v>
      </c>
      <c r="E102" s="87">
        <f>FieldApplications!$U$16</f>
        <v>2</v>
      </c>
      <c r="F102" s="117">
        <f t="shared" si="12"/>
        <v>0.94162406372607299</v>
      </c>
      <c r="H102" s="246">
        <f>MachineAssumptions!$R$38*E102</f>
        <v>0.94162406372607299</v>
      </c>
      <c r="I102" s="166">
        <f>MachineAssumptions!$R$58*E102</f>
        <v>0.94162406372607299</v>
      </c>
    </row>
    <row r="103" spans="1:9" ht="20">
      <c r="A103" s="15"/>
      <c r="B103" s="85" t="str">
        <f>MachineAssumptions!B18&amp;" - Fuel, Lube"</f>
        <v>Boom sprayer - Fuel, Lube</v>
      </c>
      <c r="C103" s="41" t="s">
        <v>246</v>
      </c>
      <c r="D103" s="116">
        <f>MachineAssumptions!$S$18</f>
        <v>1.8047794554749732</v>
      </c>
      <c r="E103" s="87">
        <f>FieldApplications!$U$16</f>
        <v>2</v>
      </c>
      <c r="F103" s="117">
        <f t="shared" si="12"/>
        <v>3.6095589109499464</v>
      </c>
      <c r="H103" s="246">
        <f>MachineAssumptions!$S$38*E103</f>
        <v>3.6095589109499464</v>
      </c>
      <c r="I103" s="166">
        <f>MachineAssumptions!$S$58*E103</f>
        <v>3.6095589109499464</v>
      </c>
    </row>
    <row r="104" spans="1:9" ht="20">
      <c r="A104" s="15"/>
      <c r="B104" s="85" t="str">
        <f>MachineAssumptions!B18&amp;" - Repairs"</f>
        <v>Boom sprayer - Repairs</v>
      </c>
      <c r="C104" s="41" t="s">
        <v>246</v>
      </c>
      <c r="D104" s="116">
        <f>MachineAssumptions!$T$18</f>
        <v>0.49795949063219769</v>
      </c>
      <c r="E104" s="87">
        <f>FieldApplications!$U$16</f>
        <v>2</v>
      </c>
      <c r="F104" s="117">
        <f t="shared" si="12"/>
        <v>0.99591898126439538</v>
      </c>
      <c r="H104" s="246">
        <f>MachineAssumptions!$T$38*E104</f>
        <v>1.0056003712769741</v>
      </c>
      <c r="I104" s="166">
        <f>MachineAssumptions!$T$58*E104</f>
        <v>0.9021656572032456</v>
      </c>
    </row>
    <row r="105" spans="1:9" ht="20">
      <c r="A105" s="15"/>
      <c r="B105" s="85" t="str">
        <f>MachineAssumptions!B15&amp;" - Labor"</f>
        <v>Bankout Wagon - Labor</v>
      </c>
      <c r="C105" s="41" t="s">
        <v>246</v>
      </c>
      <c r="D105" s="116">
        <f>MachineAssumptions!$R$15</f>
        <v>1.6861761426978819</v>
      </c>
      <c r="E105" s="87">
        <f t="shared" ref="E105:E113" si="13">IF($E$93&gt;0,1,0)</f>
        <v>1</v>
      </c>
      <c r="F105" s="117">
        <f t="shared" si="12"/>
        <v>1.6861761426978819</v>
      </c>
      <c r="H105" s="246">
        <f>MachineAssumptions!$R$39*E105</f>
        <v>1.6861761426978819</v>
      </c>
      <c r="I105" s="166">
        <f>MachineAssumptions!$R$59*E105</f>
        <v>1.6861761426978819</v>
      </c>
    </row>
    <row r="106" spans="1:9" ht="20">
      <c r="A106" s="15"/>
      <c r="B106" s="85" t="str">
        <f>MachineAssumptions!B15&amp;" - Fuel, Lube"</f>
        <v>Bankout Wagon - Fuel, Lube</v>
      </c>
      <c r="C106" s="41" t="s">
        <v>246</v>
      </c>
      <c r="D106" s="116">
        <f>MachineAssumptions!$S$15</f>
        <v>7.0512820512820511</v>
      </c>
      <c r="E106" s="87">
        <f t="shared" si="13"/>
        <v>1</v>
      </c>
      <c r="F106" s="117">
        <f t="shared" si="12"/>
        <v>7.0512820512820511</v>
      </c>
      <c r="H106" s="246">
        <f>MachineAssumptions!$S$39*E106</f>
        <v>7.0512820512820511</v>
      </c>
      <c r="I106" s="166">
        <f>MachineAssumptions!$S$59*E106</f>
        <v>7.0512820512820511</v>
      </c>
    </row>
    <row r="107" spans="1:9" ht="20">
      <c r="A107" s="15"/>
      <c r="B107" s="85" t="str">
        <f>MachineAssumptions!B15&amp;" - Repairs"</f>
        <v>Bankout Wagon - Repairs</v>
      </c>
      <c r="C107" s="41" t="s">
        <v>246</v>
      </c>
      <c r="D107" s="116">
        <f>MachineAssumptions!$T$15</f>
        <v>0.5058930256896228</v>
      </c>
      <c r="E107" s="87">
        <f t="shared" si="13"/>
        <v>1</v>
      </c>
      <c r="F107" s="117">
        <f t="shared" si="12"/>
        <v>0.5058930256896228</v>
      </c>
      <c r="H107" s="246">
        <f>MachineAssumptions!$T$39*E107</f>
        <v>0.5058930256896228</v>
      </c>
      <c r="I107" s="166">
        <f>MachineAssumptions!$T$59*E107</f>
        <v>0.43525361955195507</v>
      </c>
    </row>
    <row r="108" spans="1:9" ht="20">
      <c r="A108" s="15"/>
      <c r="B108" s="85" t="str">
        <f>MachineAssumptions!B19&amp;" - Labor"</f>
        <v>Tandem Axle Truck  - Labor</v>
      </c>
      <c r="C108" s="41" t="s">
        <v>246</v>
      </c>
      <c r="D108" s="116">
        <f>MachineAssumptions!$R$19</f>
        <v>3.6</v>
      </c>
      <c r="E108" s="87">
        <f t="shared" si="13"/>
        <v>1</v>
      </c>
      <c r="F108" s="117">
        <f t="shared" si="12"/>
        <v>3.6</v>
      </c>
      <c r="H108" s="246">
        <f>MachineAssumptions!$R$40*E108</f>
        <v>3.6</v>
      </c>
      <c r="I108" s="166">
        <f>MachineAssumptions!$R$60*E108</f>
        <v>3.6</v>
      </c>
    </row>
    <row r="109" spans="1:9" ht="20">
      <c r="A109" s="15"/>
      <c r="B109" s="85" t="str">
        <f>MachineAssumptions!B19&amp;" - Fuel, Lube"</f>
        <v>Tandem Axle Truck  - Fuel, Lube</v>
      </c>
      <c r="C109" s="41" t="s">
        <v>246</v>
      </c>
      <c r="D109" s="116">
        <f>MachineAssumptions!$S$19</f>
        <v>1.1499999999999999</v>
      </c>
      <c r="E109" s="87">
        <f t="shared" si="13"/>
        <v>1</v>
      </c>
      <c r="F109" s="117">
        <f t="shared" si="12"/>
        <v>1.1499999999999999</v>
      </c>
      <c r="H109" s="246">
        <f>MachineAssumptions!$S$40*E109</f>
        <v>1.1499999999999999</v>
      </c>
      <c r="I109" s="166">
        <f>MachineAssumptions!$S$60*E109</f>
        <v>1.1499999999999999</v>
      </c>
    </row>
    <row r="110" spans="1:9" ht="20">
      <c r="A110" s="15"/>
      <c r="B110" s="85" t="str">
        <f>MachineAssumptions!B19&amp;" - Repairs"</f>
        <v>Tandem Axle Truck  - Repairs</v>
      </c>
      <c r="C110" s="41" t="s">
        <v>246</v>
      </c>
      <c r="D110" s="116">
        <f>MachineAssumptions!$T$19</f>
        <v>0.8</v>
      </c>
      <c r="E110" s="87">
        <f t="shared" si="13"/>
        <v>1</v>
      </c>
      <c r="F110" s="117">
        <f t="shared" si="12"/>
        <v>0.8</v>
      </c>
      <c r="H110" s="246">
        <f>MachineAssumptions!$T$40*E110</f>
        <v>0.8</v>
      </c>
      <c r="I110" s="166">
        <f>MachineAssumptions!$T$60*E110</f>
        <v>0.8</v>
      </c>
    </row>
    <row r="111" spans="1:9" ht="20">
      <c r="A111" s="15"/>
      <c r="B111" s="85" t="str">
        <f>MachineAssumptions!B20&amp;" - Labor"</f>
        <v>Tandem Axle Truck  - Labor</v>
      </c>
      <c r="C111" s="41" t="s">
        <v>246</v>
      </c>
      <c r="D111" s="116">
        <f>MachineAssumptions!$R$20</f>
        <v>3.6</v>
      </c>
      <c r="E111" s="87">
        <f t="shared" si="13"/>
        <v>1</v>
      </c>
      <c r="F111" s="117">
        <f t="shared" si="12"/>
        <v>3.6</v>
      </c>
      <c r="H111" s="416">
        <f>MachineAssumptions!$R$41*E111</f>
        <v>3.6</v>
      </c>
      <c r="I111" s="369">
        <f>MachineAssumptions!$R$61*E111</f>
        <v>3.6</v>
      </c>
    </row>
    <row r="112" spans="1:9" ht="20">
      <c r="A112" s="15"/>
      <c r="B112" s="85" t="str">
        <f>MachineAssumptions!B20&amp;" - Fuel, Lube"</f>
        <v>Tandem Axle Truck  - Fuel, Lube</v>
      </c>
      <c r="C112" s="41" t="s">
        <v>246</v>
      </c>
      <c r="D112" s="116">
        <f>MachineAssumptions!$S$20</f>
        <v>1.72</v>
      </c>
      <c r="E112" s="87">
        <f t="shared" si="13"/>
        <v>1</v>
      </c>
      <c r="F112" s="117">
        <f t="shared" si="12"/>
        <v>1.72</v>
      </c>
      <c r="H112" s="416">
        <f>MachineAssumptions!$S$41*E112</f>
        <v>1.72</v>
      </c>
      <c r="I112" s="369">
        <f>MachineAssumptions!$S$61*E112</f>
        <v>1.72</v>
      </c>
    </row>
    <row r="113" spans="1:13" ht="23">
      <c r="A113" s="15"/>
      <c r="B113" s="85" t="str">
        <f>MachineAssumptions!B20&amp;" - Repairs"</f>
        <v>Tandem Axle Truck  - Repairs</v>
      </c>
      <c r="C113" s="41" t="s">
        <v>246</v>
      </c>
      <c r="D113" s="116">
        <f>MachineAssumptions!$T$20</f>
        <v>0.8</v>
      </c>
      <c r="E113" s="87">
        <f t="shared" si="13"/>
        <v>1</v>
      </c>
      <c r="F113" s="117">
        <f t="shared" si="12"/>
        <v>0.8</v>
      </c>
      <c r="H113" s="248">
        <f>MachineAssumptions!$T$41*E113</f>
        <v>0.8</v>
      </c>
      <c r="I113" s="247">
        <f>MachineAssumptions!$T$61*E113</f>
        <v>0.8</v>
      </c>
    </row>
    <row r="114" spans="1:13" ht="21">
      <c r="A114" s="15"/>
      <c r="B114" s="139" t="s">
        <v>88</v>
      </c>
      <c r="C114" s="41"/>
      <c r="D114" s="116"/>
      <c r="E114" s="87"/>
      <c r="F114" s="117"/>
      <c r="H114" s="249">
        <f>SUM(H74:H113)</f>
        <v>67.05347216126205</v>
      </c>
      <c r="I114" s="249">
        <f>SUM(I74:I113)</f>
        <v>64.495199937853457</v>
      </c>
    </row>
    <row r="115" spans="1:13" ht="20">
      <c r="A115" s="15"/>
      <c r="B115" s="85" t="str">
        <f>'Chem&amp;FertInputs&amp;CInsurance'!B73</f>
        <v>Crop Insurance</v>
      </c>
      <c r="C115" s="23" t="str">
        <f>'Chem&amp;FertInputs&amp;CInsurance'!D73</f>
        <v>acre</v>
      </c>
      <c r="D115" s="116">
        <f>'Chem&amp;FertInputs&amp;CInsurance'!X73</f>
        <v>18</v>
      </c>
      <c r="E115" s="87">
        <v>1</v>
      </c>
      <c r="F115" s="117">
        <f>IF(D115*E115=0,"0",D115*E115)</f>
        <v>18</v>
      </c>
      <c r="H115" s="1" t="s">
        <v>181</v>
      </c>
      <c r="I115" s="1" t="s">
        <v>181</v>
      </c>
    </row>
    <row r="116" spans="1:13" ht="20">
      <c r="A116" s="15"/>
      <c r="B116" s="85" t="s">
        <v>72</v>
      </c>
      <c r="C116" s="41" t="s">
        <v>83</v>
      </c>
      <c r="D116" s="111">
        <f>MachineAssumptions!D25</f>
        <v>0.05</v>
      </c>
      <c r="E116" s="87"/>
      <c r="F116" s="86">
        <f>SUM(F8:F115)*D116</f>
        <v>8.7776470385624759</v>
      </c>
      <c r="G116" s="1" t="s">
        <v>111</v>
      </c>
      <c r="H116" s="49">
        <f>(SUM($F8:$F70)+$F115+SUM(H72:H113))*$D116</f>
        <v>8.7781311080631053</v>
      </c>
      <c r="I116" s="49">
        <f>(SUM($F8:$F70)+$F115+SUM(I72:I113))*$D116</f>
        <v>8.6502174968926742</v>
      </c>
      <c r="J116" s="49">
        <f>F72+F75+F78+F81+F84+F87+F90+F93+F96+F99+F102+F105+F108+F111</f>
        <v>15.659118400208875</v>
      </c>
      <c r="K116" s="1" t="s">
        <v>111</v>
      </c>
    </row>
    <row r="117" spans="1:13" ht="20">
      <c r="A117" s="15"/>
      <c r="B117" s="85" t="s">
        <v>84</v>
      </c>
      <c r="C117" s="41" t="s">
        <v>83</v>
      </c>
      <c r="D117" s="111">
        <f>MachineAssumptions!D26</f>
        <v>6.7500000000000004E-2</v>
      </c>
      <c r="E117" s="112"/>
      <c r="F117" s="140">
        <f>SUM(F8:F116)*(D117/12*MachineAssumptions!D27)</f>
        <v>9.3317360078717329</v>
      </c>
      <c r="G117" s="1" t="s">
        <v>4</v>
      </c>
      <c r="H117" s="49">
        <f>(SUM(F8:F70)+(F115+F116+H114))*((D117/12)*MachineAssumptions!D27)</f>
        <v>9.3322261282411176</v>
      </c>
      <c r="I117" s="49">
        <f>(SUM(F8:F70)+(F115+F116+I114))*((D117/12)*MachineAssumptions!D27)</f>
        <v>9.2027135969310567</v>
      </c>
      <c r="J117" s="49">
        <f>F73+F76+F79+F82+F85+F88+F91+F94+F97+F100+F103+F106+F109+F112</f>
        <v>36.116622527605394</v>
      </c>
      <c r="K117" s="1" t="s">
        <v>4</v>
      </c>
    </row>
    <row r="118" spans="1:13" ht="20">
      <c r="A118" s="15"/>
      <c r="B118" s="14" t="s">
        <v>85</v>
      </c>
      <c r="C118" s="29"/>
      <c r="D118" s="141"/>
      <c r="E118" s="142"/>
      <c r="F118" s="143">
        <f>SUM(F8:F117)</f>
        <v>193.66232381768373</v>
      </c>
      <c r="G118" s="1" t="s">
        <v>112</v>
      </c>
      <c r="J118" s="49">
        <f>F74+F77+F80+F83+F86+F89+F92+F95+F98+F101+F104+F107+F110+F113</f>
        <v>15.268049843435199</v>
      </c>
      <c r="K118" s="1" t="s">
        <v>112</v>
      </c>
      <c r="L118" s="49">
        <f>H74+H77+H80+H83+H86+H89+H92+H95+H98+H101+H104+H107+H110+H113</f>
        <v>15.277731233447778</v>
      </c>
      <c r="M118" s="49">
        <f>I74+I77+I80+I83+I86+I89+I92+I95+I98+I101+I104+I107+I110+I113</f>
        <v>12.719459010039175</v>
      </c>
    </row>
    <row r="119" spans="1:13">
      <c r="A119" s="15"/>
      <c r="B119" s="113"/>
      <c r="C119" s="113"/>
      <c r="D119" s="113"/>
      <c r="E119" s="114"/>
      <c r="F119" s="115"/>
      <c r="H119" s="115"/>
      <c r="J119" s="49">
        <f>SUM(J116:J118)</f>
        <v>67.043790771249462</v>
      </c>
      <c r="K119" s="115"/>
    </row>
    <row r="120" spans="1:13" ht="20">
      <c r="A120" s="15"/>
      <c r="B120" s="132" t="s">
        <v>89</v>
      </c>
      <c r="C120" s="19" t="s">
        <v>2</v>
      </c>
      <c r="D120" s="20" t="s">
        <v>12</v>
      </c>
      <c r="E120" s="21" t="s">
        <v>13</v>
      </c>
      <c r="F120" s="45" t="s">
        <v>0</v>
      </c>
      <c r="H120" s="1" t="s">
        <v>136</v>
      </c>
      <c r="I120" s="1" t="s">
        <v>139</v>
      </c>
    </row>
    <row r="121" spans="1:13" ht="20">
      <c r="A121" s="15"/>
      <c r="B121" s="18" t="str">
        <f>MachineAssumptions!B7&amp;" - Replacement Costs"</f>
        <v>Shredder - Replacement Costs</v>
      </c>
      <c r="C121" s="41" t="str">
        <f>C72</f>
        <v>acre</v>
      </c>
      <c r="D121" s="34">
        <f>MachineAssumptions!U7</f>
        <v>4.3329737628911431</v>
      </c>
      <c r="E121" s="145">
        <f>E72</f>
        <v>0</v>
      </c>
      <c r="F121" s="42" t="str">
        <f t="shared" ref="F121:F134" si="14">IF(D121*E121=0,"0",D121*E121)</f>
        <v>0</v>
      </c>
      <c r="H121" s="166">
        <f>MachineAssumptions!U28*E121</f>
        <v>0</v>
      </c>
      <c r="I121" s="166">
        <f>MachineAssumptions!U48*E121</f>
        <v>0</v>
      </c>
    </row>
    <row r="122" spans="1:13" ht="20">
      <c r="A122" s="15"/>
      <c r="B122" s="18" t="str">
        <f>MachineAssumptions!B8&amp;" - Replacement Costs"</f>
        <v>Harrow - Replacement Costs</v>
      </c>
      <c r="C122" s="41" t="str">
        <f>C75</f>
        <v>acre</v>
      </c>
      <c r="D122" s="34">
        <f>MachineAssumptions!U8</f>
        <v>1.1988479209967022</v>
      </c>
      <c r="E122" s="145">
        <f>E75</f>
        <v>0</v>
      </c>
      <c r="F122" s="42" t="str">
        <f t="shared" si="14"/>
        <v>0</v>
      </c>
      <c r="H122" s="166">
        <f>MachineAssumptions!U29*E122</f>
        <v>0</v>
      </c>
      <c r="I122" s="166">
        <f>MachineAssumptions!U49*E122</f>
        <v>0</v>
      </c>
    </row>
    <row r="123" spans="1:13" ht="20">
      <c r="A123" s="15"/>
      <c r="B123" s="18" t="str">
        <f>MachineAssumptions!B9&amp;" - Replacement Costs"</f>
        <v>Chisel plow - Replacement Costs</v>
      </c>
      <c r="C123" s="41" t="str">
        <f>C78</f>
        <v>acre</v>
      </c>
      <c r="D123" s="34">
        <f>MachineAssumptions!U9</f>
        <v>0</v>
      </c>
      <c r="E123" s="145">
        <f>E78</f>
        <v>0</v>
      </c>
      <c r="F123" s="42" t="str">
        <f t="shared" si="14"/>
        <v>0</v>
      </c>
      <c r="H123" s="166">
        <f>MachineAssumptions!U30*E123</f>
        <v>0</v>
      </c>
      <c r="I123" s="166">
        <f>MachineAssumptions!U50*E123</f>
        <v>0</v>
      </c>
    </row>
    <row r="124" spans="1:13" ht="20">
      <c r="A124" s="15"/>
      <c r="B124" s="18" t="str">
        <f>MachineAssumptions!B10&amp;" - Replacement Costs"</f>
        <v>Moldboard plow - Replacement Costs</v>
      </c>
      <c r="C124" s="41" t="str">
        <f>C81</f>
        <v>acre</v>
      </c>
      <c r="D124" s="34">
        <f>MachineAssumptions!U10</f>
        <v>0</v>
      </c>
      <c r="E124" s="145">
        <f>E81</f>
        <v>0</v>
      </c>
      <c r="F124" s="42" t="str">
        <f t="shared" si="14"/>
        <v>0</v>
      </c>
      <c r="H124" s="166">
        <f>MachineAssumptions!U31*E124</f>
        <v>0</v>
      </c>
      <c r="I124" s="166">
        <f>MachineAssumptions!U51*E124</f>
        <v>0</v>
      </c>
    </row>
    <row r="125" spans="1:13" ht="20">
      <c r="A125" s="15"/>
      <c r="B125" s="18" t="str">
        <f>MachineAssumptions!B11&amp;" - Replacement Costs"</f>
        <v>Cultivator - Replacement Costs</v>
      </c>
      <c r="C125" s="41" t="str">
        <f t="shared" ref="C125:C126" si="15">C82</f>
        <v>acre</v>
      </c>
      <c r="D125" s="34">
        <f>MachineAssumptions!U11</f>
        <v>0</v>
      </c>
      <c r="E125" s="145">
        <f>E84</f>
        <v>0</v>
      </c>
      <c r="F125" s="42" t="str">
        <f t="shared" si="14"/>
        <v>0</v>
      </c>
      <c r="H125" s="166">
        <f>MachineAssumptions!U32*E125</f>
        <v>0</v>
      </c>
      <c r="I125" s="166">
        <f>MachineAssumptions!U52*E125</f>
        <v>0</v>
      </c>
    </row>
    <row r="126" spans="1:13" ht="20">
      <c r="A126" s="15"/>
      <c r="B126" s="18" t="str">
        <f>MachineAssumptions!B12&amp;" - Replacement Costs"</f>
        <v>Cultiweeder - Replacement Costs</v>
      </c>
      <c r="C126" s="41" t="str">
        <f t="shared" si="15"/>
        <v>acre</v>
      </c>
      <c r="D126" s="34">
        <f>MachineAssumptions!U12</f>
        <v>0</v>
      </c>
      <c r="E126" s="145">
        <f>E87</f>
        <v>0</v>
      </c>
      <c r="F126" s="42" t="str">
        <f t="shared" si="14"/>
        <v>0</v>
      </c>
      <c r="H126" s="166">
        <f>MachineAssumptions!U33*E126</f>
        <v>0</v>
      </c>
      <c r="I126" s="166">
        <f>MachineAssumptions!U53*E126</f>
        <v>0</v>
      </c>
    </row>
    <row r="127" spans="1:13" ht="20">
      <c r="A127" s="15"/>
      <c r="B127" s="18" t="str">
        <f>MachineAssumptions!B13&amp;" - Replacement Costs"</f>
        <v>Drill - Replacement Costs</v>
      </c>
      <c r="C127" s="41" t="str">
        <f>C90</f>
        <v>acre</v>
      </c>
      <c r="D127" s="34">
        <f>MachineAssumptions!U13</f>
        <v>7.2419265221735989</v>
      </c>
      <c r="E127" s="145">
        <f>E90</f>
        <v>1</v>
      </c>
      <c r="F127" s="42">
        <f t="shared" si="14"/>
        <v>7.2419265221735989</v>
      </c>
      <c r="H127" s="166">
        <f>MachineAssumptions!U34*E127</f>
        <v>7.2419265221735989</v>
      </c>
      <c r="I127" s="166">
        <f>MachineAssumptions!U54*E127</f>
        <v>7.2419265221735989</v>
      </c>
    </row>
    <row r="128" spans="1:13" ht="20">
      <c r="A128" s="15"/>
      <c r="B128" s="18" t="str">
        <f>MachineAssumptions!B14&amp;" - Replacement Costs"</f>
        <v>Combine w/ 36' header - Replacement Costs</v>
      </c>
      <c r="C128" s="41" t="str">
        <f>C93</f>
        <v>acre</v>
      </c>
      <c r="D128" s="34">
        <f>MachineAssumptions!U14</f>
        <v>9.7031999999999989</v>
      </c>
      <c r="E128" s="145">
        <f>E93</f>
        <v>1</v>
      </c>
      <c r="F128" s="42">
        <f t="shared" si="14"/>
        <v>9.7031999999999989</v>
      </c>
      <c r="H128" s="166">
        <f>MachineAssumptions!U35*E128</f>
        <v>9.7031999999999989</v>
      </c>
      <c r="I128" s="166">
        <f>MachineAssumptions!U55*E128</f>
        <v>9.7032000000000007</v>
      </c>
    </row>
    <row r="129" spans="1:9" ht="20">
      <c r="A129" s="15"/>
      <c r="B129" s="18" t="str">
        <f>MachineAssumptions!B16&amp;" - Replacement Costs"</f>
        <v>Fertilizer Spreader - Replacement Costs</v>
      </c>
      <c r="C129" s="41" t="str">
        <f>C96</f>
        <v>acre</v>
      </c>
      <c r="D129" s="34">
        <f>MachineAssumptions!U16</f>
        <v>0</v>
      </c>
      <c r="E129" s="145">
        <f>E96</f>
        <v>0</v>
      </c>
      <c r="F129" s="42" t="str">
        <f t="shared" si="14"/>
        <v>0</v>
      </c>
      <c r="H129" s="166">
        <f>MachineAssumptions!U36*E129</f>
        <v>0</v>
      </c>
      <c r="I129" s="166">
        <f>MachineAssumptions!U56*E129</f>
        <v>0</v>
      </c>
    </row>
    <row r="130" spans="1:9" ht="20">
      <c r="A130" s="15"/>
      <c r="B130" s="18" t="str">
        <f>MachineAssumptions!B17&amp;" - Replacement Costs"</f>
        <v>Fertilizer tanks and pump - Replacement Costs</v>
      </c>
      <c r="C130" s="41" t="str">
        <f>C99</f>
        <v>acre</v>
      </c>
      <c r="D130" s="34">
        <f>MachineAssumptions!U17</f>
        <v>0.6</v>
      </c>
      <c r="E130" s="145">
        <f>E99</f>
        <v>1</v>
      </c>
      <c r="F130" s="42">
        <f t="shared" si="14"/>
        <v>0.6</v>
      </c>
      <c r="H130" s="166">
        <f>MachineAssumptions!U37*E130</f>
        <v>0.6</v>
      </c>
      <c r="I130" s="166">
        <f>MachineAssumptions!U57*E130</f>
        <v>0.6</v>
      </c>
    </row>
    <row r="131" spans="1:9" ht="20">
      <c r="A131" s="15"/>
      <c r="B131" s="18" t="str">
        <f>MachineAssumptions!B18&amp;" - Replacement Costs"</f>
        <v>Boom sprayer - Replacement Costs</v>
      </c>
      <c r="C131" s="41" t="str">
        <f>C102</f>
        <v>acre</v>
      </c>
      <c r="D131" s="34">
        <f>MachineAssumptions!U18</f>
        <v>0.80913316225248511</v>
      </c>
      <c r="E131" s="145">
        <f>E102</f>
        <v>2</v>
      </c>
      <c r="F131" s="42">
        <f t="shared" si="14"/>
        <v>1.6182663245049702</v>
      </c>
      <c r="H131" s="166">
        <f>MachineAssumptions!U38*E131</f>
        <v>1.6180237561339832</v>
      </c>
      <c r="I131" s="166">
        <f>MachineAssumptions!U58*E131</f>
        <v>1.6182663245049702</v>
      </c>
    </row>
    <row r="132" spans="1:9" ht="20">
      <c r="A132" s="15"/>
      <c r="B132" s="18" t="str">
        <f>MachineAssumptions!B15&amp;" - Replacement Costs"</f>
        <v>Bankout Wagon - Replacement Costs</v>
      </c>
      <c r="C132" s="41" t="str">
        <f>C105</f>
        <v>acre</v>
      </c>
      <c r="D132" s="34">
        <f>MachineAssumptions!U15</f>
        <v>2.9461434675395459</v>
      </c>
      <c r="E132" s="145">
        <f>E105</f>
        <v>1</v>
      </c>
      <c r="F132" s="42">
        <f t="shared" si="14"/>
        <v>2.9461434675395459</v>
      </c>
      <c r="H132" s="166">
        <f>MachineAssumptions!U39*E132</f>
        <v>2.9461434675395459</v>
      </c>
      <c r="I132" s="166">
        <f>MachineAssumptions!U59*E132</f>
        <v>2.9461434675395459</v>
      </c>
    </row>
    <row r="133" spans="1:9" ht="20">
      <c r="A133" s="15"/>
      <c r="B133" s="18" t="str">
        <f>MachineAssumptions!B19&amp;" - Replacement Costs"</f>
        <v>Tandem Axle Truck  - Replacement Costs</v>
      </c>
      <c r="C133" s="41" t="str">
        <f>C108</f>
        <v>acre</v>
      </c>
      <c r="D133" s="34">
        <f>MachineAssumptions!U19</f>
        <v>0.64</v>
      </c>
      <c r="E133" s="145">
        <f>E108</f>
        <v>1</v>
      </c>
      <c r="F133" s="42">
        <f t="shared" si="14"/>
        <v>0.64</v>
      </c>
      <c r="H133" s="166">
        <f>MachineAssumptions!U40*E133</f>
        <v>0.64</v>
      </c>
      <c r="I133" s="166">
        <f>MachineAssumptions!U60*E133</f>
        <v>0.64</v>
      </c>
    </row>
    <row r="134" spans="1:9" ht="23">
      <c r="A134" s="15"/>
      <c r="B134" s="18" t="str">
        <f>MachineAssumptions!B20&amp;" - Replacement Costs"</f>
        <v>Tandem Axle Truck  - Replacement Costs</v>
      </c>
      <c r="C134" s="41" t="str">
        <f t="shared" ref="C134" si="16">C111</f>
        <v>acre</v>
      </c>
      <c r="D134" s="34">
        <f>MachineAssumptions!U20</f>
        <v>0.64</v>
      </c>
      <c r="E134" s="145">
        <f t="shared" ref="E134" si="17">E111</f>
        <v>1</v>
      </c>
      <c r="F134" s="43">
        <f t="shared" si="14"/>
        <v>0.64</v>
      </c>
      <c r="H134" s="247">
        <f>MachineAssumptions!U41*E134</f>
        <v>0.64</v>
      </c>
      <c r="I134" s="247">
        <f>MachineAssumptions!U61*E134</f>
        <v>0.64</v>
      </c>
    </row>
    <row r="135" spans="1:9" ht="20">
      <c r="A135" s="15"/>
      <c r="B135" s="144" t="s">
        <v>38</v>
      </c>
      <c r="C135" s="29"/>
      <c r="D135" s="30"/>
      <c r="E135" s="29"/>
      <c r="F135" s="46">
        <f>SUM(F121:F134)</f>
        <v>23.389536314218116</v>
      </c>
      <c r="H135" s="46">
        <f t="shared" ref="H135:I135" si="18">SUM(H121:H134)</f>
        <v>23.38929374584713</v>
      </c>
      <c r="I135" s="46">
        <f t="shared" si="18"/>
        <v>23.389536314218116</v>
      </c>
    </row>
    <row r="136" spans="1:9" ht="20">
      <c r="A136" s="15"/>
      <c r="B136" s="16"/>
      <c r="C136" s="16"/>
      <c r="D136" s="17"/>
      <c r="E136" s="16"/>
      <c r="F136" s="113"/>
    </row>
    <row r="137" spans="1:9" ht="20">
      <c r="A137" s="15"/>
      <c r="B137" s="14" t="s">
        <v>31</v>
      </c>
      <c r="C137" s="29"/>
      <c r="D137" s="30"/>
      <c r="E137" s="29"/>
      <c r="F137" s="47">
        <f>F118+F135</f>
        <v>217.05186013190183</v>
      </c>
      <c r="H137" s="47">
        <f>SUM(F16:F70)+H114+F115+H116+H117+H135+F8+(H9*D9)+(H10*D10)+(H11*D11)+(H12*D12)+(H13*D13)+(H14*D14)+(H15*D15)</f>
        <v>217.06227314341342</v>
      </c>
      <c r="I137" s="47">
        <f>SUM(F16:F70)+I114+F115+I116+I117+I135+F8+(I9*D9)+(I10*D10)+(I11*D11)+(I12*D12)+(I13*D13)+(I14*D14)+(I15*D15)</f>
        <v>214.24681734589532</v>
      </c>
    </row>
    <row r="138" spans="1:9" ht="21">
      <c r="A138" s="15"/>
      <c r="B138" s="31" t="s">
        <v>32</v>
      </c>
      <c r="C138" s="32"/>
      <c r="D138" s="33"/>
      <c r="E138" s="32"/>
      <c r="F138" s="48">
        <f>F5-F137</f>
        <v>106.94813986809817</v>
      </c>
      <c r="H138" s="250">
        <f>H5-H137</f>
        <v>106.93772685658658</v>
      </c>
      <c r="I138" s="250">
        <f>I5-I137</f>
        <v>109.75318265410468</v>
      </c>
    </row>
  </sheetData>
  <mergeCells count="1">
    <mergeCell ref="B2:F2"/>
  </mergeCells>
  <pageMargins left="0.7" right="0.7" top="0.75" bottom="0.75" header="0.3" footer="0.3"/>
  <pageSetup scale="62" orientation="portrait" horizontalDpi="0" verticalDpi="0"/>
  <ignoredErrors>
    <ignoredError sqref="B135:F138 B114:F114 B90:B113 B116:F116 B115:D115 B127:C134 E127:G134 E121:F123 B60:D60 E124:G124 B121:C124 B84:B89 B125:F126 C13:D13 B62:E62 C14:D14 B118:F120 B117:E117 C9:D9 C10:D10 C11:D11 C12:D12 F14 B61:D61 D4:F4 B5:F7 B3:F3 B4:C4 B8:F8 B71:E71 B63:C63 B64:C64 B65:C65 B66:C66 B67:C67 B68:C68 B69:C69 B70:C70 D63:E70 B2 B73:B83 B72 D72:E72 D90:E113 D84:F89 D73:E83 B57:D57 B56:D56 B55:D55 B54:D54 B51:D51 B50:D50 B49:D49 B48:D48 B47:D47 B46:D46 B45:D45 B44:D44 B43:D43 B42:D42 B40:D40 B39:D39 B38:D38 B37:D37 B36:D36 B35:D35 B34:D34 B33:D33 B31:D31 B30:D30 B29:D29 B28:D28 B27:D27 B26:D26 B25:D25 B24:D24 B23:D23 B22:D22 B21:D21 B16:G20 B32:G32 E21:G21 E22:G22 E23:G23 E24:G24 E25:G25 E26:G26 E27:G27 E28:G28 E29:G29 E30:G30 E31:G31 B41:G41 E33:G33 E34:G34 E35:G35 E36:G36 E37:G37 E38:G38 E39:G39 E40:G40 B52:G53 E42:G42 E43:G43 E44:G44 E45:G45 E46:G46 E47:G47 E48:G48 E49:G49 E50:G50 E51:G51 B58:G59 E54:G54 E55:G55 E56:G56 E57:G57 E115 C15:G15 B9:B15" unlockedFormula="1"/>
    <ignoredError sqref="D127:D134 D121:D124" formula="1" unlockedFormula="1"/>
  </ignoredErrors>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2F3CA-1295-8F42-B80B-D11A33996AFA}">
  <sheetPr codeName="Sheet17">
    <pageSetUpPr fitToPage="1"/>
  </sheetPr>
  <dimension ref="A1:S141"/>
  <sheetViews>
    <sheetView zoomScale="120" zoomScaleNormal="120" workbookViewId="0">
      <selection activeCell="B2" sqref="B2:F2"/>
    </sheetView>
  </sheetViews>
  <sheetFormatPr baseColWidth="10" defaultColWidth="11.5" defaultRowHeight="15"/>
  <cols>
    <col min="1" max="1" width="4.83203125" style="1" customWidth="1"/>
    <col min="2" max="2" width="57.83203125" style="1" customWidth="1"/>
    <col min="3" max="6" width="12.83203125" style="1" customWidth="1"/>
    <col min="7" max="14" width="11.5" style="1" hidden="1" customWidth="1"/>
    <col min="15" max="17" width="0" style="1" hidden="1" customWidth="1"/>
    <col min="18" max="16384" width="11.5" style="1"/>
  </cols>
  <sheetData>
    <row r="1" spans="1:19" ht="20">
      <c r="A1" s="352" t="s">
        <v>8</v>
      </c>
      <c r="B1" s="27"/>
      <c r="C1" s="16"/>
      <c r="D1" s="17"/>
      <c r="E1" s="16"/>
      <c r="F1" s="16"/>
    </row>
    <row r="2" spans="1:19" ht="20">
      <c r="A2" s="15"/>
      <c r="B2" s="807" t="str">
        <f>'Prices_Yields&amp;SeedInputs'!B24&amp;", Cash Costs and Returns of Producing, $/acre."</f>
        <v>SW Spring Wheat, Cash Costs and Returns of Producing, $/acre.</v>
      </c>
      <c r="C2" s="807"/>
      <c r="D2" s="807"/>
      <c r="E2" s="807"/>
      <c r="F2" s="807"/>
    </row>
    <row r="3" spans="1:19" ht="20.5" customHeight="1">
      <c r="A3" s="15"/>
      <c r="B3" s="131" t="s">
        <v>11</v>
      </c>
      <c r="C3" s="24" t="s">
        <v>2</v>
      </c>
      <c r="D3" s="25" t="s">
        <v>12</v>
      </c>
      <c r="E3" s="26" t="s">
        <v>13</v>
      </c>
      <c r="F3" s="26" t="s">
        <v>0</v>
      </c>
      <c r="H3" s="1" t="str">
        <f>'Prices_Yields&amp;SeedInputs'!F3</f>
        <v>Incremental Rotation</v>
      </c>
      <c r="I3" s="1" t="str">
        <f>'Prices_Yields&amp;SeedInputs'!G3</f>
        <v>Aspirational Rotation</v>
      </c>
      <c r="R3" s="674"/>
      <c r="S3" s="674"/>
    </row>
    <row r="4" spans="1:19" ht="20.5" customHeight="1">
      <c r="A4" s="15"/>
      <c r="B4" s="127" t="str">
        <f>'Prices_Yields&amp;SeedInputs'!B24</f>
        <v>SW Spring Wheat</v>
      </c>
      <c r="C4" s="22" t="str">
        <f>'Prices_Yields&amp;SeedInputs'!C24</f>
        <v>bu</v>
      </c>
      <c r="D4" s="88">
        <f>'Prices_Yields&amp;SeedInputs'!D24</f>
        <v>5.97</v>
      </c>
      <c r="E4" s="128">
        <f>'Prices_Yields&amp;SeedInputs'!E24</f>
        <v>65</v>
      </c>
      <c r="F4" s="35">
        <f>D4*E4</f>
        <v>388.05</v>
      </c>
      <c r="R4" s="674"/>
      <c r="S4" s="674"/>
    </row>
    <row r="5" spans="1:19" ht="20.5" customHeight="1">
      <c r="A5" s="15"/>
      <c r="B5" s="14" t="s">
        <v>14</v>
      </c>
      <c r="C5" s="29"/>
      <c r="D5" s="30"/>
      <c r="E5" s="29"/>
      <c r="F5" s="46">
        <f>SUM(F4:F4)</f>
        <v>388.05</v>
      </c>
      <c r="H5" s="1">
        <f>D4*'Prices_Yields&amp;SeedInputs'!F24</f>
        <v>388.05</v>
      </c>
      <c r="I5" s="1">
        <f>D4*'Prices_Yields&amp;SeedInputs'!G24</f>
        <v>388.05</v>
      </c>
      <c r="R5" s="674"/>
      <c r="S5" s="674"/>
    </row>
    <row r="6" spans="1:19" ht="20.5" customHeight="1">
      <c r="A6" s="15"/>
      <c r="B6" s="16"/>
      <c r="C6" s="16"/>
      <c r="D6" s="17"/>
      <c r="E6" s="16"/>
      <c r="F6" s="44"/>
    </row>
    <row r="7" spans="1:19" ht="20">
      <c r="A7" s="15"/>
      <c r="B7" s="132" t="s">
        <v>37</v>
      </c>
      <c r="C7" s="19" t="s">
        <v>2</v>
      </c>
      <c r="D7" s="20" t="s">
        <v>12</v>
      </c>
      <c r="E7" s="21" t="s">
        <v>13</v>
      </c>
      <c r="F7" s="45" t="s">
        <v>0</v>
      </c>
    </row>
    <row r="8" spans="1:19" ht="20">
      <c r="A8" s="15"/>
      <c r="B8" s="272" t="s">
        <v>169</v>
      </c>
      <c r="C8" s="119" t="str">
        <f>'Prices_Yields&amp;SeedInputs'!H24</f>
        <v>pound</v>
      </c>
      <c r="D8" s="120">
        <f>'Prices_Yields&amp;SeedInputs'!I24</f>
        <v>0.27</v>
      </c>
      <c r="E8" s="133">
        <f>'Prices_Yields&amp;SeedInputs'!J24</f>
        <v>100</v>
      </c>
      <c r="F8" s="117">
        <f t="shared" ref="F8:F61" si="0">IF(D8*E8=0,"0",D8*E8)</f>
        <v>27</v>
      </c>
    </row>
    <row r="9" spans="1:19" ht="20">
      <c r="A9" s="15"/>
      <c r="B9" s="85" t="str">
        <f>'Chem&amp;FertInputs&amp;CInsurance'!B6</f>
        <v>Fertilizer - Nitrogen-</v>
      </c>
      <c r="C9" s="23" t="str">
        <f>'Chem&amp;FertInputs&amp;CInsurance'!D6</f>
        <v>pound</v>
      </c>
      <c r="D9" s="116">
        <f>'Chem&amp;FertInputs&amp;CInsurance'!E6</f>
        <v>0.48749999999999999</v>
      </c>
      <c r="E9" s="133">
        <f>'Chem&amp;FertInputs&amp;CInsurance'!Y6</f>
        <v>100</v>
      </c>
      <c r="F9" s="117">
        <f t="shared" si="0"/>
        <v>48.75</v>
      </c>
      <c r="H9" s="1">
        <f>'Chem&amp;FertInputs&amp;CInsurance'!Y7</f>
        <v>100</v>
      </c>
      <c r="I9" s="1">
        <f>'Chem&amp;FertInputs&amp;CInsurance'!Y8</f>
        <v>100</v>
      </c>
    </row>
    <row r="10" spans="1:19" ht="20">
      <c r="A10" s="15"/>
      <c r="B10" s="85" t="str">
        <f>'Chem&amp;FertInputs&amp;CInsurance'!B9</f>
        <v>Fertilizer - Anhydrous Ammonia-</v>
      </c>
      <c r="C10" s="23" t="str">
        <f>'Chem&amp;FertInputs&amp;CInsurance'!D9</f>
        <v>pound</v>
      </c>
      <c r="D10" s="116">
        <f>'Chem&amp;FertInputs&amp;CInsurance'!E9</f>
        <v>0.75770000000000004</v>
      </c>
      <c r="E10" s="133">
        <f>'Chem&amp;FertInputs&amp;CInsurance'!Y9</f>
        <v>0</v>
      </c>
      <c r="F10" s="117" t="str">
        <f t="shared" si="0"/>
        <v>0</v>
      </c>
      <c r="H10" s="1">
        <f>'Chem&amp;FertInputs&amp;CInsurance'!Y10</f>
        <v>0</v>
      </c>
      <c r="I10" s="1">
        <f>'Chem&amp;FertInputs&amp;CInsurance'!Y11</f>
        <v>0</v>
      </c>
    </row>
    <row r="11" spans="1:19" ht="20">
      <c r="A11" s="15"/>
      <c r="B11" s="85" t="str">
        <f>'Chem&amp;FertInputs&amp;CInsurance'!B12</f>
        <v xml:space="preserve">Fertilizer - Phosphorus- </v>
      </c>
      <c r="C11" s="23" t="str">
        <f>'Chem&amp;FertInputs&amp;CInsurance'!D12</f>
        <v>pound</v>
      </c>
      <c r="D11" s="116">
        <f>'Chem&amp;FertInputs&amp;CInsurance'!E12</f>
        <v>0.47499999999999998</v>
      </c>
      <c r="E11" s="133">
        <f>'Chem&amp;FertInputs&amp;CInsurance'!Y12</f>
        <v>5</v>
      </c>
      <c r="F11" s="117">
        <f t="shared" si="0"/>
        <v>2.375</v>
      </c>
      <c r="H11" s="1">
        <f>'Chem&amp;FertInputs&amp;CInsurance'!Y13</f>
        <v>5</v>
      </c>
      <c r="I11" s="1">
        <f>'Chem&amp;FertInputs&amp;CInsurance'!Y14</f>
        <v>5</v>
      </c>
    </row>
    <row r="12" spans="1:19" ht="20">
      <c r="A12" s="15"/>
      <c r="B12" s="85" t="str">
        <f>'Chem&amp;FertInputs&amp;CInsurance'!B15</f>
        <v>Fertilizer - Potassium-</v>
      </c>
      <c r="C12" s="23" t="str">
        <f>'Chem&amp;FertInputs&amp;CInsurance'!D15</f>
        <v>pound</v>
      </c>
      <c r="D12" s="116">
        <f>'Chem&amp;FertInputs&amp;CInsurance'!E15</f>
        <v>0.441</v>
      </c>
      <c r="E12" s="133">
        <f>'Chem&amp;FertInputs&amp;CInsurance'!Y15</f>
        <v>0</v>
      </c>
      <c r="F12" s="117" t="str">
        <f t="shared" si="0"/>
        <v>0</v>
      </c>
      <c r="H12" s="1">
        <f>'Chem&amp;FertInputs&amp;CInsurance'!Y16</f>
        <v>0</v>
      </c>
      <c r="I12" s="1">
        <f>'Chem&amp;FertInputs&amp;CInsurance'!Y17</f>
        <v>0</v>
      </c>
    </row>
    <row r="13" spans="1:19" ht="20">
      <c r="A13" s="15"/>
      <c r="B13" s="85" t="str">
        <f>'Chem&amp;FertInputs&amp;CInsurance'!B18</f>
        <v>Fertilizer - Sulfur-</v>
      </c>
      <c r="C13" s="23" t="str">
        <f>'Chem&amp;FertInputs&amp;CInsurance'!D18</f>
        <v>pound</v>
      </c>
      <c r="D13" s="116">
        <f>'Chem&amp;FertInputs&amp;CInsurance'!E18</f>
        <v>0.2555</v>
      </c>
      <c r="E13" s="133">
        <f>'Chem&amp;FertInputs&amp;CInsurance'!Y18</f>
        <v>20</v>
      </c>
      <c r="F13" s="117">
        <f t="shared" si="0"/>
        <v>5.1100000000000003</v>
      </c>
      <c r="H13" s="1">
        <f>'Chem&amp;FertInputs&amp;CInsurance'!Y19</f>
        <v>20</v>
      </c>
      <c r="I13" s="1">
        <f>'Chem&amp;FertInputs&amp;CInsurance'!Y20</f>
        <v>20</v>
      </c>
    </row>
    <row r="14" spans="1:19" ht="20">
      <c r="A14" s="15"/>
      <c r="B14" s="85" t="str">
        <f>'Chem&amp;FertInputs&amp;CInsurance'!B21</f>
        <v>Adjuvant - Ammonium Sulfate liquid-</v>
      </c>
      <c r="C14" s="23" t="str">
        <f>'Chem&amp;FertInputs&amp;CInsurance'!D21</f>
        <v>oz</v>
      </c>
      <c r="D14" s="116">
        <f>'Chem&amp;FertInputs&amp;CInsurance'!E21</f>
        <v>0.48</v>
      </c>
      <c r="E14" s="133">
        <f>'Chem&amp;FertInputs&amp;CInsurance'!Y21</f>
        <v>3.4</v>
      </c>
      <c r="F14" s="117">
        <f>IF(D14*E14=0,"0",D14*E14)</f>
        <v>1.6319999999999999</v>
      </c>
      <c r="G14" s="165">
        <f>E14/128</f>
        <v>2.6562499999999999E-2</v>
      </c>
      <c r="H14" s="1">
        <f>'Chem&amp;FertInputs&amp;CInsurance'!Y22</f>
        <v>3.4</v>
      </c>
      <c r="I14" s="1">
        <f>'Chem&amp;FertInputs&amp;CInsurance'!Y23</f>
        <v>3.4</v>
      </c>
    </row>
    <row r="15" spans="1:19" ht="20">
      <c r="A15" s="15"/>
      <c r="B15" s="85" t="str">
        <f>'Chem&amp;FertInputs&amp;CInsurance'!B24</f>
        <v>Adjuvant - Ammonium Sulfate  (other)-</v>
      </c>
      <c r="C15" s="23" t="str">
        <f>'Chem&amp;FertInputs&amp;CInsurance'!D24</f>
        <v>pound</v>
      </c>
      <c r="D15" s="116">
        <f>'Chem&amp;FertInputs&amp;CInsurance'!E24</f>
        <v>0.71</v>
      </c>
      <c r="E15" s="133">
        <f>'Chem&amp;FertInputs&amp;CInsurance'!Y24</f>
        <v>0</v>
      </c>
      <c r="F15" s="117" t="str">
        <f>IF(D15*E15=0,"0",D15*E15)</f>
        <v>0</v>
      </c>
      <c r="G15" s="165">
        <f>E15/16</f>
        <v>0</v>
      </c>
      <c r="H15" s="1">
        <f>'Chem&amp;FertInputs&amp;CInsurance'!Y25</f>
        <v>0</v>
      </c>
      <c r="I15" s="1">
        <f>'Chem&amp;FertInputs&amp;CInsurance'!Y26</f>
        <v>0</v>
      </c>
    </row>
    <row r="16" spans="1:19" ht="20">
      <c r="A16" s="15"/>
      <c r="B16" s="85" t="str">
        <f>'Chem&amp;FertInputs&amp;CInsurance'!C27</f>
        <v xml:space="preserve">crop oil concentrate </v>
      </c>
      <c r="C16" s="23" t="str">
        <f>'Chem&amp;FertInputs&amp;CInsurance'!D27</f>
        <v>pint</v>
      </c>
      <c r="D16" s="116">
        <f>'Chem&amp;FertInputs&amp;CInsurance'!E27</f>
        <v>1.6559999999999999</v>
      </c>
      <c r="E16" s="133">
        <f>'Chem&amp;FertInputs&amp;CInsurance'!Y27</f>
        <v>0</v>
      </c>
      <c r="F16" s="117" t="str">
        <f>IF(D16*E16=0,"0",D16*E16)</f>
        <v>0</v>
      </c>
      <c r="G16" s="165">
        <f>E16/8</f>
        <v>0</v>
      </c>
    </row>
    <row r="17" spans="1:7" ht="20">
      <c r="A17" s="15"/>
      <c r="B17" s="85" t="str">
        <f>'Chem&amp;FertInputs&amp;CInsurance'!C28</f>
        <v>In-place</v>
      </c>
      <c r="C17" s="23" t="str">
        <f>'Chem&amp;FertInputs&amp;CInsurance'!D28</f>
        <v>oz</v>
      </c>
      <c r="D17" s="116">
        <f>'Chem&amp;FertInputs&amp;CInsurance'!E28</f>
        <v>0.35649999999999998</v>
      </c>
      <c r="E17" s="133">
        <f>'Chem&amp;FertInputs&amp;CInsurance'!Y28</f>
        <v>0</v>
      </c>
      <c r="F17" s="117" t="str">
        <f t="shared" ref="F17:F19" si="1">IF(D17*E17=0,"0",D17*E17)</f>
        <v>0</v>
      </c>
      <c r="G17" s="165">
        <f>E17/128</f>
        <v>0</v>
      </c>
    </row>
    <row r="18" spans="1:7" ht="20">
      <c r="A18" s="15"/>
      <c r="B18" s="85" t="str">
        <f>'Chem&amp;FertInputs&amp;CInsurance'!C29</f>
        <v xml:space="preserve">M90 </v>
      </c>
      <c r="C18" s="23" t="str">
        <f>'Chem&amp;FertInputs&amp;CInsurance'!D29</f>
        <v>oz</v>
      </c>
      <c r="D18" s="116">
        <f>'Chem&amp;FertInputs&amp;CInsurance'!E29</f>
        <v>0.253</v>
      </c>
      <c r="E18" s="133">
        <f>'Chem&amp;FertInputs&amp;CInsurance'!Y29</f>
        <v>3</v>
      </c>
      <c r="F18" s="117">
        <f t="shared" si="1"/>
        <v>0.75900000000000001</v>
      </c>
      <c r="G18" s="165">
        <f>E18/128</f>
        <v>2.34375E-2</v>
      </c>
    </row>
    <row r="19" spans="1:7" ht="20">
      <c r="A19" s="15"/>
      <c r="B19" s="85" t="str">
        <f>'Chem&amp;FertInputs&amp;CInsurance'!C30</f>
        <v>Surfactant</v>
      </c>
      <c r="C19" s="23" t="str">
        <f>'Chem&amp;FertInputs&amp;CInsurance'!D30</f>
        <v>oz</v>
      </c>
      <c r="D19" s="116">
        <f>'Chem&amp;FertInputs&amp;CInsurance'!E30</f>
        <v>0.26450000000000001</v>
      </c>
      <c r="E19" s="133">
        <f>'Chem&amp;FertInputs&amp;CInsurance'!Y30</f>
        <v>0</v>
      </c>
      <c r="F19" s="117" t="str">
        <f t="shared" si="1"/>
        <v>0</v>
      </c>
      <c r="G19" s="165">
        <f>E19/128</f>
        <v>0</v>
      </c>
    </row>
    <row r="20" spans="1:7" ht="20">
      <c r="A20" s="15"/>
      <c r="B20" s="85" t="str">
        <f>'Chem&amp;FertInputs&amp;CInsurance'!C31</f>
        <v>Syltac sticker</v>
      </c>
      <c r="C20" s="23" t="str">
        <f>'Chem&amp;FertInputs&amp;CInsurance'!D31</f>
        <v>pint</v>
      </c>
      <c r="D20" s="116">
        <f>'Chem&amp;FertInputs&amp;CInsurance'!E31</f>
        <v>7.1874999999999991</v>
      </c>
      <c r="E20" s="133">
        <f>'Chem&amp;FertInputs&amp;CInsurance'!Y31</f>
        <v>0</v>
      </c>
      <c r="F20" s="117" t="str">
        <f>IF(D20*E20=0,"0",D20*E20)</f>
        <v>0</v>
      </c>
      <c r="G20" s="165">
        <f>E20/8</f>
        <v>0</v>
      </c>
    </row>
    <row r="21" spans="1:7" ht="20">
      <c r="A21" s="15"/>
      <c r="B21" s="85" t="str">
        <f>'Chem&amp;FertInputs&amp;CInsurance'!C33</f>
        <v>2,4 - D</v>
      </c>
      <c r="C21" s="23" t="str">
        <f>'Chem&amp;FertInputs&amp;CInsurance'!D33</f>
        <v>oz</v>
      </c>
      <c r="D21" s="116">
        <f>'Chem&amp;FertInputs&amp;CInsurance'!E33</f>
        <v>0.33349999999999996</v>
      </c>
      <c r="E21" s="133">
        <f>'Chem&amp;FertInputs&amp;CInsurance'!Y33</f>
        <v>0</v>
      </c>
      <c r="F21" s="117" t="str">
        <f t="shared" si="0"/>
        <v>0</v>
      </c>
      <c r="G21" s="165">
        <f t="shared" ref="G21:G30" si="2">E21/128</f>
        <v>0</v>
      </c>
    </row>
    <row r="22" spans="1:7" ht="20">
      <c r="A22" s="15"/>
      <c r="B22" s="85" t="str">
        <f>'Chem&amp;FertInputs&amp;CInsurance'!C34</f>
        <v>Achieve SC</v>
      </c>
      <c r="C22" s="23" t="str">
        <f>'Chem&amp;FertInputs&amp;CInsurance'!D34</f>
        <v>oz</v>
      </c>
      <c r="D22" s="116">
        <f>'Chem&amp;FertInputs&amp;CInsurance'!E34</f>
        <v>1.3454999999999999</v>
      </c>
      <c r="E22" s="133">
        <f>'Chem&amp;FertInputs&amp;CInsurance'!Y34</f>
        <v>0</v>
      </c>
      <c r="F22" s="117" t="str">
        <f t="shared" si="0"/>
        <v>0</v>
      </c>
      <c r="G22" s="165">
        <f t="shared" si="2"/>
        <v>0</v>
      </c>
    </row>
    <row r="23" spans="1:7" ht="20">
      <c r="A23" s="15"/>
      <c r="B23" s="85" t="str">
        <f>'Chem&amp;FertInputs&amp;CInsurance'!C35</f>
        <v>Affintity TankMix</v>
      </c>
      <c r="C23" s="23" t="str">
        <f>'Chem&amp;FertInputs&amp;CInsurance'!D35</f>
        <v>oz</v>
      </c>
      <c r="D23" s="116">
        <f>'Chem&amp;FertInputs&amp;CInsurance'!E35</f>
        <v>8.9699999999999989</v>
      </c>
      <c r="E23" s="133">
        <f>'Chem&amp;FertInputs&amp;CInsurance'!Y35</f>
        <v>0.75</v>
      </c>
      <c r="F23" s="117">
        <f t="shared" si="0"/>
        <v>6.7274999999999991</v>
      </c>
      <c r="G23" s="165">
        <f t="shared" si="2"/>
        <v>5.859375E-3</v>
      </c>
    </row>
    <row r="24" spans="1:7" ht="20">
      <c r="A24" s="15"/>
      <c r="B24" s="85" t="str">
        <f>'Chem&amp;FertInputs&amp;CInsurance'!C36</f>
        <v xml:space="preserve">Ally </v>
      </c>
      <c r="C24" s="23" t="str">
        <f>'Chem&amp;FertInputs&amp;CInsurance'!D36</f>
        <v>oz</v>
      </c>
      <c r="D24" s="116">
        <f>'Chem&amp;FertInputs&amp;CInsurance'!E36</f>
        <v>1.7249999999999999</v>
      </c>
      <c r="E24" s="133">
        <f>'Chem&amp;FertInputs&amp;CInsurance'!Y36</f>
        <v>0</v>
      </c>
      <c r="F24" s="117" t="str">
        <f t="shared" si="0"/>
        <v>0</v>
      </c>
      <c r="G24" s="165">
        <f t="shared" si="2"/>
        <v>0</v>
      </c>
    </row>
    <row r="25" spans="1:7" ht="20">
      <c r="A25" s="15"/>
      <c r="B25" s="85" t="str">
        <f>'Chem&amp;FertInputs&amp;CInsurance'!C37</f>
        <v>Assure</v>
      </c>
      <c r="C25" s="23" t="str">
        <f>'Chem&amp;FertInputs&amp;CInsurance'!D37</f>
        <v>oz</v>
      </c>
      <c r="D25" s="116">
        <f>'Chem&amp;FertInputs&amp;CInsurance'!E37</f>
        <v>0.98899999999999988</v>
      </c>
      <c r="E25" s="133">
        <f>'Chem&amp;FertInputs&amp;CInsurance'!Y37</f>
        <v>0</v>
      </c>
      <c r="F25" s="117" t="str">
        <f t="shared" si="0"/>
        <v>0</v>
      </c>
      <c r="G25" s="165">
        <f t="shared" si="2"/>
        <v>0</v>
      </c>
    </row>
    <row r="26" spans="1:7" ht="20">
      <c r="A26" s="15"/>
      <c r="B26" s="85" t="str">
        <f>'Chem&amp;FertInputs&amp;CInsurance'!C38</f>
        <v>Axial Star</v>
      </c>
      <c r="C26" s="23" t="str">
        <f>'Chem&amp;FertInputs&amp;CInsurance'!D38</f>
        <v>oz</v>
      </c>
      <c r="D26" s="116">
        <f>'Chem&amp;FertInputs&amp;CInsurance'!E38</f>
        <v>1.3224999999999998</v>
      </c>
      <c r="E26" s="133">
        <f>'Chem&amp;FertInputs&amp;CInsurance'!Y38</f>
        <v>0</v>
      </c>
      <c r="F26" s="117" t="str">
        <f t="shared" si="0"/>
        <v>0</v>
      </c>
      <c r="G26" s="165">
        <f t="shared" si="2"/>
        <v>0</v>
      </c>
    </row>
    <row r="27" spans="1:7" ht="20">
      <c r="A27" s="15"/>
      <c r="B27" s="85" t="str">
        <f>'Chem&amp;FertInputs&amp;CInsurance'!C39</f>
        <v>Axial Bold</v>
      </c>
      <c r="C27" s="23" t="str">
        <f>'Chem&amp;FertInputs&amp;CInsurance'!D39</f>
        <v>oz</v>
      </c>
      <c r="D27" s="116">
        <f>'Chem&amp;FertInputs&amp;CInsurance'!E39</f>
        <v>1.0924999999999998</v>
      </c>
      <c r="E27" s="133">
        <f>'Chem&amp;FertInputs&amp;CInsurance'!Y39</f>
        <v>15</v>
      </c>
      <c r="F27" s="117">
        <f t="shared" si="0"/>
        <v>16.387499999999996</v>
      </c>
      <c r="G27" s="165">
        <f t="shared" si="2"/>
        <v>0.1171875</v>
      </c>
    </row>
    <row r="28" spans="1:7" ht="20">
      <c r="A28" s="15"/>
      <c r="B28" s="85" t="str">
        <f>'Chem&amp;FertInputs&amp;CInsurance'!C40</f>
        <v>Bronate</v>
      </c>
      <c r="C28" s="23" t="str">
        <f>'Chem&amp;FertInputs&amp;CInsurance'!D40</f>
        <v>oz</v>
      </c>
      <c r="D28" s="116">
        <f>'Chem&amp;FertInputs&amp;CInsurance'!E40</f>
        <v>7.911999999999999</v>
      </c>
      <c r="E28" s="133">
        <f>'Chem&amp;FertInputs&amp;CInsurance'!Y40</f>
        <v>0</v>
      </c>
      <c r="F28" s="117" t="str">
        <f t="shared" si="0"/>
        <v>0</v>
      </c>
      <c r="G28" s="165">
        <f t="shared" si="2"/>
        <v>0</v>
      </c>
    </row>
    <row r="29" spans="1:7" ht="20">
      <c r="A29" s="15"/>
      <c r="B29" s="85" t="str">
        <f>'Chem&amp;FertInputs&amp;CInsurance'!C41</f>
        <v xml:space="preserve">Brox M </v>
      </c>
      <c r="C29" s="23" t="str">
        <f>'Chem&amp;FertInputs&amp;CInsurance'!D41</f>
        <v>oz</v>
      </c>
      <c r="D29" s="116">
        <f>'Chem&amp;FertInputs&amp;CInsurance'!E41</f>
        <v>0.42549999999999999</v>
      </c>
      <c r="E29" s="133">
        <f>'Chem&amp;FertInputs&amp;CInsurance'!Y41</f>
        <v>0</v>
      </c>
      <c r="F29" s="117" t="str">
        <f t="shared" si="0"/>
        <v>0</v>
      </c>
      <c r="G29" s="165">
        <f t="shared" si="2"/>
        <v>0</v>
      </c>
    </row>
    <row r="30" spans="1:7" ht="20">
      <c r="A30" s="15"/>
      <c r="B30" s="85" t="str">
        <f>'Chem&amp;FertInputs&amp;CInsurance'!C42</f>
        <v>Capture</v>
      </c>
      <c r="C30" s="23" t="str">
        <f>'Chem&amp;FertInputs&amp;CInsurance'!D42</f>
        <v>oz</v>
      </c>
      <c r="D30" s="116">
        <f>'Chem&amp;FertInputs&amp;CInsurance'!E42</f>
        <v>2.7024999999999997</v>
      </c>
      <c r="E30" s="133">
        <f>'Chem&amp;FertInputs&amp;CInsurance'!Y42</f>
        <v>0</v>
      </c>
      <c r="F30" s="117" t="str">
        <f t="shared" si="0"/>
        <v>0</v>
      </c>
      <c r="G30" s="165">
        <f t="shared" si="2"/>
        <v>0</v>
      </c>
    </row>
    <row r="31" spans="1:7" ht="20">
      <c r="A31" s="15"/>
      <c r="B31" s="85" t="str">
        <f>'Chem&amp;FertInputs&amp;CInsurance'!C43</f>
        <v xml:space="preserve">Dimethoate </v>
      </c>
      <c r="C31" s="23" t="str">
        <f>'Chem&amp;FertInputs&amp;CInsurance'!D43</f>
        <v>pint</v>
      </c>
      <c r="D31" s="116">
        <f>'Chem&amp;FertInputs&amp;CInsurance'!E43</f>
        <v>7.1874999999999991</v>
      </c>
      <c r="E31" s="133">
        <f>'Chem&amp;FertInputs&amp;CInsurance'!Y43</f>
        <v>0</v>
      </c>
      <c r="F31" s="117" t="str">
        <f t="shared" si="0"/>
        <v>0</v>
      </c>
      <c r="G31" s="165">
        <f>E31/8</f>
        <v>0</v>
      </c>
    </row>
    <row r="32" spans="1:7" ht="20">
      <c r="A32" s="15"/>
      <c r="B32" s="85" t="str">
        <f>'Chem&amp;FertInputs&amp;CInsurance'!C44</f>
        <v>Clethodim</v>
      </c>
      <c r="C32" s="23" t="str">
        <f>'Chem&amp;FertInputs&amp;CInsurance'!D44</f>
        <v>oz</v>
      </c>
      <c r="D32" s="116">
        <f>'Chem&amp;FertInputs&amp;CInsurance'!E44</f>
        <v>0.75900000000000001</v>
      </c>
      <c r="E32" s="133">
        <f>'Chem&amp;FertInputs&amp;CInsurance'!Y44</f>
        <v>0</v>
      </c>
      <c r="F32" s="117" t="str">
        <f t="shared" ref="F32" si="3">IF(D32*E32=0,"0",D32*E32)</f>
        <v>0</v>
      </c>
      <c r="G32" s="165">
        <f t="shared" ref="G32:G37" si="4">E32/128</f>
        <v>0</v>
      </c>
    </row>
    <row r="33" spans="1:7" ht="20">
      <c r="A33" s="15"/>
      <c r="B33" s="85" t="str">
        <f>'Chem&amp;FertInputs&amp;CInsurance'!C45</f>
        <v>Discover</v>
      </c>
      <c r="C33" s="23" t="str">
        <f>'Chem&amp;FertInputs&amp;CInsurance'!D45</f>
        <v>oz</v>
      </c>
      <c r="D33" s="116">
        <f>'Chem&amp;FertInputs&amp;CInsurance'!E45</f>
        <v>1.6904999999999999</v>
      </c>
      <c r="E33" s="133">
        <f>'Chem&amp;FertInputs&amp;CInsurance'!Y45</f>
        <v>0</v>
      </c>
      <c r="F33" s="117" t="str">
        <f t="shared" si="0"/>
        <v>0</v>
      </c>
      <c r="G33" s="165">
        <f t="shared" si="4"/>
        <v>0</v>
      </c>
    </row>
    <row r="34" spans="1:7" ht="20">
      <c r="A34" s="15"/>
      <c r="B34" s="85" t="str">
        <f>'Chem&amp;FertInputs&amp;CInsurance'!C46</f>
        <v>FarGO</v>
      </c>
      <c r="C34" s="23" t="str">
        <f>'Chem&amp;FertInputs&amp;CInsurance'!D46</f>
        <v>oz</v>
      </c>
      <c r="D34" s="116">
        <f>'Chem&amp;FertInputs&amp;CInsurance'!E46</f>
        <v>19.158999999999999</v>
      </c>
      <c r="E34" s="133">
        <f>'Chem&amp;FertInputs&amp;CInsurance'!Y46</f>
        <v>0</v>
      </c>
      <c r="F34" s="117" t="str">
        <f t="shared" si="0"/>
        <v>0</v>
      </c>
      <c r="G34" s="165">
        <f t="shared" si="4"/>
        <v>0</v>
      </c>
    </row>
    <row r="35" spans="1:7" ht="20">
      <c r="A35" s="15"/>
      <c r="B35" s="85" t="str">
        <f>'Chem&amp;FertInputs&amp;CInsurance'!C47</f>
        <v>Finesse</v>
      </c>
      <c r="C35" s="23" t="str">
        <f>'Chem&amp;FertInputs&amp;CInsurance'!D47</f>
        <v>oz</v>
      </c>
      <c r="D35" s="116">
        <f>'Chem&amp;FertInputs&amp;CInsurance'!E47</f>
        <v>19.940999999999999</v>
      </c>
      <c r="E35" s="133">
        <f>'Chem&amp;FertInputs&amp;CInsurance'!Y47</f>
        <v>0</v>
      </c>
      <c r="F35" s="117" t="str">
        <f t="shared" si="0"/>
        <v>0</v>
      </c>
      <c r="G35" s="165">
        <f t="shared" si="4"/>
        <v>0</v>
      </c>
    </row>
    <row r="36" spans="1:7" ht="20">
      <c r="A36" s="15"/>
      <c r="B36" s="85" t="str">
        <f>'Chem&amp;FertInputs&amp;CInsurance'!C48</f>
        <v>Glyphosate</v>
      </c>
      <c r="C36" s="23" t="str">
        <f>'Chem&amp;FertInputs&amp;CInsurance'!D48</f>
        <v>oz</v>
      </c>
      <c r="D36" s="116">
        <f>'Chem&amp;FertInputs&amp;CInsurance'!E48</f>
        <v>0.14949999999999999</v>
      </c>
      <c r="E36" s="133">
        <f>'Chem&amp;FertInputs&amp;CInsurance'!Y48</f>
        <v>0</v>
      </c>
      <c r="F36" s="117" t="str">
        <f t="shared" si="0"/>
        <v>0</v>
      </c>
      <c r="G36" s="165">
        <f t="shared" si="4"/>
        <v>0</v>
      </c>
    </row>
    <row r="37" spans="1:7" ht="20">
      <c r="A37" s="15"/>
      <c r="B37" s="85" t="str">
        <f>'Chem&amp;FertInputs&amp;CInsurance'!C49</f>
        <v>Huskie</v>
      </c>
      <c r="C37" s="23" t="str">
        <f>'Chem&amp;FertInputs&amp;CInsurance'!D49</f>
        <v>oz</v>
      </c>
      <c r="D37" s="116">
        <f>'Chem&amp;FertInputs&amp;CInsurance'!E49</f>
        <v>0.88549999999999995</v>
      </c>
      <c r="E37" s="133">
        <f>'Chem&amp;FertInputs&amp;CInsurance'!Y49</f>
        <v>13.7</v>
      </c>
      <c r="F37" s="117">
        <f t="shared" si="0"/>
        <v>12.131349999999999</v>
      </c>
      <c r="G37" s="165">
        <f t="shared" si="4"/>
        <v>0.10703124999999999</v>
      </c>
    </row>
    <row r="38" spans="1:7" ht="20">
      <c r="A38" s="15"/>
      <c r="B38" s="85" t="str">
        <f>'Chem&amp;FertInputs&amp;CInsurance'!C50</f>
        <v>Imidan 70</v>
      </c>
      <c r="C38" s="23" t="str">
        <f>'Chem&amp;FertInputs&amp;CInsurance'!D50</f>
        <v>lb</v>
      </c>
      <c r="D38" s="116">
        <f>'Chem&amp;FertInputs&amp;CInsurance'!E50</f>
        <v>17.295999999999999</v>
      </c>
      <c r="E38" s="133">
        <f>'Chem&amp;FertInputs&amp;CInsurance'!Y50</f>
        <v>0</v>
      </c>
      <c r="F38" s="117" t="str">
        <f t="shared" si="0"/>
        <v>0</v>
      </c>
      <c r="G38" s="165">
        <f>E38/16</f>
        <v>0</v>
      </c>
    </row>
    <row r="39" spans="1:7" ht="20">
      <c r="A39" s="15"/>
      <c r="B39" s="85" t="str">
        <f>'Chem&amp;FertInputs&amp;CInsurance'!C51</f>
        <v xml:space="preserve">Maverick </v>
      </c>
      <c r="C39" s="23" t="str">
        <f>'Chem&amp;FertInputs&amp;CInsurance'!D51</f>
        <v>oz</v>
      </c>
      <c r="D39" s="116">
        <f>'Chem&amp;FertInputs&amp;CInsurance'!E51</f>
        <v>23.885499999999997</v>
      </c>
      <c r="E39" s="133">
        <f>'Chem&amp;FertInputs&amp;CInsurance'!Y51</f>
        <v>0</v>
      </c>
      <c r="F39" s="117" t="str">
        <f t="shared" si="0"/>
        <v>0</v>
      </c>
      <c r="G39" s="165">
        <f t="shared" ref="G39:G51" si="5">E39/128</f>
        <v>0</v>
      </c>
    </row>
    <row r="40" spans="1:7" ht="20">
      <c r="A40" s="15"/>
      <c r="B40" s="85" t="str">
        <f>'Chem&amp;FertInputs&amp;CInsurance'!C52</f>
        <v>Osprey</v>
      </c>
      <c r="C40" s="23" t="str">
        <f>'Chem&amp;FertInputs&amp;CInsurance'!D52</f>
        <v>oz</v>
      </c>
      <c r="D40" s="116">
        <f>'Chem&amp;FertInputs&amp;CInsurance'!E52</f>
        <v>5.0484999999999989</v>
      </c>
      <c r="E40" s="133">
        <f>'Chem&amp;FertInputs&amp;CInsurance'!Y52</f>
        <v>0</v>
      </c>
      <c r="F40" s="117" t="str">
        <f t="shared" si="0"/>
        <v>0</v>
      </c>
      <c r="G40" s="165">
        <f t="shared" si="5"/>
        <v>0</v>
      </c>
    </row>
    <row r="41" spans="1:7" ht="20">
      <c r="A41" s="15"/>
      <c r="B41" s="85" t="str">
        <f>'Chem&amp;FertInputs&amp;CInsurance'!C53</f>
        <v>Poast</v>
      </c>
      <c r="C41" s="23" t="str">
        <f>'Chem&amp;FertInputs&amp;CInsurance'!D53</f>
        <v>oz</v>
      </c>
      <c r="D41" s="116">
        <f>'Chem&amp;FertInputs&amp;CInsurance'!E53</f>
        <v>19.285499999999999</v>
      </c>
      <c r="E41" s="133">
        <f>'Chem&amp;FertInputs&amp;CInsurance'!Y53</f>
        <v>0</v>
      </c>
      <c r="F41" s="117" t="str">
        <f t="shared" ref="F41" si="6">IF(D41*E41=0,"0",D41*E41)</f>
        <v>0</v>
      </c>
      <c r="G41" s="165">
        <f t="shared" si="5"/>
        <v>0</v>
      </c>
    </row>
    <row r="42" spans="1:7" ht="20">
      <c r="A42" s="15"/>
      <c r="B42" s="85" t="str">
        <f>'Chem&amp;FertInputs&amp;CInsurance'!C54</f>
        <v>Power Flex</v>
      </c>
      <c r="C42" s="23" t="str">
        <f>'Chem&amp;FertInputs&amp;CInsurance'!D54</f>
        <v>oz</v>
      </c>
      <c r="D42" s="116">
        <f>'Chem&amp;FertInputs&amp;CInsurance'!E54</f>
        <v>8.9124999999999996</v>
      </c>
      <c r="E42" s="133">
        <f>'Chem&amp;FertInputs&amp;CInsurance'!Y54</f>
        <v>0</v>
      </c>
      <c r="F42" s="117" t="str">
        <f t="shared" si="0"/>
        <v>0</v>
      </c>
      <c r="G42" s="165">
        <f t="shared" si="5"/>
        <v>0</v>
      </c>
    </row>
    <row r="43" spans="1:7" ht="20">
      <c r="A43" s="15"/>
      <c r="B43" s="85" t="str">
        <f>'Chem&amp;FertInputs&amp;CInsurance'!C55</f>
        <v>Priaxor</v>
      </c>
      <c r="C43" s="23" t="str">
        <f>'Chem&amp;FertInputs&amp;CInsurance'!D55</f>
        <v>oz</v>
      </c>
      <c r="D43" s="116">
        <f>'Chem&amp;FertInputs&amp;CInsurance'!E55</f>
        <v>3.4269999999999996</v>
      </c>
      <c r="E43" s="133">
        <f>'Chem&amp;FertInputs&amp;CInsurance'!Y55</f>
        <v>0</v>
      </c>
      <c r="F43" s="117" t="str">
        <f t="shared" si="0"/>
        <v>0</v>
      </c>
      <c r="G43" s="165">
        <f t="shared" si="5"/>
        <v>0</v>
      </c>
    </row>
    <row r="44" spans="1:7" ht="20">
      <c r="A44" s="15"/>
      <c r="B44" s="85" t="str">
        <f>'Chem&amp;FertInputs&amp;CInsurance'!C56</f>
        <v>Prowl</v>
      </c>
      <c r="C44" s="23" t="str">
        <f>'Chem&amp;FertInputs&amp;CInsurance'!D56</f>
        <v>oz</v>
      </c>
      <c r="D44" s="116">
        <f>'Chem&amp;FertInputs&amp;CInsurance'!E56</f>
        <v>0.51749999999999996</v>
      </c>
      <c r="E44" s="133">
        <f>'Chem&amp;FertInputs&amp;CInsurance'!Y56</f>
        <v>0</v>
      </c>
      <c r="F44" s="117" t="str">
        <f t="shared" si="0"/>
        <v>0</v>
      </c>
      <c r="G44" s="165">
        <f t="shared" si="5"/>
        <v>0</v>
      </c>
    </row>
    <row r="45" spans="1:7" ht="20">
      <c r="A45" s="15"/>
      <c r="B45" s="85" t="str">
        <f>'Chem&amp;FertInputs&amp;CInsurance'!C57</f>
        <v>Pursuit</v>
      </c>
      <c r="C45" s="23" t="str">
        <f>'Chem&amp;FertInputs&amp;CInsurance'!D57</f>
        <v>oz</v>
      </c>
      <c r="D45" s="116">
        <f>'Chem&amp;FertInputs&amp;CInsurance'!E57</f>
        <v>4.0594999999999999</v>
      </c>
      <c r="E45" s="133">
        <f>'Chem&amp;FertInputs&amp;CInsurance'!Y57</f>
        <v>0</v>
      </c>
      <c r="F45" s="117" t="str">
        <f t="shared" si="0"/>
        <v>0</v>
      </c>
      <c r="G45" s="165">
        <f t="shared" si="5"/>
        <v>0</v>
      </c>
    </row>
    <row r="46" spans="1:7" ht="20">
      <c r="A46" s="15"/>
      <c r="B46" s="85" t="str">
        <f>'Chem&amp;FertInputs&amp;CInsurance'!C58</f>
        <v xml:space="preserve">Quadris </v>
      </c>
      <c r="C46" s="23" t="str">
        <f>'Chem&amp;FertInputs&amp;CInsurance'!D58</f>
        <v>oz</v>
      </c>
      <c r="D46" s="116">
        <f>'Chem&amp;FertInputs&amp;CInsurance'!E58</f>
        <v>1.127</v>
      </c>
      <c r="E46" s="133">
        <f>'Chem&amp;FertInputs&amp;CInsurance'!Y58</f>
        <v>0</v>
      </c>
      <c r="F46" s="117" t="str">
        <f t="shared" si="0"/>
        <v>0</v>
      </c>
      <c r="G46" s="165">
        <f t="shared" si="5"/>
        <v>0</v>
      </c>
    </row>
    <row r="47" spans="1:7" ht="20">
      <c r="A47" s="15"/>
      <c r="B47" s="85" t="str">
        <f>'Chem&amp;FertInputs&amp;CInsurance'!C59</f>
        <v>Quilt</v>
      </c>
      <c r="C47" s="23" t="str">
        <f>'Chem&amp;FertInputs&amp;CInsurance'!D59</f>
        <v>oz</v>
      </c>
      <c r="D47" s="116">
        <f>'Chem&amp;FertInputs&amp;CInsurance'!E59</f>
        <v>1.4834999999999998</v>
      </c>
      <c r="E47" s="133">
        <f>'Chem&amp;FertInputs&amp;CInsurance'!Y59</f>
        <v>0</v>
      </c>
      <c r="F47" s="117" t="str">
        <f t="shared" si="0"/>
        <v>0</v>
      </c>
      <c r="G47" s="165">
        <f t="shared" si="5"/>
        <v>0</v>
      </c>
    </row>
    <row r="48" spans="1:7" ht="20">
      <c r="A48" s="15"/>
      <c r="B48" s="85" t="str">
        <f>'Chem&amp;FertInputs&amp;CInsurance'!C60</f>
        <v>R11</v>
      </c>
      <c r="C48" s="23" t="str">
        <f>'Chem&amp;FertInputs&amp;CInsurance'!D60</f>
        <v>oz</v>
      </c>
      <c r="D48" s="116">
        <f>'Chem&amp;FertInputs&amp;CInsurance'!E60</f>
        <v>0.26450000000000001</v>
      </c>
      <c r="E48" s="133">
        <f>'Chem&amp;FertInputs&amp;CInsurance'!Y60</f>
        <v>0</v>
      </c>
      <c r="F48" s="117" t="str">
        <f t="shared" si="0"/>
        <v>0</v>
      </c>
      <c r="G48" s="165">
        <f t="shared" si="5"/>
        <v>0</v>
      </c>
    </row>
    <row r="49" spans="1:7" ht="20">
      <c r="A49" s="15"/>
      <c r="B49" s="85" t="str">
        <f>'Chem&amp;FertInputs&amp;CInsurance'!C61</f>
        <v>Starane</v>
      </c>
      <c r="C49" s="23" t="str">
        <f>'Chem&amp;FertInputs&amp;CInsurance'!D61</f>
        <v>oz</v>
      </c>
      <c r="D49" s="116">
        <f>'Chem&amp;FertInputs&amp;CInsurance'!E61</f>
        <v>0.77049999999999996</v>
      </c>
      <c r="E49" s="133">
        <f>'Chem&amp;FertInputs&amp;CInsurance'!Y61</f>
        <v>0</v>
      </c>
      <c r="F49" s="117" t="str">
        <f t="shared" si="0"/>
        <v>0</v>
      </c>
      <c r="G49" s="165">
        <f t="shared" si="5"/>
        <v>0</v>
      </c>
    </row>
    <row r="50" spans="1:7" ht="20">
      <c r="A50" s="15"/>
      <c r="B50" s="85" t="str">
        <f>'Chem&amp;FertInputs&amp;CInsurance'!C62</f>
        <v>Starane + Salvo</v>
      </c>
      <c r="C50" s="23" t="str">
        <f>'Chem&amp;FertInputs&amp;CInsurance'!D62</f>
        <v>oz</v>
      </c>
      <c r="D50" s="116">
        <f>'Chem&amp;FertInputs&amp;CInsurance'!E62</f>
        <v>0.77049999999999996</v>
      </c>
      <c r="E50" s="133">
        <f>'Chem&amp;FertInputs&amp;CInsurance'!Y62</f>
        <v>0</v>
      </c>
      <c r="F50" s="117" t="str">
        <f t="shared" si="0"/>
        <v>0</v>
      </c>
      <c r="G50" s="165">
        <f t="shared" si="5"/>
        <v>0</v>
      </c>
    </row>
    <row r="51" spans="1:7" ht="20">
      <c r="A51" s="15"/>
      <c r="B51" s="85" t="str">
        <f>'Chem&amp;FertInputs&amp;CInsurance'!C63</f>
        <v xml:space="preserve">Starane + Sword </v>
      </c>
      <c r="C51" s="23" t="str">
        <f>'Chem&amp;FertInputs&amp;CInsurance'!D63</f>
        <v>oz</v>
      </c>
      <c r="D51" s="116">
        <f>'Chem&amp;FertInputs&amp;CInsurance'!E63</f>
        <v>0.77049999999999996</v>
      </c>
      <c r="E51" s="133">
        <f>'Chem&amp;FertInputs&amp;CInsurance'!Y63</f>
        <v>0</v>
      </c>
      <c r="F51" s="117" t="str">
        <f t="shared" si="0"/>
        <v>0</v>
      </c>
      <c r="G51" s="165">
        <f t="shared" si="5"/>
        <v>0</v>
      </c>
    </row>
    <row r="52" spans="1:7" ht="20">
      <c r="A52" s="15"/>
      <c r="B52" s="85" t="str">
        <f>'Chem&amp;FertInputs&amp;CInsurance'!C64</f>
        <v xml:space="preserve"> Tilt</v>
      </c>
      <c r="C52" s="23" t="str">
        <f>'Chem&amp;FertInputs&amp;CInsurance'!D64</f>
        <v>oz</v>
      </c>
      <c r="D52" s="116">
        <f>'Chem&amp;FertInputs&amp;CInsurance'!E64</f>
        <v>0.88549999999999995</v>
      </c>
      <c r="E52" s="133">
        <f>'Chem&amp;FertInputs&amp;CInsurance'!Y64</f>
        <v>4</v>
      </c>
      <c r="F52" s="117">
        <f t="shared" ref="F52:F53" si="7">IF(D52*E52=0,"0",D52*E52)</f>
        <v>3.5419999999999998</v>
      </c>
      <c r="G52" s="165">
        <f t="shared" ref="G52:G53" si="8">E52/128</f>
        <v>3.125E-2</v>
      </c>
    </row>
    <row r="53" spans="1:7" ht="20">
      <c r="A53" s="15"/>
      <c r="B53" s="85" t="str">
        <f>'Chem&amp;FertInputs&amp;CInsurance'!C65</f>
        <v xml:space="preserve">Wildcard </v>
      </c>
      <c r="C53" s="23" t="str">
        <f>'Chem&amp;FertInputs&amp;CInsurance'!D65</f>
        <v>oz</v>
      </c>
      <c r="D53" s="116">
        <f>'Chem&amp;FertInputs&amp;CInsurance'!E65</f>
        <v>0.35649999999999998</v>
      </c>
      <c r="E53" s="133">
        <f>'Chem&amp;FertInputs&amp;CInsurance'!Y65</f>
        <v>0</v>
      </c>
      <c r="F53" s="117" t="str">
        <f t="shared" si="7"/>
        <v>0</v>
      </c>
      <c r="G53" s="165">
        <f t="shared" si="8"/>
        <v>0</v>
      </c>
    </row>
    <row r="54" spans="1:7" ht="20">
      <c r="A54" s="15"/>
      <c r="B54" s="85" t="str">
        <f>'Chem&amp;FertInputs&amp;CInsurance'!C66</f>
        <v>Sharpen</v>
      </c>
      <c r="C54" s="23" t="str">
        <f>'Chem&amp;FertInputs&amp;CInsurance'!D66</f>
        <v>oz</v>
      </c>
      <c r="D54" s="116">
        <f>'Chem&amp;FertInputs&amp;CInsurance'!E66</f>
        <v>6.3134999999999994</v>
      </c>
      <c r="E54" s="133">
        <f>'Chem&amp;FertInputs&amp;CInsurance'!Y66</f>
        <v>0</v>
      </c>
      <c r="F54" s="117" t="str">
        <f t="shared" si="0"/>
        <v>0</v>
      </c>
      <c r="G54" s="165">
        <f>E54/128</f>
        <v>0</v>
      </c>
    </row>
    <row r="55" spans="1:7" ht="20">
      <c r="A55" s="15"/>
      <c r="B55" s="85" t="str">
        <f>'Chem&amp;FertInputs&amp;CInsurance'!C67</f>
        <v>Sencor</v>
      </c>
      <c r="C55" s="23" t="str">
        <f>'Chem&amp;FertInputs&amp;CInsurance'!D67</f>
        <v>oz</v>
      </c>
      <c r="D55" s="116">
        <f>'Chem&amp;FertInputs&amp;CInsurance'!E67</f>
        <v>0.45999999999999996</v>
      </c>
      <c r="E55" s="133">
        <f>'Chem&amp;FertInputs&amp;CInsurance'!Y67</f>
        <v>0</v>
      </c>
      <c r="F55" s="117" t="str">
        <f t="shared" si="0"/>
        <v>0</v>
      </c>
      <c r="G55" s="165">
        <f>E55/128</f>
        <v>0</v>
      </c>
    </row>
    <row r="56" spans="1:7" ht="20">
      <c r="A56" s="15"/>
      <c r="B56" s="85" t="str">
        <f>'Chem&amp;FertInputs&amp;CInsurance'!C68</f>
        <v>Warrior</v>
      </c>
      <c r="C56" s="23" t="str">
        <f>'Chem&amp;FertInputs&amp;CInsurance'!D68</f>
        <v>acre</v>
      </c>
      <c r="D56" s="116">
        <f>'Chem&amp;FertInputs&amp;CInsurance'!E68</f>
        <v>3.4499999999999997</v>
      </c>
      <c r="E56" s="133">
        <f>'Chem&amp;FertInputs&amp;CInsurance'!Y68</f>
        <v>0</v>
      </c>
      <c r="F56" s="117" t="str">
        <f t="shared" si="0"/>
        <v>0</v>
      </c>
      <c r="G56" s="165">
        <f>E56/128</f>
        <v>0</v>
      </c>
    </row>
    <row r="57" spans="1:7" ht="20">
      <c r="A57" s="15"/>
      <c r="B57" s="85" t="str">
        <f>'Chem&amp;FertInputs&amp;CInsurance'!C69</f>
        <v xml:space="preserve"> Lorox</v>
      </c>
      <c r="C57" s="23" t="str">
        <f>'Chem&amp;FertInputs&amp;CInsurance'!D69</f>
        <v>lb</v>
      </c>
      <c r="D57" s="116">
        <f>'Chem&amp;FertInputs&amp;CInsurance'!E69</f>
        <v>26.565000000000001</v>
      </c>
      <c r="E57" s="133">
        <f>'Chem&amp;FertInputs&amp;CInsurance'!Y69</f>
        <v>0</v>
      </c>
      <c r="F57" s="117" t="str">
        <f t="shared" si="0"/>
        <v>0</v>
      </c>
      <c r="G57" s="165">
        <f>E57/128</f>
        <v>0</v>
      </c>
    </row>
    <row r="58" spans="1:7" ht="20">
      <c r="A58" s="15"/>
      <c r="B58" s="85" t="str">
        <f>'Chem&amp;FertInputs&amp;CInsurance'!C70</f>
        <v xml:space="preserve"> Valor</v>
      </c>
      <c r="C58" s="23" t="str">
        <f>'Chem&amp;FertInputs&amp;CInsurance'!D70</f>
        <v>oz</v>
      </c>
      <c r="D58" s="116">
        <f>'Chem&amp;FertInputs&amp;CInsurance'!E70</f>
        <v>6.6124999999999998</v>
      </c>
      <c r="E58" s="133">
        <f>'Chem&amp;FertInputs&amp;CInsurance'!Y70</f>
        <v>0</v>
      </c>
      <c r="F58" s="117" t="str">
        <f t="shared" ref="F58:F59" si="9">IF(D58*E58=0,"0",D58*E58)</f>
        <v>0</v>
      </c>
      <c r="G58" s="165">
        <f t="shared" ref="G58:G59" si="10">E58/128</f>
        <v>0</v>
      </c>
    </row>
    <row r="59" spans="1:7" ht="20">
      <c r="A59" s="15"/>
      <c r="B59" s="85" t="str">
        <f>'Chem&amp;FertInputs&amp;CInsurance'!C71</f>
        <v xml:space="preserve"> Diagon</v>
      </c>
      <c r="C59" s="23" t="str">
        <f>'Chem&amp;FertInputs&amp;CInsurance'!D71</f>
        <v>oz</v>
      </c>
      <c r="D59" s="116">
        <f>'Chem&amp;FertInputs&amp;CInsurance'!E71</f>
        <v>0.43699999999999994</v>
      </c>
      <c r="E59" s="133">
        <f>'Chem&amp;FertInputs&amp;CInsurance'!Y71</f>
        <v>0</v>
      </c>
      <c r="F59" s="117" t="str">
        <f t="shared" si="9"/>
        <v>0</v>
      </c>
      <c r="G59" s="165">
        <f t="shared" si="10"/>
        <v>0</v>
      </c>
    </row>
    <row r="60" spans="1:7" ht="20">
      <c r="A60" s="15"/>
      <c r="B60" s="85" t="str">
        <f>'Chem&amp;FertInputs&amp;CInsurance'!C72</f>
        <v xml:space="preserve">Spartan </v>
      </c>
      <c r="C60" s="23" t="str">
        <f>'Chem&amp;FertInputs&amp;CInsurance'!D72</f>
        <v>oz</v>
      </c>
      <c r="D60" s="116">
        <f>'Chem&amp;FertInputs&amp;CInsurance'!E72</f>
        <v>2.0469999999999997</v>
      </c>
      <c r="E60" s="133">
        <f>'Chem&amp;FertInputs&amp;CInsurance'!Y72</f>
        <v>0</v>
      </c>
      <c r="F60" s="117" t="str">
        <f t="shared" si="0"/>
        <v>0</v>
      </c>
      <c r="G60" s="165">
        <f>E60/128</f>
        <v>0</v>
      </c>
    </row>
    <row r="61" spans="1:7" ht="23">
      <c r="A61" s="15"/>
      <c r="B61" s="85" t="str">
        <f>'Chem&amp;FertInputs&amp;CInsurance'!C32</f>
        <v xml:space="preserve">Round Up </v>
      </c>
      <c r="C61" s="23" t="str">
        <f>'Chem&amp;FertInputs&amp;CInsurance'!D32</f>
        <v>oz</v>
      </c>
      <c r="D61" s="116">
        <f>'Chem&amp;FertInputs&amp;CInsurance'!E32</f>
        <v>0.14949999999999999</v>
      </c>
      <c r="E61" s="133">
        <f>'Chem&amp;FertInputs&amp;CInsurance'!Y32</f>
        <v>36</v>
      </c>
      <c r="F61" s="117">
        <f t="shared" si="0"/>
        <v>5.3819999999999997</v>
      </c>
      <c r="G61" s="225">
        <f>E61/128</f>
        <v>0.28125</v>
      </c>
    </row>
    <row r="62" spans="1:7" ht="20">
      <c r="A62" s="15"/>
      <c r="B62" s="139" t="s">
        <v>86</v>
      </c>
      <c r="C62" s="23"/>
      <c r="D62" s="116"/>
      <c r="E62" s="133"/>
      <c r="F62" s="117"/>
      <c r="G62" s="165">
        <f>SUM(G14:G61)</f>
        <v>0.59257812499999996</v>
      </c>
    </row>
    <row r="63" spans="1:7" ht="20">
      <c r="A63" s="15"/>
      <c r="B63" s="125" t="str">
        <f>CustomRates!B5</f>
        <v>Aerial (Custom)</v>
      </c>
      <c r="C63" s="41" t="str">
        <f>CustomRates!C5</f>
        <v>acre</v>
      </c>
      <c r="D63" s="116">
        <f>CustomRates!W5</f>
        <v>8.9499999999999993</v>
      </c>
      <c r="E63" s="87">
        <f>CustomRates!W6</f>
        <v>0</v>
      </c>
      <c r="F63" s="117" t="str">
        <f t="shared" ref="F63:F70" si="11">IF(D63*E63=0,"0",D63*E63)</f>
        <v>0</v>
      </c>
    </row>
    <row r="64" spans="1:7" ht="20">
      <c r="A64" s="15"/>
      <c r="B64" s="125" t="str">
        <f>CustomRates!B7</f>
        <v>Sprayer (Rental 90')</v>
      </c>
      <c r="C64" s="41" t="str">
        <f>CustomRates!C7</f>
        <v>acre</v>
      </c>
      <c r="D64" s="116">
        <f>CustomRates!W7</f>
        <v>8</v>
      </c>
      <c r="E64" s="87">
        <f>CustomRates!W8</f>
        <v>1</v>
      </c>
      <c r="F64" s="117">
        <f t="shared" si="11"/>
        <v>8</v>
      </c>
    </row>
    <row r="65" spans="1:9" ht="20">
      <c r="A65" s="15"/>
      <c r="B65" s="125" t="str">
        <f>CustomRates!B9</f>
        <v>Fertilizer - Anhydrous Applicator (Rent)</v>
      </c>
      <c r="C65" s="41" t="str">
        <f>CustomRates!C9</f>
        <v>acre</v>
      </c>
      <c r="D65" s="116">
        <f>CustomRates!W9</f>
        <v>7</v>
      </c>
      <c r="E65" s="87">
        <f>CustomRates!W10</f>
        <v>0</v>
      </c>
      <c r="F65" s="117" t="str">
        <f t="shared" si="11"/>
        <v>0</v>
      </c>
    </row>
    <row r="66" spans="1:9" ht="20">
      <c r="A66" s="15"/>
      <c r="B66" s="125" t="str">
        <f>CustomRates!B11</f>
        <v>Fertilizer Applicator</v>
      </c>
      <c r="C66" s="41" t="str">
        <f>CustomRates!C11</f>
        <v>acre</v>
      </c>
      <c r="D66" s="116">
        <f>CustomRates!W11</f>
        <v>2</v>
      </c>
      <c r="E66" s="87">
        <f>CustomRates!W12</f>
        <v>0</v>
      </c>
      <c r="F66" s="117" t="str">
        <f t="shared" si="11"/>
        <v>0</v>
      </c>
    </row>
    <row r="67" spans="1:9" ht="20">
      <c r="A67" s="15"/>
      <c r="B67" s="125" t="str">
        <f>CustomRates!B13</f>
        <v>26' Rental Shredder</v>
      </c>
      <c r="C67" s="41" t="str">
        <f>CustomRates!C13</f>
        <v>acre</v>
      </c>
      <c r="D67" s="116">
        <f>CustomRates!W13</f>
        <v>10</v>
      </c>
      <c r="E67" s="87">
        <f>CustomRates!W14</f>
        <v>0</v>
      </c>
      <c r="F67" s="117" t="str">
        <f t="shared" si="11"/>
        <v>0</v>
      </c>
    </row>
    <row r="68" spans="1:9" ht="20">
      <c r="A68" s="15"/>
      <c r="B68" s="125" t="str">
        <f>CustomRates!B15</f>
        <v>36' Ripper Shooter</v>
      </c>
      <c r="C68" s="41" t="str">
        <f>CustomRates!C15</f>
        <v>acre</v>
      </c>
      <c r="D68" s="116">
        <f>CustomRates!W15</f>
        <v>2.5</v>
      </c>
      <c r="E68" s="87">
        <f>CustomRates!W16</f>
        <v>0</v>
      </c>
      <c r="F68" s="117" t="str">
        <f t="shared" si="11"/>
        <v>0</v>
      </c>
    </row>
    <row r="69" spans="1:9" ht="20">
      <c r="A69" s="15"/>
      <c r="B69" s="125" t="str">
        <f>CustomRates!B17</f>
        <v>Custom self-propelled sprayer</v>
      </c>
      <c r="C69" s="41" t="str">
        <f>CustomRates!C17</f>
        <v>acre</v>
      </c>
      <c r="D69" s="116">
        <f>CustomRates!W17</f>
        <v>8</v>
      </c>
      <c r="E69" s="87">
        <f>CustomRates!W18</f>
        <v>0</v>
      </c>
      <c r="F69" s="117" t="str">
        <f t="shared" si="11"/>
        <v>0</v>
      </c>
    </row>
    <row r="70" spans="1:9" ht="20">
      <c r="A70" s="15"/>
      <c r="B70" s="125" t="str">
        <f>CustomRates!B19</f>
        <v>Additional Operation #8 (Custom)</v>
      </c>
      <c r="C70" s="41" t="str">
        <f>CustomRates!C19</f>
        <v>acre</v>
      </c>
      <c r="D70" s="116">
        <f>CustomRates!W19</f>
        <v>0</v>
      </c>
      <c r="E70" s="87">
        <f>CustomRates!W20</f>
        <v>0</v>
      </c>
      <c r="F70" s="117" t="str">
        <f t="shared" si="11"/>
        <v>0</v>
      </c>
    </row>
    <row r="71" spans="1:9" ht="20">
      <c r="A71" s="15"/>
      <c r="B71" s="139" t="s">
        <v>87</v>
      </c>
      <c r="C71" s="41"/>
      <c r="D71" s="116"/>
      <c r="E71" s="116"/>
      <c r="F71" s="117"/>
      <c r="H71" s="1" t="s">
        <v>204</v>
      </c>
      <c r="I71" s="1" t="s">
        <v>135</v>
      </c>
    </row>
    <row r="72" spans="1:9" ht="20">
      <c r="A72" s="15"/>
      <c r="B72" s="85" t="str">
        <f>MachineAssumptions!B7&amp;" - Labor"</f>
        <v>Shredder - Labor</v>
      </c>
      <c r="C72" s="41" t="s">
        <v>246</v>
      </c>
      <c r="D72" s="116">
        <f>MachineAssumptions!$R$7</f>
        <v>1.4996591683708247</v>
      </c>
      <c r="E72" s="87">
        <f>FieldApplications!$V$6</f>
        <v>0</v>
      </c>
      <c r="F72" s="117" t="str">
        <f t="shared" ref="F72:F113" si="12">IF(D72*E72=0,"0",D72*E72)</f>
        <v>0</v>
      </c>
      <c r="H72" s="246">
        <f>MachineAssumptions!$R$28*E72</f>
        <v>0</v>
      </c>
      <c r="I72" s="166">
        <f>MachineAssumptions!$R$48*E72</f>
        <v>0</v>
      </c>
    </row>
    <row r="73" spans="1:9" ht="20">
      <c r="A73" s="15"/>
      <c r="B73" s="85" t="str">
        <f>MachineAssumptions!B7&amp;" - Fuel, Lube"</f>
        <v>Shredder - Fuel, Lube</v>
      </c>
      <c r="C73" s="41" t="s">
        <v>246</v>
      </c>
      <c r="D73" s="116">
        <f>MachineAssumptions!$S$7</f>
        <v>5.7486934787548281</v>
      </c>
      <c r="E73" s="87">
        <f>FieldApplications!$V$6</f>
        <v>0</v>
      </c>
      <c r="F73" s="117" t="str">
        <f t="shared" si="12"/>
        <v>0</v>
      </c>
      <c r="H73" s="246">
        <f>MachineAssumptions!$S$28*E73</f>
        <v>0</v>
      </c>
      <c r="I73" s="166">
        <f>MachineAssumptions!$S$48*E73</f>
        <v>0</v>
      </c>
    </row>
    <row r="74" spans="1:9" ht="20">
      <c r="A74" s="15"/>
      <c r="B74" s="85" t="str">
        <f>MachineAssumptions!B7&amp;" - Repairs"</f>
        <v>Shredder - Repairs</v>
      </c>
      <c r="C74" s="41" t="s">
        <v>246</v>
      </c>
      <c r="D74" s="116">
        <f>MachineAssumptions!$T$7</f>
        <v>0.46726721181997538</v>
      </c>
      <c r="E74" s="87">
        <f>FieldApplications!$V$6</f>
        <v>0</v>
      </c>
      <c r="F74" s="117" t="str">
        <f t="shared" si="12"/>
        <v>0</v>
      </c>
      <c r="H74" s="246">
        <f>MachineAssumptions!$T$28*E74</f>
        <v>0</v>
      </c>
      <c r="I74" s="166">
        <f>MachineAssumptions!$T$48*E74</f>
        <v>0</v>
      </c>
    </row>
    <row r="75" spans="1:9" ht="20">
      <c r="A75" s="15"/>
      <c r="B75" s="85" t="str">
        <f>MachineAssumptions!B8&amp;" - Labor"</f>
        <v>Harrow - Labor</v>
      </c>
      <c r="C75" s="41" t="s">
        <v>246</v>
      </c>
      <c r="D75" s="116">
        <f>MachineAssumptions!$R$8</f>
        <v>0.59412746734753996</v>
      </c>
      <c r="E75" s="87">
        <f>FieldApplications!$V$7</f>
        <v>0</v>
      </c>
      <c r="F75" s="117" t="str">
        <f t="shared" si="12"/>
        <v>0</v>
      </c>
      <c r="H75" s="246">
        <f>MachineAssumptions!$R$29*E75</f>
        <v>0</v>
      </c>
      <c r="I75" s="166">
        <f>MachineAssumptions!$R$49*E75</f>
        <v>0</v>
      </c>
    </row>
    <row r="76" spans="1:9" ht="20">
      <c r="A76" s="15"/>
      <c r="B76" s="85" t="str">
        <f>MachineAssumptions!B8&amp;" - Fuel, Lube"</f>
        <v>Harrow - Fuel, Lube</v>
      </c>
      <c r="C76" s="41" t="s">
        <v>246</v>
      </c>
      <c r="D76" s="116">
        <f>MachineAssumptions!$S$8</f>
        <v>2.4845330452715308</v>
      </c>
      <c r="E76" s="87">
        <f>FieldApplications!$V$7</f>
        <v>0</v>
      </c>
      <c r="F76" s="117" t="str">
        <f t="shared" si="12"/>
        <v>0</v>
      </c>
      <c r="H76" s="246">
        <f>MachineAssumptions!$S$29*E76</f>
        <v>0</v>
      </c>
      <c r="I76" s="166">
        <f>MachineAssumptions!$S$49*E76</f>
        <v>0</v>
      </c>
    </row>
    <row r="77" spans="1:9" ht="20">
      <c r="A77" s="15"/>
      <c r="B77" s="85" t="str">
        <f>MachineAssumptions!B8&amp;" - Repairs"</f>
        <v>Harrow - Repairs</v>
      </c>
      <c r="C77" s="41" t="s">
        <v>246</v>
      </c>
      <c r="D77" s="116">
        <f>MachineAssumptions!$T$8</f>
        <v>0.14755184964846621</v>
      </c>
      <c r="E77" s="87">
        <f>FieldApplications!$V$7</f>
        <v>0</v>
      </c>
      <c r="F77" s="117" t="str">
        <f t="shared" si="12"/>
        <v>0</v>
      </c>
      <c r="H77" s="246">
        <f>MachineAssumptions!$T$29*E77</f>
        <v>0</v>
      </c>
      <c r="I77" s="166">
        <f>MachineAssumptions!$T$49*E77</f>
        <v>0</v>
      </c>
    </row>
    <row r="78" spans="1:9" ht="20">
      <c r="A78" s="15"/>
      <c r="B78" s="85" t="str">
        <f>MachineAssumptions!B9&amp;" - Labor"</f>
        <v>Chisel plow - Labor</v>
      </c>
      <c r="C78" s="41" t="s">
        <v>246</v>
      </c>
      <c r="D78" s="116">
        <f>MachineAssumptions!$R$9</f>
        <v>0</v>
      </c>
      <c r="E78" s="87">
        <f>FieldApplications!$V$8</f>
        <v>0</v>
      </c>
      <c r="F78" s="117" t="str">
        <f t="shared" si="12"/>
        <v>0</v>
      </c>
      <c r="H78" s="246">
        <f>MachineAssumptions!$R$30*E78</f>
        <v>0</v>
      </c>
      <c r="I78" s="166">
        <f>MachineAssumptions!$R$50*E78</f>
        <v>0</v>
      </c>
    </row>
    <row r="79" spans="1:9" ht="20">
      <c r="A79" s="15"/>
      <c r="B79" s="85" t="str">
        <f>MachineAssumptions!B9&amp;" - Fuel, Lube"</f>
        <v>Chisel plow - Fuel, Lube</v>
      </c>
      <c r="C79" s="41" t="s">
        <v>246</v>
      </c>
      <c r="D79" s="116">
        <f>MachineAssumptions!$S$9</f>
        <v>0</v>
      </c>
      <c r="E79" s="87">
        <f>FieldApplications!$V$8</f>
        <v>0</v>
      </c>
      <c r="F79" s="117" t="str">
        <f t="shared" si="12"/>
        <v>0</v>
      </c>
      <c r="H79" s="246">
        <f>MachineAssumptions!$R$30*E79</f>
        <v>0</v>
      </c>
      <c r="I79" s="166">
        <f>MachineAssumptions!$S$50*E79</f>
        <v>0</v>
      </c>
    </row>
    <row r="80" spans="1:9" ht="20">
      <c r="A80" s="15"/>
      <c r="B80" s="85" t="str">
        <f>MachineAssumptions!B9&amp;" - Repairs"</f>
        <v>Chisel plow - Repairs</v>
      </c>
      <c r="C80" s="41" t="s">
        <v>246</v>
      </c>
      <c r="D80" s="116">
        <f>MachineAssumptions!$T$9</f>
        <v>0</v>
      </c>
      <c r="E80" s="87">
        <f>FieldApplications!$V$8</f>
        <v>0</v>
      </c>
      <c r="F80" s="117" t="str">
        <f t="shared" si="12"/>
        <v>0</v>
      </c>
      <c r="H80" s="246">
        <f>MachineAssumptions!$T$30*E80</f>
        <v>0</v>
      </c>
      <c r="I80" s="166">
        <f>MachineAssumptions!$T$50*E80</f>
        <v>0</v>
      </c>
    </row>
    <row r="81" spans="1:9" ht="20">
      <c r="A81" s="15"/>
      <c r="B81" s="85" t="str">
        <f>MachineAssumptions!B10&amp;" - Labor"</f>
        <v>Moldboard plow - Labor</v>
      </c>
      <c r="C81" s="41" t="s">
        <v>246</v>
      </c>
      <c r="D81" s="116">
        <f>MachineAssumptions!$R$10</f>
        <v>0</v>
      </c>
      <c r="E81" s="87">
        <f>FieldApplications!$V$9</f>
        <v>0</v>
      </c>
      <c r="F81" s="117" t="str">
        <f t="shared" si="12"/>
        <v>0</v>
      </c>
      <c r="H81" s="246">
        <f>MachineAssumptions!$R$31*E81</f>
        <v>0</v>
      </c>
      <c r="I81" s="166">
        <f>MachineAssumptions!$R$51*E81</f>
        <v>0</v>
      </c>
    </row>
    <row r="82" spans="1:9" ht="20">
      <c r="A82" s="15"/>
      <c r="B82" s="85" t="str">
        <f>MachineAssumptions!B10&amp;" - Fuel, Lube"</f>
        <v>Moldboard plow - Fuel, Lube</v>
      </c>
      <c r="C82" s="41" t="s">
        <v>246</v>
      </c>
      <c r="D82" s="116">
        <f>MachineAssumptions!$S$10</f>
        <v>0</v>
      </c>
      <c r="E82" s="87">
        <f>FieldApplications!$V$9</f>
        <v>0</v>
      </c>
      <c r="F82" s="117" t="str">
        <f t="shared" si="12"/>
        <v>0</v>
      </c>
      <c r="H82" s="246">
        <f>MachineAssumptions!$S$31*E82</f>
        <v>0</v>
      </c>
      <c r="I82" s="166">
        <f>MachineAssumptions!$S$51*E82</f>
        <v>0</v>
      </c>
    </row>
    <row r="83" spans="1:9" ht="20">
      <c r="A83" s="15"/>
      <c r="B83" s="85" t="str">
        <f>MachineAssumptions!B10&amp;" - Repairs"</f>
        <v>Moldboard plow - Repairs</v>
      </c>
      <c r="C83" s="41" t="s">
        <v>246</v>
      </c>
      <c r="D83" s="116">
        <f>MachineAssumptions!$T$10</f>
        <v>0</v>
      </c>
      <c r="E83" s="87">
        <f>FieldApplications!$V$9</f>
        <v>0</v>
      </c>
      <c r="F83" s="117" t="str">
        <f t="shared" si="12"/>
        <v>0</v>
      </c>
      <c r="H83" s="246">
        <f>MachineAssumptions!$T$31*E83</f>
        <v>0</v>
      </c>
      <c r="I83" s="166">
        <f>MachineAssumptions!$T$51*E83</f>
        <v>0</v>
      </c>
    </row>
    <row r="84" spans="1:9" ht="20">
      <c r="A84" s="15"/>
      <c r="B84" s="85" t="str">
        <f>MachineAssumptions!B11&amp;" - Labor"</f>
        <v>Cultivator - Labor</v>
      </c>
      <c r="C84" s="41" t="s">
        <v>246</v>
      </c>
      <c r="D84" s="116">
        <f>MachineAssumptions!$R$11</f>
        <v>0</v>
      </c>
      <c r="E84" s="87">
        <f>FieldApplications!$V$10</f>
        <v>0</v>
      </c>
      <c r="F84" s="117" t="str">
        <f t="shared" si="12"/>
        <v>0</v>
      </c>
      <c r="H84" s="246">
        <f>MachineAssumptions!$R$32*E84</f>
        <v>0</v>
      </c>
      <c r="I84" s="166">
        <f>MachineAssumptions!$R$52*E84</f>
        <v>0</v>
      </c>
    </row>
    <row r="85" spans="1:9" ht="20">
      <c r="A85" s="15"/>
      <c r="B85" s="85" t="str">
        <f>MachineAssumptions!B11&amp;" - Fuel, Lube"</f>
        <v>Cultivator - Fuel, Lube</v>
      </c>
      <c r="C85" s="41" t="s">
        <v>246</v>
      </c>
      <c r="D85" s="116">
        <f>MachineAssumptions!$S$11</f>
        <v>0</v>
      </c>
      <c r="E85" s="87">
        <f>FieldApplications!$V$10</f>
        <v>0</v>
      </c>
      <c r="F85" s="117" t="str">
        <f t="shared" si="12"/>
        <v>0</v>
      </c>
      <c r="H85" s="246">
        <f>MachineAssumptions!$S$32*E85</f>
        <v>0</v>
      </c>
      <c r="I85" s="166">
        <f>MachineAssumptions!$S$52*E85</f>
        <v>0</v>
      </c>
    </row>
    <row r="86" spans="1:9" ht="20">
      <c r="A86" s="15"/>
      <c r="B86" s="85" t="str">
        <f>MachineAssumptions!B11&amp;" - Repairs"</f>
        <v>Cultivator - Repairs</v>
      </c>
      <c r="C86" s="41" t="s">
        <v>246</v>
      </c>
      <c r="D86" s="116">
        <f>MachineAssumptions!$T$11</f>
        <v>0</v>
      </c>
      <c r="E86" s="87">
        <f>FieldApplications!$V$10</f>
        <v>0</v>
      </c>
      <c r="F86" s="117" t="str">
        <f t="shared" si="12"/>
        <v>0</v>
      </c>
      <c r="H86" s="246">
        <f>MachineAssumptions!$T$32*E86</f>
        <v>0</v>
      </c>
      <c r="I86" s="166">
        <f>MachineAssumptions!$T$52*E86</f>
        <v>0</v>
      </c>
    </row>
    <row r="87" spans="1:9" ht="20">
      <c r="A87" s="15"/>
      <c r="B87" s="85" t="str">
        <f>MachineAssumptions!B12&amp;" - Labor"</f>
        <v>Cultiweeder - Labor</v>
      </c>
      <c r="C87" s="41" t="s">
        <v>246</v>
      </c>
      <c r="D87" s="116">
        <f>MachineAssumptions!$R$12</f>
        <v>0</v>
      </c>
      <c r="E87" s="87">
        <f>FieldApplications!$V$11</f>
        <v>0</v>
      </c>
      <c r="F87" s="117" t="str">
        <f t="shared" si="12"/>
        <v>0</v>
      </c>
      <c r="H87" s="246">
        <f>MachineAssumptions!$R$33*E87</f>
        <v>0</v>
      </c>
      <c r="I87" s="166">
        <f>MachineAssumptions!$R$53*E87</f>
        <v>0</v>
      </c>
    </row>
    <row r="88" spans="1:9" ht="20">
      <c r="A88" s="15"/>
      <c r="B88" s="85" t="str">
        <f>MachineAssumptions!B12&amp;" - Fuel, Lube"</f>
        <v>Cultiweeder - Fuel, Lube</v>
      </c>
      <c r="C88" s="41" t="s">
        <v>246</v>
      </c>
      <c r="D88" s="116">
        <f>MachineAssumptions!$S$12</f>
        <v>0</v>
      </c>
      <c r="E88" s="87">
        <f>FieldApplications!$V$11</f>
        <v>0</v>
      </c>
      <c r="F88" s="117" t="str">
        <f t="shared" si="12"/>
        <v>0</v>
      </c>
      <c r="H88" s="246">
        <f>MachineAssumptions!$S$33*E88</f>
        <v>0</v>
      </c>
      <c r="I88" s="166">
        <f>MachineAssumptions!$S$53*E88</f>
        <v>0</v>
      </c>
    </row>
    <row r="89" spans="1:9" ht="20">
      <c r="A89" s="15"/>
      <c r="B89" s="85" t="str">
        <f>MachineAssumptions!B12&amp;" - Repairs"</f>
        <v>Cultiweeder - Repairs</v>
      </c>
      <c r="C89" s="41" t="s">
        <v>246</v>
      </c>
      <c r="D89" s="116">
        <f>MachineAssumptions!$T$12</f>
        <v>0</v>
      </c>
      <c r="E89" s="87">
        <f>FieldApplications!$V$11</f>
        <v>0</v>
      </c>
      <c r="F89" s="117" t="str">
        <f t="shared" si="12"/>
        <v>0</v>
      </c>
      <c r="H89" s="246">
        <f>MachineAssumptions!$T$33*E89</f>
        <v>0</v>
      </c>
      <c r="I89" s="166">
        <f>MachineAssumptions!$T$53*E89</f>
        <v>0</v>
      </c>
    </row>
    <row r="90" spans="1:9" ht="20">
      <c r="A90" s="15"/>
      <c r="B90" s="85" t="str">
        <f>MachineAssumptions!B13&amp;" - Labor"</f>
        <v>Drill - Labor</v>
      </c>
      <c r="C90" s="41" t="s">
        <v>246</v>
      </c>
      <c r="D90" s="116">
        <f>MachineAssumptions!$R$13</f>
        <v>1.6703109815354713</v>
      </c>
      <c r="E90" s="87">
        <f>FieldApplications!$V$12</f>
        <v>1</v>
      </c>
      <c r="F90" s="117">
        <f t="shared" si="12"/>
        <v>1.6703109815354713</v>
      </c>
      <c r="H90" s="246">
        <f>MachineAssumptions!$R$34*E90</f>
        <v>1.6703109815354713</v>
      </c>
      <c r="I90" s="166">
        <f>MachineAssumptions!$R$54*E90</f>
        <v>1.6703109815354713</v>
      </c>
    </row>
    <row r="91" spans="1:9" ht="20">
      <c r="A91" s="15"/>
      <c r="B91" s="85" t="str">
        <f>MachineAssumptions!B13&amp;" - Fuel, Lube"</f>
        <v>Drill - Fuel, Lube</v>
      </c>
      <c r="C91" s="41" t="s">
        <v>246</v>
      </c>
      <c r="D91" s="116">
        <f>MachineAssumptions!$S$13</f>
        <v>6.146744412050535</v>
      </c>
      <c r="E91" s="87">
        <f>FieldApplications!$V$12</f>
        <v>1</v>
      </c>
      <c r="F91" s="117">
        <f t="shared" si="12"/>
        <v>6.146744412050535</v>
      </c>
      <c r="H91" s="246">
        <f>MachineAssumptions!$S$34*E91</f>
        <v>6.146744412050535</v>
      </c>
      <c r="I91" s="166">
        <f>MachineAssumptions!$S$54*E91</f>
        <v>6.146744412050535</v>
      </c>
    </row>
    <row r="92" spans="1:9" ht="20">
      <c r="A92" s="15"/>
      <c r="B92" s="85" t="str">
        <f>MachineAssumptions!B13&amp;" - Repairs"</f>
        <v>Drill - Repairs</v>
      </c>
      <c r="C92" s="41" t="s">
        <v>246</v>
      </c>
      <c r="D92" s="116">
        <f>MachineAssumptions!$T$13</f>
        <v>5.740409656342587</v>
      </c>
      <c r="E92" s="87">
        <f>FieldApplications!$V$12</f>
        <v>1</v>
      </c>
      <c r="F92" s="117">
        <f t="shared" si="12"/>
        <v>5.740409656342587</v>
      </c>
      <c r="H92" s="246">
        <f>MachineAssumptions!$T$34*E92</f>
        <v>5.740409656342587</v>
      </c>
      <c r="I92" s="166">
        <f>MachineAssumptions!$T$54*E92</f>
        <v>5.740409656342587</v>
      </c>
    </row>
    <row r="93" spans="1:9" ht="20">
      <c r="A93" s="15"/>
      <c r="B93" s="85" t="str">
        <f>MachineAssumptions!B14&amp;" - Labor"</f>
        <v>Combine w/ 36' header - Labor</v>
      </c>
      <c r="C93" s="41" t="s">
        <v>246</v>
      </c>
      <c r="D93" s="116">
        <f>MachineAssumptions!$R$14</f>
        <v>1.9161092530657748</v>
      </c>
      <c r="E93" s="87">
        <f>FieldApplications!$V$13</f>
        <v>1</v>
      </c>
      <c r="F93" s="117">
        <f t="shared" si="12"/>
        <v>1.9161092530657748</v>
      </c>
      <c r="H93" s="246">
        <f>MachineAssumptions!$R$35*E93</f>
        <v>1.9161092530657748</v>
      </c>
      <c r="I93" s="166">
        <f>MachineAssumptions!$R$55*E93</f>
        <v>1.9161092530657748</v>
      </c>
    </row>
    <row r="94" spans="1:9" ht="20">
      <c r="A94" s="15"/>
      <c r="B94" s="85" t="str">
        <f>MachineAssumptions!B14&amp;" - Fuel, Lube"</f>
        <v>Combine w/ 36' header - Fuel, Lube</v>
      </c>
      <c r="C94" s="41" t="s">
        <v>246</v>
      </c>
      <c r="D94" s="116">
        <f>MachineAssumptions!$S$14</f>
        <v>7.0512820512820511</v>
      </c>
      <c r="E94" s="87">
        <f>FieldApplications!$V$13</f>
        <v>1</v>
      </c>
      <c r="F94" s="117">
        <f t="shared" si="12"/>
        <v>7.0512820512820511</v>
      </c>
      <c r="H94" s="246">
        <f>MachineAssumptions!$S$35*E94</f>
        <v>7.0512820512820511</v>
      </c>
      <c r="I94" s="166">
        <f>MachineAssumptions!$S$55*E94</f>
        <v>7.0512820512820511</v>
      </c>
    </row>
    <row r="95" spans="1:9" ht="20">
      <c r="A95" s="15"/>
      <c r="B95" s="85" t="str">
        <f>MachineAssumptions!B14&amp;" - Repairs"</f>
        <v>Combine w/ 36' header - Repairs</v>
      </c>
      <c r="C95" s="41" t="s">
        <v>246</v>
      </c>
      <c r="D95" s="116">
        <f>MachineAssumptions!$T$14</f>
        <v>6.4258281801385913</v>
      </c>
      <c r="E95" s="87">
        <f>FieldApplications!$V$13</f>
        <v>1</v>
      </c>
      <c r="F95" s="117">
        <f t="shared" si="12"/>
        <v>6.4258281801385913</v>
      </c>
      <c r="H95" s="246">
        <f>MachineAssumptions!$T$35*E95</f>
        <v>6.4258281801385913</v>
      </c>
      <c r="I95" s="166">
        <f>MachineAssumptions!$T$55*E95</f>
        <v>4.0416300769413871</v>
      </c>
    </row>
    <row r="96" spans="1:9" ht="20">
      <c r="A96" s="15"/>
      <c r="B96" s="85" t="str">
        <f>MachineAssumptions!B16&amp;" - Labor"</f>
        <v>Fertilizer Spreader - Labor</v>
      </c>
      <c r="C96" s="41" t="s">
        <v>246</v>
      </c>
      <c r="D96" s="116">
        <f>MachineAssumptions!$R$16</f>
        <v>0</v>
      </c>
      <c r="E96" s="87">
        <f>FieldApplications!$V$14</f>
        <v>0</v>
      </c>
      <c r="F96" s="117" t="str">
        <f t="shared" si="12"/>
        <v>0</v>
      </c>
      <c r="H96" s="246">
        <f>MachineAssumptions!$R$36*E96</f>
        <v>0</v>
      </c>
      <c r="I96" s="166">
        <f>MachineAssumptions!$R$56*E96</f>
        <v>0</v>
      </c>
    </row>
    <row r="97" spans="1:9" ht="20">
      <c r="A97" s="15"/>
      <c r="B97" s="85" t="str">
        <f>MachineAssumptions!B16&amp;" - Fuel, Lube"</f>
        <v>Fertilizer Spreader - Fuel, Lube</v>
      </c>
      <c r="C97" s="41" t="s">
        <v>246</v>
      </c>
      <c r="D97" s="116">
        <f>MachineAssumptions!$S$16</f>
        <v>0</v>
      </c>
      <c r="E97" s="87">
        <f>FieldApplications!$V$14</f>
        <v>0</v>
      </c>
      <c r="F97" s="117" t="str">
        <f t="shared" si="12"/>
        <v>0</v>
      </c>
      <c r="H97" s="246">
        <f>MachineAssumptions!$S$36*E97</f>
        <v>0</v>
      </c>
      <c r="I97" s="166">
        <f>MachineAssumptions!$S$56*E97</f>
        <v>0</v>
      </c>
    </row>
    <row r="98" spans="1:9" ht="20">
      <c r="A98" s="15"/>
      <c r="B98" s="85" t="str">
        <f>MachineAssumptions!B16&amp;" - Repairs"</f>
        <v>Fertilizer Spreader - Repairs</v>
      </c>
      <c r="C98" s="41" t="s">
        <v>246</v>
      </c>
      <c r="D98" s="116">
        <f>MachineAssumptions!$T$16</f>
        <v>0</v>
      </c>
      <c r="E98" s="87">
        <f>FieldApplications!$V$14</f>
        <v>0</v>
      </c>
      <c r="F98" s="117" t="str">
        <f t="shared" si="12"/>
        <v>0</v>
      </c>
      <c r="H98" s="246">
        <f>MachineAssumptions!$T$36*E98</f>
        <v>0</v>
      </c>
      <c r="I98" s="166">
        <f>MachineAssumptions!$T$56*E98</f>
        <v>0</v>
      </c>
    </row>
    <row r="99" spans="1:9" ht="20">
      <c r="A99" s="15"/>
      <c r="B99" s="85" t="str">
        <f>MachineAssumptions!B17&amp;" - Labor"</f>
        <v>Fertilizer tanks and pump - Labor</v>
      </c>
      <c r="C99" s="41" t="s">
        <v>246</v>
      </c>
      <c r="D99" s="116">
        <f>MachineAssumptions!$R$17</f>
        <v>2.2448979591836737</v>
      </c>
      <c r="E99" s="87">
        <f>FieldApplications!$V$15</f>
        <v>1</v>
      </c>
      <c r="F99" s="117">
        <f t="shared" si="12"/>
        <v>2.2448979591836737</v>
      </c>
      <c r="H99" s="246">
        <f>MachineAssumptions!$R$37*E99</f>
        <v>2.2448979591836737</v>
      </c>
      <c r="I99" s="166">
        <f>MachineAssumptions!$R$57*E99</f>
        <v>2.2448979591836737</v>
      </c>
    </row>
    <row r="100" spans="1:9" ht="20">
      <c r="A100" s="15"/>
      <c r="B100" s="85" t="str">
        <f>MachineAssumptions!B17&amp;" - Fuel, Lube"</f>
        <v>Fertilizer tanks and pump - Fuel, Lube</v>
      </c>
      <c r="C100" s="41" t="s">
        <v>246</v>
      </c>
      <c r="D100" s="116">
        <f>MachineAssumptions!$S$17</f>
        <v>9.387755102040817</v>
      </c>
      <c r="E100" s="87">
        <f>FieldApplications!$V$15</f>
        <v>1</v>
      </c>
      <c r="F100" s="117">
        <f t="shared" si="12"/>
        <v>9.387755102040817</v>
      </c>
      <c r="H100" s="246">
        <f>MachineAssumptions!$S$37*E100</f>
        <v>9.387755102040817</v>
      </c>
      <c r="I100" s="166">
        <f>MachineAssumptions!$S$57*E100</f>
        <v>9.387755102040817</v>
      </c>
    </row>
    <row r="101" spans="1:9" ht="20">
      <c r="A101" s="15"/>
      <c r="B101" s="85" t="str">
        <f>MachineAssumptions!B17&amp;" - Repairs"</f>
        <v>Fertilizer tanks and pump - Repairs</v>
      </c>
      <c r="C101" s="41" t="s">
        <v>246</v>
      </c>
      <c r="D101" s="116">
        <f>MachineAssumptions!$T$17</f>
        <v>0</v>
      </c>
      <c r="E101" s="87">
        <f>FieldApplications!$V$15</f>
        <v>1</v>
      </c>
      <c r="F101" s="117" t="str">
        <f t="shared" si="12"/>
        <v>0</v>
      </c>
      <c r="H101" s="246">
        <f>MachineAssumptions!$T$37*E101</f>
        <v>0</v>
      </c>
      <c r="I101" s="166">
        <f>MachineAssumptions!$T$57*E101</f>
        <v>0</v>
      </c>
    </row>
    <row r="102" spans="1:9" ht="20">
      <c r="A102" s="15"/>
      <c r="B102" s="85" t="str">
        <f>MachineAssumptions!B18&amp;" - Labor"</f>
        <v>Boom sprayer - Labor</v>
      </c>
      <c r="C102" s="41" t="s">
        <v>246</v>
      </c>
      <c r="D102" s="116">
        <f>MachineAssumptions!$R$18</f>
        <v>0.4708120318630365</v>
      </c>
      <c r="E102" s="87">
        <f>FieldApplications!$V$16</f>
        <v>3</v>
      </c>
      <c r="F102" s="117">
        <f t="shared" si="12"/>
        <v>1.4124360955891095</v>
      </c>
      <c r="H102" s="246">
        <f>MachineAssumptions!$R$38*E102</f>
        <v>1.4124360955891095</v>
      </c>
      <c r="I102" s="166">
        <f>MachineAssumptions!$R$58*E102</f>
        <v>1.4124360955891095</v>
      </c>
    </row>
    <row r="103" spans="1:9" ht="20">
      <c r="A103" s="15"/>
      <c r="B103" s="85" t="str">
        <f>MachineAssumptions!B18&amp;" - Fuel, Lube"</f>
        <v>Boom sprayer - Fuel, Lube</v>
      </c>
      <c r="C103" s="41" t="s">
        <v>246</v>
      </c>
      <c r="D103" s="116">
        <f>MachineAssumptions!$S$18</f>
        <v>1.8047794554749732</v>
      </c>
      <c r="E103" s="87">
        <f>FieldApplications!$V$16</f>
        <v>3</v>
      </c>
      <c r="F103" s="117">
        <f t="shared" si="12"/>
        <v>5.4143383664249196</v>
      </c>
      <c r="H103" s="246">
        <f>MachineAssumptions!$S$38*E103</f>
        <v>5.4143383664249196</v>
      </c>
      <c r="I103" s="166">
        <f>MachineAssumptions!$S$58*E103</f>
        <v>5.4143383664249196</v>
      </c>
    </row>
    <row r="104" spans="1:9" ht="20">
      <c r="A104" s="15"/>
      <c r="B104" s="85" t="str">
        <f>MachineAssumptions!B18&amp;" - Repairs"</f>
        <v>Boom sprayer - Repairs</v>
      </c>
      <c r="C104" s="41" t="s">
        <v>246</v>
      </c>
      <c r="D104" s="116">
        <f>MachineAssumptions!$T$18</f>
        <v>0.49795949063219769</v>
      </c>
      <c r="E104" s="87">
        <f>FieldApplications!$V$16</f>
        <v>3</v>
      </c>
      <c r="F104" s="117">
        <f t="shared" si="12"/>
        <v>1.493878471896593</v>
      </c>
      <c r="H104" s="246">
        <f>MachineAssumptions!$T$38*E104</f>
        <v>1.5084005569154613</v>
      </c>
      <c r="I104" s="166">
        <f>MachineAssumptions!$T$58*E104</f>
        <v>1.3532484858048683</v>
      </c>
    </row>
    <row r="105" spans="1:9" ht="20">
      <c r="A105" s="15"/>
      <c r="B105" s="85" t="str">
        <f>MachineAssumptions!B15&amp;" - Labor"</f>
        <v>Bankout Wagon - Labor</v>
      </c>
      <c r="C105" s="41" t="s">
        <v>246</v>
      </c>
      <c r="D105" s="116">
        <f>MachineAssumptions!$R$15</f>
        <v>1.6861761426978819</v>
      </c>
      <c r="E105" s="87">
        <f t="shared" ref="E105:E113" si="13">IF($E$93&gt;0,1,0)</f>
        <v>1</v>
      </c>
      <c r="F105" s="117">
        <f t="shared" si="12"/>
        <v>1.6861761426978819</v>
      </c>
      <c r="H105" s="246">
        <f>MachineAssumptions!$R$39*E105</f>
        <v>1.6861761426978819</v>
      </c>
      <c r="I105" s="166">
        <f>MachineAssumptions!$R$59*E105</f>
        <v>1.6861761426978819</v>
      </c>
    </row>
    <row r="106" spans="1:9" ht="20">
      <c r="A106" s="15"/>
      <c r="B106" s="85" t="str">
        <f>MachineAssumptions!B15&amp;" - Fuel, Lube"</f>
        <v>Bankout Wagon - Fuel, Lube</v>
      </c>
      <c r="C106" s="41" t="s">
        <v>246</v>
      </c>
      <c r="D106" s="116">
        <f>MachineAssumptions!$S$15</f>
        <v>7.0512820512820511</v>
      </c>
      <c r="E106" s="87">
        <f t="shared" si="13"/>
        <v>1</v>
      </c>
      <c r="F106" s="117">
        <f t="shared" si="12"/>
        <v>7.0512820512820511</v>
      </c>
      <c r="H106" s="246">
        <f>MachineAssumptions!$S$39*E106</f>
        <v>7.0512820512820511</v>
      </c>
      <c r="I106" s="166">
        <f>MachineAssumptions!$S$59*E106</f>
        <v>7.0512820512820511</v>
      </c>
    </row>
    <row r="107" spans="1:9" ht="20">
      <c r="A107" s="15"/>
      <c r="B107" s="85" t="str">
        <f>MachineAssumptions!B15&amp;" - Repairs"</f>
        <v>Bankout Wagon - Repairs</v>
      </c>
      <c r="C107" s="41" t="s">
        <v>246</v>
      </c>
      <c r="D107" s="116">
        <f>MachineAssumptions!$T$15</f>
        <v>0.5058930256896228</v>
      </c>
      <c r="E107" s="87">
        <f t="shared" si="13"/>
        <v>1</v>
      </c>
      <c r="F107" s="117">
        <f t="shared" si="12"/>
        <v>0.5058930256896228</v>
      </c>
      <c r="H107" s="246">
        <f>MachineAssumptions!$T$39*E107</f>
        <v>0.5058930256896228</v>
      </c>
      <c r="I107" s="166">
        <f>MachineAssumptions!$T$59*E107</f>
        <v>0.43525361955195507</v>
      </c>
    </row>
    <row r="108" spans="1:9" ht="20">
      <c r="A108" s="15"/>
      <c r="B108" s="85" t="str">
        <f>MachineAssumptions!B19&amp;" - Labor"</f>
        <v>Tandem Axle Truck  - Labor</v>
      </c>
      <c r="C108" s="41" t="s">
        <v>246</v>
      </c>
      <c r="D108" s="116">
        <f>MachineAssumptions!$R$19</f>
        <v>3.6</v>
      </c>
      <c r="E108" s="87">
        <f t="shared" si="13"/>
        <v>1</v>
      </c>
      <c r="F108" s="117">
        <f t="shared" si="12"/>
        <v>3.6</v>
      </c>
      <c r="H108" s="246">
        <f>MachineAssumptions!$R$40*E108</f>
        <v>3.6</v>
      </c>
      <c r="I108" s="166">
        <f>MachineAssumptions!$R$60*E108</f>
        <v>3.6</v>
      </c>
    </row>
    <row r="109" spans="1:9" ht="20">
      <c r="A109" s="15"/>
      <c r="B109" s="85" t="str">
        <f>MachineAssumptions!B19&amp;" - Fuel, Lube"</f>
        <v>Tandem Axle Truck  - Fuel, Lube</v>
      </c>
      <c r="C109" s="41" t="s">
        <v>246</v>
      </c>
      <c r="D109" s="116">
        <f>MachineAssumptions!$S$19</f>
        <v>1.1499999999999999</v>
      </c>
      <c r="E109" s="87">
        <f t="shared" si="13"/>
        <v>1</v>
      </c>
      <c r="F109" s="117">
        <f t="shared" si="12"/>
        <v>1.1499999999999999</v>
      </c>
      <c r="H109" s="246">
        <f>MachineAssumptions!$S$40*E109</f>
        <v>1.1499999999999999</v>
      </c>
      <c r="I109" s="166">
        <f>MachineAssumptions!$S$60*E109</f>
        <v>1.1499999999999999</v>
      </c>
    </row>
    <row r="110" spans="1:9" ht="20">
      <c r="A110" s="15"/>
      <c r="B110" s="85" t="str">
        <f>MachineAssumptions!B19&amp;" - Repairs"</f>
        <v>Tandem Axle Truck  - Repairs</v>
      </c>
      <c r="C110" s="41" t="s">
        <v>246</v>
      </c>
      <c r="D110" s="116">
        <f>MachineAssumptions!$T$19</f>
        <v>0.8</v>
      </c>
      <c r="E110" s="87">
        <f t="shared" si="13"/>
        <v>1</v>
      </c>
      <c r="F110" s="117">
        <f t="shared" si="12"/>
        <v>0.8</v>
      </c>
      <c r="H110" s="246">
        <f>MachineAssumptions!$T$40*E110</f>
        <v>0.8</v>
      </c>
      <c r="I110" s="166">
        <f>MachineAssumptions!$T$60*E110</f>
        <v>0.8</v>
      </c>
    </row>
    <row r="111" spans="1:9" ht="20">
      <c r="A111" s="15"/>
      <c r="B111" s="85" t="str">
        <f>MachineAssumptions!B20&amp;" - Labor"</f>
        <v>Tandem Axle Truck  - Labor</v>
      </c>
      <c r="C111" s="41" t="s">
        <v>246</v>
      </c>
      <c r="D111" s="116">
        <f>MachineAssumptions!$R$20</f>
        <v>3.6</v>
      </c>
      <c r="E111" s="87">
        <f t="shared" si="13"/>
        <v>1</v>
      </c>
      <c r="F111" s="117">
        <f t="shared" si="12"/>
        <v>3.6</v>
      </c>
      <c r="H111" s="416">
        <f>MachineAssumptions!$R$41*E111</f>
        <v>3.6</v>
      </c>
      <c r="I111" s="369">
        <f>MachineAssumptions!$R$61*E111</f>
        <v>3.6</v>
      </c>
    </row>
    <row r="112" spans="1:9" ht="20">
      <c r="A112" s="15"/>
      <c r="B112" s="85" t="str">
        <f>MachineAssumptions!B20&amp;" - Fuel, Lube"</f>
        <v>Tandem Axle Truck  - Fuel, Lube</v>
      </c>
      <c r="C112" s="41" t="s">
        <v>246</v>
      </c>
      <c r="D112" s="116">
        <f>MachineAssumptions!$S$20</f>
        <v>1.72</v>
      </c>
      <c r="E112" s="87">
        <f t="shared" si="13"/>
        <v>1</v>
      </c>
      <c r="F112" s="117">
        <f t="shared" si="12"/>
        <v>1.72</v>
      </c>
      <c r="H112" s="416">
        <f>MachineAssumptions!$S$41*E112</f>
        <v>1.72</v>
      </c>
      <c r="I112" s="369">
        <f>MachineAssumptions!$S$61*E112</f>
        <v>1.72</v>
      </c>
    </row>
    <row r="113" spans="1:13" ht="23">
      <c r="A113" s="15"/>
      <c r="B113" s="85" t="str">
        <f>MachineAssumptions!B20&amp;" - Repairs"</f>
        <v>Tandem Axle Truck  - Repairs</v>
      </c>
      <c r="C113" s="41" t="s">
        <v>246</v>
      </c>
      <c r="D113" s="116">
        <f>MachineAssumptions!$T$20</f>
        <v>0.8</v>
      </c>
      <c r="E113" s="87">
        <f t="shared" si="13"/>
        <v>1</v>
      </c>
      <c r="F113" s="117">
        <f t="shared" si="12"/>
        <v>0.8</v>
      </c>
      <c r="H113" s="248">
        <f>MachineAssumptions!$T$41*E113</f>
        <v>0.8</v>
      </c>
      <c r="I113" s="247">
        <f>MachineAssumptions!$T$61*E113</f>
        <v>0.8</v>
      </c>
    </row>
    <row r="114" spans="1:13" ht="21">
      <c r="A114" s="15"/>
      <c r="B114" s="139" t="s">
        <v>88</v>
      </c>
      <c r="C114" s="41"/>
      <c r="D114" s="116"/>
      <c r="E114" s="87"/>
      <c r="F114" s="117"/>
      <c r="H114" s="249">
        <f>SUM(H74:H113)</f>
        <v>69.831863834238547</v>
      </c>
      <c r="I114" s="249">
        <f>SUM(I74:I113)</f>
        <v>67.221874253793075</v>
      </c>
    </row>
    <row r="115" spans="1:13" ht="20">
      <c r="A115" s="15"/>
      <c r="B115" s="85" t="str">
        <f>'Chem&amp;FertInputs&amp;CInsurance'!B73</f>
        <v>Crop Insurance</v>
      </c>
      <c r="C115" s="23" t="str">
        <f>'Chem&amp;FertInputs&amp;CInsurance'!D73</f>
        <v>acre</v>
      </c>
      <c r="D115" s="116">
        <f>'Chem&amp;FertInputs&amp;CInsurance'!Y73</f>
        <v>16</v>
      </c>
      <c r="E115" s="87">
        <v>1</v>
      </c>
      <c r="F115" s="117">
        <f>IF(D115*E115=0,"0",D115*E115)</f>
        <v>16</v>
      </c>
      <c r="H115" s="1" t="s">
        <v>181</v>
      </c>
      <c r="I115" s="1" t="s">
        <v>181</v>
      </c>
    </row>
    <row r="116" spans="1:13" ht="20">
      <c r="A116" s="15"/>
      <c r="B116" s="85" t="s">
        <v>29</v>
      </c>
      <c r="C116" s="41" t="s">
        <v>83</v>
      </c>
      <c r="D116" s="111">
        <f>MachineAssumptions!D25</f>
        <v>0.05</v>
      </c>
      <c r="E116" s="87"/>
      <c r="F116" s="117">
        <f>SUM(F8:F115)*D116</f>
        <v>11.180684587460982</v>
      </c>
      <c r="G116" s="1" t="s">
        <v>111</v>
      </c>
      <c r="H116" s="49">
        <f>(SUM($F8:$F70)+$F115+SUM(H72:H113))*$D116</f>
        <v>11.181410691711926</v>
      </c>
      <c r="I116" s="49">
        <f>(SUM($F8:$F70)+$F115+SUM(I72:I113))*$D116</f>
        <v>11.050911212689654</v>
      </c>
      <c r="J116" s="49">
        <f>F72+F75+F78+F81+F84+F87+F90+F93+F96+F99+F102+F105+F108+F111</f>
        <v>16.129930432071912</v>
      </c>
      <c r="K116" s="1" t="s">
        <v>111</v>
      </c>
    </row>
    <row r="117" spans="1:13" ht="20">
      <c r="A117" s="15"/>
      <c r="B117" s="85" t="s">
        <v>84</v>
      </c>
      <c r="C117" s="41" t="s">
        <v>83</v>
      </c>
      <c r="D117" s="111">
        <f>MachineAssumptions!D26</f>
        <v>6.7500000000000004E-2</v>
      </c>
      <c r="E117" s="112"/>
      <c r="F117" s="118">
        <f>SUM(F8:F116)*(D117/12*MachineAssumptions!D27)</f>
        <v>11.886465302044456</v>
      </c>
      <c r="G117" s="1" t="s">
        <v>4</v>
      </c>
      <c r="H117" s="49">
        <f>(SUM(F8:F70)+(F115+F116+H114))*((D117/12)*MachineAssumptions!D27)</f>
        <v>11.887200482598539</v>
      </c>
      <c r="I117" s="49">
        <f>(SUM(F8:F70)+(F115+F116+I114))*((D117/12)*MachineAssumptions!D27)</f>
        <v>11.755069760088487</v>
      </c>
      <c r="J117" s="49">
        <f>F73+F76+F79+F82+F85+F88+F91+F94+F97+F100+F103+F106+F109+F112</f>
        <v>37.921401983080372</v>
      </c>
      <c r="K117" s="1" t="s">
        <v>4</v>
      </c>
    </row>
    <row r="118" spans="1:13" ht="20">
      <c r="A118" s="15"/>
      <c r="B118" s="14" t="s">
        <v>85</v>
      </c>
      <c r="C118" s="29"/>
      <c r="D118" s="141"/>
      <c r="E118" s="142"/>
      <c r="F118" s="143">
        <f>SUM(F8:F117)</f>
        <v>246.68084163872507</v>
      </c>
      <c r="G118" s="1" t="s">
        <v>112</v>
      </c>
      <c r="J118" s="49">
        <f>F74+F77+F80+F83+F86+F89+F92+F95+F98+F101+F104+F107+F110+F113</f>
        <v>15.766009334067396</v>
      </c>
      <c r="K118" s="1" t="s">
        <v>112</v>
      </c>
      <c r="L118" s="49">
        <f>H74+H77+H80+H83+H86+H89+H92+H95+H98+H101+H104+H107+H110+H113</f>
        <v>15.780531419086264</v>
      </c>
      <c r="M118" s="49">
        <f>I74+I77+I80+I83+I86+I89+I92+I95+I98+I101+I104+I107+I110+I113</f>
        <v>13.1705418386408</v>
      </c>
    </row>
    <row r="119" spans="1:13">
      <c r="A119" s="15"/>
      <c r="B119" s="113"/>
      <c r="C119" s="113"/>
      <c r="D119" s="113"/>
      <c r="E119" s="114"/>
      <c r="F119" s="115"/>
      <c r="H119" s="115"/>
      <c r="J119" s="49">
        <f>SUM(J116:J118)</f>
        <v>69.817341749219679</v>
      </c>
      <c r="K119" s="115"/>
    </row>
    <row r="120" spans="1:13" ht="20">
      <c r="A120" s="15"/>
      <c r="B120" s="132" t="s">
        <v>89</v>
      </c>
      <c r="C120" s="19" t="s">
        <v>2</v>
      </c>
      <c r="D120" s="20" t="s">
        <v>12</v>
      </c>
      <c r="E120" s="21" t="s">
        <v>13</v>
      </c>
      <c r="F120" s="45" t="s">
        <v>0</v>
      </c>
      <c r="H120" s="1" t="s">
        <v>136</v>
      </c>
      <c r="I120" s="1" t="s">
        <v>139</v>
      </c>
    </row>
    <row r="121" spans="1:13" ht="20">
      <c r="A121" s="15"/>
      <c r="B121" s="18" t="str">
        <f>MachineAssumptions!B7&amp;" - Replacement Costs"</f>
        <v>Shredder - Replacement Costs</v>
      </c>
      <c r="C121" s="41" t="str">
        <f>C72</f>
        <v>acre</v>
      </c>
      <c r="D121" s="34">
        <f>MachineAssumptions!U7</f>
        <v>4.3329737628911431</v>
      </c>
      <c r="E121" s="145">
        <f>E72</f>
        <v>0</v>
      </c>
      <c r="F121" s="42" t="str">
        <f t="shared" ref="F121:F134" si="14">IF(D121*E121=0,"0",D121*E121)</f>
        <v>0</v>
      </c>
      <c r="H121" s="166">
        <f>MachineAssumptions!U28*E121</f>
        <v>0</v>
      </c>
      <c r="I121" s="166">
        <f>MachineAssumptions!U48*E121</f>
        <v>0</v>
      </c>
    </row>
    <row r="122" spans="1:13" ht="20">
      <c r="A122" s="15"/>
      <c r="B122" s="18" t="str">
        <f>MachineAssumptions!B8&amp;" - Replacement Costs"</f>
        <v>Harrow - Replacement Costs</v>
      </c>
      <c r="C122" s="41" t="str">
        <f>C75</f>
        <v>acre</v>
      </c>
      <c r="D122" s="34">
        <f>MachineAssumptions!U8</f>
        <v>1.1988479209967022</v>
      </c>
      <c r="E122" s="145">
        <f>E75</f>
        <v>0</v>
      </c>
      <c r="F122" s="42" t="str">
        <f t="shared" si="14"/>
        <v>0</v>
      </c>
      <c r="H122" s="166">
        <f>MachineAssumptions!U29*E122</f>
        <v>0</v>
      </c>
      <c r="I122" s="166">
        <f>MachineAssumptions!U49*E122</f>
        <v>0</v>
      </c>
    </row>
    <row r="123" spans="1:13" ht="20">
      <c r="A123" s="15"/>
      <c r="B123" s="18" t="str">
        <f>MachineAssumptions!B9&amp;" - Replacement Costs"</f>
        <v>Chisel plow - Replacement Costs</v>
      </c>
      <c r="C123" s="41" t="str">
        <f>C78</f>
        <v>acre</v>
      </c>
      <c r="D123" s="34">
        <f>MachineAssumptions!U9</f>
        <v>0</v>
      </c>
      <c r="E123" s="145">
        <f>E78</f>
        <v>0</v>
      </c>
      <c r="F123" s="42" t="str">
        <f t="shared" si="14"/>
        <v>0</v>
      </c>
      <c r="H123" s="166">
        <f>MachineAssumptions!U30*E123</f>
        <v>0</v>
      </c>
      <c r="I123" s="166">
        <f>MachineAssumptions!U50*E123</f>
        <v>0</v>
      </c>
    </row>
    <row r="124" spans="1:13" ht="20">
      <c r="A124" s="15"/>
      <c r="B124" s="18" t="str">
        <f>MachineAssumptions!B10&amp;" - Replacement Costs"</f>
        <v>Moldboard plow - Replacement Costs</v>
      </c>
      <c r="C124" s="41" t="str">
        <f>C81</f>
        <v>acre</v>
      </c>
      <c r="D124" s="34">
        <f>MachineAssumptions!U10</f>
        <v>0</v>
      </c>
      <c r="E124" s="145">
        <f>E81</f>
        <v>0</v>
      </c>
      <c r="F124" s="42" t="str">
        <f t="shared" si="14"/>
        <v>0</v>
      </c>
      <c r="H124" s="166">
        <f>MachineAssumptions!U31*E124</f>
        <v>0</v>
      </c>
      <c r="I124" s="166">
        <f>MachineAssumptions!U51*E124</f>
        <v>0</v>
      </c>
    </row>
    <row r="125" spans="1:13" ht="20">
      <c r="A125" s="15"/>
      <c r="B125" s="18" t="str">
        <f>MachineAssumptions!B11&amp;" - Replacement Costs"</f>
        <v>Cultivator - Replacement Costs</v>
      </c>
      <c r="C125" s="41" t="str">
        <f t="shared" ref="C125:C126" si="15">C82</f>
        <v>acre</v>
      </c>
      <c r="D125" s="34">
        <f>MachineAssumptions!U11</f>
        <v>0</v>
      </c>
      <c r="E125" s="145">
        <f>E84</f>
        <v>0</v>
      </c>
      <c r="F125" s="42" t="str">
        <f t="shared" ref="F125:F126" si="16">IF(D125*E125=0,"0",D125*E125)</f>
        <v>0</v>
      </c>
      <c r="H125" s="166">
        <f>MachineAssumptions!U32*E125</f>
        <v>0</v>
      </c>
      <c r="I125" s="166">
        <f>MachineAssumptions!U52*E125</f>
        <v>0</v>
      </c>
    </row>
    <row r="126" spans="1:13" ht="20">
      <c r="A126" s="15"/>
      <c r="B126" s="18" t="str">
        <f>MachineAssumptions!B12&amp;" - Replacement Costs"</f>
        <v>Cultiweeder - Replacement Costs</v>
      </c>
      <c r="C126" s="41" t="str">
        <f t="shared" si="15"/>
        <v>acre</v>
      </c>
      <c r="D126" s="34">
        <f>MachineAssumptions!U12</f>
        <v>0</v>
      </c>
      <c r="E126" s="145">
        <f>E87</f>
        <v>0</v>
      </c>
      <c r="F126" s="42" t="str">
        <f t="shared" si="16"/>
        <v>0</v>
      </c>
      <c r="H126" s="166">
        <f>MachineAssumptions!U33*E126</f>
        <v>0</v>
      </c>
      <c r="I126" s="166">
        <f>MachineAssumptions!U53*E126</f>
        <v>0</v>
      </c>
    </row>
    <row r="127" spans="1:13" ht="20">
      <c r="A127" s="15"/>
      <c r="B127" s="18" t="str">
        <f>MachineAssumptions!B13&amp;" - Replacement Costs"</f>
        <v>Drill - Replacement Costs</v>
      </c>
      <c r="C127" s="41" t="str">
        <f>C90</f>
        <v>acre</v>
      </c>
      <c r="D127" s="34">
        <f>MachineAssumptions!U13</f>
        <v>7.2419265221735989</v>
      </c>
      <c r="E127" s="145">
        <f>E90</f>
        <v>1</v>
      </c>
      <c r="F127" s="42">
        <f t="shared" si="14"/>
        <v>7.2419265221735989</v>
      </c>
      <c r="H127" s="166">
        <f>MachineAssumptions!U34*E127</f>
        <v>7.2419265221735989</v>
      </c>
      <c r="I127" s="166">
        <f>MachineAssumptions!U54*E127</f>
        <v>7.2419265221735989</v>
      </c>
    </row>
    <row r="128" spans="1:13" ht="20">
      <c r="A128" s="15"/>
      <c r="B128" s="18" t="str">
        <f>MachineAssumptions!B14&amp;" - Replacement Costs"</f>
        <v>Combine w/ 36' header - Replacement Costs</v>
      </c>
      <c r="C128" s="41" t="str">
        <f>C93</f>
        <v>acre</v>
      </c>
      <c r="D128" s="34">
        <f>MachineAssumptions!U14</f>
        <v>9.7031999999999989</v>
      </c>
      <c r="E128" s="145">
        <f>E93</f>
        <v>1</v>
      </c>
      <c r="F128" s="42">
        <f t="shared" si="14"/>
        <v>9.7031999999999989</v>
      </c>
      <c r="H128" s="166">
        <f>MachineAssumptions!U35*E128</f>
        <v>9.7031999999999989</v>
      </c>
      <c r="I128" s="166">
        <f>MachineAssumptions!U55*E128</f>
        <v>9.7032000000000007</v>
      </c>
    </row>
    <row r="129" spans="1:9" ht="20">
      <c r="A129" s="15"/>
      <c r="B129" s="18" t="str">
        <f>MachineAssumptions!B16&amp;" - Replacement Costs"</f>
        <v>Fertilizer Spreader - Replacement Costs</v>
      </c>
      <c r="C129" s="41" t="str">
        <f>C96</f>
        <v>acre</v>
      </c>
      <c r="D129" s="34">
        <f>MachineAssumptions!U16</f>
        <v>0</v>
      </c>
      <c r="E129" s="145">
        <f>E96</f>
        <v>0</v>
      </c>
      <c r="F129" s="42" t="str">
        <f t="shared" si="14"/>
        <v>0</v>
      </c>
      <c r="H129" s="166">
        <f>MachineAssumptions!U36*E129</f>
        <v>0</v>
      </c>
      <c r="I129" s="166">
        <f>MachineAssumptions!U56*E129</f>
        <v>0</v>
      </c>
    </row>
    <row r="130" spans="1:9" ht="20">
      <c r="A130" s="15"/>
      <c r="B130" s="18" t="str">
        <f>MachineAssumptions!B17&amp;" - Replacement Costs"</f>
        <v>Fertilizer tanks and pump - Replacement Costs</v>
      </c>
      <c r="C130" s="41" t="str">
        <f>C99</f>
        <v>acre</v>
      </c>
      <c r="D130" s="34">
        <f>MachineAssumptions!U17</f>
        <v>0.6</v>
      </c>
      <c r="E130" s="145">
        <f>E99</f>
        <v>1</v>
      </c>
      <c r="F130" s="42">
        <f t="shared" si="14"/>
        <v>0.6</v>
      </c>
      <c r="H130" s="166">
        <f>MachineAssumptions!U37*E130</f>
        <v>0.6</v>
      </c>
      <c r="I130" s="166">
        <f>MachineAssumptions!U57*E130</f>
        <v>0.6</v>
      </c>
    </row>
    <row r="131" spans="1:9" ht="20">
      <c r="A131" s="15"/>
      <c r="B131" s="18" t="str">
        <f>MachineAssumptions!B18&amp;" - Replacement Costs"</f>
        <v>Boom sprayer - Replacement Costs</v>
      </c>
      <c r="C131" s="41" t="str">
        <f>C102</f>
        <v>acre</v>
      </c>
      <c r="D131" s="34">
        <f>MachineAssumptions!U18</f>
        <v>0.80913316225248511</v>
      </c>
      <c r="E131" s="145">
        <f>E102</f>
        <v>3</v>
      </c>
      <c r="F131" s="42">
        <f t="shared" si="14"/>
        <v>2.4273994867574551</v>
      </c>
      <c r="H131" s="166">
        <f>MachineAssumptions!U38*E131</f>
        <v>2.4270356342009749</v>
      </c>
      <c r="I131" s="166">
        <f>MachineAssumptions!U58*E131</f>
        <v>2.4273994867574551</v>
      </c>
    </row>
    <row r="132" spans="1:9" ht="20">
      <c r="A132" s="15"/>
      <c r="B132" s="18" t="str">
        <f>MachineAssumptions!B15&amp;" - Replacement Costs"</f>
        <v>Bankout Wagon - Replacement Costs</v>
      </c>
      <c r="C132" s="41" t="str">
        <f>C105</f>
        <v>acre</v>
      </c>
      <c r="D132" s="34">
        <f>MachineAssumptions!U15</f>
        <v>2.9461434675395459</v>
      </c>
      <c r="E132" s="145">
        <f>E105</f>
        <v>1</v>
      </c>
      <c r="F132" s="42">
        <f t="shared" si="14"/>
        <v>2.9461434675395459</v>
      </c>
      <c r="H132" s="166">
        <f>MachineAssumptions!U39*E132</f>
        <v>2.9461434675395459</v>
      </c>
      <c r="I132" s="166">
        <f>MachineAssumptions!U59*E132</f>
        <v>2.9461434675395459</v>
      </c>
    </row>
    <row r="133" spans="1:9" ht="20">
      <c r="A133" s="15"/>
      <c r="B133" s="18" t="str">
        <f>MachineAssumptions!B19&amp;" - Replacement Costs"</f>
        <v>Tandem Axle Truck  - Replacement Costs</v>
      </c>
      <c r="C133" s="41" t="str">
        <f>C108</f>
        <v>acre</v>
      </c>
      <c r="D133" s="34">
        <f>MachineAssumptions!U19</f>
        <v>0.64</v>
      </c>
      <c r="E133" s="145">
        <f>E108</f>
        <v>1</v>
      </c>
      <c r="F133" s="42">
        <f t="shared" si="14"/>
        <v>0.64</v>
      </c>
      <c r="H133" s="166">
        <f>MachineAssumptions!U40*E133</f>
        <v>0.64</v>
      </c>
      <c r="I133" s="166">
        <f>MachineAssumptions!U60*E133</f>
        <v>0.64</v>
      </c>
    </row>
    <row r="134" spans="1:9" ht="23">
      <c r="A134" s="15"/>
      <c r="B134" s="18" t="str">
        <f>MachineAssumptions!B20&amp;" - Replacement Costs"</f>
        <v>Tandem Axle Truck  - Replacement Costs</v>
      </c>
      <c r="C134" s="41" t="str">
        <f t="shared" ref="C134" si="17">C111</f>
        <v>acre</v>
      </c>
      <c r="D134" s="34">
        <f>MachineAssumptions!U20</f>
        <v>0.64</v>
      </c>
      <c r="E134" s="145">
        <f t="shared" ref="E134" si="18">E111</f>
        <v>1</v>
      </c>
      <c r="F134" s="43">
        <f t="shared" si="14"/>
        <v>0.64</v>
      </c>
      <c r="H134" s="247">
        <f>MachineAssumptions!U41*E134</f>
        <v>0.64</v>
      </c>
      <c r="I134" s="247">
        <f>MachineAssumptions!U61*E134</f>
        <v>0.64</v>
      </c>
    </row>
    <row r="135" spans="1:9" ht="20">
      <c r="A135" s="15"/>
      <c r="B135" s="144" t="s">
        <v>38</v>
      </c>
      <c r="C135" s="29"/>
      <c r="D135" s="30"/>
      <c r="E135" s="29"/>
      <c r="F135" s="46">
        <f>SUM(F121:F134)</f>
        <v>24.198669476470602</v>
      </c>
      <c r="H135" s="46">
        <f t="shared" ref="H135:I135" si="19">SUM(H121:H134)</f>
        <v>24.198305623914123</v>
      </c>
      <c r="I135" s="46">
        <f t="shared" si="19"/>
        <v>24.198669476470602</v>
      </c>
    </row>
    <row r="136" spans="1:9" ht="20">
      <c r="A136" s="15"/>
      <c r="B136" s="16"/>
      <c r="C136" s="16"/>
      <c r="D136" s="17"/>
      <c r="E136" s="16"/>
      <c r="F136" s="113"/>
    </row>
    <row r="137" spans="1:9" ht="20">
      <c r="A137" s="15"/>
      <c r="B137" s="14" t="s">
        <v>31</v>
      </c>
      <c r="C137" s="29"/>
      <c r="D137" s="30"/>
      <c r="E137" s="29"/>
      <c r="F137" s="47">
        <f>F118+F135</f>
        <v>270.87951111519567</v>
      </c>
      <c r="H137" s="47">
        <f>SUM(F16:F70)+H114+F115+H116+H117+H135+F8+(H9*D9)+(H10*D10)+(H11*D11)+(H12*D12)+(H13*D13)+(H14*D14)+(H15*D15)</f>
        <v>270.89513063246312</v>
      </c>
      <c r="I137" s="47">
        <f>SUM(F16:F70)+I114+F115+I116+I117+I135+F8+(I9*D9)+(I10*D10)+(I11*D11)+(I12*D12)+(I13*D13)+(I14*D14)+(I15*D15)</f>
        <v>268.02287470304179</v>
      </c>
    </row>
    <row r="138" spans="1:9" ht="21">
      <c r="A138" s="15"/>
      <c r="B138" s="31" t="s">
        <v>32</v>
      </c>
      <c r="C138" s="32"/>
      <c r="D138" s="33"/>
      <c r="E138" s="32"/>
      <c r="F138" s="48">
        <f>F5-F137</f>
        <v>117.17048888480434</v>
      </c>
      <c r="H138" s="250">
        <f>H5-H137</f>
        <v>117.15486936753689</v>
      </c>
      <c r="I138" s="250">
        <f>I5-I137</f>
        <v>120.02712529695822</v>
      </c>
    </row>
    <row r="139" spans="1:9">
      <c r="A139" s="15"/>
    </row>
    <row r="140" spans="1:9">
      <c r="A140" s="15"/>
    </row>
    <row r="141" spans="1:9">
      <c r="A141" s="15"/>
    </row>
  </sheetData>
  <mergeCells count="1">
    <mergeCell ref="B2:F2"/>
  </mergeCells>
  <pageMargins left="0.7" right="0.7" top="0.75" bottom="0.75" header="0.3" footer="0.3"/>
  <pageSetup scale="62" orientation="portrait" r:id="rId1"/>
  <ignoredErrors>
    <ignoredError sqref="B135:F138 B114:F114 B3:F3 B115:D115 B116:F120 E127:G134 E124:G124 B121:C134 E121:F123 E125:F126 C13:E13 B61:E71 C8:D8 B2 B72:B113 D90:E113 D84:F89 D72:E83 B54:E57 B42:E51 B33:E40 B21:E31 B16:F16 B60:E60 C14:G14 F60:H60 B17:H20 G16:H16 B32:H32 F21:H31 B41:H41 F33:H40 B52:H53 F42:H51 B58:H59 F54:H57 B4:F7 E115 C15:G15 C9:E9 C10:E10 C11:E11 C12:E12 B9:B15" unlockedFormula="1"/>
    <ignoredError sqref="D127:D131 D132:D134 D125:D126 D121:D123 D124" formula="1"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4FF68-A5A7-A74F-8AA4-CC5D2B551D59}">
  <sheetPr codeName="Sheet1">
    <pageSetUpPr fitToPage="1"/>
  </sheetPr>
  <dimension ref="A1:KK153"/>
  <sheetViews>
    <sheetView zoomScale="110" zoomScaleNormal="110" workbookViewId="0">
      <selection activeCell="B2" sqref="B2:H2"/>
    </sheetView>
  </sheetViews>
  <sheetFormatPr baseColWidth="10" defaultColWidth="10.83203125" defaultRowHeight="15"/>
  <cols>
    <col min="1" max="1" width="2.1640625" customWidth="1"/>
    <col min="2" max="2" width="15.6640625" customWidth="1"/>
    <col min="3" max="3" width="10.6640625" style="1" customWidth="1"/>
    <col min="4" max="4" width="53.33203125" style="1" customWidth="1"/>
    <col min="5" max="5" width="12.83203125" style="1" customWidth="1"/>
    <col min="6" max="6" width="12.83203125" style="1" hidden="1" customWidth="1"/>
    <col min="7" max="7" width="12.6640625" style="1" customWidth="1"/>
    <col min="8" max="8" width="27.83203125" hidden="1" customWidth="1"/>
    <col min="9" max="9" width="16.83203125" customWidth="1"/>
    <col min="10" max="10" width="3.1640625" style="1" hidden="1" customWidth="1"/>
    <col min="11" max="11" width="16.1640625" style="1" hidden="1" customWidth="1"/>
    <col min="12" max="12" width="13.5" style="1" hidden="1" customWidth="1"/>
    <col min="13" max="13" width="16.83203125" style="1" hidden="1" customWidth="1"/>
    <col min="14" max="14" width="52" style="1" hidden="1" customWidth="1"/>
    <col min="15" max="20" width="16.83203125" style="1" hidden="1" customWidth="1"/>
    <col min="21" max="21" width="10.83203125" hidden="1" customWidth="1"/>
    <col min="22" max="22" width="12.6640625" style="2" hidden="1" customWidth="1"/>
    <col min="23" max="23" width="12.5" style="2" hidden="1" customWidth="1"/>
    <col min="24" max="24" width="14.33203125" style="2" hidden="1" customWidth="1"/>
    <col min="25" max="25" width="12.33203125" style="2" hidden="1" customWidth="1"/>
    <col min="26" max="26" width="15.83203125" style="2" hidden="1" customWidth="1"/>
    <col min="27" max="27" width="17.6640625" style="2" hidden="1" customWidth="1"/>
    <col min="28" max="33" width="10.83203125" style="2" hidden="1" customWidth="1"/>
    <col min="34" max="34" width="11.6640625" style="2" hidden="1" customWidth="1"/>
    <col min="35" max="41" width="10.83203125" style="2" hidden="1" customWidth="1"/>
    <col min="42" max="42" width="12.1640625" style="2" hidden="1" customWidth="1"/>
    <col min="43" max="45" width="10.83203125" style="2" hidden="1" customWidth="1"/>
    <col min="46" max="46" width="17" style="2" hidden="1" customWidth="1"/>
    <col min="47" max="47" width="12.5" style="2" hidden="1" customWidth="1"/>
    <col min="48" max="48" width="12.1640625" style="2" hidden="1" customWidth="1"/>
    <col min="49" max="49" width="12.33203125" style="2" hidden="1" customWidth="1"/>
    <col min="50" max="50" width="15.83203125" style="2" hidden="1" customWidth="1"/>
    <col min="51" max="57" width="10.83203125" style="2" hidden="1" customWidth="1"/>
    <col min="58" max="58" width="11.6640625" style="2" hidden="1" customWidth="1"/>
    <col min="59" max="69" width="10.83203125" style="2" hidden="1" customWidth="1"/>
    <col min="70" max="70" width="16.1640625" style="2" hidden="1" customWidth="1"/>
    <col min="71" max="71" width="12.5" style="2" hidden="1" customWidth="1"/>
    <col min="72" max="72" width="12.1640625" style="2" hidden="1" customWidth="1"/>
    <col min="73" max="73" width="12.33203125" style="2" hidden="1" customWidth="1"/>
    <col min="74" max="74" width="15.83203125" style="2" hidden="1" customWidth="1"/>
    <col min="75" max="75" width="17.6640625" style="2" hidden="1" customWidth="1"/>
    <col min="76" max="81" width="10.83203125" style="2" hidden="1" customWidth="1"/>
    <col min="82" max="82" width="11.6640625" style="2" hidden="1" customWidth="1"/>
    <col min="83" max="93" width="10.83203125" style="2" hidden="1" customWidth="1"/>
    <col min="94" max="94" width="12.6640625" style="2" hidden="1" customWidth="1"/>
    <col min="95" max="95" width="12.5" style="2" hidden="1" customWidth="1"/>
    <col min="96" max="96" width="12.1640625" style="2" hidden="1" customWidth="1"/>
    <col min="97" max="97" width="12.33203125" style="2" hidden="1" customWidth="1"/>
    <col min="98" max="98" width="15.83203125" style="2" hidden="1" customWidth="1"/>
    <col min="99" max="99" width="17.6640625" style="2" hidden="1" customWidth="1"/>
    <col min="100" max="100" width="9.6640625" style="2" hidden="1" customWidth="1"/>
    <col min="101" max="105" width="10.83203125" style="2" hidden="1" customWidth="1"/>
    <col min="106" max="106" width="11.6640625" style="2" hidden="1" customWidth="1"/>
    <col min="107" max="117" width="10.83203125" style="2" hidden="1" customWidth="1"/>
    <col min="118" max="118" width="15.1640625" style="2" hidden="1" customWidth="1"/>
    <col min="119" max="119" width="12.5" style="2" hidden="1" customWidth="1"/>
    <col min="120" max="120" width="12.1640625" style="2" hidden="1" customWidth="1"/>
    <col min="121" max="121" width="12.33203125" style="2" hidden="1" customWidth="1"/>
    <col min="122" max="122" width="15.83203125" style="2" hidden="1" customWidth="1"/>
    <col min="123" max="123" width="17.6640625" style="2" hidden="1" customWidth="1"/>
    <col min="124" max="129" width="10.83203125" style="2" hidden="1" customWidth="1"/>
    <col min="130" max="130" width="11.6640625" style="2" hidden="1" customWidth="1"/>
    <col min="131" max="141" width="10.83203125" style="2" hidden="1" customWidth="1"/>
    <col min="142" max="142" width="12.6640625" style="2" hidden="1" customWidth="1"/>
    <col min="143" max="143" width="12.5" style="2" hidden="1" customWidth="1"/>
    <col min="144" max="144" width="12.1640625" style="2" hidden="1" customWidth="1"/>
    <col min="145" max="145" width="12.33203125" style="2" hidden="1" customWidth="1"/>
    <col min="146" max="146" width="15.83203125" style="2" hidden="1" customWidth="1"/>
    <col min="147" max="147" width="17.6640625" style="2" hidden="1" customWidth="1"/>
    <col min="148" max="153" width="10.83203125" style="2" hidden="1" customWidth="1"/>
    <col min="154" max="154" width="11.6640625" style="2" hidden="1" customWidth="1"/>
    <col min="155" max="165" width="10.83203125" style="2" hidden="1" customWidth="1"/>
    <col min="166" max="166" width="12.6640625" style="2" hidden="1" customWidth="1"/>
    <col min="167" max="167" width="12.5" style="2" hidden="1" customWidth="1"/>
    <col min="168" max="168" width="12.1640625" style="2" hidden="1" customWidth="1"/>
    <col min="169" max="169" width="12.33203125" style="2" hidden="1" customWidth="1"/>
    <col min="170" max="170" width="15.83203125" style="2" hidden="1" customWidth="1"/>
    <col min="171" max="171" width="17.6640625" style="2" hidden="1" customWidth="1"/>
    <col min="172" max="177" width="10.83203125" style="2" hidden="1" customWidth="1"/>
    <col min="178" max="178" width="11.6640625" style="2" hidden="1" customWidth="1"/>
    <col min="179" max="189" width="10.83203125" style="2" hidden="1" customWidth="1"/>
    <col min="190" max="190" width="12.6640625" style="2" hidden="1" customWidth="1"/>
    <col min="191" max="191" width="12.5" style="2" hidden="1" customWidth="1"/>
    <col min="192" max="192" width="12.1640625" style="2" hidden="1" customWidth="1"/>
    <col min="193" max="193" width="12.33203125" style="2" hidden="1" customWidth="1"/>
    <col min="194" max="194" width="15.83203125" style="2" hidden="1" customWidth="1"/>
    <col min="195" max="195" width="17.6640625" style="2" hidden="1" customWidth="1"/>
    <col min="196" max="201" width="10.83203125" style="2" hidden="1" customWidth="1"/>
    <col min="202" max="202" width="11.6640625" style="2" hidden="1" customWidth="1"/>
    <col min="203" max="213" width="10.83203125" style="2" hidden="1" customWidth="1"/>
    <col min="214" max="214" width="12.6640625" style="2" hidden="1" customWidth="1"/>
    <col min="215" max="215" width="12.5" style="2" hidden="1" customWidth="1"/>
    <col min="216" max="216" width="12.1640625" style="2" hidden="1" customWidth="1"/>
    <col min="217" max="217" width="12.33203125" style="2" hidden="1" customWidth="1"/>
    <col min="218" max="218" width="15.83203125" style="2" hidden="1" customWidth="1"/>
    <col min="219" max="219" width="17.6640625" style="2" hidden="1" customWidth="1"/>
    <col min="220" max="225" width="10.83203125" style="2" hidden="1" customWidth="1"/>
    <col min="226" max="226" width="11.6640625" style="2" hidden="1" customWidth="1"/>
    <col min="227" max="237" width="10.83203125" style="2" hidden="1" customWidth="1"/>
    <col min="238" max="238" width="12.6640625" style="2" hidden="1" customWidth="1"/>
    <col min="239" max="239" width="12.5" style="2" hidden="1" customWidth="1"/>
    <col min="240" max="240" width="12.1640625" style="2" hidden="1" customWidth="1"/>
    <col min="241" max="241" width="12.33203125" style="2" hidden="1" customWidth="1"/>
    <col min="242" max="242" width="15.83203125" style="2" hidden="1" customWidth="1"/>
    <col min="243" max="243" width="17.6640625" style="2" hidden="1" customWidth="1"/>
    <col min="244" max="249" width="10.83203125" style="2" hidden="1" customWidth="1"/>
    <col min="250" max="250" width="11.6640625" style="2" hidden="1" customWidth="1"/>
    <col min="251" max="262" width="10.83203125" style="2" hidden="1" customWidth="1"/>
    <col min="263" max="285" width="10.83203125" hidden="1" customWidth="1"/>
    <col min="286" max="295" width="10.83203125" style="15" customWidth="1"/>
    <col min="296" max="297" width="10.83203125" style="15"/>
  </cols>
  <sheetData>
    <row r="1" spans="1:297">
      <c r="A1" s="8"/>
      <c r="B1" s="147"/>
      <c r="C1" s="147"/>
      <c r="D1" s="147"/>
      <c r="E1" s="147"/>
      <c r="F1" s="147"/>
      <c r="G1" s="147"/>
      <c r="H1" s="147"/>
      <c r="I1" s="148"/>
      <c r="J1" s="148"/>
      <c r="K1" s="148"/>
      <c r="L1" s="148"/>
      <c r="M1" s="148"/>
      <c r="N1" s="148"/>
      <c r="O1" s="148"/>
      <c r="P1" s="148"/>
      <c r="Q1" s="148"/>
      <c r="R1" s="148"/>
      <c r="S1" s="148"/>
      <c r="T1" s="148"/>
      <c r="V1" s="2">
        <v>35</v>
      </c>
      <c r="W1" s="2">
        <v>36</v>
      </c>
      <c r="X1" s="2">
        <v>37</v>
      </c>
      <c r="Y1" s="2">
        <v>38</v>
      </c>
      <c r="Z1" s="2">
        <v>39</v>
      </c>
      <c r="AA1" s="2">
        <v>40</v>
      </c>
      <c r="AB1" s="2">
        <v>41</v>
      </c>
      <c r="AC1" s="2">
        <v>42</v>
      </c>
      <c r="AD1" s="2">
        <v>43</v>
      </c>
      <c r="AE1" s="2">
        <v>44</v>
      </c>
      <c r="AF1" s="2">
        <v>45</v>
      </c>
      <c r="AG1" s="2">
        <v>46</v>
      </c>
      <c r="AH1" s="2">
        <v>47</v>
      </c>
      <c r="AI1" s="2">
        <v>48</v>
      </c>
      <c r="AJ1" s="2">
        <v>49</v>
      </c>
      <c r="AK1" s="2">
        <v>50</v>
      </c>
      <c r="AL1" s="2">
        <v>51</v>
      </c>
      <c r="AM1" s="2">
        <v>52</v>
      </c>
      <c r="AN1" s="2">
        <v>53</v>
      </c>
      <c r="AO1" s="2">
        <v>54</v>
      </c>
      <c r="AP1" s="2">
        <v>55</v>
      </c>
      <c r="AQ1" s="2">
        <v>56</v>
      </c>
      <c r="AR1" s="2">
        <v>57</v>
      </c>
      <c r="AS1" s="2">
        <v>58</v>
      </c>
    </row>
    <row r="2" spans="1:297" ht="20">
      <c r="A2" s="8"/>
      <c r="B2" s="704" t="s">
        <v>307</v>
      </c>
      <c r="C2" s="704"/>
      <c r="D2" s="704"/>
      <c r="E2" s="704"/>
      <c r="F2" s="704"/>
      <c r="G2" s="704"/>
      <c r="H2" s="704"/>
      <c r="I2" s="251">
        <v>2500</v>
      </c>
      <c r="J2" s="275"/>
      <c r="M2" s="288"/>
      <c r="N2" s="703" t="s">
        <v>132</v>
      </c>
      <c r="O2" s="703"/>
      <c r="P2" s="239" t="s">
        <v>95</v>
      </c>
      <c r="Q2" s="240" t="s">
        <v>99</v>
      </c>
      <c r="R2" s="288"/>
      <c r="S2" s="288"/>
      <c r="T2" s="275"/>
      <c r="V2" s="2" t="s">
        <v>117</v>
      </c>
      <c r="AS2" s="53"/>
      <c r="AT2" s="2" t="s">
        <v>131</v>
      </c>
      <c r="BQ2" s="53"/>
      <c r="BR2" s="2" t="s">
        <v>133</v>
      </c>
      <c r="CO2" s="53"/>
      <c r="CP2" s="2" t="s">
        <v>109</v>
      </c>
      <c r="DM2" s="53"/>
      <c r="DN2" s="2" t="s">
        <v>110</v>
      </c>
      <c r="EK2" s="53"/>
      <c r="EL2" s="2" t="s">
        <v>111</v>
      </c>
      <c r="FI2" s="53"/>
      <c r="FJ2" s="2" t="s">
        <v>4</v>
      </c>
      <c r="GG2" s="53"/>
      <c r="GH2" s="2" t="s">
        <v>112</v>
      </c>
      <c r="HE2" s="53"/>
      <c r="HF2" s="2" t="s">
        <v>125</v>
      </c>
      <c r="IC2" s="53"/>
      <c r="ID2" s="2" t="s">
        <v>126</v>
      </c>
      <c r="JB2" s="440" t="s">
        <v>301</v>
      </c>
      <c r="JC2" s="1"/>
      <c r="JD2" s="1"/>
      <c r="JE2" s="1"/>
      <c r="KA2" s="672"/>
      <c r="KB2" s="672"/>
    </row>
    <row r="3" spans="1:297" s="1" customFormat="1" ht="20" customHeight="1">
      <c r="A3" s="8"/>
      <c r="B3" s="705" t="s">
        <v>103</v>
      </c>
      <c r="C3" s="707" t="s">
        <v>194</v>
      </c>
      <c r="D3" s="709" t="s">
        <v>195</v>
      </c>
      <c r="E3" s="707" t="s">
        <v>197</v>
      </c>
      <c r="F3" s="713" t="s">
        <v>245</v>
      </c>
      <c r="G3" s="711" t="s">
        <v>105</v>
      </c>
      <c r="H3" s="713" t="s">
        <v>244</v>
      </c>
      <c r="I3" s="715" t="s">
        <v>104</v>
      </c>
      <c r="J3" s="230"/>
      <c r="M3" s="289"/>
      <c r="N3" s="16" t="s">
        <v>129</v>
      </c>
      <c r="O3" s="231">
        <v>19025.161209340673</v>
      </c>
      <c r="P3" s="231">
        <f>SUM('Farm and Rotation Setup'!BR5:CO9)</f>
        <v>783119.16601381393</v>
      </c>
      <c r="Q3" s="232">
        <f t="shared" ref="Q3:Q10" si="0">IF(P3=0,"",((P3-O3)/O3))</f>
        <v>40.162288056162723</v>
      </c>
      <c r="R3" s="289"/>
      <c r="S3" s="289"/>
      <c r="T3" s="230"/>
      <c r="U3" s="727" t="s">
        <v>8</v>
      </c>
      <c r="V3" s="729" t="str">
        <f>$B35</f>
        <v>SW Winter Wheat after Spring Legume</v>
      </c>
      <c r="W3" s="729" t="str">
        <f>$B36</f>
        <v>SW Winter Wheat after Forage Crop</v>
      </c>
      <c r="X3" s="729" t="str">
        <f>$B37</f>
        <v>DN Spring Wheat after Spring Legume</v>
      </c>
      <c r="Y3" s="729" t="str">
        <f>$B38</f>
        <v>DN Spring Wheat after Forage Crop</v>
      </c>
      <c r="Z3" s="729" t="str">
        <f>$B39</f>
        <v>DN Spring Wheat after Winter Crop</v>
      </c>
      <c r="AA3" s="729" t="str">
        <f>$B40</f>
        <v>Chickpea after Forage Crop</v>
      </c>
      <c r="AB3" s="729" t="str">
        <f>$B41</f>
        <v>Chickpea after Cereal</v>
      </c>
      <c r="AC3" s="729" t="str">
        <f>$B42</f>
        <v>Spring Pea after Cereal</v>
      </c>
      <c r="AD3" s="729" t="str">
        <f>$B43</f>
        <v>Forage Crop-St. John Area</v>
      </c>
      <c r="AE3" s="729" t="str">
        <f>$B44</f>
        <v>Forage Crop-Genesee Area</v>
      </c>
      <c r="AF3" s="729" t="str">
        <f>$B45</f>
        <v>Livestock Grazing</v>
      </c>
      <c r="AG3" s="729" t="str">
        <f>$B46</f>
        <v>SW Winter Wheat after Cereal</v>
      </c>
      <c r="AH3" s="729" t="str">
        <f>$B47</f>
        <v>SW Winter Wheat after Fallow</v>
      </c>
      <c r="AI3" s="729" t="str">
        <f>$B48</f>
        <v>Chem-Fallow</v>
      </c>
      <c r="AJ3" s="729" t="str">
        <f>$B49</f>
        <v>Flex-Fallow</v>
      </c>
      <c r="AK3" s="729" t="str">
        <f>$B50</f>
        <v>Spring Barley</v>
      </c>
      <c r="AL3" s="729" t="str">
        <f>$B51</f>
        <v>Roundup Ready Spring Canola</v>
      </c>
      <c r="AM3" s="729" t="str">
        <f>$B52</f>
        <v>Spring Canola</v>
      </c>
      <c r="AN3" s="729" t="str">
        <f>$B53</f>
        <v>Spring Lentils</v>
      </c>
      <c r="AO3" s="729" t="str">
        <f>$B54</f>
        <v>SW Spring Wheat</v>
      </c>
      <c r="AP3" s="729" t="str">
        <f>$B55</f>
        <v>HR Winter Wheat</v>
      </c>
      <c r="AQ3" s="729" t="str">
        <f>$B56</f>
        <v>Winter Pea</v>
      </c>
      <c r="AR3" s="729" t="str">
        <f>$B57</f>
        <v>Winter Canola</v>
      </c>
      <c r="AS3" s="741" t="str">
        <f>$B58</f>
        <v>Forage Crop-Soil Builder Blend</v>
      </c>
      <c r="AT3" s="729" t="str">
        <f>$B35</f>
        <v>SW Winter Wheat after Spring Legume</v>
      </c>
      <c r="AU3" s="729" t="str">
        <f>$B36</f>
        <v>SW Winter Wheat after Forage Crop</v>
      </c>
      <c r="AV3" s="729" t="str">
        <f>$B37</f>
        <v>DN Spring Wheat after Spring Legume</v>
      </c>
      <c r="AW3" s="729" t="str">
        <f>$B38</f>
        <v>DN Spring Wheat after Forage Crop</v>
      </c>
      <c r="AX3" s="729" t="str">
        <f>$B39</f>
        <v>DN Spring Wheat after Winter Crop</v>
      </c>
      <c r="AY3" s="729" t="str">
        <f>$B40</f>
        <v>Chickpea after Forage Crop</v>
      </c>
      <c r="AZ3" s="729" t="str">
        <f>$B41</f>
        <v>Chickpea after Cereal</v>
      </c>
      <c r="BA3" s="729" t="str">
        <f>$B42</f>
        <v>Spring Pea after Cereal</v>
      </c>
      <c r="BB3" s="729" t="str">
        <f>$B58</f>
        <v>Forage Crop-Soil Builder Blend</v>
      </c>
      <c r="BC3" s="729" t="str">
        <f>$B44</f>
        <v>Forage Crop-Genesee Area</v>
      </c>
      <c r="BD3" s="729" t="str">
        <f>$B45</f>
        <v>Livestock Grazing</v>
      </c>
      <c r="BE3" s="729" t="str">
        <f>$B46</f>
        <v>SW Winter Wheat after Cereal</v>
      </c>
      <c r="BF3" s="729" t="str">
        <f>$B47</f>
        <v>SW Winter Wheat after Fallow</v>
      </c>
      <c r="BG3" s="729" t="str">
        <f>$B48</f>
        <v>Chem-Fallow</v>
      </c>
      <c r="BH3" s="729" t="str">
        <f>$B49</f>
        <v>Flex-Fallow</v>
      </c>
      <c r="BI3" s="729" t="str">
        <f>$B50</f>
        <v>Spring Barley</v>
      </c>
      <c r="BJ3" s="729" t="str">
        <f>$B51</f>
        <v>Roundup Ready Spring Canola</v>
      </c>
      <c r="BK3" s="729" t="str">
        <f>$B52</f>
        <v>Spring Canola</v>
      </c>
      <c r="BL3" s="729" t="str">
        <f>$B53</f>
        <v>Spring Lentils</v>
      </c>
      <c r="BM3" s="729" t="str">
        <f>$B54</f>
        <v>SW Spring Wheat</v>
      </c>
      <c r="BN3" s="729" t="str">
        <f>$B55</f>
        <v>HR Winter Wheat</v>
      </c>
      <c r="BO3" s="729" t="str">
        <f>$B56</f>
        <v>Winter Pea</v>
      </c>
      <c r="BP3" s="729" t="str">
        <f>$B57</f>
        <v>Winter Canola</v>
      </c>
      <c r="BQ3" s="741" t="str">
        <f>$B58</f>
        <v>Forage Crop-Soil Builder Blend</v>
      </c>
      <c r="BR3" s="729" t="str">
        <f>$B35</f>
        <v>SW Winter Wheat after Spring Legume</v>
      </c>
      <c r="BS3" s="729" t="str">
        <f>$B36</f>
        <v>SW Winter Wheat after Forage Crop</v>
      </c>
      <c r="BT3" s="729" t="str">
        <f>$B37</f>
        <v>DN Spring Wheat after Spring Legume</v>
      </c>
      <c r="BU3" s="729" t="str">
        <f>$B38</f>
        <v>DN Spring Wheat after Forage Crop</v>
      </c>
      <c r="BV3" s="729" t="str">
        <f>$B39</f>
        <v>DN Spring Wheat after Winter Crop</v>
      </c>
      <c r="BW3" s="729" t="str">
        <f>$B40</f>
        <v>Chickpea after Forage Crop</v>
      </c>
      <c r="BX3" s="729" t="str">
        <f>$B41</f>
        <v>Chickpea after Cereal</v>
      </c>
      <c r="BY3" s="729" t="str">
        <f>$B42</f>
        <v>Spring Pea after Cereal</v>
      </c>
      <c r="BZ3" s="729" t="str">
        <f>$B58</f>
        <v>Forage Crop-Soil Builder Blend</v>
      </c>
      <c r="CA3" s="729" t="str">
        <f>$B44</f>
        <v>Forage Crop-Genesee Area</v>
      </c>
      <c r="CB3" s="729" t="str">
        <f>$B45</f>
        <v>Livestock Grazing</v>
      </c>
      <c r="CC3" s="729" t="str">
        <f>$B46</f>
        <v>SW Winter Wheat after Cereal</v>
      </c>
      <c r="CD3" s="729" t="str">
        <f>$B47</f>
        <v>SW Winter Wheat after Fallow</v>
      </c>
      <c r="CE3" s="729" t="str">
        <f>$B48</f>
        <v>Chem-Fallow</v>
      </c>
      <c r="CF3" s="729" t="str">
        <f>$B49</f>
        <v>Flex-Fallow</v>
      </c>
      <c r="CG3" s="729" t="str">
        <f>$B50</f>
        <v>Spring Barley</v>
      </c>
      <c r="CH3" s="729" t="str">
        <f>$B51</f>
        <v>Roundup Ready Spring Canola</v>
      </c>
      <c r="CI3" s="729" t="str">
        <f>$B52</f>
        <v>Spring Canola</v>
      </c>
      <c r="CJ3" s="729" t="str">
        <f>$B53</f>
        <v>Spring Lentils</v>
      </c>
      <c r="CK3" s="729" t="str">
        <f>$B54</f>
        <v>SW Spring Wheat</v>
      </c>
      <c r="CL3" s="729" t="str">
        <f>$B55</f>
        <v>HR Winter Wheat</v>
      </c>
      <c r="CM3" s="729" t="str">
        <f>$B56</f>
        <v>Winter Pea</v>
      </c>
      <c r="CN3" s="729" t="str">
        <f>$B57</f>
        <v>Winter Canola</v>
      </c>
      <c r="CO3" s="741" t="str">
        <f>$B58</f>
        <v>Forage Crop-Soil Builder Blend</v>
      </c>
      <c r="CP3" s="729" t="str">
        <f>$B35</f>
        <v>SW Winter Wheat after Spring Legume</v>
      </c>
      <c r="CQ3" s="729" t="str">
        <f>$B36</f>
        <v>SW Winter Wheat after Forage Crop</v>
      </c>
      <c r="CR3" s="729" t="str">
        <f>$B37</f>
        <v>DN Spring Wheat after Spring Legume</v>
      </c>
      <c r="CS3" s="729" t="str">
        <f>$B38</f>
        <v>DN Spring Wheat after Forage Crop</v>
      </c>
      <c r="CT3" s="729" t="str">
        <f>$B39</f>
        <v>DN Spring Wheat after Winter Crop</v>
      </c>
      <c r="CU3" s="729" t="str">
        <f>$B40</f>
        <v>Chickpea after Forage Crop</v>
      </c>
      <c r="CV3" s="729" t="str">
        <f>$B41</f>
        <v>Chickpea after Cereal</v>
      </c>
      <c r="CW3" s="729" t="str">
        <f>$B42</f>
        <v>Spring Pea after Cereal</v>
      </c>
      <c r="CX3" s="729" t="str">
        <f>$B58</f>
        <v>Forage Crop-Soil Builder Blend</v>
      </c>
      <c r="CY3" s="729" t="str">
        <f>$B44</f>
        <v>Forage Crop-Genesee Area</v>
      </c>
      <c r="CZ3" s="729" t="str">
        <f>$B45</f>
        <v>Livestock Grazing</v>
      </c>
      <c r="DA3" s="729" t="str">
        <f>$B46</f>
        <v>SW Winter Wheat after Cereal</v>
      </c>
      <c r="DB3" s="729" t="str">
        <f>$B47</f>
        <v>SW Winter Wheat after Fallow</v>
      </c>
      <c r="DC3" s="729" t="str">
        <f>$B48</f>
        <v>Chem-Fallow</v>
      </c>
      <c r="DD3" s="729" t="str">
        <f>$B49</f>
        <v>Flex-Fallow</v>
      </c>
      <c r="DE3" s="729" t="str">
        <f>$B50</f>
        <v>Spring Barley</v>
      </c>
      <c r="DF3" s="729" t="str">
        <f>$B51</f>
        <v>Roundup Ready Spring Canola</v>
      </c>
      <c r="DG3" s="729" t="str">
        <f>$B52</f>
        <v>Spring Canola</v>
      </c>
      <c r="DH3" s="729" t="str">
        <f>$B53</f>
        <v>Spring Lentils</v>
      </c>
      <c r="DI3" s="729" t="str">
        <f>$B54</f>
        <v>SW Spring Wheat</v>
      </c>
      <c r="DJ3" s="729" t="str">
        <f>$B55</f>
        <v>HR Winter Wheat</v>
      </c>
      <c r="DK3" s="729" t="str">
        <f>$B56</f>
        <v>Winter Pea</v>
      </c>
      <c r="DL3" s="729" t="str">
        <f>$B57</f>
        <v>Winter Canola</v>
      </c>
      <c r="DM3" s="741" t="str">
        <f>$B58</f>
        <v>Forage Crop-Soil Builder Blend</v>
      </c>
      <c r="DN3" s="729" t="str">
        <f>$B35</f>
        <v>SW Winter Wheat after Spring Legume</v>
      </c>
      <c r="DO3" s="729" t="str">
        <f>$B36</f>
        <v>SW Winter Wheat after Forage Crop</v>
      </c>
      <c r="DP3" s="729" t="str">
        <f>$B37</f>
        <v>DN Spring Wheat after Spring Legume</v>
      </c>
      <c r="DQ3" s="729" t="str">
        <f>$B38</f>
        <v>DN Spring Wheat after Forage Crop</v>
      </c>
      <c r="DR3" s="729" t="str">
        <f>$B39</f>
        <v>DN Spring Wheat after Winter Crop</v>
      </c>
      <c r="DS3" s="729" t="str">
        <f>$B40</f>
        <v>Chickpea after Forage Crop</v>
      </c>
      <c r="DT3" s="729" t="str">
        <f>$B41</f>
        <v>Chickpea after Cereal</v>
      </c>
      <c r="DU3" s="729" t="str">
        <f>$B42</f>
        <v>Spring Pea after Cereal</v>
      </c>
      <c r="DV3" s="729" t="str">
        <f>$B58</f>
        <v>Forage Crop-Soil Builder Blend</v>
      </c>
      <c r="DW3" s="729" t="str">
        <f>$B44</f>
        <v>Forage Crop-Genesee Area</v>
      </c>
      <c r="DX3" s="729" t="str">
        <f>$B45</f>
        <v>Livestock Grazing</v>
      </c>
      <c r="DY3" s="729" t="str">
        <f>$B46</f>
        <v>SW Winter Wheat after Cereal</v>
      </c>
      <c r="DZ3" s="729" t="str">
        <f>$B47</f>
        <v>SW Winter Wheat after Fallow</v>
      </c>
      <c r="EA3" s="729" t="str">
        <f>$B48</f>
        <v>Chem-Fallow</v>
      </c>
      <c r="EB3" s="729" t="str">
        <f>$B49</f>
        <v>Flex-Fallow</v>
      </c>
      <c r="EC3" s="729" t="str">
        <f>$B50</f>
        <v>Spring Barley</v>
      </c>
      <c r="ED3" s="729" t="str">
        <f>$B51</f>
        <v>Roundup Ready Spring Canola</v>
      </c>
      <c r="EE3" s="729" t="str">
        <f>$B52</f>
        <v>Spring Canola</v>
      </c>
      <c r="EF3" s="729" t="str">
        <f>$B53</f>
        <v>Spring Lentils</v>
      </c>
      <c r="EG3" s="729" t="str">
        <f>$B54</f>
        <v>SW Spring Wheat</v>
      </c>
      <c r="EH3" s="729" t="str">
        <f>$B55</f>
        <v>HR Winter Wheat</v>
      </c>
      <c r="EI3" s="729" t="str">
        <f>$B56</f>
        <v>Winter Pea</v>
      </c>
      <c r="EJ3" s="729" t="str">
        <f>$B57</f>
        <v>Winter Canola</v>
      </c>
      <c r="EK3" s="741" t="str">
        <f>$B58</f>
        <v>Forage Crop-Soil Builder Blend</v>
      </c>
      <c r="EL3" s="729" t="str">
        <f>$B35</f>
        <v>SW Winter Wheat after Spring Legume</v>
      </c>
      <c r="EM3" s="729" t="str">
        <f>$B36</f>
        <v>SW Winter Wheat after Forage Crop</v>
      </c>
      <c r="EN3" s="729" t="str">
        <f>$B37</f>
        <v>DN Spring Wheat after Spring Legume</v>
      </c>
      <c r="EO3" s="729" t="str">
        <f>$B38</f>
        <v>DN Spring Wheat after Forage Crop</v>
      </c>
      <c r="EP3" s="729" t="str">
        <f>$B39</f>
        <v>DN Spring Wheat after Winter Crop</v>
      </c>
      <c r="EQ3" s="729" t="str">
        <f>$B40</f>
        <v>Chickpea after Forage Crop</v>
      </c>
      <c r="ER3" s="729" t="str">
        <f>$B41</f>
        <v>Chickpea after Cereal</v>
      </c>
      <c r="ES3" s="729" t="str">
        <f>$B42</f>
        <v>Spring Pea after Cereal</v>
      </c>
      <c r="ET3" s="729" t="str">
        <f>$B58</f>
        <v>Forage Crop-Soil Builder Blend</v>
      </c>
      <c r="EU3" s="729" t="str">
        <f>$B44</f>
        <v>Forage Crop-Genesee Area</v>
      </c>
      <c r="EV3" s="729" t="str">
        <f>$B45</f>
        <v>Livestock Grazing</v>
      </c>
      <c r="EW3" s="729" t="str">
        <f>$B46</f>
        <v>SW Winter Wheat after Cereal</v>
      </c>
      <c r="EX3" s="729" t="str">
        <f>$B47</f>
        <v>SW Winter Wheat after Fallow</v>
      </c>
      <c r="EY3" s="729" t="str">
        <f>$B48</f>
        <v>Chem-Fallow</v>
      </c>
      <c r="EZ3" s="729" t="str">
        <f>$B49</f>
        <v>Flex-Fallow</v>
      </c>
      <c r="FA3" s="729" t="str">
        <f>$B50</f>
        <v>Spring Barley</v>
      </c>
      <c r="FB3" s="729" t="str">
        <f>$B51</f>
        <v>Roundup Ready Spring Canola</v>
      </c>
      <c r="FC3" s="729" t="str">
        <f>$B52</f>
        <v>Spring Canola</v>
      </c>
      <c r="FD3" s="729" t="str">
        <f>$B53</f>
        <v>Spring Lentils</v>
      </c>
      <c r="FE3" s="729" t="str">
        <f>$B54</f>
        <v>SW Spring Wheat</v>
      </c>
      <c r="FF3" s="729" t="str">
        <f>$B55</f>
        <v>HR Winter Wheat</v>
      </c>
      <c r="FG3" s="729" t="str">
        <f>$B56</f>
        <v>Winter Pea</v>
      </c>
      <c r="FH3" s="729" t="str">
        <f>$B57</f>
        <v>Winter Canola</v>
      </c>
      <c r="FI3" s="741" t="str">
        <f>$B58</f>
        <v>Forage Crop-Soil Builder Blend</v>
      </c>
      <c r="FJ3" s="729" t="str">
        <f>$B35</f>
        <v>SW Winter Wheat after Spring Legume</v>
      </c>
      <c r="FK3" s="729" t="str">
        <f>$B36</f>
        <v>SW Winter Wheat after Forage Crop</v>
      </c>
      <c r="FL3" s="729" t="str">
        <f>$B37</f>
        <v>DN Spring Wheat after Spring Legume</v>
      </c>
      <c r="FM3" s="729" t="str">
        <f>$B38</f>
        <v>DN Spring Wheat after Forage Crop</v>
      </c>
      <c r="FN3" s="729" t="str">
        <f>$B39</f>
        <v>DN Spring Wheat after Winter Crop</v>
      </c>
      <c r="FO3" s="729" t="str">
        <f>$B40</f>
        <v>Chickpea after Forage Crop</v>
      </c>
      <c r="FP3" s="729" t="str">
        <f>$B41</f>
        <v>Chickpea after Cereal</v>
      </c>
      <c r="FQ3" s="729" t="str">
        <f>$B42</f>
        <v>Spring Pea after Cereal</v>
      </c>
      <c r="FR3" s="729" t="str">
        <f>$B58</f>
        <v>Forage Crop-Soil Builder Blend</v>
      </c>
      <c r="FS3" s="729" t="str">
        <f>$B44</f>
        <v>Forage Crop-Genesee Area</v>
      </c>
      <c r="FT3" s="729" t="str">
        <f>$B45</f>
        <v>Livestock Grazing</v>
      </c>
      <c r="FU3" s="729" t="str">
        <f>$B46</f>
        <v>SW Winter Wheat after Cereal</v>
      </c>
      <c r="FV3" s="729" t="str">
        <f>$B47</f>
        <v>SW Winter Wheat after Fallow</v>
      </c>
      <c r="FW3" s="729" t="str">
        <f>$B48</f>
        <v>Chem-Fallow</v>
      </c>
      <c r="FX3" s="729" t="str">
        <f>$B49</f>
        <v>Flex-Fallow</v>
      </c>
      <c r="FY3" s="729" t="str">
        <f>$B50</f>
        <v>Spring Barley</v>
      </c>
      <c r="FZ3" s="729" t="str">
        <f>$B51</f>
        <v>Roundup Ready Spring Canola</v>
      </c>
      <c r="GA3" s="729" t="str">
        <f>$B52</f>
        <v>Spring Canola</v>
      </c>
      <c r="GB3" s="729" t="str">
        <f>$B53</f>
        <v>Spring Lentils</v>
      </c>
      <c r="GC3" s="729" t="str">
        <f>$B54</f>
        <v>SW Spring Wheat</v>
      </c>
      <c r="GD3" s="729" t="str">
        <f>$B55</f>
        <v>HR Winter Wheat</v>
      </c>
      <c r="GE3" s="729" t="str">
        <f>$B56</f>
        <v>Winter Pea</v>
      </c>
      <c r="GF3" s="729" t="str">
        <f>$B57</f>
        <v>Winter Canola</v>
      </c>
      <c r="GG3" s="741" t="str">
        <f>$B58</f>
        <v>Forage Crop-Soil Builder Blend</v>
      </c>
      <c r="GH3" s="729" t="str">
        <f>$B35</f>
        <v>SW Winter Wheat after Spring Legume</v>
      </c>
      <c r="GI3" s="729" t="str">
        <f>$B36</f>
        <v>SW Winter Wheat after Forage Crop</v>
      </c>
      <c r="GJ3" s="729" t="str">
        <f>$B37</f>
        <v>DN Spring Wheat after Spring Legume</v>
      </c>
      <c r="GK3" s="729" t="str">
        <f>$B38</f>
        <v>DN Spring Wheat after Forage Crop</v>
      </c>
      <c r="GL3" s="729" t="str">
        <f>$B39</f>
        <v>DN Spring Wheat after Winter Crop</v>
      </c>
      <c r="GM3" s="729" t="str">
        <f>$B40</f>
        <v>Chickpea after Forage Crop</v>
      </c>
      <c r="GN3" s="729" t="str">
        <f>$B41</f>
        <v>Chickpea after Cereal</v>
      </c>
      <c r="GO3" s="729" t="str">
        <f>$B42</f>
        <v>Spring Pea after Cereal</v>
      </c>
      <c r="GP3" s="729" t="str">
        <f>$B58</f>
        <v>Forage Crop-Soil Builder Blend</v>
      </c>
      <c r="GQ3" s="729" t="str">
        <f>$B44</f>
        <v>Forage Crop-Genesee Area</v>
      </c>
      <c r="GR3" s="729" t="str">
        <f>$B45</f>
        <v>Livestock Grazing</v>
      </c>
      <c r="GS3" s="729" t="str">
        <f>$B46</f>
        <v>SW Winter Wheat after Cereal</v>
      </c>
      <c r="GT3" s="729" t="str">
        <f>$B47</f>
        <v>SW Winter Wheat after Fallow</v>
      </c>
      <c r="GU3" s="729" t="str">
        <f>$B48</f>
        <v>Chem-Fallow</v>
      </c>
      <c r="GV3" s="729" t="str">
        <f>$B49</f>
        <v>Flex-Fallow</v>
      </c>
      <c r="GW3" s="729" t="str">
        <f>$B50</f>
        <v>Spring Barley</v>
      </c>
      <c r="GX3" s="729" t="str">
        <f>$B51</f>
        <v>Roundup Ready Spring Canola</v>
      </c>
      <c r="GY3" s="729" t="str">
        <f>$B52</f>
        <v>Spring Canola</v>
      </c>
      <c r="GZ3" s="729" t="str">
        <f>$B53</f>
        <v>Spring Lentils</v>
      </c>
      <c r="HA3" s="729" t="str">
        <f>$B54</f>
        <v>SW Spring Wheat</v>
      </c>
      <c r="HB3" s="729" t="str">
        <f>$B55</f>
        <v>HR Winter Wheat</v>
      </c>
      <c r="HC3" s="729" t="str">
        <f>$B56</f>
        <v>Winter Pea</v>
      </c>
      <c r="HD3" s="729" t="str">
        <f>$B57</f>
        <v>Winter Canola</v>
      </c>
      <c r="HE3" s="741" t="str">
        <f>$B58</f>
        <v>Forage Crop-Soil Builder Blend</v>
      </c>
      <c r="HF3" s="729" t="str">
        <f>$B35</f>
        <v>SW Winter Wheat after Spring Legume</v>
      </c>
      <c r="HG3" s="729" t="str">
        <f>$B36</f>
        <v>SW Winter Wheat after Forage Crop</v>
      </c>
      <c r="HH3" s="729" t="str">
        <f>$B37</f>
        <v>DN Spring Wheat after Spring Legume</v>
      </c>
      <c r="HI3" s="729" t="str">
        <f>$B38</f>
        <v>DN Spring Wheat after Forage Crop</v>
      </c>
      <c r="HJ3" s="729" t="str">
        <f>$B39</f>
        <v>DN Spring Wheat after Winter Crop</v>
      </c>
      <c r="HK3" s="729" t="str">
        <f>$B40</f>
        <v>Chickpea after Forage Crop</v>
      </c>
      <c r="HL3" s="729" t="str">
        <f>$B41</f>
        <v>Chickpea after Cereal</v>
      </c>
      <c r="HM3" s="729" t="str">
        <f>$B42</f>
        <v>Spring Pea after Cereal</v>
      </c>
      <c r="HN3" s="729" t="str">
        <f>$B58</f>
        <v>Forage Crop-Soil Builder Blend</v>
      </c>
      <c r="HO3" s="729" t="str">
        <f>$B44</f>
        <v>Forage Crop-Genesee Area</v>
      </c>
      <c r="HP3" s="729" t="str">
        <f>$B45</f>
        <v>Livestock Grazing</v>
      </c>
      <c r="HQ3" s="729" t="str">
        <f>$B46</f>
        <v>SW Winter Wheat after Cereal</v>
      </c>
      <c r="HR3" s="729" t="str">
        <f>$B47</f>
        <v>SW Winter Wheat after Fallow</v>
      </c>
      <c r="HS3" s="729" t="str">
        <f>$B48</f>
        <v>Chem-Fallow</v>
      </c>
      <c r="HT3" s="729" t="str">
        <f>$B49</f>
        <v>Flex-Fallow</v>
      </c>
      <c r="HU3" s="729" t="str">
        <f>$B50</f>
        <v>Spring Barley</v>
      </c>
      <c r="HV3" s="729" t="str">
        <f>$B51</f>
        <v>Roundup Ready Spring Canola</v>
      </c>
      <c r="HW3" s="729" t="str">
        <f>$B52</f>
        <v>Spring Canola</v>
      </c>
      <c r="HX3" s="729" t="str">
        <f>$B53</f>
        <v>Spring Lentils</v>
      </c>
      <c r="HY3" s="729" t="str">
        <f>$B54</f>
        <v>SW Spring Wheat</v>
      </c>
      <c r="HZ3" s="729" t="str">
        <f>$B55</f>
        <v>HR Winter Wheat</v>
      </c>
      <c r="IA3" s="729" t="str">
        <f>$B56</f>
        <v>Winter Pea</v>
      </c>
      <c r="IB3" s="729" t="str">
        <f>$B57</f>
        <v>Winter Canola</v>
      </c>
      <c r="IC3" s="741" t="str">
        <f>$B58</f>
        <v>Forage Crop-Soil Builder Blend</v>
      </c>
      <c r="ID3" s="729" t="str">
        <f>$B35</f>
        <v>SW Winter Wheat after Spring Legume</v>
      </c>
      <c r="IE3" s="729" t="str">
        <f>$B36</f>
        <v>SW Winter Wheat after Forage Crop</v>
      </c>
      <c r="IF3" s="729" t="str">
        <f>$B37</f>
        <v>DN Spring Wheat after Spring Legume</v>
      </c>
      <c r="IG3" s="729" t="str">
        <f>$B38</f>
        <v>DN Spring Wheat after Forage Crop</v>
      </c>
      <c r="IH3" s="729" t="str">
        <f>$B39</f>
        <v>DN Spring Wheat after Winter Crop</v>
      </c>
      <c r="II3" s="729" t="str">
        <f>$B40</f>
        <v>Chickpea after Forage Crop</v>
      </c>
      <c r="IJ3" s="729" t="str">
        <f>$B41</f>
        <v>Chickpea after Cereal</v>
      </c>
      <c r="IK3" s="729" t="str">
        <f>$B42</f>
        <v>Spring Pea after Cereal</v>
      </c>
      <c r="IL3" s="729" t="str">
        <f>$B58</f>
        <v>Forage Crop-Soil Builder Blend</v>
      </c>
      <c r="IM3" s="729" t="str">
        <f>$B44</f>
        <v>Forage Crop-Genesee Area</v>
      </c>
      <c r="IN3" s="729" t="str">
        <f>$B45</f>
        <v>Livestock Grazing</v>
      </c>
      <c r="IO3" s="729" t="str">
        <f>$B46</f>
        <v>SW Winter Wheat after Cereal</v>
      </c>
      <c r="IP3" s="729" t="str">
        <f>$B47</f>
        <v>SW Winter Wheat after Fallow</v>
      </c>
      <c r="IQ3" s="729" t="str">
        <f>$B48</f>
        <v>Chem-Fallow</v>
      </c>
      <c r="IR3" s="729" t="str">
        <f>$B49</f>
        <v>Flex-Fallow</v>
      </c>
      <c r="IS3" s="729" t="str">
        <f>$B50</f>
        <v>Spring Barley</v>
      </c>
      <c r="IT3" s="729" t="str">
        <f>$B51</f>
        <v>Roundup Ready Spring Canola</v>
      </c>
      <c r="IU3" s="729" t="str">
        <f>$B52</f>
        <v>Spring Canola</v>
      </c>
      <c r="IV3" s="729" t="str">
        <f>$B53</f>
        <v>Spring Lentils</v>
      </c>
      <c r="IW3" s="729" t="str">
        <f>$B54</f>
        <v>SW Spring Wheat</v>
      </c>
      <c r="IX3" s="729" t="str">
        <f>$B55</f>
        <v>HR Winter Wheat</v>
      </c>
      <c r="IY3" s="729" t="str">
        <f>$B56</f>
        <v>Winter Pea</v>
      </c>
      <c r="IZ3" s="729" t="str">
        <f>$B57</f>
        <v>Winter Canola</v>
      </c>
      <c r="JA3" s="729" t="str">
        <f>$B58</f>
        <v>Forage Crop-Soil Builder Blend</v>
      </c>
      <c r="JB3" s="729" t="str">
        <f>$B35</f>
        <v>SW Winter Wheat after Spring Legume</v>
      </c>
      <c r="JC3" s="729" t="str">
        <f>$B36</f>
        <v>SW Winter Wheat after Forage Crop</v>
      </c>
      <c r="JD3" s="729" t="str">
        <f>$B37</f>
        <v>DN Spring Wheat after Spring Legume</v>
      </c>
      <c r="JE3" s="729" t="str">
        <f>$B38</f>
        <v>DN Spring Wheat after Forage Crop</v>
      </c>
      <c r="JF3" s="729" t="str">
        <f>$B39</f>
        <v>DN Spring Wheat after Winter Crop</v>
      </c>
      <c r="JG3" s="729" t="str">
        <f>$B40</f>
        <v>Chickpea after Forage Crop</v>
      </c>
      <c r="JH3" s="729" t="str">
        <f>$B41</f>
        <v>Chickpea after Cereal</v>
      </c>
      <c r="JI3" s="729" t="str">
        <f>$B42</f>
        <v>Spring Pea after Cereal</v>
      </c>
      <c r="JJ3" s="729" t="str">
        <f>$B58</f>
        <v>Forage Crop-Soil Builder Blend</v>
      </c>
      <c r="JK3" s="729" t="str">
        <f>$B44</f>
        <v>Forage Crop-Genesee Area</v>
      </c>
      <c r="JL3" s="729" t="str">
        <f>$B45</f>
        <v>Livestock Grazing</v>
      </c>
      <c r="JM3" s="729" t="str">
        <f>$B46</f>
        <v>SW Winter Wheat after Cereal</v>
      </c>
      <c r="JN3" s="729" t="str">
        <f>$B47</f>
        <v>SW Winter Wheat after Fallow</v>
      </c>
      <c r="JO3" s="729" t="str">
        <f>$B48</f>
        <v>Chem-Fallow</v>
      </c>
      <c r="JP3" s="729" t="str">
        <f>$B49</f>
        <v>Flex-Fallow</v>
      </c>
      <c r="JQ3" s="729" t="str">
        <f>$B50</f>
        <v>Spring Barley</v>
      </c>
      <c r="JR3" s="729" t="str">
        <f>$B51</f>
        <v>Roundup Ready Spring Canola</v>
      </c>
      <c r="JS3" s="729" t="str">
        <f>$B52</f>
        <v>Spring Canola</v>
      </c>
      <c r="JT3" s="729" t="str">
        <f>$B53</f>
        <v>Spring Lentils</v>
      </c>
      <c r="JU3" s="729" t="str">
        <f>$B54</f>
        <v>SW Spring Wheat</v>
      </c>
      <c r="JV3" s="729" t="str">
        <f>$B55</f>
        <v>HR Winter Wheat</v>
      </c>
      <c r="JW3" s="729" t="str">
        <f>$B56</f>
        <v>Winter Pea</v>
      </c>
      <c r="JX3" s="729" t="str">
        <f>$B57</f>
        <v>Winter Canola</v>
      </c>
      <c r="JY3" s="729" t="str">
        <f>$B58</f>
        <v>Forage Crop-Soil Builder Blend</v>
      </c>
      <c r="JZ3" s="15"/>
      <c r="KA3" s="672"/>
      <c r="KB3" s="672"/>
      <c r="KC3" s="15"/>
      <c r="KD3" s="15"/>
      <c r="KE3" s="15"/>
      <c r="KF3" s="15"/>
      <c r="KG3" s="15"/>
      <c r="KH3" s="15"/>
      <c r="KI3" s="15"/>
      <c r="KJ3" s="15"/>
      <c r="KK3" s="15"/>
    </row>
    <row r="4" spans="1:297" ht="20" customHeight="1">
      <c r="A4" s="8"/>
      <c r="B4" s="706"/>
      <c r="C4" s="708"/>
      <c r="D4" s="710"/>
      <c r="E4" s="708"/>
      <c r="F4" s="714"/>
      <c r="G4" s="712"/>
      <c r="H4" s="714"/>
      <c r="I4" s="716"/>
      <c r="J4" s="230"/>
      <c r="M4" s="289"/>
      <c r="N4" s="233" t="s">
        <v>134</v>
      </c>
      <c r="O4" s="234">
        <v>112500</v>
      </c>
      <c r="P4" s="234">
        <f>SUM('Farm and Rotation Setup'!CP5:DM9)</f>
        <v>160000</v>
      </c>
      <c r="Q4" s="232">
        <f t="shared" si="0"/>
        <v>0.42222222222222222</v>
      </c>
      <c r="R4" s="289"/>
      <c r="S4" s="289"/>
      <c r="T4" s="428"/>
      <c r="U4" s="728"/>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41"/>
      <c r="AT4" s="729"/>
      <c r="AU4" s="729"/>
      <c r="AV4" s="729"/>
      <c r="AW4" s="729"/>
      <c r="AX4" s="729"/>
      <c r="AY4" s="729"/>
      <c r="AZ4" s="729"/>
      <c r="BA4" s="729"/>
      <c r="BB4" s="729"/>
      <c r="BC4" s="729"/>
      <c r="BD4" s="729"/>
      <c r="BE4" s="729"/>
      <c r="BF4" s="729"/>
      <c r="BG4" s="729"/>
      <c r="BH4" s="729"/>
      <c r="BI4" s="729"/>
      <c r="BJ4" s="729"/>
      <c r="BK4" s="729"/>
      <c r="BL4" s="729"/>
      <c r="BM4" s="729"/>
      <c r="BN4" s="729"/>
      <c r="BO4" s="729"/>
      <c r="BP4" s="729"/>
      <c r="BQ4" s="741"/>
      <c r="BR4" s="729"/>
      <c r="BS4" s="729"/>
      <c r="BT4" s="729"/>
      <c r="BU4" s="729"/>
      <c r="BV4" s="729"/>
      <c r="BW4" s="729"/>
      <c r="BX4" s="729"/>
      <c r="BY4" s="729"/>
      <c r="BZ4" s="729"/>
      <c r="CA4" s="729"/>
      <c r="CB4" s="729"/>
      <c r="CC4" s="729"/>
      <c r="CD4" s="729"/>
      <c r="CE4" s="729"/>
      <c r="CF4" s="729"/>
      <c r="CG4" s="729"/>
      <c r="CH4" s="729"/>
      <c r="CI4" s="729"/>
      <c r="CJ4" s="729"/>
      <c r="CK4" s="729"/>
      <c r="CL4" s="729"/>
      <c r="CM4" s="729"/>
      <c r="CN4" s="729"/>
      <c r="CO4" s="741"/>
      <c r="CP4" s="729"/>
      <c r="CQ4" s="729"/>
      <c r="CR4" s="729"/>
      <c r="CS4" s="729"/>
      <c r="CT4" s="729"/>
      <c r="CU4" s="729"/>
      <c r="CV4" s="729"/>
      <c r="CW4" s="729"/>
      <c r="CX4" s="729"/>
      <c r="CY4" s="729"/>
      <c r="CZ4" s="729"/>
      <c r="DA4" s="729"/>
      <c r="DB4" s="729"/>
      <c r="DC4" s="729"/>
      <c r="DD4" s="729"/>
      <c r="DE4" s="729"/>
      <c r="DF4" s="729"/>
      <c r="DG4" s="729"/>
      <c r="DH4" s="729"/>
      <c r="DI4" s="729"/>
      <c r="DJ4" s="729"/>
      <c r="DK4" s="729"/>
      <c r="DL4" s="729"/>
      <c r="DM4" s="741"/>
      <c r="DN4" s="729"/>
      <c r="DO4" s="729"/>
      <c r="DP4" s="729"/>
      <c r="DQ4" s="729"/>
      <c r="DR4" s="729"/>
      <c r="DS4" s="729"/>
      <c r="DT4" s="729"/>
      <c r="DU4" s="729"/>
      <c r="DV4" s="729"/>
      <c r="DW4" s="729"/>
      <c r="DX4" s="729"/>
      <c r="DY4" s="729"/>
      <c r="DZ4" s="729"/>
      <c r="EA4" s="729"/>
      <c r="EB4" s="729"/>
      <c r="EC4" s="729"/>
      <c r="ED4" s="729"/>
      <c r="EE4" s="729"/>
      <c r="EF4" s="729"/>
      <c r="EG4" s="729"/>
      <c r="EH4" s="729"/>
      <c r="EI4" s="729"/>
      <c r="EJ4" s="729"/>
      <c r="EK4" s="741"/>
      <c r="EL4" s="729"/>
      <c r="EM4" s="729"/>
      <c r="EN4" s="729"/>
      <c r="EO4" s="729"/>
      <c r="EP4" s="729"/>
      <c r="EQ4" s="729"/>
      <c r="ER4" s="729"/>
      <c r="ES4" s="729"/>
      <c r="ET4" s="729"/>
      <c r="EU4" s="729"/>
      <c r="EV4" s="729"/>
      <c r="EW4" s="729"/>
      <c r="EX4" s="729"/>
      <c r="EY4" s="729"/>
      <c r="EZ4" s="729"/>
      <c r="FA4" s="729"/>
      <c r="FB4" s="729"/>
      <c r="FC4" s="729"/>
      <c r="FD4" s="729"/>
      <c r="FE4" s="729"/>
      <c r="FF4" s="729"/>
      <c r="FG4" s="729"/>
      <c r="FH4" s="729"/>
      <c r="FI4" s="741"/>
      <c r="FJ4" s="729"/>
      <c r="FK4" s="729"/>
      <c r="FL4" s="729"/>
      <c r="FM4" s="729"/>
      <c r="FN4" s="729"/>
      <c r="FO4" s="729"/>
      <c r="FP4" s="729"/>
      <c r="FQ4" s="729"/>
      <c r="FR4" s="729"/>
      <c r="FS4" s="729"/>
      <c r="FT4" s="729"/>
      <c r="FU4" s="729"/>
      <c r="FV4" s="729"/>
      <c r="FW4" s="729"/>
      <c r="FX4" s="729"/>
      <c r="FY4" s="729"/>
      <c r="FZ4" s="729"/>
      <c r="GA4" s="729"/>
      <c r="GB4" s="729"/>
      <c r="GC4" s="729"/>
      <c r="GD4" s="729"/>
      <c r="GE4" s="729"/>
      <c r="GF4" s="729"/>
      <c r="GG4" s="741"/>
      <c r="GH4" s="729"/>
      <c r="GI4" s="729"/>
      <c r="GJ4" s="729"/>
      <c r="GK4" s="729"/>
      <c r="GL4" s="729"/>
      <c r="GM4" s="729"/>
      <c r="GN4" s="729"/>
      <c r="GO4" s="729"/>
      <c r="GP4" s="729"/>
      <c r="GQ4" s="729"/>
      <c r="GR4" s="729"/>
      <c r="GS4" s="729"/>
      <c r="GT4" s="729"/>
      <c r="GU4" s="729"/>
      <c r="GV4" s="729"/>
      <c r="GW4" s="729"/>
      <c r="GX4" s="729"/>
      <c r="GY4" s="729"/>
      <c r="GZ4" s="729"/>
      <c r="HA4" s="729"/>
      <c r="HB4" s="729"/>
      <c r="HC4" s="729"/>
      <c r="HD4" s="729"/>
      <c r="HE4" s="741"/>
      <c r="HF4" s="729"/>
      <c r="HG4" s="729"/>
      <c r="HH4" s="729"/>
      <c r="HI4" s="729"/>
      <c r="HJ4" s="729"/>
      <c r="HK4" s="729"/>
      <c r="HL4" s="729"/>
      <c r="HM4" s="729"/>
      <c r="HN4" s="729"/>
      <c r="HO4" s="729"/>
      <c r="HP4" s="729"/>
      <c r="HQ4" s="729"/>
      <c r="HR4" s="729"/>
      <c r="HS4" s="729"/>
      <c r="HT4" s="729"/>
      <c r="HU4" s="729"/>
      <c r="HV4" s="729"/>
      <c r="HW4" s="729"/>
      <c r="HX4" s="729"/>
      <c r="HY4" s="729"/>
      <c r="HZ4" s="729"/>
      <c r="IA4" s="729"/>
      <c r="IB4" s="729"/>
      <c r="IC4" s="741"/>
      <c r="ID4" s="729"/>
      <c r="IE4" s="729"/>
      <c r="IF4" s="729"/>
      <c r="IG4" s="729"/>
      <c r="IH4" s="729"/>
      <c r="II4" s="729"/>
      <c r="IJ4" s="729"/>
      <c r="IK4" s="729"/>
      <c r="IL4" s="729"/>
      <c r="IM4" s="729"/>
      <c r="IN4" s="729"/>
      <c r="IO4" s="729"/>
      <c r="IP4" s="729"/>
      <c r="IQ4" s="729"/>
      <c r="IR4" s="729"/>
      <c r="IS4" s="729"/>
      <c r="IT4" s="729"/>
      <c r="IU4" s="729"/>
      <c r="IV4" s="729"/>
      <c r="IW4" s="729"/>
      <c r="IX4" s="729"/>
      <c r="IY4" s="729"/>
      <c r="IZ4" s="729"/>
      <c r="JA4" s="729"/>
      <c r="JB4" s="729"/>
      <c r="JC4" s="729"/>
      <c r="JD4" s="729"/>
      <c r="JE4" s="729"/>
      <c r="JF4" s="729"/>
      <c r="JG4" s="729"/>
      <c r="JH4" s="729"/>
      <c r="JI4" s="729"/>
      <c r="JJ4" s="729"/>
      <c r="JK4" s="729"/>
      <c r="JL4" s="729"/>
      <c r="JM4" s="729"/>
      <c r="JN4" s="729"/>
      <c r="JO4" s="729"/>
      <c r="JP4" s="729"/>
      <c r="JQ4" s="729"/>
      <c r="JR4" s="729"/>
      <c r="JS4" s="729"/>
      <c r="JT4" s="729"/>
      <c r="JU4" s="729"/>
      <c r="JV4" s="729"/>
      <c r="JW4" s="729"/>
      <c r="JX4" s="729"/>
      <c r="JY4" s="729"/>
      <c r="KA4" s="672"/>
      <c r="KB4" s="672"/>
    </row>
    <row r="5" spans="1:297" ht="20" customHeight="1">
      <c r="A5" s="8"/>
      <c r="B5" s="697" t="s">
        <v>141</v>
      </c>
      <c r="C5" s="52">
        <v>1</v>
      </c>
      <c r="D5" s="154" t="s">
        <v>374</v>
      </c>
      <c r="E5" s="155">
        <v>0.4</v>
      </c>
      <c r="F5" s="353">
        <f>IF(D5="Livestock Grazing",0,E5)</f>
        <v>0.4</v>
      </c>
      <c r="G5" s="168">
        <f>IF(D5="Livestock Grazing",0,$I$2*E5)</f>
        <v>1000</v>
      </c>
      <c r="H5" s="356">
        <f>$I$2*E5</f>
        <v>1000</v>
      </c>
      <c r="I5" s="159">
        <f>SUM(AT5:BQ5)</f>
        <v>792.51026522855432</v>
      </c>
      <c r="J5" s="159"/>
      <c r="M5" s="290"/>
      <c r="N5" s="16" t="s">
        <v>127</v>
      </c>
      <c r="O5" s="235">
        <v>103.90625</v>
      </c>
      <c r="P5" s="235">
        <f>SUM('Farm and Rotation Setup'!HF5:IC9)</f>
        <v>140.12656250000001</v>
      </c>
      <c r="Q5" s="232">
        <f t="shared" si="0"/>
        <v>0.34858646616541361</v>
      </c>
      <c r="R5" s="290"/>
      <c r="S5" s="290"/>
      <c r="T5" s="159"/>
      <c r="U5" s="1"/>
      <c r="V5" s="5">
        <f>IF($D5="SW Winter Wheat after Spring Legume",$H5,0)</f>
        <v>1000</v>
      </c>
      <c r="W5" s="5">
        <f>IF($D5="SW Winter Wheat after Forage Crop",$H5,0)</f>
        <v>0</v>
      </c>
      <c r="X5" s="5">
        <f>IF($D5="DN Spring Wheat after Spring Legume",$H5,0)</f>
        <v>0</v>
      </c>
      <c r="Y5" s="5">
        <f>IF($D5="DN Spring Wheat after Forage Crop",$H5,0)</f>
        <v>0</v>
      </c>
      <c r="Z5" s="5">
        <f>IF($D5="DN Spring Wheat after Winter Crop",$H5,0)</f>
        <v>0</v>
      </c>
      <c r="AA5" s="5">
        <f>IF($D5="Chickpea after Forage Crop",$H5,0)</f>
        <v>0</v>
      </c>
      <c r="AB5" s="5">
        <f>IF($D5="Chickpea after Cereal",$H5,0)</f>
        <v>0</v>
      </c>
      <c r="AC5" s="5">
        <f>IF($D5="Spring Pea after Cereal",$H5,0)</f>
        <v>0</v>
      </c>
      <c r="AD5" s="5">
        <f>IF($D5="Forage Crop-St. John Area",$H5,0)</f>
        <v>0</v>
      </c>
      <c r="AE5" s="5">
        <f>IF($D5="Forage Crop-Genesee Area",$H5,0)</f>
        <v>0</v>
      </c>
      <c r="AF5" s="5">
        <f>IF($D5="Livestock Grazing",$H5,0)</f>
        <v>0</v>
      </c>
      <c r="AG5" s="5">
        <f>IF($D5="SW Winter Wheat after Cereal",$H5,0)</f>
        <v>0</v>
      </c>
      <c r="AH5" s="5">
        <f>IF($D5="SW Winter Wheat after Fallow",$H5,0)</f>
        <v>0</v>
      </c>
      <c r="AI5" s="5">
        <f>IF($D5="Chem-Fallow",$H5,0)</f>
        <v>0</v>
      </c>
      <c r="AJ5" s="5">
        <f>IF($D5="Flex-Fallow",$H5,0)</f>
        <v>0</v>
      </c>
      <c r="AK5" s="5">
        <f>IF($D5="Spring Barley",$H5,0)</f>
        <v>0</v>
      </c>
      <c r="AL5" s="5">
        <f>IF($D5="Roundup Ready Spring Canola",$H5,0)</f>
        <v>0</v>
      </c>
      <c r="AM5" s="5">
        <f>IF($D5="Spring Canola",$H5,0)</f>
        <v>0</v>
      </c>
      <c r="AN5" s="5">
        <f>IF($D5="Spring Lentils",$H5,0)</f>
        <v>0</v>
      </c>
      <c r="AO5" s="5">
        <f>IF($D5="SW Spring Wheat",$H5,0)</f>
        <v>0</v>
      </c>
      <c r="AP5" s="5">
        <f>IF($D5="HR Winter Wheat",$H5,0)</f>
        <v>0</v>
      </c>
      <c r="AQ5" s="5">
        <f>IF($D5="Winter Pea",$H5,0)</f>
        <v>0</v>
      </c>
      <c r="AR5" s="5">
        <f>IF($D5="Winter Canola",$H5,0)</f>
        <v>0</v>
      </c>
      <c r="AS5" s="377">
        <f>IF($D5="Forage Crop-Soil Builder Blend",$H5,0)</f>
        <v>0</v>
      </c>
      <c r="AT5" s="5">
        <f>IF($D5="SW Winter Wheat after Spring Legume",SWWinterWheatAfterSpringLegume!$F$138,0)</f>
        <v>792.51026522855432</v>
      </c>
      <c r="AU5" s="5">
        <f>IF($D5="SW Winter Wheat after Forage Crop",SWWinterWheatAfterForageCrop!$F$138,0)</f>
        <v>0</v>
      </c>
      <c r="AV5" s="5">
        <f>IF($D5="DN Spring Wheat after Spring Legume",DNSpringWinterAfterSpringLegume!$F$138,0)</f>
        <v>0</v>
      </c>
      <c r="AW5" s="5">
        <f>IF($D5="DN Spring Wheat after Forage Crop",DNSpringWheatAfterForageCrop!$F$138,0)</f>
        <v>0</v>
      </c>
      <c r="AX5" s="5">
        <f>IF($D5="DN Spring Wheat after Winter Crop",DNSpringWheatAfterWinterCrop!$F$138,0)</f>
        <v>0</v>
      </c>
      <c r="AY5" s="5">
        <f>IF($D5="Chickpea after Forage Crop",ChickpeaAfterForageCrop!$F$138,0)</f>
        <v>0</v>
      </c>
      <c r="AZ5" s="5">
        <f>IF($D5="Chickpea after Cereal",ChickpeaAfterCereal!$F$138,0)</f>
        <v>0</v>
      </c>
      <c r="BA5" s="5">
        <f>IF($D5="Spring Pea after Cereal",SpringPeaAfterCereal!$F$138,0)</f>
        <v>0</v>
      </c>
      <c r="BB5" s="5">
        <f>IF($D5="Forage Crop-St. John Area",'ForageCrop-StJohn'!$F$138,0)</f>
        <v>0</v>
      </c>
      <c r="BC5" s="5">
        <f>IF($D5="Forage Crop-Genesee Area",'ForageCrop-Genesee'!$F$138,0)</f>
        <v>0</v>
      </c>
      <c r="BD5" s="5">
        <f>IF($D5="Livestock Grazing",LivestockGrazing!$F$138,0)</f>
        <v>0</v>
      </c>
      <c r="BE5" s="5">
        <f>IF($D5="SW Winter Wheat after Cereal",SWWinterWheatafterCereal!$F$138,0)</f>
        <v>0</v>
      </c>
      <c r="BF5" s="5">
        <f>IF($D5="SW Winter Wheat after Fallow",SWWinterWheatAfterFallow!$F$138,0)</f>
        <v>0</v>
      </c>
      <c r="BG5" s="5">
        <f>IF($D5="Chem-Fallow",'Chem-Fallow'!$F$138,0)</f>
        <v>0</v>
      </c>
      <c r="BH5" s="5">
        <f>IF($D5="Flex-Fallow",'Flex-Fallow'!$F$138,0)</f>
        <v>0</v>
      </c>
      <c r="BI5" s="5">
        <f>IF($D5="Spring Barley",SpringBarley!$F$138,0)</f>
        <v>0</v>
      </c>
      <c r="BJ5" s="5">
        <f>IF($D5="Roundup Ready Spring Canola",'SpringCanola_R-Ready'!$F$138,0)</f>
        <v>0</v>
      </c>
      <c r="BK5" s="5">
        <f>IF($D5="Spring Canola",SpringCanola!$F$138,0)</f>
        <v>0</v>
      </c>
      <c r="BL5" s="5">
        <f>IF($D5="Spring Lentils",SpringLentils!$F$138,0)</f>
        <v>0</v>
      </c>
      <c r="BM5" s="5">
        <f>IF($D5="SW Spring Wheat",SWSpringWheat!$F$138,0)</f>
        <v>0</v>
      </c>
      <c r="BN5" s="5">
        <f>IF($D5="HR Winter Wheat",HRWinterWheat!$F$138,0)</f>
        <v>0</v>
      </c>
      <c r="BO5" s="5">
        <f>IF($D5="Winter Pea",WinterPea!$F$138,0)</f>
        <v>0</v>
      </c>
      <c r="BP5" s="5">
        <f>IF($D5="Winter Canola",WinterCanola!$F$138,0)</f>
        <v>0</v>
      </c>
      <c r="BQ5" s="377">
        <f>IF($D5="Forage Crop-Soil Builder Blend",ForageCrop!$F$138,0)</f>
        <v>0</v>
      </c>
      <c r="BR5" s="5">
        <f>IF($D5="SW Winter Wheat after Spring Legume",H5*SWWinterWheatAfterSpringLegume!$F$138,0)</f>
        <v>792510.26522855437</v>
      </c>
      <c r="BS5" s="5">
        <f>IF($D5="SW Winter Wheat after Forage Crop",H5*SWWinterWheatAfterForageCrop!$F$138,0)</f>
        <v>0</v>
      </c>
      <c r="BT5" s="5">
        <f>IF($D5="DN Spring Wheat after Spring Legume",H5*DNSpringWinterAfterSpringLegume!$F$138,0)</f>
        <v>0</v>
      </c>
      <c r="BU5" s="5">
        <f>IF($D5="DN Spring Wheat after Forage Crop",H5*DNSpringWheatAfterForageCrop!$F$138,0)</f>
        <v>0</v>
      </c>
      <c r="BV5" s="5">
        <f>IF($D5="DN Spring Wheat after Winter Crop",H5*DNSpringWheatAfterWinterCrop!$F$138,0)</f>
        <v>0</v>
      </c>
      <c r="BW5" s="5">
        <f>IF($D5="Chickpea after Forage Crop",H5*ChickpeaAfterForageCrop!$F$138,0)</f>
        <v>0</v>
      </c>
      <c r="BX5" s="5">
        <f>IF($D5="Chickpea after Cereal",H5*ChickpeaAfterCereal!$F$138,0)</f>
        <v>0</v>
      </c>
      <c r="BY5" s="5">
        <f>IF($D5="Spring Pea after Cereal",H5*SpringPeaAfterCereal!$F$138,0)</f>
        <v>0</v>
      </c>
      <c r="BZ5" s="5">
        <f>IF($D5="Forage Crop-St. John Area",H5*'ForageCrop-StJohn'!$F$138,0)</f>
        <v>0</v>
      </c>
      <c r="CA5" s="5">
        <f>IF($D5="Forage Crop-Genesee Area",H5*'ForageCrop-Genesee'!$F$138,0)</f>
        <v>0</v>
      </c>
      <c r="CB5" s="5">
        <f>IF($D5="Livestock Grazing",H5*LivestockGrazing!$F$138,0)</f>
        <v>0</v>
      </c>
      <c r="CC5" s="5">
        <f>IF($D5="SW Winter Wheat after Cereal",H5*SWWinterWheatafterCereal!$F$138,0)</f>
        <v>0</v>
      </c>
      <c r="CD5" s="5">
        <f>IF($D5="SW Winter Wheat after Fallow",H5*SWWinterWheatAfterFallow!$F$138,0)</f>
        <v>0</v>
      </c>
      <c r="CE5" s="5">
        <f>IF($D5="Chem-Fallow",H5*'Chem-Fallow'!$F$138,0)</f>
        <v>0</v>
      </c>
      <c r="CF5" s="5">
        <f>IF($D5="Flex-Fallow",H5*'Flex-Fallow'!$F$138,0)</f>
        <v>0</v>
      </c>
      <c r="CG5" s="5">
        <f>IF($D5="Spring Barley",H5*SpringBarley!$F$138,0)</f>
        <v>0</v>
      </c>
      <c r="CH5" s="5">
        <f>IF($D5="Roundup Ready Spring Canola",H5*'SpringCanola_R-Ready'!$F$138,0)</f>
        <v>0</v>
      </c>
      <c r="CI5" s="5">
        <f>IF($D5="Spring Canola",H5*SpringCanola!$F$138,0)</f>
        <v>0</v>
      </c>
      <c r="CJ5" s="5">
        <f>IF($D5="Spring Lentils",H5*SpringLentils!$F$138,0)</f>
        <v>0</v>
      </c>
      <c r="CK5" s="5">
        <f>IF($D5="SW Spring Wheat",H5*SWSpringWheat!$F$138,0)</f>
        <v>0</v>
      </c>
      <c r="CL5" s="5">
        <f>IF($D5="HR Winter Wheat",H5*HRWinterWheat!$F$138,0)</f>
        <v>0</v>
      </c>
      <c r="CM5" s="5">
        <f>IF($D5="Winter Pea",H5*WinterPea!$F$138,0)</f>
        <v>0</v>
      </c>
      <c r="CN5" s="5">
        <f>IF($D5="Winter Canola",H5*WinterCanola!$F$138,0)</f>
        <v>0</v>
      </c>
      <c r="CO5" s="377">
        <f>IF($D5="Forage Crop-Soil Builder Blend",H5*ForageCrop!$F$138,0)</f>
        <v>0</v>
      </c>
      <c r="CP5" s="5">
        <f>IF($D5="SW Winter Wheat after Spring Legume",H5*'Prices_Yields&amp;SeedInputs'!J$5,0)</f>
        <v>90000</v>
      </c>
      <c r="CQ5" s="5">
        <f>IF($D5="SW Winter Wheat after Forage Crop",H5*'Prices_Yields&amp;SeedInputs'!J$6,0)</f>
        <v>0</v>
      </c>
      <c r="CR5" s="5">
        <f>IF($D5="DN Spring Wheat after Spring Legume",H5*'Prices_Yields&amp;SeedInputs'!J$7,0)</f>
        <v>0</v>
      </c>
      <c r="CS5" s="5">
        <f>IF($D5="DN Spring Wheat after Forage Crop",H5*'Prices_Yields&amp;SeedInputs'!J$8,0)</f>
        <v>0</v>
      </c>
      <c r="CT5" s="5">
        <f>IF($D5="DN Spring Wheat after Winter Crop",H5*'Prices_Yields&amp;SeedInputs'!J$9,0)</f>
        <v>0</v>
      </c>
      <c r="CU5" s="5">
        <f>IF($D5="Chickpea after Forage Crop",H5*'Prices_Yields&amp;SeedInputs'!J$10,0)</f>
        <v>0</v>
      </c>
      <c r="CV5" s="5">
        <f>IF($D5="Chickpea after Cereal",H5*'Prices_Yields&amp;SeedInputs'!J$11,0)</f>
        <v>0</v>
      </c>
      <c r="CW5" s="5">
        <f>IF($D5="Spring Pea after Cereal",H5*'Prices_Yields&amp;SeedInputs'!J$12,0)</f>
        <v>0</v>
      </c>
      <c r="CX5" s="5">
        <f>IF($D5="Forage Crop-St. John Area",H5*'Prices_Yields&amp;SeedInputs'!J$13,0)</f>
        <v>0</v>
      </c>
      <c r="CY5" s="5">
        <f>IF($D5="Forage Crop-Genesee Area",H5*'Prices_Yields&amp;SeedInputs'!J$14,0)</f>
        <v>0</v>
      </c>
      <c r="CZ5" s="5">
        <f>IF($D5="Livestock Grazing",H5*'Prices_Yields&amp;SeedInputs'!J$15,0)</f>
        <v>0</v>
      </c>
      <c r="DA5" s="5">
        <f>IF($D5="SW Winter Wheat after Cereal",H5*'Prices_Yields&amp;SeedInputs'!J$16,0)</f>
        <v>0</v>
      </c>
      <c r="DB5" s="5">
        <f>IF($D5="SW Winter Wheat after Fallow",H5*'Prices_Yields&amp;SeedInputs'!J$17,0)</f>
        <v>0</v>
      </c>
      <c r="DC5" s="5">
        <f>IF($D5="Chem-Fallow",H5*'Prices_Yields&amp;SeedInputs'!J$18,0)</f>
        <v>0</v>
      </c>
      <c r="DD5" s="5">
        <f>IF($D5="Flex-Fallow",H5*'Prices_Yields&amp;SeedInputs'!J$19,0)</f>
        <v>0</v>
      </c>
      <c r="DE5" s="5">
        <f>IF($D5="Spring Barley",H5*'Prices_Yields&amp;SeedInputs'!J$20,0)</f>
        <v>0</v>
      </c>
      <c r="DF5" s="5">
        <f>IF($D5="Roundup Ready Spring Canola",H5*'Prices_Yields&amp;SeedInputs'!J$21,0)</f>
        <v>0</v>
      </c>
      <c r="DG5" s="5">
        <f>IF($D5="Spring Canola",H5*'Prices_Yields&amp;SeedInputs'!J$22,0)</f>
        <v>0</v>
      </c>
      <c r="DH5" s="5">
        <f>IF($D5="Spring Lentils",H5*'Prices_Yields&amp;SeedInputs'!J$23,0)</f>
        <v>0</v>
      </c>
      <c r="DI5" s="5">
        <f>IF($D5="SW Spring Wheat",H5*'Prices_Yields&amp;SeedInputs'!J$24,0)</f>
        <v>0</v>
      </c>
      <c r="DJ5" s="5">
        <f>IF($D5="HR Winter Wheat",H5*'Prices_Yields&amp;SeedInputs'!J$25,0)</f>
        <v>0</v>
      </c>
      <c r="DK5" s="5">
        <f>IF($D5="Winter Pea",H5*'Prices_Yields&amp;SeedInputs'!J$26,0)</f>
        <v>0</v>
      </c>
      <c r="DL5" s="5">
        <f>IF($D5="Winter Canola",H5*'Prices_Yields&amp;SeedInputs'!J$27,0)</f>
        <v>0</v>
      </c>
      <c r="DM5" s="377">
        <f>IF($D5="Forage Crop-Soil Builder Blend",H5*'Prices_Yields&amp;SeedInputs'!J$28,0)</f>
        <v>0</v>
      </c>
      <c r="DN5" s="5">
        <f>IF($D5="SW Winter Wheat after Spring Legume",$H5*SWWinterWheatAfterSpringLegume!$F$135,0)</f>
        <v>24198.669476470601</v>
      </c>
      <c r="DO5" s="5">
        <f>IF($D5="SW Winter Wheat after Forage Crop",$H5*SWWinterWheatAfterForageCrop!$F$135,0)</f>
        <v>0</v>
      </c>
      <c r="DP5" s="5">
        <f>IF($D5="DN Spring Wheat after Spring Legume",$H5*DNSpringWinterAfterSpringLegume!$F$135,0)</f>
        <v>0</v>
      </c>
      <c r="DQ5" s="5">
        <f>IF($D5="DN Spring Wheat after Forage Crop",$H5*DNSpringWheatAfterForageCrop!$F$135,0)</f>
        <v>0</v>
      </c>
      <c r="DR5" s="5">
        <f>IF($D5="DN Spring Wheat after Winter Crop",$H5*DNSpringWheatAfterWinterCrop!$F$135,0)</f>
        <v>0</v>
      </c>
      <c r="DS5" s="5">
        <f>IF($D5="Chickpea after Forage Crop",$H5*ChickpeaAfterForageCrop!$F$135,0)</f>
        <v>0</v>
      </c>
      <c r="DT5" s="5">
        <f>IF($D5="Chickpea after Cereal",$H5*ChickpeaAfterCereal!$F$135,0)</f>
        <v>0</v>
      </c>
      <c r="DU5" s="5">
        <f>IF($D5="Spring Pea after Cereal",$H5*SpringPeaAfterCereal!$F$135,0)</f>
        <v>0</v>
      </c>
      <c r="DV5" s="5">
        <f>IF($D5="Forage Crop-St. John Area",$H5*'ForageCrop-StJohn'!$F$135,0)</f>
        <v>0</v>
      </c>
      <c r="DW5" s="5">
        <f>IF($D5="Forage Crop-Genesee Area",$H5*'ForageCrop-Genesee'!$F$135,0)</f>
        <v>0</v>
      </c>
      <c r="DX5" s="5">
        <f>IF($D5="Livestock Grazing",$H5*LivestockGrazing!$F$135,0)</f>
        <v>0</v>
      </c>
      <c r="DY5" s="5">
        <f>IF($D5="SW Winter Wheat after Cereal",$H5*SWWinterWheatafterCereal!$F$135,0)</f>
        <v>0</v>
      </c>
      <c r="DZ5" s="5">
        <f>IF($D5="SW Winter Wheat after Fallow",$H5*SWWinterWheatAfterFallow!$F$135,0)</f>
        <v>0</v>
      </c>
      <c r="EA5" s="5">
        <f>IF($D5="Chem-Fallow",$H5*'Chem-Fallow'!$F$135,0)</f>
        <v>0</v>
      </c>
      <c r="EB5" s="5">
        <f>IF($D5="Flex-Fallow",$H5*'Flex-Fallow'!$F$135,0)</f>
        <v>0</v>
      </c>
      <c r="EC5" s="5">
        <f>IF($D5="Spring Barley",$H5*SpringBarley!$F$135,0)</f>
        <v>0</v>
      </c>
      <c r="ED5" s="5">
        <f>IF($D5="Roundup Ready Spring Canola",$H5*'SpringCanola_R-Ready'!$F$135,0)</f>
        <v>0</v>
      </c>
      <c r="EE5" s="5">
        <f>IF($D5="Spring Canola",$H5*SpringCanola!$F$135,0)</f>
        <v>0</v>
      </c>
      <c r="EF5" s="5">
        <f>IF($D5="Spring Lentils",$H5*SpringLentils!$F$135,0)</f>
        <v>0</v>
      </c>
      <c r="EG5" s="5">
        <f>IF($D5="SW Spring Wheat",$H5*SWSpringWheat!$F$135,0)</f>
        <v>0</v>
      </c>
      <c r="EH5" s="5">
        <f>IF($D5="HR Winter Wheat",$H5*HRWinterWheat!$F$135,0)</f>
        <v>0</v>
      </c>
      <c r="EI5" s="5">
        <f>IF($D5="Winter Pea",$H5*WinterPea!$F$135,0)</f>
        <v>0</v>
      </c>
      <c r="EJ5" s="5">
        <f>IF($D5="Winter Canola",$H5*WinterCanola!$F$135,0)</f>
        <v>0</v>
      </c>
      <c r="EK5" s="377">
        <f>IF($D5="Forage Crop-Soil Builder Blend",$H5*ForageCrop!$F$135,0)</f>
        <v>0</v>
      </c>
      <c r="EL5" s="5">
        <f>IF($D5="SW Winter Wheat after Spring Legume",$H5*SWWinterWheatAfterSpringLegume!$J$116,0)</f>
        <v>16129.930432071913</v>
      </c>
      <c r="EM5" s="5">
        <f>IF($D5="SW Winter Wheat after Forage Crop",$H5*SWWinterWheatAfterForageCrop!$J$116,0)</f>
        <v>0</v>
      </c>
      <c r="EN5" s="5">
        <f>IF($D5="DN Spring Wheat after Spring Legume",$H5*DNSpringWinterAfterSpringLegume!$J$116,0)</f>
        <v>0</v>
      </c>
      <c r="EO5" s="5">
        <f>IF($D5="DN Spring Wheat after Forage Crop",$H5*DNSpringWheatAfterForageCrop!$J$116,0)</f>
        <v>0</v>
      </c>
      <c r="EP5" s="5">
        <f>IF($D5="DN Spring Wheat after Winter Crop",$H5*DNSpringWheatAfterWinterCrop!$J$116,0)</f>
        <v>0</v>
      </c>
      <c r="EQ5" s="5">
        <f>IF($D5="Chickpea after Forage Crop",$H5*ChickpeaAfterForageCrop!$J$116,0)</f>
        <v>0</v>
      </c>
      <c r="ER5" s="5">
        <f>IF($D5="Chickpea after Cereal",$H5*ChickpeaAfterCereal!$J$116,0)</f>
        <v>0</v>
      </c>
      <c r="ES5" s="5">
        <f>IF($D5="Spring Pea after Cereal",$H5*SpringPeaAfterCereal!$J$116,0)</f>
        <v>0</v>
      </c>
      <c r="ET5" s="5">
        <f>IF($D5="Forage Crop-St. John Area",$H5*'ForageCrop-StJohn'!$J$116,0)</f>
        <v>0</v>
      </c>
      <c r="EU5" s="5">
        <f>IF($D5="Forage Crop-Genesee Area",$H5*'ForageCrop-Genesee'!$J$116,0)</f>
        <v>0</v>
      </c>
      <c r="EV5" s="5">
        <f>IF($D5="Livestock Grazing",$H5*LivestockGrazing!$J$116,0)</f>
        <v>0</v>
      </c>
      <c r="EW5" s="5">
        <f>IF($D5="SW Winter Wheat after Cereal",$H5*SWWinterWheatafterCereal!$J$116,0)</f>
        <v>0</v>
      </c>
      <c r="EX5" s="5">
        <f>IF($D5="SW Winter Wheat after Fallow",$H5*SWWinterWheatAfterFallow!$J$116,0)</f>
        <v>0</v>
      </c>
      <c r="EY5" s="5">
        <f>IF($D5="Chem-Fallow",$H5*'Chem-Fallow'!$J$116,0)</f>
        <v>0</v>
      </c>
      <c r="EZ5" s="5">
        <f>IF($D5="Flex-Fallow",$H5*'Flex-Fallow'!$J$116,0)</f>
        <v>0</v>
      </c>
      <c r="FA5" s="5">
        <f>IF($D5="Spring Barley",$H5*SpringBarley!$J$116,0)</f>
        <v>0</v>
      </c>
      <c r="FB5" s="5">
        <f>IF($D5="Roundup Ready Spring Canola",$H5*'SpringCanola_R-Ready'!$J$116,0)</f>
        <v>0</v>
      </c>
      <c r="FC5" s="5">
        <f>IF($D5="Spring Canola",$H5*SpringCanola!$J$116,0)</f>
        <v>0</v>
      </c>
      <c r="FD5" s="5">
        <f>IF($D5="Spring Lentils",$H5*SpringLentils!$J$116,0)</f>
        <v>0</v>
      </c>
      <c r="FE5" s="5">
        <f>IF($D5="SW Spring Wheat",$H5*SWSpringWheat!$J$116,0)</f>
        <v>0</v>
      </c>
      <c r="FF5" s="5">
        <f>IF($D5="HR Winter Wheat",$H5*HRWinterWheat!$J$116,0)</f>
        <v>0</v>
      </c>
      <c r="FG5" s="5">
        <f>IF($D5="Winter Pea",$H5*WinterPea!$J$116,0)</f>
        <v>0</v>
      </c>
      <c r="FH5" s="5">
        <f>IF($D5="Winter Canola",$H5*WinterCanola!$J$116,0)</f>
        <v>0</v>
      </c>
      <c r="FI5" s="377">
        <f>IF($D5="Forage Crop-Soil Builder Blend",$H5*ForageCrop!$J$116,0)</f>
        <v>0</v>
      </c>
      <c r="FJ5" s="5">
        <f>IF($D5="SW Winter Wheat after Spring Legume",$H5*SWWinterWheatAfterSpringLegume!$J$117,0)</f>
        <v>37921.401983080374</v>
      </c>
      <c r="FK5" s="5">
        <f>IF($D5="SW Winter Wheat after Forage Crop",$H5*SWWinterWheatAfterForageCrop!$J$117,0)</f>
        <v>0</v>
      </c>
      <c r="FL5" s="5">
        <f>IF($D5="DN Spring Wheat after Spring Legume",$H5*DNSpringWinterAfterSpringLegume!$J$117,0)</f>
        <v>0</v>
      </c>
      <c r="FM5" s="5">
        <f>IF($D5="DN Spring Wheat after Forage Crop",$H5*DNSpringWheatAfterForageCrop!$J$117,0)</f>
        <v>0</v>
      </c>
      <c r="FN5" s="5">
        <f>IF($D5="DN Spring Wheat after Winter Crop",$H5*DNSpringWheatAfterWinterCrop!$J$117,0)</f>
        <v>0</v>
      </c>
      <c r="FO5" s="5">
        <f>IF($D5="Chickpea after Forage Crop",$H5*ChickpeaAfterForageCrop!$J$117,0)</f>
        <v>0</v>
      </c>
      <c r="FP5" s="5">
        <f>IF($D5="Chickpea after Cereal",$H5*ChickpeaAfterCereal!$J$117,0)</f>
        <v>0</v>
      </c>
      <c r="FQ5" s="5">
        <f>IF($D5="Spring Pea after Cereal",$H5*SpringPeaAfterCereal!$J$117,0)</f>
        <v>0</v>
      </c>
      <c r="FR5" s="5">
        <f>IF($D5="Forage Crop-St. John Area",$H5*'ForageCrop-StJohn'!$J$117,0)</f>
        <v>0</v>
      </c>
      <c r="FS5" s="5">
        <f>IF($D5="Forage Crop-Genesee Area",$H5*'ForageCrop-Genesee'!$J$117,0)</f>
        <v>0</v>
      </c>
      <c r="FT5" s="5">
        <f>IF($D5="Livestock Grazing",$H5*LivestockGrazing!$J$117,0)</f>
        <v>0</v>
      </c>
      <c r="FU5" s="5">
        <f>IF($D5="SW Winter Wheat after Cereal",$H5*SWWinterWheatafterCereal!$J$117,0)</f>
        <v>0</v>
      </c>
      <c r="FV5" s="5">
        <f>IF($D5="SW Winter Wheat after Fallow",$H5*SWWinterWheatAfterFallow!$J$117,0)</f>
        <v>0</v>
      </c>
      <c r="FW5" s="5">
        <f>IF($D5="Chem-Fallow",$H5*'Chem-Fallow'!$J$117,0)</f>
        <v>0</v>
      </c>
      <c r="FX5" s="5">
        <f>IF($D5="Flex-Fallow",$H5*'Flex-Fallow'!$J$117,0)</f>
        <v>0</v>
      </c>
      <c r="FY5" s="5">
        <f>IF($D5="Spring Barley",$H5*SpringBarley!$J$117,0)</f>
        <v>0</v>
      </c>
      <c r="FZ5" s="5">
        <f>IF($D5="Roundup Ready Spring Canola",$H5*'SpringCanola_R-Ready'!$J$117,0)</f>
        <v>0</v>
      </c>
      <c r="GA5" s="5">
        <f>IF($D5="Spring Canola",$H5*SpringCanola!$J$117,0)</f>
        <v>0</v>
      </c>
      <c r="GB5" s="5">
        <f>IF($D5="Spring Lentils",$H5*SpringLentils!$J$117,0)</f>
        <v>0</v>
      </c>
      <c r="GC5" s="5">
        <f>IF($D5="SW Spring Wheat",$H5*SWSpringWheat!$J$117,0)</f>
        <v>0</v>
      </c>
      <c r="GD5" s="5">
        <f>IF($D5="HR Winter Wheat",$H5*HRWinterWheat!$J$117,0)</f>
        <v>0</v>
      </c>
      <c r="GE5" s="5">
        <f>IF($D5="Winter Pea",$H5*WinterPea!$J$117,0)</f>
        <v>0</v>
      </c>
      <c r="GF5" s="5">
        <f>IF($D5="Winter Canola",$H5*WinterCanola!$J$117,0)</f>
        <v>0</v>
      </c>
      <c r="GG5" s="377">
        <f>IF($D5="Forage Crop-Soil Builder Blend",$H5*ForageCrop!$J$117,0)</f>
        <v>0</v>
      </c>
      <c r="GH5" s="5">
        <f>IF($D5="SW Winter Wheat after Spring Legume",$H5*SWWinterWheatAfterSpringLegume!$J$118,0)</f>
        <v>15766.009334067396</v>
      </c>
      <c r="GI5" s="5">
        <f>IF($D5="SW Winter Wheat after Forage Crop",$H5*SWWinterWheatAfterForageCrop!$J$118,0)</f>
        <v>0</v>
      </c>
      <c r="GJ5" s="5">
        <f>IF($D5="DN Spring Wheat after Spring Legume",$H5*DNSpringWinterAfterSpringLegume!$J$118,0)</f>
        <v>0</v>
      </c>
      <c r="GK5" s="5">
        <f>IF($D5="DN Spring Wheat after Forage Crop",$H5*DNSpringWheatAfterForageCrop!$J$118,0)</f>
        <v>0</v>
      </c>
      <c r="GL5" s="5">
        <f>IF($D5="DN Spring Wheat after Winter Crop",$H5*DNSpringWheatAfterWinterCrop!$J$118,0)</f>
        <v>0</v>
      </c>
      <c r="GM5" s="5">
        <f>IF($D5="Chickpea after Forage Crop",$H5*ChickpeaAfterForageCrop!$J$118,0)</f>
        <v>0</v>
      </c>
      <c r="GN5" s="5">
        <f>IF($D5="Chickpea after Cereal",$H5*ChickpeaAfterCereal!$J$118,0)</f>
        <v>0</v>
      </c>
      <c r="GO5" s="5">
        <f>IF($D5="Spring Pea after Cereal",$H5*SpringPeaAfterCereal!$J$118,0)</f>
        <v>0</v>
      </c>
      <c r="GP5" s="5">
        <f>IF($D5="Forage Crop-St. John Area",$H5*'ForageCrop-StJohn'!$J$118,0)</f>
        <v>0</v>
      </c>
      <c r="GQ5" s="5">
        <f>IF($D5="Forage Crop-Genesee Area",$H5*'ForageCrop-Genesee'!$J$118,0)</f>
        <v>0</v>
      </c>
      <c r="GR5" s="5">
        <f>IF($D5="Livestock Grazing",$H5*LivestockGrazing!$J$118,0)</f>
        <v>0</v>
      </c>
      <c r="GS5" s="5">
        <f>IF($D5="SW Winter Wheat after Cereal",$H5*SWWinterWheatafterCereal!$J$118,0)</f>
        <v>0</v>
      </c>
      <c r="GT5" s="5">
        <f>IF($D5="SW Winter Wheat after Fallow",$H5*SWWinterWheatAfterFallow!$J$118,0)</f>
        <v>0</v>
      </c>
      <c r="GU5" s="5">
        <f>IF($D5="Chem-Fallow",$H5*'Chem-Fallow'!$J$118,0)</f>
        <v>0</v>
      </c>
      <c r="GV5" s="5">
        <f>IF($D5="Flex-Fallow",$H5*'Flex-Fallow'!$J$118,0)</f>
        <v>0</v>
      </c>
      <c r="GW5" s="5">
        <f>IF($D5="Spring Barley",$H5*SpringBarley!$J$118,0)</f>
        <v>0</v>
      </c>
      <c r="GX5" s="5">
        <f>IF($D5="Roundup Ready Spring Canola",$H5*'SpringCanola_R-Ready'!$J$118,0)</f>
        <v>0</v>
      </c>
      <c r="GY5" s="5">
        <f>IF($D5="Spring Canola",$H5*SpringCanola!$J$118,0)</f>
        <v>0</v>
      </c>
      <c r="GZ5" s="5">
        <f>IF($D5="Spring Lentils",$H5*SpringLentils!$J$118,0)</f>
        <v>0</v>
      </c>
      <c r="HA5" s="5">
        <f>IF($D5="SW Spring Wheat",$H5*SWSpringWheat!$J$118,0)</f>
        <v>0</v>
      </c>
      <c r="HB5" s="5">
        <f>IF($D5="HR Winter Wheat",$H5*HRWinterWheat!$J$118,0)</f>
        <v>0</v>
      </c>
      <c r="HC5" s="5">
        <f>IF($D5="Winter Pea",$H5*WinterPea!$J$118,0)</f>
        <v>0</v>
      </c>
      <c r="HD5" s="5">
        <f>IF($D5="Winter Canola",$H5*WinterCanola!$J$118,0)</f>
        <v>0</v>
      </c>
      <c r="HE5" s="377">
        <f>IF($D5="Forage Crop-Soil Builder Blend",$H5*ForageCrop!$J$118,0)</f>
        <v>0</v>
      </c>
      <c r="HF5" s="5">
        <f>IF($D5="SW Winter Wheat after Spring Legume",($H5*(SUM(SWWinterWheatAfterSpringLegume!$E$9:$E$16)+SWWinterWheatAfterSpringLegume!$G$16))/2000,0)</f>
        <v>79.2</v>
      </c>
      <c r="HG5" s="5">
        <f>IF($D5="SW Winter Wheat after Forage Crop",($H5*(SUM(SWWinterWheatAfterForageCrop!$E$9:$E$16)+SWWinterWheatAfterForageCrop!$G$17))/2000,0)</f>
        <v>0</v>
      </c>
      <c r="HH5" s="5">
        <f>IF($D5="DN Spring Wheat after Spring Legume",($H5*(SUM(DNSpringWinterAfterSpringLegume!$E$9:$E$16)+DNSpringWinterAfterSpringLegume!$G$16))/2000,0)</f>
        <v>0</v>
      </c>
      <c r="HI5" s="5">
        <f>IF($D5="DN Spring Wheat after Forage Crop",($H5*(SUM(DNSpringWheatAfterForageCrop!$E$9:$E$16)+DNSpringWheatAfterForageCrop!$G$14))/2000,0)</f>
        <v>0</v>
      </c>
      <c r="HJ5" s="5">
        <f>IF($D5="DN Spring Wheat after Winter Crop",($H5*(SUM(DNSpringWheatAfterWinterCrop!$E$9:$E$16)+DNSpringWheatAfterWinterCrop!$G$16))/2000,0)</f>
        <v>0</v>
      </c>
      <c r="HK5" s="5">
        <f>IF($D5="Chickpea after Forage Crop",($H5*(SUM(ChickpeaAfterForageCrop!$E$9:$E$16)+ChickpeaAfterForageCrop!$G$14))/2000,0)</f>
        <v>0</v>
      </c>
      <c r="HL5" s="5">
        <f>IF($D5="Chickpea after Cereal",($H5*(SUM(ChickpeaAfterCereal!$E$9:$E$16)+ChickpeaAfterCereal!$G$14))/2000,0)</f>
        <v>0</v>
      </c>
      <c r="HM5" s="5">
        <f>IF($D5="Spring Pea after Cereal",($H5*(SUM(SpringPeaAfterCereal!$E$9:$E$16)+SpringPeaAfterCereal!$G$14))/2000,0)</f>
        <v>0</v>
      </c>
      <c r="HN5" s="5">
        <f>IF($D5="Forage Crop-St. John Area",($H5*(SUM('ForageCrop-StJohn'!$E$9:$E$16)+'ForageCrop-StJohn'!$G$14))/2000,0)</f>
        <v>0</v>
      </c>
      <c r="HO5" s="5">
        <f>IF($D5="Forage Crop-Genesee Area",($H5*(SUM('ForageCrop-Genesee'!$E$9:$E$16)+'ForageCrop-Genesee'!$G$14))/2000,0)</f>
        <v>0</v>
      </c>
      <c r="HP5" s="5">
        <f>IF($D5="Livestock Grazing",($H5*(SUM(LivestockGrazing!$E$9:$E$16)+LivestockGrazing!$G$14))/2000,0)</f>
        <v>0</v>
      </c>
      <c r="HQ5" s="5">
        <f>IF($D5="SW Winter Wheat after Cereal",($H5*(SUM(SWWinterWheatafterCereal!$E$9:$E$16)+SWWinterWheatafterCereal!$G$16))/2000,0)</f>
        <v>0</v>
      </c>
      <c r="HR5" s="5">
        <f>IF($D5="SW Winter Wheat after Fallow",($H5*(SUM(SWWinterWheatAfterFallow!$E$9:$E$16)+SWWinterWheatAfterFallow!$G$14))/2000,0)</f>
        <v>0</v>
      </c>
      <c r="HS5" s="5">
        <f>IF($D5="Chem-Fallow",($H5*(SUM('Chem-Fallow'!$E$9:$E$16)+'Chem-Fallow'!$G$16))/2000,0)</f>
        <v>0</v>
      </c>
      <c r="HT5" s="5">
        <f>IF($D5="Flex-Fallow",($H5*(SUM('Flex-Fallow'!$E$9:$E$16)+'Flex-Fallow'!$G$16))/2000,0)</f>
        <v>0</v>
      </c>
      <c r="HU5" s="5">
        <f>IF($D5="Spring Barley",($H5*(SUM(SpringBarley!$E$9:$E$16)+SpringBarley!$G$16))/2000,0)</f>
        <v>0</v>
      </c>
      <c r="HV5" s="5">
        <f>IF($D5="Roundup Ready Spring Canola",($H5*(SUM('SpringCanola_R-Ready'!$E$9:$E$16)+'SpringCanola_R-Ready'!$G$14))/2000,0)</f>
        <v>0</v>
      </c>
      <c r="HW5" s="5">
        <f>IF($D5="Spring Canola",($H5*(SUM(SpringCanola!$E$9:$E$16)+SpringCanola!$G$14))/2000,0)</f>
        <v>0</v>
      </c>
      <c r="HX5" s="5">
        <f>IF($D5="Spriing Lentils",($H5*(SUM(SpringLentils!$E$9:$E$16)+SpringLentils!$G$14))/2000,0)</f>
        <v>0</v>
      </c>
      <c r="HY5" s="5">
        <f>IF($D5="SW Spring Wheat",($H5*(SUM(SWSpringWheat!$E$9:$E$16)+SWSpringWheat!$G$18))/2000,0)</f>
        <v>0</v>
      </c>
      <c r="HZ5" s="5">
        <f>IF($D5="HR Winter Wheat",($H5*(SUM(HRWinterWheat!$E$9:$E$16)+HRWinterWheat!$G$16))/2000,0)</f>
        <v>0</v>
      </c>
      <c r="IA5" s="5">
        <f>IF($D5="Winter Pea",($H5*(SUM(WinterPea!$E$9:$E$16)+WinterPea!$G$14))/2000,0)</f>
        <v>0</v>
      </c>
      <c r="IB5" s="5">
        <f>IF($D5="Winter Canola",($H5*(SUM(WinterCanola!$E$9:$E$16)+WinterCanola!$G$14))/2000,0)</f>
        <v>0</v>
      </c>
      <c r="IC5" s="377">
        <f>IF($D5="Forage Crop-Soil Builder Blend",($H5*(SUM(ForageCrop!$E$9:$E$16)+ForageCrop!$G$14))/2000,0)</f>
        <v>0</v>
      </c>
      <c r="ID5" s="5">
        <f>IF($D5="SW Winter Wheat after Spring Legume",$H5*SWWinterWheatAfterSpringLegume!$G$62,0)</f>
        <v>592.578125</v>
      </c>
      <c r="IE5" s="5">
        <f>IF($D5="SW Winter Wheat after Forage Crop",$H5*SWWinterWheatAfterForageCrop!$G$62,0)</f>
        <v>0</v>
      </c>
      <c r="IF5" s="5">
        <f>IF($D5="DN Spring Wheat after Spring Legume",$H5*DNSpringWinterAfterSpringLegume!$G$62,0)</f>
        <v>0</v>
      </c>
      <c r="IG5" s="5">
        <f>IF($D5="DN Spring Wheat after Forage Crop",$H5*DNSpringWheatAfterForageCrop!$G$62,0)</f>
        <v>0</v>
      </c>
      <c r="IH5" s="5">
        <f>IF($D5="DN Spring Wheat after Winter Crop",$H5*DNSpringWheatAfterWinterCrop!$G$62,0)</f>
        <v>0</v>
      </c>
      <c r="II5" s="5">
        <f>IF($D5="Chickpea after Forage Crop",$H5*ChickpeaAfterForageCrop!$G$62,0)</f>
        <v>0</v>
      </c>
      <c r="IJ5" s="5">
        <f>IF($D5="Chickpea after Cereal",$H5*ChickpeaAfterCereal!$G$62,0)</f>
        <v>0</v>
      </c>
      <c r="IK5" s="5">
        <f>IF($D5="Spring Pea after Cereal",$H5*SpringPeaAfterCereal!$G$62,0)</f>
        <v>0</v>
      </c>
      <c r="IL5" s="5">
        <f>IF($D5="Forage Crop-St. John Area",$H5*'ForageCrop-StJohn'!$G$62,0)</f>
        <v>0</v>
      </c>
      <c r="IM5" s="5">
        <f>IF($D5="Forage Crop-Genesee Area",$H5*'ForageCrop-Genesee'!$G$62,0)</f>
        <v>0</v>
      </c>
      <c r="IN5" s="5">
        <f>IF($D5="Livestock Grazing",$H5*LivestockGrazing!$G$62,0)</f>
        <v>0</v>
      </c>
      <c r="IO5" s="5">
        <f>IF($D5="SW Winter Wheat after Cereal",$H5*SWWinterWheatafterCereal!$G$62,0)</f>
        <v>0</v>
      </c>
      <c r="IP5" s="5">
        <f>IF($D5="SW Winter Wheat after Fallow",$H5*SWWinterWheatAfterFallow!$G$62,0)</f>
        <v>0</v>
      </c>
      <c r="IQ5" s="5">
        <f>IF($D5="Chem-Fallow",$H5*'Chem-Fallow'!$G$62,0)</f>
        <v>0</v>
      </c>
      <c r="IR5" s="5">
        <f>IF($D5="Flex-Fallow",$H5*'Flex-Fallow'!$G$62,0)</f>
        <v>0</v>
      </c>
      <c r="IS5" s="5">
        <f>IF($D5="Spring Barley",$H5*SpringBarley!$G$62,0)</f>
        <v>0</v>
      </c>
      <c r="IT5" s="5">
        <f>IF($D5="Roundup Ready Spring Canola",$H5*'SpringCanola_R-Ready'!$G$62,0)</f>
        <v>0</v>
      </c>
      <c r="IU5" s="5">
        <f>IF($D5="Spring Canola",$H5*SpringCanola!$G$62,0)</f>
        <v>0</v>
      </c>
      <c r="IV5" s="5">
        <f>IF($D5="Spriing Lentils",$H5*SpringLentils!$G$62,0)</f>
        <v>0</v>
      </c>
      <c r="IW5" s="5">
        <f>IF($D5="SW Spring Wheat",$H5*SWSpringWheat!$G$62,0)</f>
        <v>0</v>
      </c>
      <c r="IX5" s="5">
        <f>IF($D5="HR Winter Wheat",$H5*HRWinterWheat!$G$62,0)</f>
        <v>0</v>
      </c>
      <c r="IY5" s="5">
        <f>IF($D5="Winter Pea",$H5*WinterPea!$G$62,0)</f>
        <v>0</v>
      </c>
      <c r="IZ5" s="5">
        <f>IF($D5="Winter Canola",$H5*+WinterCanola!$G$62,0)</f>
        <v>0</v>
      </c>
      <c r="JA5" s="5">
        <f>IF($D5="Forage Crop-Soil Builder Blend",$H5*ForageCrop!$G$62,0)</f>
        <v>0</v>
      </c>
      <c r="JB5" s="5">
        <f>IF($D5="SW Winter Wheat after Spring Legume",$H5*SWWinterWheatAfterSpringLegume!$E$4,0)</f>
        <v>90000</v>
      </c>
      <c r="JC5" s="5">
        <f>IF($D5="SW Winter Wheat after Forage Crop",$H5*SWWinterWheatAfterForageCrop!$E$4,0)</f>
        <v>0</v>
      </c>
      <c r="JD5" s="5">
        <f>IF($D5="DN Spring Wheat after Spring Legume",$H5*DNSpringWinterAfterSpringLegume!$E$4,0)</f>
        <v>0</v>
      </c>
      <c r="JE5" s="5">
        <f>IF($D5="DN Spring Wheat after Forage Crop",$H5*DNSpringWheatAfterForageCrop!$E$4,0)</f>
        <v>0</v>
      </c>
      <c r="JF5" s="5">
        <f>IF($D5="DN Spring Wheat after Winter Crop",$H5*DNSpringWheatAfterWinterCrop!$E$4,0)</f>
        <v>0</v>
      </c>
      <c r="JG5" s="5">
        <f>IF($D5="Chickpea after Forage Crop",$H5*ChickpeaAfterForageCrop!$E$4,0)</f>
        <v>0</v>
      </c>
      <c r="JH5" s="5">
        <f>IF($D5="Chickpea after Cereal",$H5*ChickpeaAfterCereal!$E$4,0)</f>
        <v>0</v>
      </c>
      <c r="JI5" s="5">
        <f>IF($D5="Spring Pea after Cereal",$H5*SpringPeaAfterCereal!$E$4,0)</f>
        <v>0</v>
      </c>
      <c r="JJ5" s="5">
        <f>IF($D5="Forage Crop-St. John Area",$H5*'ForageCrop-StJohn'!$E$4,0)</f>
        <v>0</v>
      </c>
      <c r="JK5" s="5">
        <f>IF($D5="Forage Crop-Genesee Area",$H5*'ForageCrop-Genesee'!$E$4,0)</f>
        <v>0</v>
      </c>
      <c r="JL5" s="5">
        <f>IF($D5="Livestock Grazing",$H5*LivestockGrazing!$E$4,0)</f>
        <v>0</v>
      </c>
      <c r="JM5" s="5">
        <f>IF($D5="SW Winter Wheat after Cereal",$H5*SWWinterWheatafterCereal!$E$4,0)</f>
        <v>0</v>
      </c>
      <c r="JN5" s="5">
        <f>IF($D5="SW Winter Wheat after Fallow",$H5*SWWinterWheatAfterFallow!$E$4,0)</f>
        <v>0</v>
      </c>
      <c r="JO5" s="5">
        <f>IF($D5="Chem-Fallow",$H5*'Chem-Fallow'!$E$4,0)</f>
        <v>0</v>
      </c>
      <c r="JP5" s="5">
        <f>IF($D5="Flex-Fallow",$H5*'Flex-Fallow'!$E$4,0)</f>
        <v>0</v>
      </c>
      <c r="JQ5" s="5">
        <f>IF($D5="Spring Barley",$H5*SpringBarley!$E$4,0)</f>
        <v>0</v>
      </c>
      <c r="JR5" s="5">
        <f>IF($D5="Roundup Ready Spring Canola",$H5*'SpringCanola_R-Ready'!$E$4,0)</f>
        <v>0</v>
      </c>
      <c r="JS5" s="5">
        <f>IF($D5="Spring Canola",$H5*SpringCanola!$E$4,0)</f>
        <v>0</v>
      </c>
      <c r="JT5" s="5">
        <f>IF($D5="Spriing Lentils",$H5*SpringLentils!$E$4,0)</f>
        <v>0</v>
      </c>
      <c r="JU5" s="5">
        <f>IF($D5="SW Spring Wheat",$H5*SWSpringWheat!$E$4,0)</f>
        <v>0</v>
      </c>
      <c r="JV5" s="5">
        <f>IF($D5="HR Winter Wheat",$H5*HRWinterWheat!$E$4,0)</f>
        <v>0</v>
      </c>
      <c r="JW5" s="5">
        <f>IF($D5="Winter Pea",$H5*WinterPea!$E$4,0)</f>
        <v>0</v>
      </c>
      <c r="JX5" s="5">
        <f>IF($D5="Winter Canola",$H5*+WinterCanola!$E$4,0)</f>
        <v>0</v>
      </c>
      <c r="JY5" s="5">
        <f>IF($D5="Forage Crop-Soil Builder Blend",$H5*ForageCrop!$E$4,0)</f>
        <v>0</v>
      </c>
    </row>
    <row r="6" spans="1:297" ht="20" customHeight="1">
      <c r="A6" s="8"/>
      <c r="B6" s="698"/>
      <c r="C6" s="52">
        <v>2</v>
      </c>
      <c r="D6" s="154" t="s">
        <v>190</v>
      </c>
      <c r="E6" s="155">
        <v>0.4</v>
      </c>
      <c r="F6" s="353">
        <f>IF(D6="Livestock Grazing",0,E6)</f>
        <v>0.4</v>
      </c>
      <c r="G6" s="168">
        <f>IF(D6="Livestock Grazing",0,$I$2*E6)</f>
        <v>1000</v>
      </c>
      <c r="H6" s="356">
        <f>$I$2*E6</f>
        <v>1000</v>
      </c>
      <c r="I6" s="159">
        <f>SUM(AT6:BQ6)</f>
        <v>5.9697621379292514</v>
      </c>
      <c r="J6" s="159"/>
      <c r="M6" s="280"/>
      <c r="N6" s="16" t="s">
        <v>130</v>
      </c>
      <c r="O6" s="235">
        <v>2356.73828125</v>
      </c>
      <c r="P6" s="235">
        <f>SUM('Farm and Rotation Setup'!ID5:JA9)</f>
        <v>1399.609375</v>
      </c>
      <c r="Q6" s="232">
        <f t="shared" si="0"/>
        <v>-0.40612439398334232</v>
      </c>
      <c r="R6" s="280"/>
      <c r="S6" s="15"/>
      <c r="T6" s="15"/>
      <c r="U6" s="1"/>
      <c r="V6" s="5">
        <f>IF($D6="SW Winter Wheat after Spring Legume",$H6,0)</f>
        <v>0</v>
      </c>
      <c r="W6" s="5">
        <f>IF($D6="SW Winter Wheat after Forage Crop",$H6,0)</f>
        <v>0</v>
      </c>
      <c r="X6" s="5">
        <f>IF($D6="DN Spring Wheat after Spring Legume",$H6,0)</f>
        <v>0</v>
      </c>
      <c r="Y6" s="5">
        <f>IF($D6="DN Spring Wheat after Forage Crop",$H6,0)</f>
        <v>0</v>
      </c>
      <c r="Z6" s="5">
        <f>IF($D6="DN Spring Wheat after Winter Crop",$H6,0)</f>
        <v>0</v>
      </c>
      <c r="AA6" s="5">
        <f>IF($D6="Chickpea after Forage Crop",$H6,0)</f>
        <v>0</v>
      </c>
      <c r="AB6" s="5">
        <f>IF($D6="Chickpea after Cereal",$H6,0)</f>
        <v>0</v>
      </c>
      <c r="AC6" s="5">
        <f>IF($D6="Spring Pea after Cereal",$H6,0)</f>
        <v>0</v>
      </c>
      <c r="AD6" s="5">
        <f>IF($D6="Forage Crop-St. John Area",$H6,0)</f>
        <v>0</v>
      </c>
      <c r="AE6" s="5">
        <f>IF($D6="Forage Crop-Genesee Area",$H6,0)</f>
        <v>0</v>
      </c>
      <c r="AF6" s="5">
        <f>IF($D6="Livestock Grazing",$H6,0)</f>
        <v>0</v>
      </c>
      <c r="AG6" s="5">
        <f>IF($D6="SW Winter Wheat after Cereal",$H6,0)</f>
        <v>0</v>
      </c>
      <c r="AH6" s="5">
        <f>IF($D6="SW Winter Wheat after Fallow",$H6,0)</f>
        <v>0</v>
      </c>
      <c r="AI6" s="5">
        <f>IF($D6="Chem-Fallow",$H6,0)</f>
        <v>0</v>
      </c>
      <c r="AJ6" s="5">
        <f>IF($D6="Flex-Fallow",$H6,0)</f>
        <v>0</v>
      </c>
      <c r="AK6" s="5">
        <f>IF($D6="Spring Barley",$H6,0)</f>
        <v>0</v>
      </c>
      <c r="AL6" s="5">
        <f>IF($D6="Roundup Ready Spring Canola",$H6,0)</f>
        <v>0</v>
      </c>
      <c r="AM6" s="5">
        <f>IF($D6="Spring Canola",$H6,0)</f>
        <v>0</v>
      </c>
      <c r="AN6" s="5">
        <f>IF($D6="Spring Lentils",$H6,0)</f>
        <v>0</v>
      </c>
      <c r="AO6" s="5">
        <f>IF($D6="SW Spring Wheat",$H6,0)</f>
        <v>0</v>
      </c>
      <c r="AP6" s="5">
        <f>IF($D6="HR Winter Wheat",$H6,0)</f>
        <v>0</v>
      </c>
      <c r="AQ6" s="5">
        <f>IF($D6="Winter Pea",$H6,0)</f>
        <v>0</v>
      </c>
      <c r="AR6" s="5">
        <f>IF($D6="Winter Canola",$H6,0)</f>
        <v>1000</v>
      </c>
      <c r="AS6" s="377">
        <f>IF($D6="Forage Crop-Soil Builder Blend",$H6,0)</f>
        <v>0</v>
      </c>
      <c r="AT6" s="5">
        <f>IF($D6="SW Winter Wheat after Spring Legume",SWWinterWheatAfterSpringLegume!$F$138,0)</f>
        <v>0</v>
      </c>
      <c r="AU6" s="5">
        <f>IF($D6="SW Winter Wheat after Forage Crop",SWWinterWheatAfterForageCrop!$F$138,0)</f>
        <v>0</v>
      </c>
      <c r="AV6" s="5">
        <f>IF($D6="DN Spring Wheat after Spring Legume",DNSpringWinterAfterSpringLegume!$F$138,0)</f>
        <v>0</v>
      </c>
      <c r="AW6" s="5">
        <f>IF($D6="DN Spring Wheat after Forage Crop",DNSpringWheatAfterForageCrop!$F$138,0)</f>
        <v>0</v>
      </c>
      <c r="AX6" s="5">
        <f>IF($D6="DN Spring Wheat after Winter Crop",DNSpringWheatAfterWinterCrop!$F$138,0)</f>
        <v>0</v>
      </c>
      <c r="AY6" s="5">
        <f>IF($D6="Chickpea after Forage Crop",ChickpeaAfterForageCrop!$F$138,0)</f>
        <v>0</v>
      </c>
      <c r="AZ6" s="5">
        <f>IF($D6="Chickpea after Cereal",ChickpeaAfterCereal!$F$138,0)</f>
        <v>0</v>
      </c>
      <c r="BA6" s="5">
        <f>IF($D6="Spring Pea after Cereal",SpringPeaAfterCereal!$F$138,0)</f>
        <v>0</v>
      </c>
      <c r="BB6" s="5">
        <f>IF($D6="Forage Crop-St. John Area",'ForageCrop-StJohn'!$F$138,0)</f>
        <v>0</v>
      </c>
      <c r="BC6" s="5">
        <f>IF($D6="Forage Crop-Genesee Area",'ForageCrop-Genesee'!$F$138,0)</f>
        <v>0</v>
      </c>
      <c r="BD6" s="5">
        <f>IF($D6="Livestock Grazing",LivestockGrazing!$F$138,0)</f>
        <v>0</v>
      </c>
      <c r="BE6" s="5">
        <f>IF($D6="SW Winter Wheat after Cereal",SWWinterWheatafterCereal!$F$138,0)</f>
        <v>0</v>
      </c>
      <c r="BF6" s="5">
        <f>IF($D6="SW Winter Wheat after Fallow",SWWinterWheatAfterFallow!$F$138,0)</f>
        <v>0</v>
      </c>
      <c r="BG6" s="5">
        <f>IF($D6="Chem-Fallow",'Chem-Fallow'!$F$138,0)</f>
        <v>0</v>
      </c>
      <c r="BH6" s="5">
        <f>IF($D6="Flex-Fallow",'Flex-Fallow'!$F$138,0)</f>
        <v>0</v>
      </c>
      <c r="BI6" s="5">
        <f>IF($D6="Spring Barley",SpringBarley!$F$138,0)</f>
        <v>0</v>
      </c>
      <c r="BJ6" s="5">
        <f>IF($D6="Roundup Ready Spring Canola",'SpringCanola_R-Ready'!$F$138,0)</f>
        <v>0</v>
      </c>
      <c r="BK6" s="5">
        <f>IF($D6="Spring Canola",SpringCanola!$F$138,0)</f>
        <v>0</v>
      </c>
      <c r="BL6" s="5">
        <f>IF($D6="Spring Lentils",SpringLentils!$F$138,0)</f>
        <v>0</v>
      </c>
      <c r="BM6" s="5">
        <f>IF($D6="SW Spring Wheat",SWSpringWheat!$F$138,0)</f>
        <v>0</v>
      </c>
      <c r="BN6" s="5">
        <f>IF($D6="HR Winter Wheat",HRWinterWheat!$F$138,0)</f>
        <v>0</v>
      </c>
      <c r="BO6" s="5">
        <f>IF($D6="Winter Pea",WinterPea!$F$138,0)</f>
        <v>0</v>
      </c>
      <c r="BP6" s="5">
        <f>IF($D6="Winter Canola",WinterCanola!$F$138,0)</f>
        <v>5.9697621379292514</v>
      </c>
      <c r="BQ6" s="377">
        <f>IF($D6="Forage Crop-Soil Builder Blend",ForageCrop!$F$138,0)</f>
        <v>0</v>
      </c>
      <c r="BR6" s="5">
        <f>IF($D6="SW Winter Wheat after Spring Legume",H6*SWWinterWheatAfterSpringLegume!$F$138,0)</f>
        <v>0</v>
      </c>
      <c r="BS6" s="5">
        <f>IF($D6="SW Winter Wheat after Forage Crop",H6*SWWinterWheatAfterForageCrop!$F$138,0)</f>
        <v>0</v>
      </c>
      <c r="BT6" s="5">
        <f>IF($D6="DN Spring Wheat after Spring Legume",H6*DNSpringWinterAfterSpringLegume!$F$138,0)</f>
        <v>0</v>
      </c>
      <c r="BU6" s="5">
        <f>IF($D6="DN Spring Wheat after Forage Crop",H6*DNSpringWheatAfterForageCrop!$F$138,0)</f>
        <v>0</v>
      </c>
      <c r="BV6" s="5">
        <f>IF($D6="DN Spring Wheat after Winter Crop",H6*DNSpringWheatAfterWinterCrop!$F$138,0)</f>
        <v>0</v>
      </c>
      <c r="BW6" s="5">
        <f>IF($D6="Chickpea after Forage Crop",H6*ChickpeaAfterForageCrop!$F$138,0)</f>
        <v>0</v>
      </c>
      <c r="BX6" s="5">
        <f>IF($D6="Chickpea after Cereal",H6*ChickpeaAfterCereal!$F$138,0)</f>
        <v>0</v>
      </c>
      <c r="BY6" s="5">
        <f>IF($D6="Spring Pea after Cereal",H6*SpringPeaAfterCereal!$F$138,0)</f>
        <v>0</v>
      </c>
      <c r="BZ6" s="5">
        <f>IF($D6="Forage Crop-St. John Area",H6*'ForageCrop-StJohn'!$F$138,0)</f>
        <v>0</v>
      </c>
      <c r="CA6" s="5">
        <f>IF($D6="Forage Crop-Genesee Area",H6*'ForageCrop-Genesee'!$F$138,0)</f>
        <v>0</v>
      </c>
      <c r="CB6" s="5">
        <f>IF($D6="Livestock Grazing",H6*LivestockGrazing!$F$138,0)</f>
        <v>0</v>
      </c>
      <c r="CC6" s="5">
        <f>IF($D6="SW Winter Wheat after Cereal",H6*SWWinterWheatafterCereal!$F$138,0)</f>
        <v>0</v>
      </c>
      <c r="CD6" s="5">
        <f>IF($D6="SW Winter Wheat after Fallow",H6*SWWinterWheatAfterFallow!$F$138,0)</f>
        <v>0</v>
      </c>
      <c r="CE6" s="5">
        <f>IF($D6="Chem-Fallow",H6*'Chem-Fallow'!$F$138,0)</f>
        <v>0</v>
      </c>
      <c r="CF6" s="5">
        <f>IF($D6="Flex-Fallow",H6*'Flex-Fallow'!$F$138,0)</f>
        <v>0</v>
      </c>
      <c r="CG6" s="5">
        <f>IF($D6="Spring Barley",H6*SpringBarley!$F$138,0)</f>
        <v>0</v>
      </c>
      <c r="CH6" s="5">
        <f>IF($D6="Roundup Ready Spring Canola",H6*'SpringCanola_R-Ready'!$F$138,0)</f>
        <v>0</v>
      </c>
      <c r="CI6" s="5">
        <f>IF($D6="Spring Canola",H6*SpringCanola!$F$138,0)</f>
        <v>0</v>
      </c>
      <c r="CJ6" s="5">
        <f>IF($D6="Spring Lentils",H6*SpringLentils!$F$138,0)</f>
        <v>0</v>
      </c>
      <c r="CK6" s="5">
        <f>IF($D6="SW Spring Wheat",H6*SWSpringWheat!$F$138,0)</f>
        <v>0</v>
      </c>
      <c r="CL6" s="5">
        <f>IF($D6="HR Winter Wheat",H6*HRWinterWheat!$F$138,0)</f>
        <v>0</v>
      </c>
      <c r="CM6" s="5">
        <f>IF($D6="Winter Pea",H6*WinterPea!$F$138,0)</f>
        <v>0</v>
      </c>
      <c r="CN6" s="5">
        <f>IF($D6="Winter Canola",H6*WinterCanola!$F$138,0)</f>
        <v>5969.7621379292514</v>
      </c>
      <c r="CO6" s="377">
        <f>IF($D6="Forage Crop-Soil Builder Blend",H6*ForageCrop!$F$138,0)</f>
        <v>0</v>
      </c>
      <c r="CP6" s="5">
        <f>IF($D6="SW Winter Wheat after Spring Legume",H6*'Prices_Yields&amp;SeedInputs'!J$5,0)</f>
        <v>0</v>
      </c>
      <c r="CQ6" s="5">
        <f>IF($D6="SW Winter Wheat after Forage Crop",H6*'Prices_Yields&amp;SeedInputs'!J$6,0)</f>
        <v>0</v>
      </c>
      <c r="CR6" s="5">
        <f>IF($D6="DN Spring Wheat after Spring Legume",H6*'Prices_Yields&amp;SeedInputs'!J$7,0)</f>
        <v>0</v>
      </c>
      <c r="CS6" s="5">
        <f>IF($D6="DN Spring Wheat after Forage Crop",H6*'Prices_Yields&amp;SeedInputs'!J$8,0)</f>
        <v>0</v>
      </c>
      <c r="CT6" s="5">
        <f>IF($D6="DN Spring Wheat after Winter Crop",H6*'Prices_Yields&amp;SeedInputs'!J$9,0)</f>
        <v>0</v>
      </c>
      <c r="CU6" s="5">
        <f>IF($D6="Chickpea after Forage Crop",H6*'Prices_Yields&amp;SeedInputs'!J$10,0)</f>
        <v>0</v>
      </c>
      <c r="CV6" s="5">
        <f>IF($D6="Chickpea after Cereal",H6*'Prices_Yields&amp;SeedInputs'!J$11,0)</f>
        <v>0</v>
      </c>
      <c r="CW6" s="5">
        <f>IF($D6="Spring Pea after Cereal",H6*'Prices_Yields&amp;SeedInputs'!J$12,0)</f>
        <v>0</v>
      </c>
      <c r="CX6" s="5">
        <f>IF($D6="Forage Crop-St. John Area",H6*'Prices_Yields&amp;SeedInputs'!J$13,0)</f>
        <v>0</v>
      </c>
      <c r="CY6" s="5">
        <f>IF($D6="Forage Crop-Genesee Area",H6*'Prices_Yields&amp;SeedInputs'!J$14,0)</f>
        <v>0</v>
      </c>
      <c r="CZ6" s="5">
        <f>IF($D6="Livestock Grazing",H6*'Prices_Yields&amp;SeedInputs'!J$15,0)</f>
        <v>0</v>
      </c>
      <c r="DA6" s="5">
        <f>IF($D6="SW Winter Wheat after Cereal",H6*'Prices_Yields&amp;SeedInputs'!J$16,0)</f>
        <v>0</v>
      </c>
      <c r="DB6" s="5">
        <f>IF($D6="SW Winter Wheat after Fallow",H6*'Prices_Yields&amp;SeedInputs'!J$17,0)</f>
        <v>0</v>
      </c>
      <c r="DC6" s="5">
        <f>IF($D6="Chem-Fallow",H6*'Prices_Yields&amp;SeedInputs'!J$18,0)</f>
        <v>0</v>
      </c>
      <c r="DD6" s="5">
        <f>IF($D6="Flex-Fallow",H6*'Prices_Yields&amp;SeedInputs'!J$19,0)</f>
        <v>0</v>
      </c>
      <c r="DE6" s="5">
        <f>IF($D6="Spring Barley",H6*'Prices_Yields&amp;SeedInputs'!J$20,0)</f>
        <v>0</v>
      </c>
      <c r="DF6" s="5">
        <f>IF($D6="Roundup Ready Spring Canola",H6*'Prices_Yields&amp;SeedInputs'!J$21,0)</f>
        <v>0</v>
      </c>
      <c r="DG6" s="5">
        <f>IF($D6="Spring Canola",H6*'Prices_Yields&amp;SeedInputs'!J$22,0)</f>
        <v>0</v>
      </c>
      <c r="DH6" s="5">
        <f>IF($D6="Spring Lentils",H6*'Prices_Yields&amp;SeedInputs'!J$23,0)</f>
        <v>0</v>
      </c>
      <c r="DI6" s="5">
        <f>IF($D6="SW Spring Wheat",H6*'Prices_Yields&amp;SeedInputs'!J$24,0)</f>
        <v>0</v>
      </c>
      <c r="DJ6" s="5">
        <f>IF($D6="HR Winter Wheat",H6*'Prices_Yields&amp;SeedInputs'!J$25,0)</f>
        <v>0</v>
      </c>
      <c r="DK6" s="5">
        <f>IF($D6="Winter Pea",H6*'Prices_Yields&amp;SeedInputs'!J$26,0)</f>
        <v>0</v>
      </c>
      <c r="DL6" s="5">
        <f>IF($D6="Winter Canola",H6*'Prices_Yields&amp;SeedInputs'!J$27,0)</f>
        <v>5000</v>
      </c>
      <c r="DM6" s="377">
        <f>IF($D6="Forage Crop-Soil Builder Blend",H6*'Prices_Yields&amp;SeedInputs'!J$28,0)</f>
        <v>0</v>
      </c>
      <c r="DN6" s="5">
        <f>IF($D6="SW Winter Wheat after Spring Legume",$H6*SWWinterWheatAfterSpringLegume!$F$135,0)</f>
        <v>0</v>
      </c>
      <c r="DO6" s="5">
        <f>IF($D6="SW Winter Wheat after Forage Crop",$H6*SWWinterWheatAfterForageCrop!$F$135,0)</f>
        <v>0</v>
      </c>
      <c r="DP6" s="5">
        <f>IF($D6="DN Spring Wheat after Spring Legume",$H6*DNSpringWinterAfterSpringLegume!$F$135,0)</f>
        <v>0</v>
      </c>
      <c r="DQ6" s="5">
        <f>IF($D6="DN Spring Wheat after Forage Crop",$H6*DNSpringWheatAfterForageCrop!$F$135,0)</f>
        <v>0</v>
      </c>
      <c r="DR6" s="5">
        <f>IF($D6="DN Spring Wheat after Winter Crop",$H6*DNSpringWheatAfterWinterCrop!$F$135,0)</f>
        <v>0</v>
      </c>
      <c r="DS6" s="5">
        <f>IF($D6="Chickpea after Forage Crop",$H6*ChickpeaAfterForageCrop!$F$135,0)</f>
        <v>0</v>
      </c>
      <c r="DT6" s="5">
        <f>IF($D6="Chickpea after Cereal",$H6*ChickpeaAfterCereal!$F$135,0)</f>
        <v>0</v>
      </c>
      <c r="DU6" s="5">
        <f>IF($D6="Spring Pea after Cereal",$H6*SpringPeaAfterCereal!$F$135,0)</f>
        <v>0</v>
      </c>
      <c r="DV6" s="5">
        <f>IF($D6="Forage Crop-St. John Area",$H6*'ForageCrop-StJohn'!$F$135,0)</f>
        <v>0</v>
      </c>
      <c r="DW6" s="5">
        <f>IF($D6="Forage Crop-Genesee Area",$H6*'ForageCrop-Genesee'!$F$135,0)</f>
        <v>0</v>
      </c>
      <c r="DX6" s="5">
        <f>IF($D6="Livestock Grazing",$H6*LivestockGrazing!$F$135,0)</f>
        <v>0</v>
      </c>
      <c r="DY6" s="5">
        <f>IF($D6="SW Winter Wheat after Cereal",$H6*SWWinterWheatafterCereal!$F$135,0)</f>
        <v>0</v>
      </c>
      <c r="DZ6" s="5">
        <f>IF($D6="SW Winter Wheat after Fallow",$H6*SWWinterWheatAfterFallow!$F$135,0)</f>
        <v>0</v>
      </c>
      <c r="EA6" s="5">
        <f>IF($D6="Chem-Fallow",$H6*'Chem-Fallow'!$F$135,0)</f>
        <v>0</v>
      </c>
      <c r="EB6" s="5">
        <f>IF($D6="Flex-Fallow",$H6*'Flex-Fallow'!$F$135,0)</f>
        <v>0</v>
      </c>
      <c r="EC6" s="5">
        <f>IF($D6="Spring Barley",$H6*SpringBarley!$F$135,0)</f>
        <v>0</v>
      </c>
      <c r="ED6" s="5">
        <f>IF($D6="Roundup Ready Spring Canola",$H6*'SpringCanola_R-Ready'!$F$135,0)</f>
        <v>0</v>
      </c>
      <c r="EE6" s="5">
        <f>IF($D6="Spring Canola",$H6*SpringCanola!$F$135,0)</f>
        <v>0</v>
      </c>
      <c r="EF6" s="5">
        <f>IF($D6="Spring Lentils",$H6*SpringLentils!$F$135,0)</f>
        <v>0</v>
      </c>
      <c r="EG6" s="5">
        <f>IF($D6="SW Spring Wheat",$H6*SWSpringWheat!$F$135,0)</f>
        <v>0</v>
      </c>
      <c r="EH6" s="5">
        <f>IF($D6="HR Winter Wheat",$H6*HRWinterWheat!$F$135,0)</f>
        <v>0</v>
      </c>
      <c r="EI6" s="5">
        <f>IF($D6="Winter Pea",$H6*WinterPea!$F$135,0)</f>
        <v>0</v>
      </c>
      <c r="EJ6" s="5">
        <f>IF($D6="Winter Canola",$H6*WinterCanola!$F$135,0)</f>
        <v>24198.669476470601</v>
      </c>
      <c r="EK6" s="377">
        <f>IF($D6="Forage Crop-Soil Builder Blend",$H6*ForageCrop!$F$135,0)</f>
        <v>0</v>
      </c>
      <c r="EL6" s="5">
        <f>IF($D6="SW Winter Wheat after Spring Legume",$H6*SWWinterWheatAfterSpringLegume!$J$116,0)</f>
        <v>0</v>
      </c>
      <c r="EM6" s="5">
        <f>IF($D6="SW Winter Wheat after Forage Crop",$H6*SWWinterWheatAfterForageCrop!$J$116,0)</f>
        <v>0</v>
      </c>
      <c r="EN6" s="5">
        <f>IF($D6="DN Spring Wheat after Spring Legume",$H6*DNSpringWinterAfterSpringLegume!$J$116,0)</f>
        <v>0</v>
      </c>
      <c r="EO6" s="5">
        <f>IF($D6="DN Spring Wheat after Forage Crop",$H6*DNSpringWheatAfterForageCrop!$J$116,0)</f>
        <v>0</v>
      </c>
      <c r="EP6" s="5">
        <f>IF($D6="DN Spring Wheat after Winter Crop",$H6*DNSpringWheatAfterWinterCrop!$J$116,0)</f>
        <v>0</v>
      </c>
      <c r="EQ6" s="5">
        <f>IF($D6="Chickpea after Forage Crop",$H6*ChickpeaAfterForageCrop!$J$116,0)</f>
        <v>0</v>
      </c>
      <c r="ER6" s="5">
        <f>IF($D6="Chickpea after Cereal",$H6*ChickpeaAfterCereal!$J$116,0)</f>
        <v>0</v>
      </c>
      <c r="ES6" s="5">
        <f>IF($D6="Spring Pea after Cereal",$H6*SpringPeaAfterCereal!$J$116,0)</f>
        <v>0</v>
      </c>
      <c r="ET6" s="5">
        <f>IF($D6="Forage Crop-St. John Area",$H6*'ForageCrop-StJohn'!$J$116,0)</f>
        <v>0</v>
      </c>
      <c r="EU6" s="5">
        <f>IF($D6="Forage Crop-Genesee Area",$H6*'ForageCrop-Genesee'!$J$116,0)</f>
        <v>0</v>
      </c>
      <c r="EV6" s="5">
        <f>IF($D6="Livestock Grazing",$H6*LivestockGrazing!$J$116,0)</f>
        <v>0</v>
      </c>
      <c r="EW6" s="5">
        <f>IF($D6="SW Winter Wheat after Cereal",$H6*SWWinterWheatafterCereal!$J$116,0)</f>
        <v>0</v>
      </c>
      <c r="EX6" s="5">
        <f>IF($D6="SW Winter Wheat after Fallow",$H6*SWWinterWheatAfterFallow!$J$116,0)</f>
        <v>0</v>
      </c>
      <c r="EY6" s="5">
        <f>IF($D6="Chem-Fallow",$H6*'Chem-Fallow'!$J$116,0)</f>
        <v>0</v>
      </c>
      <c r="EZ6" s="5">
        <f>IF($D6="Flex-Fallow",$H6*'Flex-Fallow'!$J$116,0)</f>
        <v>0</v>
      </c>
      <c r="FA6" s="5">
        <f>IF($D6="Spring Barley",$H6*SpringBarley!$J$116,0)</f>
        <v>0</v>
      </c>
      <c r="FB6" s="5">
        <f>IF($D6="Roundup Ready Spring Canola",$H6*'SpringCanola_R-Ready'!$J$116,0)</f>
        <v>0</v>
      </c>
      <c r="FC6" s="5">
        <f>IF($D6="Spring Canola",$H6*SpringCanola!$J$116,0)</f>
        <v>0</v>
      </c>
      <c r="FD6" s="5">
        <f>IF($D6="Spring Lentils",$H6*SpringLentils!$J$116,0)</f>
        <v>0</v>
      </c>
      <c r="FE6" s="5">
        <f>IF($D6="SW Spring Wheat",$H6*SWSpringWheat!$J$116,0)</f>
        <v>0</v>
      </c>
      <c r="FF6" s="5">
        <f>IF($D6="HR Winter Wheat",$H6*HRWinterWheat!$J$116,0)</f>
        <v>0</v>
      </c>
      <c r="FG6" s="5">
        <f>IF($D6="Winter Pea",$H6*WinterPea!$J$116,0)</f>
        <v>0</v>
      </c>
      <c r="FH6" s="5">
        <f>IF($D6="Winter Canola",$H6*WinterCanola!$J$116,0)</f>
        <v>16129.930432071913</v>
      </c>
      <c r="FI6" s="377">
        <f>IF($D6="Forage Crop-Soil Builder Blend",$H6*ForageCrop!$J$116,0)</f>
        <v>0</v>
      </c>
      <c r="FJ6" s="5">
        <f>IF($D6="SW Winter Wheat after Spring Legume",$H6*SWWinterWheatAfterSpringLegume!$J$117,0)</f>
        <v>0</v>
      </c>
      <c r="FK6" s="5">
        <f>IF($D6="SW Winter Wheat after Forage Crop",$H6*SWWinterWheatAfterForageCrop!$J$117,0)</f>
        <v>0</v>
      </c>
      <c r="FL6" s="5">
        <f>IF($D6="DN Spring Wheat after Spring Legume",$H6*DNSpringWinterAfterSpringLegume!$J$117,0)</f>
        <v>0</v>
      </c>
      <c r="FM6" s="5">
        <f>IF($D6="DN Spring Wheat after Forage Crop",$H6*DNSpringWheatAfterForageCrop!$J$117,0)</f>
        <v>0</v>
      </c>
      <c r="FN6" s="5">
        <f>IF($D6="DN Spring Wheat after Winter Crop",$H6*DNSpringWheatAfterWinterCrop!$J$117,0)</f>
        <v>0</v>
      </c>
      <c r="FO6" s="5">
        <f>IF($D6="Chickpea after Forage Crop",$H6*ChickpeaAfterForageCrop!$J$117,0)</f>
        <v>0</v>
      </c>
      <c r="FP6" s="5">
        <f>IF($D6="Chickpea after Cereal",$H6*ChickpeaAfterCereal!$J$117,0)</f>
        <v>0</v>
      </c>
      <c r="FQ6" s="5">
        <f>IF($D6="Spring Pea after Cereal",$H6*SpringPeaAfterCereal!$J$117,0)</f>
        <v>0</v>
      </c>
      <c r="FR6" s="5">
        <f>IF($D6="Forage Crop-St. John Area",$H6*'ForageCrop-StJohn'!$J$117,0)</f>
        <v>0</v>
      </c>
      <c r="FS6" s="5">
        <f>IF($D6="Forage Crop-Genesee Area",$H6*'ForageCrop-Genesee'!$J$117,0)</f>
        <v>0</v>
      </c>
      <c r="FT6" s="5">
        <f>IF($D6="Livestock Grazing",$H6*LivestockGrazing!$J$117,0)</f>
        <v>0</v>
      </c>
      <c r="FU6" s="5">
        <f>IF($D6="SW Winter Wheat after Cereal",$H6*SWWinterWheatafterCereal!$J$117,0)</f>
        <v>0</v>
      </c>
      <c r="FV6" s="5">
        <f>IF($D6="SW Winter Wheat after Fallow",$H6*SWWinterWheatAfterFallow!$J$117,0)</f>
        <v>0</v>
      </c>
      <c r="FW6" s="5">
        <f>IF($D6="Chem-Fallow",$H6*'Chem-Fallow'!$J$117,0)</f>
        <v>0</v>
      </c>
      <c r="FX6" s="5">
        <f>IF($D6="Flex-Fallow",$H6*'Flex-Fallow'!$J$117,0)</f>
        <v>0</v>
      </c>
      <c r="FY6" s="5">
        <f>IF($D6="Spring Barley",$H6*SpringBarley!$J$117,0)</f>
        <v>0</v>
      </c>
      <c r="FZ6" s="5">
        <f>IF($D6="Roundup Ready Spring Canola",$H6*'SpringCanola_R-Ready'!$J$117,0)</f>
        <v>0</v>
      </c>
      <c r="GA6" s="5">
        <f>IF($D6="Spring Canola",$H6*SpringCanola!$J$117,0)</f>
        <v>0</v>
      </c>
      <c r="GB6" s="5">
        <f>IF($D6="Spring Lentils",$H6*SpringLentils!$J$117,0)</f>
        <v>0</v>
      </c>
      <c r="GC6" s="5">
        <f>IF($D6="SW Spring Wheat",$H6*SWSpringWheat!$J$117,0)</f>
        <v>0</v>
      </c>
      <c r="GD6" s="5">
        <f>IF($D6="HR Winter Wheat",$H6*HRWinterWheat!$J$117,0)</f>
        <v>0</v>
      </c>
      <c r="GE6" s="5">
        <f>IF($D6="Winter Pea",$H6*WinterPea!$J$117,0)</f>
        <v>0</v>
      </c>
      <c r="GF6" s="5">
        <f>IF($D6="Winter Canola",$H6*WinterCanola!$J$117,0)</f>
        <v>37921.401983080374</v>
      </c>
      <c r="GG6" s="377">
        <f>IF($D6="Forage Crop-Soil Builder Blend",$H6*ForageCrop!$J$117,0)</f>
        <v>0</v>
      </c>
      <c r="GH6" s="5">
        <f>IF($D6="SW Winter Wheat after Spring Legume",$H6*SWWinterWheatAfterSpringLegume!$J$118,0)</f>
        <v>0</v>
      </c>
      <c r="GI6" s="5">
        <f>IF($D6="SW Winter Wheat after Forage Crop",$H6*SWWinterWheatAfterForageCrop!$J$118,0)</f>
        <v>0</v>
      </c>
      <c r="GJ6" s="5">
        <f>IF($D6="DN Spring Wheat after Spring Legume",$H6*DNSpringWinterAfterSpringLegume!$J$118,0)</f>
        <v>0</v>
      </c>
      <c r="GK6" s="5">
        <f>IF($D6="DN Spring Wheat after Forage Crop",$H6*DNSpringWheatAfterForageCrop!$J$118,0)</f>
        <v>0</v>
      </c>
      <c r="GL6" s="5">
        <f>IF($D6="DN Spring Wheat after Winter Crop",$H6*DNSpringWheatAfterWinterCrop!$J$118,0)</f>
        <v>0</v>
      </c>
      <c r="GM6" s="5">
        <f>IF($D6="Chickpea after Forage Crop",$H6*ChickpeaAfterForageCrop!$J$118,0)</f>
        <v>0</v>
      </c>
      <c r="GN6" s="5">
        <f>IF($D6="Chickpea after Cereal",$H6*ChickpeaAfterCereal!$J$118,0)</f>
        <v>0</v>
      </c>
      <c r="GO6" s="5">
        <f>IF($D6="Spring Pea after Cereal",$H6*SpringPeaAfterCereal!$J$118,0)</f>
        <v>0</v>
      </c>
      <c r="GP6" s="5">
        <f>IF($D6="Forage Crop-St. John Area",$H6*'ForageCrop-StJohn'!$J$118,0)</f>
        <v>0</v>
      </c>
      <c r="GQ6" s="5">
        <f>IF($D6="Forage Crop-Genesee Area",$H6*'ForageCrop-Genesee'!$J$118,0)</f>
        <v>0</v>
      </c>
      <c r="GR6" s="5">
        <f>IF($D6="Livestock Grazing",$H6*LivestockGrazing!$J$118,0)</f>
        <v>0</v>
      </c>
      <c r="GS6" s="5">
        <f>IF($D6="SW Winter Wheat after Cereal",$H6*SWWinterWheatafterCereal!$J$118,0)</f>
        <v>0</v>
      </c>
      <c r="GT6" s="5">
        <f>IF($D6="SW Winter Wheat after Fallow",$H6*SWWinterWheatAfterFallow!$J$118,0)</f>
        <v>0</v>
      </c>
      <c r="GU6" s="5">
        <f>IF($D6="Chem-Fallow",$H6*'Chem-Fallow'!$J$118,0)</f>
        <v>0</v>
      </c>
      <c r="GV6" s="5">
        <f>IF($D6="Flex-Fallow",$H6*'Flex-Fallow'!$J$118,0)</f>
        <v>0</v>
      </c>
      <c r="GW6" s="5">
        <f>IF($D6="Spring Barley",$H6*SpringBarley!$J$118,0)</f>
        <v>0</v>
      </c>
      <c r="GX6" s="5">
        <f>IF($D6="Roundup Ready Spring Canola",$H6*'SpringCanola_R-Ready'!$J$118,0)</f>
        <v>0</v>
      </c>
      <c r="GY6" s="5">
        <f>IF($D6="Spring Canola",$H6*SpringCanola!$J$118,0)</f>
        <v>0</v>
      </c>
      <c r="GZ6" s="5">
        <f>IF($D6="Spring Lentils",$H6*SpringLentils!$J$118,0)</f>
        <v>0</v>
      </c>
      <c r="HA6" s="5">
        <f>IF($D6="SW Spring Wheat",$H6*SWSpringWheat!$J$118,0)</f>
        <v>0</v>
      </c>
      <c r="HB6" s="5">
        <f>IF($D6="HR Winter Wheat",$H6*HRWinterWheat!$J$118,0)</f>
        <v>0</v>
      </c>
      <c r="HC6" s="5">
        <f>IF($D6="Winter Pea",$H6*WinterPea!$J$118,0)</f>
        <v>0</v>
      </c>
      <c r="HD6" s="5">
        <f>IF($D6="Winter Canola",$H6*WinterCanola!$J$118,0)</f>
        <v>15766.009334067396</v>
      </c>
      <c r="HE6" s="377">
        <f>IF($D6="Forage Crop-Soil Builder Blend",$H6*ForageCrop!$J$118,0)</f>
        <v>0</v>
      </c>
      <c r="HF6" s="5">
        <f>IF($D6="SW Winter Wheat after Spring Legume",($H6*(SUM(SWWinterWheatAfterSpringLegume!$E$9:$E$16)+SWWinterWheatAfterSpringLegume!$G$16))/2000,0)</f>
        <v>0</v>
      </c>
      <c r="HG6" s="5">
        <f>IF($D6="SW Winter Wheat after Forage Crop",($H6*(SUM(SWWinterWheatAfterForageCrop!$E$9:$E$16)+SWWinterWheatAfterForageCrop!$G$17))/2000,0)</f>
        <v>0</v>
      </c>
      <c r="HH6" s="5">
        <f>IF($D6="DN Spring Wheat after Spring Legume",($H6*(SUM(DNSpringWinterAfterSpringLegume!$E$9:$E$16)+DNSpringWinterAfterSpringLegume!$G$16))/2000,0)</f>
        <v>0</v>
      </c>
      <c r="HI6" s="5">
        <f>IF($D6="DN Spring Wheat after Forage Crop",($H6*(SUM(DNSpringWheatAfterForageCrop!$E$9:$E$16)+DNSpringWheatAfterForageCrop!$G$14))/2000,0)</f>
        <v>0</v>
      </c>
      <c r="HJ6" s="5">
        <f>IF($D6="DN Spring Wheat after Winter Crop",($H6*(SUM(DNSpringWheatAfterWinterCrop!$E$9:$E$16)+DNSpringWheatAfterWinterCrop!$G$16))/2000,0)</f>
        <v>0</v>
      </c>
      <c r="HK6" s="5">
        <f>IF($D6="Chickpea after Forage Crop",($H6*(SUM(ChickpeaAfterForageCrop!$E$9:$E$16)+ChickpeaAfterForageCrop!$G$14))/2000,0)</f>
        <v>0</v>
      </c>
      <c r="HL6" s="5">
        <f>IF($D6="Chickpea after Cereal",($H6*(SUM(ChickpeaAfterCereal!$E$9:$E$16)+ChickpeaAfterCereal!$G$14))/2000,0)</f>
        <v>0</v>
      </c>
      <c r="HM6" s="5">
        <f>IF($D6="Spring Pea after Cereal",($H6*(SUM(SpringPeaAfterCereal!$E$9:$E$16)+SpringPeaAfterCereal!$G$14))/2000,0)</f>
        <v>0</v>
      </c>
      <c r="HN6" s="5">
        <f>IF($D6="Forage Crop-St. John Area",($H6*(SUM('ForageCrop-StJohn'!$E$9:$E$16)+'ForageCrop-StJohn'!$G$14))/2000,0)</f>
        <v>0</v>
      </c>
      <c r="HO6" s="5">
        <f>IF($D6="Forage Crop-Genesee Area",($H6*(SUM('ForageCrop-Genesee'!$E$9:$E$16)+'ForageCrop-Genesee'!$G$14))/2000,0)</f>
        <v>0</v>
      </c>
      <c r="HP6" s="5">
        <f>IF($D6="Livestock Grazing",($H6*(SUM(LivestockGrazing!$E$9:$E$16)+LivestockGrazing!$G$14))/2000,0)</f>
        <v>0</v>
      </c>
      <c r="HQ6" s="5">
        <f>IF($D6="SW Winter Wheat after Cereal",($H6*(SUM(SWWinterWheatafterCereal!$E$9:$E$16)+SWWinterWheatafterCereal!$G$16))/2000,0)</f>
        <v>0</v>
      </c>
      <c r="HR6" s="5">
        <f>IF($D6="SW Winter Wheat after Fallow",($H6*(SUM(SWWinterWheatAfterFallow!$E$9:$E$16)+SWWinterWheatAfterFallow!$G$14))/2000,0)</f>
        <v>0</v>
      </c>
      <c r="HS6" s="5">
        <f>IF($D6="Chem-Fallow",($H6*(SUM('Chem-Fallow'!$E$9:$E$16)+'Chem-Fallow'!$G$16))/2000,0)</f>
        <v>0</v>
      </c>
      <c r="HT6" s="5">
        <f>IF($D6="Flex-Fallow",($H6*(SUM('Flex-Fallow'!$E$9:$E$16)+'Flex-Fallow'!$G$16))/2000,0)</f>
        <v>0</v>
      </c>
      <c r="HU6" s="5">
        <f>IF($D6="Spring Barley",($H6*(SUM(SpringBarley!$E$9:$E$16)+SpringBarley!$G$16))/2000,0)</f>
        <v>0</v>
      </c>
      <c r="HV6" s="5">
        <f>IF($D6="Roundup Ready Spring Canola",($H6*(SUM('SpringCanola_R-Ready'!$E$9:$E$16)+'SpringCanola_R-Ready'!$G$14))/2000,0)</f>
        <v>0</v>
      </c>
      <c r="HW6" s="5">
        <f>IF($D6="Spring Canola",($H6*(SUM(SpringCanola!$E$9:$E$16)+SpringCanola!$G$14))/2000,0)</f>
        <v>0</v>
      </c>
      <c r="HX6" s="5">
        <f>IF($D6="Spriing Lentils",($H6*(SUM(SpringLentils!$E$9:$E$16)+SpringLentils!$G$14))/2000,0)</f>
        <v>0</v>
      </c>
      <c r="HY6" s="5">
        <f>IF($D6="SW Spring Wheat",($H6*(SUM(SWSpringWheat!$E$9:$E$16)+SWSpringWheat!$G$18))/2000,0)</f>
        <v>0</v>
      </c>
      <c r="HZ6" s="5">
        <f>IF($D6="HR Winter Wheat",($H6*(SUM(HRWinterWheat!$E$9:$E$16)+HRWinterWheat!$G$16))/2000,0)</f>
        <v>0</v>
      </c>
      <c r="IA6" s="5">
        <f>IF($D6="Winter Pea",($H6*(SUM(WinterPea!$E$9:$E$16)+WinterPea!$G$14))/2000,0)</f>
        <v>0</v>
      </c>
      <c r="IB6" s="5">
        <f>IF($D6="Winter Canola",($H6*(SUM(WinterCanola!$E$9:$E$16)+WinterCanola!$G$14))/2000,0)</f>
        <v>60.069921874999999</v>
      </c>
      <c r="IC6" s="377">
        <f>IF($D6="Forage Crop-Soil Builder Blend",($H6*(SUM(ForageCrop!$E$9:$E$16)+ForageCrop!$G$14))/2000,0)</f>
        <v>0</v>
      </c>
      <c r="ID6" s="5">
        <f>IF($D6="SW Winter Wheat after Spring Legume",$H6*SWWinterWheatAfterSpringLegume!$G$62,0)</f>
        <v>0</v>
      </c>
      <c r="IE6" s="5">
        <f>IF($D6="SW Winter Wheat after Forage Crop",$H6*SWWinterWheatAfterForageCrop!$G$62,0)</f>
        <v>0</v>
      </c>
      <c r="IF6" s="5">
        <f>IF($D6="DN Spring Wheat after Spring Legume",$H6*DNSpringWinterAfterSpringLegume!$G$62,0)</f>
        <v>0</v>
      </c>
      <c r="IG6" s="5">
        <f>IF($D6="DN Spring Wheat after Forage Crop",$H6*DNSpringWheatAfterForageCrop!$G$62,0)</f>
        <v>0</v>
      </c>
      <c r="IH6" s="5">
        <f>IF($D6="DN Spring Wheat after Winter Crop",$H6*DNSpringWheatAfterWinterCrop!$G$62,0)</f>
        <v>0</v>
      </c>
      <c r="II6" s="5">
        <f>IF($D6="Chickpea after Forage Crop",$H6*ChickpeaAfterForageCrop!$G$62,0)</f>
        <v>0</v>
      </c>
      <c r="IJ6" s="5">
        <f>IF($D6="Chickpea after Cereal",$H6*ChickpeaAfterCereal!$G$62,0)</f>
        <v>0</v>
      </c>
      <c r="IK6" s="5">
        <f>IF($D6="Spring Pea after Cereal",$H6*SpringPeaAfterCereal!$G$62,0)</f>
        <v>0</v>
      </c>
      <c r="IL6" s="5">
        <f>IF($D6="Forage Crop-St. John Area",$H6*'ForageCrop-StJohn'!$G$62,0)</f>
        <v>0</v>
      </c>
      <c r="IM6" s="5">
        <f>IF($D6="Forage Crop-Genesee Area",$H6*'ForageCrop-Genesee'!$G$62,0)</f>
        <v>0</v>
      </c>
      <c r="IN6" s="5">
        <f>IF($D6="Livestock Grazing",$H6*LivestockGrazing!$G$62,0)</f>
        <v>0</v>
      </c>
      <c r="IO6" s="5">
        <f>IF($D6="SW Winter Wheat after Cereal",$H6*SWWinterWheatafterCereal!$G$62,0)</f>
        <v>0</v>
      </c>
      <c r="IP6" s="5">
        <f>IF($D6="SW Winter Wheat after Fallow",$H6*SWWinterWheatAfterFallow!$G$62,0)</f>
        <v>0</v>
      </c>
      <c r="IQ6" s="5">
        <f>IF($D6="Chem-Fallow",$H6*'Chem-Fallow'!$G$62,0)</f>
        <v>0</v>
      </c>
      <c r="IR6" s="5">
        <f>IF($D6="Flex-Fallow",$H6*'Flex-Fallow'!$G$62,0)</f>
        <v>0</v>
      </c>
      <c r="IS6" s="5">
        <f>IF($D6="Spring Barley",$H6*SpringBarley!$G$62,0)</f>
        <v>0</v>
      </c>
      <c r="IT6" s="5">
        <f>IF($D6="Roundup Ready Spring Canola",$H6*'SpringCanola_R-Ready'!$G$62,0)</f>
        <v>0</v>
      </c>
      <c r="IU6" s="5">
        <f>IF($D6="Spring Canola",$H6*SpringCanola!$G$62,0)</f>
        <v>0</v>
      </c>
      <c r="IV6" s="5">
        <f>IF($D6="Spriing Lentils",$H6*SpringLentils!$G$62,0)</f>
        <v>0</v>
      </c>
      <c r="IW6" s="5">
        <f>IF($D6="SW Spring Wheat",$H6*SWSpringWheat!$G$62,0)</f>
        <v>0</v>
      </c>
      <c r="IX6" s="5">
        <f>IF($D6="HR Winter Wheat",$H6*HRWinterWheat!$G$62,0)</f>
        <v>0</v>
      </c>
      <c r="IY6" s="5">
        <f>IF($D6="Winter Pea",$H6*WinterPea!$G$62,0)</f>
        <v>0</v>
      </c>
      <c r="IZ6" s="5">
        <f>IF($D6="Winter Canola",$H6*+WinterCanola!$G$62,0)</f>
        <v>598.4375</v>
      </c>
      <c r="JA6" s="5">
        <f>IF($D6="Forage Crop-Soil Builder Blend",$H6*ForageCrop!$G$62,0)</f>
        <v>0</v>
      </c>
      <c r="JB6" s="5">
        <f>IF($D6="SW Winter Wheat after Spring Legume",$H6*SWWinterWheatAfterSpringLegume!$E$4,0)</f>
        <v>0</v>
      </c>
      <c r="JC6" s="5">
        <f>IF($D6="SW Winter Wheat after Forage Crop",$H6*SWWinterWheatAfterForageCrop!$E$4,0)</f>
        <v>0</v>
      </c>
      <c r="JD6" s="5">
        <f>IF($D6="DN Spring Wheat after Spring Legume",$H6*DNSpringWinterAfterSpringLegume!$E$4,0)</f>
        <v>0</v>
      </c>
      <c r="JE6" s="5">
        <f>IF($D6="DN Spring Wheat after Forage Crop",$H6*DNSpringWheatAfterForageCrop!$E$4,0)</f>
        <v>0</v>
      </c>
      <c r="JF6" s="5">
        <f>IF($D6="DN Spring Wheat after Winter Crop",$H6*DNSpringWheatAfterWinterCrop!$E$4,0)</f>
        <v>0</v>
      </c>
      <c r="JG6" s="5">
        <f>IF($D6="Chickpea after Forage Crop",$H6*ChickpeaAfterForageCrop!$E$4,0)</f>
        <v>0</v>
      </c>
      <c r="JH6" s="5">
        <f>IF($D6="Chickpea after Cereal",$H6*ChickpeaAfterCereal!$E$4,0)</f>
        <v>0</v>
      </c>
      <c r="JI6" s="5">
        <f>IF($D6="Spring Pea after Cereal",$H6*SpringPeaAfterCereal!$E$4,0)</f>
        <v>0</v>
      </c>
      <c r="JJ6" s="5">
        <f>IF($D6="Forage Crop-St. John Area",$H6*'ForageCrop-StJohn'!$E$4,0)</f>
        <v>0</v>
      </c>
      <c r="JK6" s="5">
        <f>IF($D6="Forage Crop-Genesee Area",$H6*'ForageCrop-Genesee'!$E$4,0)</f>
        <v>0</v>
      </c>
      <c r="JL6" s="5">
        <f>IF($D6="Livestock Grazing",$H6*LivestockGrazing!$E$4,0)</f>
        <v>0</v>
      </c>
      <c r="JM6" s="5">
        <f>IF($D6="SW Winter Wheat after Cereal",$H6*SWWinterWheatafterCereal!$E$4,0)</f>
        <v>0</v>
      </c>
      <c r="JN6" s="5">
        <f>IF($D6="SW Winter Wheat after Fallow",$H6*SWWinterWheatAfterFallow!$E$4,0)</f>
        <v>0</v>
      </c>
      <c r="JO6" s="5">
        <f>IF($D6="Chem-Fallow",$H6*'Chem-Fallow'!$E$4,0)</f>
        <v>0</v>
      </c>
      <c r="JP6" s="5">
        <f>IF($D6="Flex-Fallow",$H6*'Flex-Fallow'!$E$4,0)</f>
        <v>0</v>
      </c>
      <c r="JQ6" s="5">
        <f>IF($D6="Spring Barley",$H6*SpringBarley!$E$4,0)</f>
        <v>0</v>
      </c>
      <c r="JR6" s="5">
        <f>IF($D6="Roundup Ready Spring Canola",$H6*'SpringCanola_R-Ready'!$E$4,0)</f>
        <v>0</v>
      </c>
      <c r="JS6" s="5">
        <f>IF($D6="Spring Canola",$H6*SpringCanola!$E$4,0)</f>
        <v>0</v>
      </c>
      <c r="JT6" s="5">
        <f>IF($D6="Spriing Lentils",$H6*SpringLentils!$E$4,0)</f>
        <v>0</v>
      </c>
      <c r="JU6" s="5">
        <f>IF($D6="SW Spring Wheat",$H6*SWSpringWheat!$E$4,0)</f>
        <v>0</v>
      </c>
      <c r="JV6" s="5">
        <f>IF($D6="HR Winter Wheat",$H6*HRWinterWheat!$E$4,0)</f>
        <v>0</v>
      </c>
      <c r="JW6" s="5">
        <f>IF($D6="Winter Pea",$H6*WinterPea!$E$4,0)</f>
        <v>0</v>
      </c>
      <c r="JX6" s="5">
        <f>IF($D6="Winter Canola",$H6*+WinterCanola!$E$4,0)</f>
        <v>2000000</v>
      </c>
      <c r="JY6" s="5">
        <f>IF($D6="Forage Crop-Soil Builder Blend",$H6*ForageCrop!$E$4,0)</f>
        <v>0</v>
      </c>
    </row>
    <row r="7" spans="1:297" ht="20" customHeight="1">
      <c r="A7" s="8"/>
      <c r="B7" s="698"/>
      <c r="C7" s="52">
        <v>3</v>
      </c>
      <c r="D7" s="154" t="s">
        <v>380</v>
      </c>
      <c r="E7" s="155">
        <v>0.2</v>
      </c>
      <c r="F7" s="353">
        <f>IF(D7="Livestock Grazing",0,E7)</f>
        <v>0.2</v>
      </c>
      <c r="G7" s="168">
        <f>IF(D7="Livestock Grazing",0,$I$2*E7)</f>
        <v>500</v>
      </c>
      <c r="H7" s="356">
        <f>$I$2*E7</f>
        <v>500</v>
      </c>
      <c r="I7" s="159">
        <f>SUM(AT7:BQ7)</f>
        <v>-30.721722705339261</v>
      </c>
      <c r="J7" s="159"/>
      <c r="M7" s="291"/>
      <c r="N7" s="16" t="s">
        <v>113</v>
      </c>
      <c r="O7" s="235">
        <v>1111.7235331632655</v>
      </c>
      <c r="P7" s="235">
        <f>SUM('Farm and Rotation Setup'!EL5:FI9)/MachineAssumptions!$D$30</f>
        <v>2004.4710032124131</v>
      </c>
      <c r="Q7" s="232">
        <f t="shared" si="0"/>
        <v>0.80303010903164929</v>
      </c>
      <c r="R7" s="291"/>
      <c r="S7" s="15"/>
      <c r="T7" s="15"/>
      <c r="U7" s="1"/>
      <c r="V7" s="5">
        <f>IF($D7="SW Winter Wheat after Spring Legume",$H7,0)</f>
        <v>0</v>
      </c>
      <c r="W7" s="5">
        <f>IF($D7="SW Winter Wheat after Forage Crop",$H7,0)</f>
        <v>0</v>
      </c>
      <c r="X7" s="5">
        <f>IF($D7="DN Spring Wheat after Spring Legume",$H7,0)</f>
        <v>0</v>
      </c>
      <c r="Y7" s="5">
        <f>IF($D7="DN Spring Wheat after Forage Crop",$H7,0)</f>
        <v>0</v>
      </c>
      <c r="Z7" s="5">
        <f>IF($D7="DN Spring Wheat after Winter Crop",$H7,0)</f>
        <v>0</v>
      </c>
      <c r="AA7" s="5">
        <f>IF($D7="Chickpea after Forage Crop",$H7,0)</f>
        <v>0</v>
      </c>
      <c r="AB7" s="5">
        <f>IF($D7="Chickpea after Cereal",$H7,0)</f>
        <v>500</v>
      </c>
      <c r="AC7" s="5">
        <f>IF($D7="Spring Pea after Cereal",$H7,0)</f>
        <v>0</v>
      </c>
      <c r="AD7" s="5">
        <f>IF($D7="Forage Crop-St. John Area",$H7,0)</f>
        <v>0</v>
      </c>
      <c r="AE7" s="5">
        <f>IF($D7="Forage Crop-Genesee Area",$H7,0)</f>
        <v>0</v>
      </c>
      <c r="AF7" s="5">
        <f>IF($D7="Livestock Grazing",$H7,0)</f>
        <v>0</v>
      </c>
      <c r="AG7" s="5">
        <f>IF($D7="SW Winter Wheat after Cereal",$H7,0)</f>
        <v>0</v>
      </c>
      <c r="AH7" s="5">
        <f>IF($D7="SW Winter Wheat after Fallow",$H7,0)</f>
        <v>0</v>
      </c>
      <c r="AI7" s="5">
        <f>IF($D7="Chem-Fallow",$H7,0)</f>
        <v>0</v>
      </c>
      <c r="AJ7" s="5">
        <f>IF($D7="Flex-Fallow",$H7,0)</f>
        <v>0</v>
      </c>
      <c r="AK7" s="5">
        <f>IF($D7="Spring Barley",$H7,0)</f>
        <v>0</v>
      </c>
      <c r="AL7" s="5">
        <f>IF($D7="Roundup Ready Spring Canola",$H7,0)</f>
        <v>0</v>
      </c>
      <c r="AM7" s="5">
        <f>IF($D7="Spring Canola",$H7,0)</f>
        <v>0</v>
      </c>
      <c r="AN7" s="5">
        <f>IF($D7="Spring Lentils",$H7,0)</f>
        <v>0</v>
      </c>
      <c r="AO7" s="5">
        <f>IF($D7="SW Spring Wheat",$H7,0)</f>
        <v>0</v>
      </c>
      <c r="AP7" s="5">
        <f>IF($D7="HR Winter Wheat",$H7,0)</f>
        <v>0</v>
      </c>
      <c r="AQ7" s="5">
        <f>IF($D7="Winter Pea",$H7,0)</f>
        <v>0</v>
      </c>
      <c r="AR7" s="5">
        <f>IF($D7="Winter Canola",$H7,0)</f>
        <v>0</v>
      </c>
      <c r="AS7" s="377">
        <f>IF($D7="Forage Crop-Soil Builder Blend",$H7,0)</f>
        <v>0</v>
      </c>
      <c r="AT7" s="5">
        <f>IF($D7="SW Winter Wheat after Spring Legume",SWWinterWheatAfterSpringLegume!$F$138,0)</f>
        <v>0</v>
      </c>
      <c r="AU7" s="5">
        <f>IF($D7="SW Winter Wheat after Forage Crop",SWWinterWheatAfterForageCrop!$F$138,0)</f>
        <v>0</v>
      </c>
      <c r="AV7" s="5">
        <f>IF($D7="DN Spring Wheat after Spring Legume",DNSpringWinterAfterSpringLegume!$F$138,0)</f>
        <v>0</v>
      </c>
      <c r="AW7" s="5">
        <f>IF($D7="DN Spring Wheat after Forage Crop",DNSpringWheatAfterForageCrop!$F$138,0)</f>
        <v>0</v>
      </c>
      <c r="AX7" s="5">
        <f>IF($D7="DN Spring Wheat after Winter Crop",DNSpringWheatAfterWinterCrop!$F$138,0)</f>
        <v>0</v>
      </c>
      <c r="AY7" s="5">
        <f>IF($D7="Chickpea after Forage Crop",ChickpeaAfterForageCrop!$F$138,0)</f>
        <v>0</v>
      </c>
      <c r="AZ7" s="5">
        <f>IF($D7="Chickpea after Cereal",ChickpeaAfterCereal!$F$138,0)</f>
        <v>-30.721722705339261</v>
      </c>
      <c r="BA7" s="5">
        <f>IF($D7="Spring Pea after Cereal",SpringPeaAfterCereal!$F$138,0)</f>
        <v>0</v>
      </c>
      <c r="BB7" s="5">
        <f>IF($D7="Forage Crop-St. John Area",'ForageCrop-StJohn'!$F$138,0)</f>
        <v>0</v>
      </c>
      <c r="BC7" s="5">
        <f>IF($D7="Forage Crop-Genesee Area",'ForageCrop-Genesee'!$F$138,0)</f>
        <v>0</v>
      </c>
      <c r="BD7" s="5">
        <f>IF($D7="Livestock Grazing",LivestockGrazing!$F$138,0)</f>
        <v>0</v>
      </c>
      <c r="BE7" s="5">
        <f>IF($D7="SW Winter Wheat after Cereal",SWWinterWheatafterCereal!$F$138,0)</f>
        <v>0</v>
      </c>
      <c r="BF7" s="5">
        <f>IF($D7="SW Winter Wheat after Fallow",SWWinterWheatAfterFallow!$F$138,0)</f>
        <v>0</v>
      </c>
      <c r="BG7" s="5">
        <f>IF($D7="Chem-Fallow",'Chem-Fallow'!$F$138,0)</f>
        <v>0</v>
      </c>
      <c r="BH7" s="5">
        <f>IF($D7="Flex-Fallow",'Flex-Fallow'!$F$138,0)</f>
        <v>0</v>
      </c>
      <c r="BI7" s="5">
        <f>IF($D7="Spring Barley",SpringBarley!$F$138,0)</f>
        <v>0</v>
      </c>
      <c r="BJ7" s="5">
        <f>IF($D7="Roundup Ready Spring Canola",'SpringCanola_R-Ready'!$F$138,0)</f>
        <v>0</v>
      </c>
      <c r="BK7" s="5">
        <f>IF($D7="Spring Canola",SpringCanola!$F$138,0)</f>
        <v>0</v>
      </c>
      <c r="BL7" s="5">
        <f>IF($D7="Spring Lentils",SpringLentils!$F$138,0)</f>
        <v>0</v>
      </c>
      <c r="BM7" s="5">
        <f>IF($D7="SW Spring Wheat",SWSpringWheat!$F$138,0)</f>
        <v>0</v>
      </c>
      <c r="BN7" s="5">
        <f>IF($D7="HR Winter Wheat",HRWinterWheat!$F$138,0)</f>
        <v>0</v>
      </c>
      <c r="BO7" s="5">
        <f>IF($D7="Winter Pea",WinterPea!$F$138,0)</f>
        <v>0</v>
      </c>
      <c r="BP7" s="5">
        <f>IF($D7="Winter Canola",WinterCanola!$F$138,0)</f>
        <v>0</v>
      </c>
      <c r="BQ7" s="377">
        <f>IF($D7="Forage Crop-Soil Builder Blend",ForageCrop!$F$138,0)</f>
        <v>0</v>
      </c>
      <c r="BR7" s="5">
        <f>IF($D7="SW Winter Wheat after Spring Legume",H7*SWWinterWheatAfterSpringLegume!$F$138,0)</f>
        <v>0</v>
      </c>
      <c r="BS7" s="5">
        <f>IF($D7="SW Winter Wheat after Forage Crop",H7*SWWinterWheatAfterForageCrop!$F$138,0)</f>
        <v>0</v>
      </c>
      <c r="BT7" s="5">
        <f>IF($D7="DN Spring Wheat after Spring Legume",H7*DNSpringWinterAfterSpringLegume!$F$138,0)</f>
        <v>0</v>
      </c>
      <c r="BU7" s="5">
        <f>IF($D7="DN Spring Wheat after Forage Crop",H7*DNSpringWheatAfterForageCrop!$F$138,0)</f>
        <v>0</v>
      </c>
      <c r="BV7" s="5">
        <f>IF($D7="DN Spring Wheat after Winter Crop",H7*DNSpringWheatAfterWinterCrop!$F$138,0)</f>
        <v>0</v>
      </c>
      <c r="BW7" s="5">
        <f>IF($D7="Chickpea after Forage Crop",H7*ChickpeaAfterForageCrop!$F$138,0)</f>
        <v>0</v>
      </c>
      <c r="BX7" s="5">
        <f>IF($D7="Chickpea after Cereal",H7*ChickpeaAfterCereal!$F$138,0)</f>
        <v>-15360.86135266963</v>
      </c>
      <c r="BY7" s="5">
        <f>IF($D7="Spring Pea after Cereal",H7*SpringPeaAfterCereal!$F$138,0)</f>
        <v>0</v>
      </c>
      <c r="BZ7" s="5">
        <f>IF($D7="Forage Crop-St. John Area",H7*'ForageCrop-StJohn'!$F$138,0)</f>
        <v>0</v>
      </c>
      <c r="CA7" s="5">
        <f>IF($D7="Forage Crop-Genesee Area",H7*'ForageCrop-Genesee'!$F$138,0)</f>
        <v>0</v>
      </c>
      <c r="CB7" s="5">
        <f>IF($D7="Livestock Grazing",H7*LivestockGrazing!$F$138,0)</f>
        <v>0</v>
      </c>
      <c r="CC7" s="5">
        <f>IF($D7="SW Winter Wheat after Cereal",H7*SWWinterWheatafterCereal!$F$138,0)</f>
        <v>0</v>
      </c>
      <c r="CD7" s="5">
        <f>IF($D7="SW Winter Wheat after Fallow",H7*SWWinterWheatAfterFallow!$F$138,0)</f>
        <v>0</v>
      </c>
      <c r="CE7" s="5">
        <f>IF($D7="Chem-Fallow",H7*'Chem-Fallow'!$F$138,0)</f>
        <v>0</v>
      </c>
      <c r="CF7" s="5">
        <f>IF($D7="Flex-Fallow",H7*'Flex-Fallow'!$F$138,0)</f>
        <v>0</v>
      </c>
      <c r="CG7" s="5">
        <f>IF($D7="Spring Barley",H7*SpringBarley!$F$138,0)</f>
        <v>0</v>
      </c>
      <c r="CH7" s="5">
        <f>IF($D7="Roundup Ready Spring Canola",H7*'SpringCanola_R-Ready'!$F$138,0)</f>
        <v>0</v>
      </c>
      <c r="CI7" s="5">
        <f>IF($D7="Spring Canola",H7*SpringCanola!$F$138,0)</f>
        <v>0</v>
      </c>
      <c r="CJ7" s="5">
        <f>IF($D7="Spring Lentils",H7*SpringLentils!$F$138,0)</f>
        <v>0</v>
      </c>
      <c r="CK7" s="5">
        <f>IF($D7="SW Spring Wheat",H7*SWSpringWheat!$F$138,0)</f>
        <v>0</v>
      </c>
      <c r="CL7" s="5">
        <f>IF($D7="HR Winter Wheat",H7*HRWinterWheat!$F$138,0)</f>
        <v>0</v>
      </c>
      <c r="CM7" s="5">
        <f>IF($D7="Winter Pea",H7*WinterPea!$F$138,0)</f>
        <v>0</v>
      </c>
      <c r="CN7" s="5">
        <f>IF($D7="Winter Canola",H7*WinterCanola!$F$138,0)</f>
        <v>0</v>
      </c>
      <c r="CO7" s="377">
        <f>IF($D7="Forage Crop-Soil Builder Blend",H7*ForageCrop!$F$138,0)</f>
        <v>0</v>
      </c>
      <c r="CP7" s="5">
        <f>IF($D7="SW Winter Wheat after Spring Legume",H7*'Prices_Yields&amp;SeedInputs'!J$5,0)</f>
        <v>0</v>
      </c>
      <c r="CQ7" s="5">
        <f>IF($D7="SW Winter Wheat after Forage Crop",H7*'Prices_Yields&amp;SeedInputs'!J$6,0)</f>
        <v>0</v>
      </c>
      <c r="CR7" s="5">
        <f>IF($D7="DN Spring Wheat after Spring Legume",H7*'Prices_Yields&amp;SeedInputs'!J$7,0)</f>
        <v>0</v>
      </c>
      <c r="CS7" s="5">
        <f>IF($D7="DN Spring Wheat after Forage Crop",H7*'Prices_Yields&amp;SeedInputs'!J$8,0)</f>
        <v>0</v>
      </c>
      <c r="CT7" s="5">
        <f>IF($D7="DN Spring Wheat after Winter Crop",H7*'Prices_Yields&amp;SeedInputs'!J$9,0)</f>
        <v>0</v>
      </c>
      <c r="CU7" s="5">
        <f>IF($D7="Chickpea after Forage Crop",H7*'Prices_Yields&amp;SeedInputs'!J$10,0)</f>
        <v>0</v>
      </c>
      <c r="CV7" s="5">
        <f>IF($D7="Chickpea after Cereal",H7*'Prices_Yields&amp;SeedInputs'!J$11,0)</f>
        <v>65000</v>
      </c>
      <c r="CW7" s="5">
        <f>IF($D7="Spring Pea after Cereal",H7*'Prices_Yields&amp;SeedInputs'!J$12,0)</f>
        <v>0</v>
      </c>
      <c r="CX7" s="5">
        <f>IF($D7="Forage Crop-St. John Area",H7*'Prices_Yields&amp;SeedInputs'!J$13,0)</f>
        <v>0</v>
      </c>
      <c r="CY7" s="5">
        <f>IF($D7="Forage Crop-Genesee Area",H7*'Prices_Yields&amp;SeedInputs'!J$14,0)</f>
        <v>0</v>
      </c>
      <c r="CZ7" s="5">
        <f>IF($D7="Livestock Grazing",H7*'Prices_Yields&amp;SeedInputs'!J$15,0)</f>
        <v>0</v>
      </c>
      <c r="DA7" s="5">
        <f>IF($D7="SW Winter Wheat after Cereal",H7*'Prices_Yields&amp;SeedInputs'!J$16,0)</f>
        <v>0</v>
      </c>
      <c r="DB7" s="5">
        <f>IF($D7="SW Winter Wheat after Fallow",H7*'Prices_Yields&amp;SeedInputs'!J$17,0)</f>
        <v>0</v>
      </c>
      <c r="DC7" s="5">
        <f>IF($D7="Chem-Fallow",H7*'Prices_Yields&amp;SeedInputs'!J$18,0)</f>
        <v>0</v>
      </c>
      <c r="DD7" s="5">
        <f>IF($D7="Flex-Fallow",H7*'Prices_Yields&amp;SeedInputs'!J$19,0)</f>
        <v>0</v>
      </c>
      <c r="DE7" s="5">
        <f>IF($D7="Spring Barley",H7*'Prices_Yields&amp;SeedInputs'!J$20,0)</f>
        <v>0</v>
      </c>
      <c r="DF7" s="5">
        <f>IF($D7="Roundup Ready Spring Canola",H7*'Prices_Yields&amp;SeedInputs'!J$21,0)</f>
        <v>0</v>
      </c>
      <c r="DG7" s="5">
        <f>IF($D7="Spring Canola",H7*'Prices_Yields&amp;SeedInputs'!J$22,0)</f>
        <v>0</v>
      </c>
      <c r="DH7" s="5">
        <f>IF($D7="Spring Lentils",H7*'Prices_Yields&amp;SeedInputs'!J$23,0)</f>
        <v>0</v>
      </c>
      <c r="DI7" s="5">
        <f>IF($D7="SW Spring Wheat",H7*'Prices_Yields&amp;SeedInputs'!J$24,0)</f>
        <v>0</v>
      </c>
      <c r="DJ7" s="5">
        <f>IF($D7="HR Winter Wheat",H7*'Prices_Yields&amp;SeedInputs'!J$25,0)</f>
        <v>0</v>
      </c>
      <c r="DK7" s="5">
        <f>IF($D7="Winter Pea",H7*'Prices_Yields&amp;SeedInputs'!J$26,0)</f>
        <v>0</v>
      </c>
      <c r="DL7" s="5">
        <f>IF($D7="Winter Canola",H7*'Prices_Yields&amp;SeedInputs'!J$27,0)</f>
        <v>0</v>
      </c>
      <c r="DM7" s="377">
        <f>IF($D7="Forage Crop-Soil Builder Blend",H7*'Prices_Yields&amp;SeedInputs'!J$28,0)</f>
        <v>0</v>
      </c>
      <c r="DN7" s="5">
        <f>IF($D7="SW Winter Wheat after Spring Legume",$H7*SWWinterWheatAfterSpringLegume!$F$135,0)</f>
        <v>0</v>
      </c>
      <c r="DO7" s="5">
        <f>IF($D7="SW Winter Wheat after Forage Crop",$H7*SWWinterWheatAfterForageCrop!$F$135,0)</f>
        <v>0</v>
      </c>
      <c r="DP7" s="5">
        <f>IF($D7="DN Spring Wheat after Spring Legume",$H7*DNSpringWinterAfterSpringLegume!$F$135,0)</f>
        <v>0</v>
      </c>
      <c r="DQ7" s="5">
        <f>IF($D7="DN Spring Wheat after Forage Crop",$H7*DNSpringWheatAfterForageCrop!$F$135,0)</f>
        <v>0</v>
      </c>
      <c r="DR7" s="5">
        <f>IF($D7="DN Spring Wheat after Winter Crop",$H7*DNSpringWheatAfterWinterCrop!$F$135,0)</f>
        <v>0</v>
      </c>
      <c r="DS7" s="5">
        <f>IF($D7="Chickpea after Forage Crop",$H7*ChickpeaAfterForageCrop!$F$135,0)</f>
        <v>0</v>
      </c>
      <c r="DT7" s="5">
        <f>IF($D7="Chickpea after Cereal",$H7*ChickpeaAfterCereal!$F$135,0)</f>
        <v>11694.768157109058</v>
      </c>
      <c r="DU7" s="5">
        <f>IF($D7="Spring Pea after Cereal",$H7*SpringPeaAfterCereal!$F$135,0)</f>
        <v>0</v>
      </c>
      <c r="DV7" s="5">
        <f>IF($D7="Forage Crop-St. John Area",$H7*'ForageCrop-StJohn'!$F$135,0)</f>
        <v>0</v>
      </c>
      <c r="DW7" s="5">
        <f>IF($D7="Forage Crop-Genesee Area",$H7*'ForageCrop-Genesee'!$F$135,0)</f>
        <v>0</v>
      </c>
      <c r="DX7" s="5">
        <f>IF($D7="Livestock Grazing",$H7*LivestockGrazing!$F$135,0)</f>
        <v>0</v>
      </c>
      <c r="DY7" s="5">
        <f>IF($D7="SW Winter Wheat after Cereal",$H7*SWWinterWheatafterCereal!$F$135,0)</f>
        <v>0</v>
      </c>
      <c r="DZ7" s="5">
        <f>IF($D7="SW Winter Wheat after Fallow",$H7*SWWinterWheatAfterFallow!$F$135,0)</f>
        <v>0</v>
      </c>
      <c r="EA7" s="5">
        <f>IF($D7="Chem-Fallow",$H7*'Chem-Fallow'!$F$135,0)</f>
        <v>0</v>
      </c>
      <c r="EB7" s="5">
        <f>IF($D7="Flex-Fallow",$H7*'Flex-Fallow'!$F$135,0)</f>
        <v>0</v>
      </c>
      <c r="EC7" s="5">
        <f>IF($D7="Spring Barley",$H7*SpringBarley!$F$135,0)</f>
        <v>0</v>
      </c>
      <c r="ED7" s="5">
        <f>IF($D7="Roundup Ready Spring Canola",$H7*'SpringCanola_R-Ready'!$F$135,0)</f>
        <v>0</v>
      </c>
      <c r="EE7" s="5">
        <f>IF($D7="Spring Canola",$H7*SpringCanola!$F$135,0)</f>
        <v>0</v>
      </c>
      <c r="EF7" s="5">
        <f>IF($D7="Spring Lentils",$H7*SpringLentils!$F$135,0)</f>
        <v>0</v>
      </c>
      <c r="EG7" s="5">
        <f>IF($D7="SW Spring Wheat",$H7*SWSpringWheat!$F$135,0)</f>
        <v>0</v>
      </c>
      <c r="EH7" s="5">
        <f>IF($D7="HR Winter Wheat",$H7*HRWinterWheat!$F$135,0)</f>
        <v>0</v>
      </c>
      <c r="EI7" s="5">
        <f>IF($D7="Winter Pea",$H7*WinterPea!$F$135,0)</f>
        <v>0</v>
      </c>
      <c r="EJ7" s="5">
        <f>IF($D7="Winter Canola",$H7*WinterCanola!$F$135,0)</f>
        <v>0</v>
      </c>
      <c r="EK7" s="377">
        <f>IF($D7="Forage Crop-Soil Builder Blend",$H7*ForageCrop!$F$135,0)</f>
        <v>0</v>
      </c>
      <c r="EL7" s="5">
        <f>IF($D7="SW Winter Wheat after Spring Legume",$H7*SWWinterWheatAfterSpringLegume!$J$116,0)</f>
        <v>0</v>
      </c>
      <c r="EM7" s="5">
        <f>IF($D7="SW Winter Wheat after Forage Crop",$H7*SWWinterWheatAfterForageCrop!$J$116,0)</f>
        <v>0</v>
      </c>
      <c r="EN7" s="5">
        <f>IF($D7="DN Spring Wheat after Spring Legume",$H7*DNSpringWinterAfterSpringLegume!$J$116,0)</f>
        <v>0</v>
      </c>
      <c r="EO7" s="5">
        <f>IF($D7="DN Spring Wheat after Forage Crop",$H7*DNSpringWheatAfterForageCrop!$J$116,0)</f>
        <v>0</v>
      </c>
      <c r="EP7" s="5">
        <f>IF($D7="DN Spring Wheat after Winter Crop",$H7*DNSpringWheatAfterWinterCrop!$J$116,0)</f>
        <v>0</v>
      </c>
      <c r="EQ7" s="5">
        <f>IF($D7="Chickpea after Forage Crop",$H7*ChickpeaAfterForageCrop!$J$116,0)</f>
        <v>0</v>
      </c>
      <c r="ER7" s="5">
        <f>IF($D7="Chickpea after Cereal",$H7*ChickpeaAfterCereal!$J$116,0)</f>
        <v>7829.5592001044379</v>
      </c>
      <c r="ES7" s="5">
        <f>IF($D7="Spring Pea after Cereal",$H7*SpringPeaAfterCereal!$J$116,0)</f>
        <v>0</v>
      </c>
      <c r="ET7" s="5">
        <f>IF($D7="Forage Crop-St. John Area",$H7*'ForageCrop-StJohn'!$J$116,0)</f>
        <v>0</v>
      </c>
      <c r="EU7" s="5">
        <f>IF($D7="Forage Crop-Genesee Area",$H7*'ForageCrop-Genesee'!$J$116,0)</f>
        <v>0</v>
      </c>
      <c r="EV7" s="5">
        <f>IF($D7="Livestock Grazing",$H7*LivestockGrazing!$J$116,0)</f>
        <v>0</v>
      </c>
      <c r="EW7" s="5">
        <f>IF($D7="SW Winter Wheat after Cereal",$H7*SWWinterWheatafterCereal!$J$116,0)</f>
        <v>0</v>
      </c>
      <c r="EX7" s="5">
        <f>IF($D7="SW Winter Wheat after Fallow",$H7*SWWinterWheatAfterFallow!$J$116,0)</f>
        <v>0</v>
      </c>
      <c r="EY7" s="5">
        <f>IF($D7="Chem-Fallow",$H7*'Chem-Fallow'!$J$116,0)</f>
        <v>0</v>
      </c>
      <c r="EZ7" s="5">
        <f>IF($D7="Flex-Fallow",$H7*'Flex-Fallow'!$J$116,0)</f>
        <v>0</v>
      </c>
      <c r="FA7" s="5">
        <f>IF($D7="Spring Barley",$H7*SpringBarley!$J$116,0)</f>
        <v>0</v>
      </c>
      <c r="FB7" s="5">
        <f>IF($D7="Roundup Ready Spring Canola",$H7*'SpringCanola_R-Ready'!$J$116,0)</f>
        <v>0</v>
      </c>
      <c r="FC7" s="5">
        <f>IF($D7="Spring Canola",$H7*SpringCanola!$J$116,0)</f>
        <v>0</v>
      </c>
      <c r="FD7" s="5">
        <f>IF($D7="Spring Lentils",$H7*SpringLentils!$J$116,0)</f>
        <v>0</v>
      </c>
      <c r="FE7" s="5">
        <f>IF($D7="SW Spring Wheat",$H7*SWSpringWheat!$J$116,0)</f>
        <v>0</v>
      </c>
      <c r="FF7" s="5">
        <f>IF($D7="HR Winter Wheat",$H7*HRWinterWheat!$J$116,0)</f>
        <v>0</v>
      </c>
      <c r="FG7" s="5">
        <f>IF($D7="Winter Pea",$H7*WinterPea!$J$116,0)</f>
        <v>0</v>
      </c>
      <c r="FH7" s="5">
        <f>IF($D7="Winter Canola",$H7*WinterCanola!$J$116,0)</f>
        <v>0</v>
      </c>
      <c r="FI7" s="377">
        <f>IF($D7="Forage Crop-Soil Builder Blend",$H7*ForageCrop!$J$116,0)</f>
        <v>0</v>
      </c>
      <c r="FJ7" s="5">
        <f>IF($D7="SW Winter Wheat after Spring Legume",$H7*SWWinterWheatAfterSpringLegume!$J$117,0)</f>
        <v>0</v>
      </c>
      <c r="FK7" s="5">
        <f>IF($D7="SW Winter Wheat after Forage Crop",$H7*SWWinterWheatAfterForageCrop!$J$117,0)</f>
        <v>0</v>
      </c>
      <c r="FL7" s="5">
        <f>IF($D7="DN Spring Wheat after Spring Legume",$H7*DNSpringWinterAfterSpringLegume!$J$117,0)</f>
        <v>0</v>
      </c>
      <c r="FM7" s="5">
        <f>IF($D7="DN Spring Wheat after Forage Crop",$H7*DNSpringWheatAfterForageCrop!$J$117,0)</f>
        <v>0</v>
      </c>
      <c r="FN7" s="5">
        <f>IF($D7="DN Spring Wheat after Winter Crop",$H7*DNSpringWheatAfterWinterCrop!$J$117,0)</f>
        <v>0</v>
      </c>
      <c r="FO7" s="5">
        <f>IF($D7="Chickpea after Forage Crop",$H7*ChickpeaAfterForageCrop!$J$117,0)</f>
        <v>0</v>
      </c>
      <c r="FP7" s="5">
        <f>IF($D7="Chickpea after Cereal",$H7*ChickpeaAfterCereal!$J$117,0)</f>
        <v>18058.311263802698</v>
      </c>
      <c r="FQ7" s="5">
        <f>IF($D7="Spring Pea after Cereal",$H7*SpringPeaAfterCereal!$J$117,0)</f>
        <v>0</v>
      </c>
      <c r="FR7" s="5">
        <f>IF($D7="Forage Crop-St. John Area",$H7*'ForageCrop-StJohn'!$J$117,0)</f>
        <v>0</v>
      </c>
      <c r="FS7" s="5">
        <f>IF($D7="Forage Crop-Genesee Area",$H7*'ForageCrop-Genesee'!$J$117,0)</f>
        <v>0</v>
      </c>
      <c r="FT7" s="5">
        <f>IF($D7="Livestock Grazing",$H7*LivestockGrazing!$J$117,0)</f>
        <v>0</v>
      </c>
      <c r="FU7" s="5">
        <f>IF($D7="SW Winter Wheat after Cereal",$H7*SWWinterWheatafterCereal!$J$117,0)</f>
        <v>0</v>
      </c>
      <c r="FV7" s="5">
        <f>IF($D7="SW Winter Wheat after Fallow",$H7*SWWinterWheatAfterFallow!$J$117,0)</f>
        <v>0</v>
      </c>
      <c r="FW7" s="5">
        <f>IF($D7="Chem-Fallow",$H7*'Chem-Fallow'!$J$117,0)</f>
        <v>0</v>
      </c>
      <c r="FX7" s="5">
        <f>IF($D7="Flex-Fallow",$H7*'Flex-Fallow'!$J$117,0)</f>
        <v>0</v>
      </c>
      <c r="FY7" s="5">
        <f>IF($D7="Spring Barley",$H7*SpringBarley!$J$117,0)</f>
        <v>0</v>
      </c>
      <c r="FZ7" s="5">
        <f>IF($D7="Roundup Ready Spring Canola",$H7*'SpringCanola_R-Ready'!$J$117,0)</f>
        <v>0</v>
      </c>
      <c r="GA7" s="5">
        <f>IF($D7="Spring Canola",$H7*SpringCanola!$J$117,0)</f>
        <v>0</v>
      </c>
      <c r="GB7" s="5">
        <f>IF($D7="Spring Lentils",$H7*SpringLentils!$J$117,0)</f>
        <v>0</v>
      </c>
      <c r="GC7" s="5">
        <f>IF($D7="SW Spring Wheat",$H7*SWSpringWheat!$J$117,0)</f>
        <v>0</v>
      </c>
      <c r="GD7" s="5">
        <f>IF($D7="HR Winter Wheat",$H7*HRWinterWheat!$J$117,0)</f>
        <v>0</v>
      </c>
      <c r="GE7" s="5">
        <f>IF($D7="Winter Pea",$H7*WinterPea!$J$117,0)</f>
        <v>0</v>
      </c>
      <c r="GF7" s="5">
        <f>IF($D7="Winter Canola",$H7*WinterCanola!$J$117,0)</f>
        <v>0</v>
      </c>
      <c r="GG7" s="377">
        <f>IF($D7="Forage Crop-Soil Builder Blend",$H7*ForageCrop!$J$117,0)</f>
        <v>0</v>
      </c>
      <c r="GH7" s="5">
        <f>IF($D7="SW Winter Wheat after Spring Legume",$H7*SWWinterWheatAfterSpringLegume!$J$118,0)</f>
        <v>0</v>
      </c>
      <c r="GI7" s="5">
        <f>IF($D7="SW Winter Wheat after Forage Crop",$H7*SWWinterWheatAfterForageCrop!$J$118,0)</f>
        <v>0</v>
      </c>
      <c r="GJ7" s="5">
        <f>IF($D7="DN Spring Wheat after Spring Legume",$H7*DNSpringWinterAfterSpringLegume!$J$118,0)</f>
        <v>0</v>
      </c>
      <c r="GK7" s="5">
        <f>IF($D7="DN Spring Wheat after Forage Crop",$H7*DNSpringWheatAfterForageCrop!$J$118,0)</f>
        <v>0</v>
      </c>
      <c r="GL7" s="5">
        <f>IF($D7="DN Spring Wheat after Winter Crop",$H7*DNSpringWheatAfterWinterCrop!$J$118,0)</f>
        <v>0</v>
      </c>
      <c r="GM7" s="5">
        <f>IF($D7="Chickpea after Forage Crop",$H7*ChickpeaAfterForageCrop!$J$118,0)</f>
        <v>0</v>
      </c>
      <c r="GN7" s="5">
        <f>IF($D7="Chickpea after Cereal",$H7*ChickpeaAfterCereal!$J$118,0)</f>
        <v>7634.0249217175997</v>
      </c>
      <c r="GO7" s="5">
        <f>IF($D7="Spring Pea after Cereal",$H7*SpringPeaAfterCereal!$J$118,0)</f>
        <v>0</v>
      </c>
      <c r="GP7" s="5">
        <f>IF($D7="Forage Crop-St. John Area",$H7*'ForageCrop-StJohn'!$J$118,0)</f>
        <v>0</v>
      </c>
      <c r="GQ7" s="5">
        <f>IF($D7="Forage Crop-Genesee Area",$H7*'ForageCrop-Genesee'!$J$118,0)</f>
        <v>0</v>
      </c>
      <c r="GR7" s="5">
        <f>IF($D7="Livestock Grazing",$H7*LivestockGrazing!$J$118,0)</f>
        <v>0</v>
      </c>
      <c r="GS7" s="5">
        <f>IF($D7="SW Winter Wheat after Cereal",$H7*SWWinterWheatafterCereal!$J$118,0)</f>
        <v>0</v>
      </c>
      <c r="GT7" s="5">
        <f>IF($D7="SW Winter Wheat after Fallow",$H7*SWWinterWheatAfterFallow!$J$118,0)</f>
        <v>0</v>
      </c>
      <c r="GU7" s="5">
        <f>IF($D7="Chem-Fallow",$H7*'Chem-Fallow'!$J$118,0)</f>
        <v>0</v>
      </c>
      <c r="GV7" s="5">
        <f>IF($D7="Flex-Fallow",$H7*'Flex-Fallow'!$J$118,0)</f>
        <v>0</v>
      </c>
      <c r="GW7" s="5">
        <f>IF($D7="Spring Barley",$H7*SpringBarley!$J$118,0)</f>
        <v>0</v>
      </c>
      <c r="GX7" s="5">
        <f>IF($D7="Roundup Ready Spring Canola",$H7*'SpringCanola_R-Ready'!$J$118,0)</f>
        <v>0</v>
      </c>
      <c r="GY7" s="5">
        <f>IF($D7="Spring Canola",$H7*SpringCanola!$J$118,0)</f>
        <v>0</v>
      </c>
      <c r="GZ7" s="5">
        <f>IF($D7="Spring Lentils",$H7*SpringLentils!$J$118,0)</f>
        <v>0</v>
      </c>
      <c r="HA7" s="5">
        <f>IF($D7="SW Spring Wheat",$H7*SWSpringWheat!$J$118,0)</f>
        <v>0</v>
      </c>
      <c r="HB7" s="5">
        <f>IF($D7="HR Winter Wheat",$H7*HRWinterWheat!$J$118,0)</f>
        <v>0</v>
      </c>
      <c r="HC7" s="5">
        <f>IF($D7="Winter Pea",$H7*WinterPea!$J$118,0)</f>
        <v>0</v>
      </c>
      <c r="HD7" s="5">
        <f>IF($D7="Winter Canola",$H7*WinterCanola!$J$118,0)</f>
        <v>0</v>
      </c>
      <c r="HE7" s="377">
        <f>IF($D7="Forage Crop-Soil Builder Blend",$H7*ForageCrop!$J$118,0)</f>
        <v>0</v>
      </c>
      <c r="HF7" s="5">
        <f>IF($D7="SW Winter Wheat after Spring Legume",($H7*(SUM(SWWinterWheatAfterSpringLegume!$E$9:$E$16)+SWWinterWheatAfterSpringLegume!$G$16))/2000,0)</f>
        <v>0</v>
      </c>
      <c r="HG7" s="5">
        <f>IF($D7="SW Winter Wheat after Forage Crop",($H7*(SUM(SWWinterWheatAfterForageCrop!$E$9:$E$16)+SWWinterWheatAfterForageCrop!$G$17))/2000,0)</f>
        <v>0</v>
      </c>
      <c r="HH7" s="5">
        <f>IF($D7="DN Spring Wheat after Spring Legume",($H7*(SUM(DNSpringWinterAfterSpringLegume!$E$9:$E$16)+DNSpringWinterAfterSpringLegume!$G$16))/2000,0)</f>
        <v>0</v>
      </c>
      <c r="HI7" s="5">
        <f>IF($D7="DN Spring Wheat after Forage Crop",($H7*(SUM(DNSpringWheatAfterForageCrop!$E$9:$E$16)+DNSpringWheatAfterForageCrop!$G$14))/2000,0)</f>
        <v>0</v>
      </c>
      <c r="HJ7" s="5">
        <f>IF($D7="DN Spring Wheat after Winter Crop",($H7*(SUM(DNSpringWheatAfterWinterCrop!$E$9:$E$16)+DNSpringWheatAfterWinterCrop!$G$16))/2000,0)</f>
        <v>0</v>
      </c>
      <c r="HK7" s="5">
        <f>IF($D7="Chickpea after Forage Crop",($H7*(SUM(ChickpeaAfterForageCrop!$E$9:$E$16)+ChickpeaAfterForageCrop!$G$14))/2000,0)</f>
        <v>0</v>
      </c>
      <c r="HL7" s="5">
        <f>IF($D7="Chickpea after Cereal",($H7*(SUM(ChickpeaAfterCereal!$E$9:$E$16)+ChickpeaAfterCereal!$G$14))/2000,0)</f>
        <v>0.85664062499999993</v>
      </c>
      <c r="HM7" s="5">
        <f>IF($D7="Spring Pea after Cereal",($H7*(SUM(SpringPeaAfterCereal!$E$9:$E$16)+SpringPeaAfterCereal!$G$14))/2000,0)</f>
        <v>0</v>
      </c>
      <c r="HN7" s="5">
        <f>IF($D7="Forage Crop-St. John Area",($H7*(SUM('ForageCrop-StJohn'!$E$9:$E$16)+'ForageCrop-StJohn'!$G$14))/2000,0)</f>
        <v>0</v>
      </c>
      <c r="HO7" s="5">
        <f>IF($D7="Forage Crop-Genesee Area",($H7*(SUM('ForageCrop-Genesee'!$E$9:$E$16)+'ForageCrop-Genesee'!$G$14))/2000,0)</f>
        <v>0</v>
      </c>
      <c r="HP7" s="5">
        <f>IF($D7="Livestock Grazing",($H7*(SUM(LivestockGrazing!$E$9:$E$16)+LivestockGrazing!$G$14))/2000,0)</f>
        <v>0</v>
      </c>
      <c r="HQ7" s="5">
        <f>IF($D7="SW Winter Wheat after Cereal",($H7*(SUM(SWWinterWheatafterCereal!$E$9:$E$16)+SWWinterWheatafterCereal!$G$16))/2000,0)</f>
        <v>0</v>
      </c>
      <c r="HR7" s="5">
        <f>IF($D7="SW Winter Wheat after Fallow",($H7*(SUM(SWWinterWheatAfterFallow!$E$9:$E$16)+SWWinterWheatAfterFallow!$G$14))/2000,0)</f>
        <v>0</v>
      </c>
      <c r="HS7" s="5">
        <f>IF($D7="Chem-Fallow",($H7*(SUM('Chem-Fallow'!$E$9:$E$16)+'Chem-Fallow'!$G$16))/2000,0)</f>
        <v>0</v>
      </c>
      <c r="HT7" s="5">
        <f>IF($D7="Flex-Fallow",($H7*(SUM('Flex-Fallow'!$E$9:$E$16)+'Flex-Fallow'!$G$16))/2000,0)</f>
        <v>0</v>
      </c>
      <c r="HU7" s="5">
        <f>IF($D7="Spring Barley",($H7*(SUM(SpringBarley!$E$9:$E$16)+SpringBarley!$G$16))/2000,0)</f>
        <v>0</v>
      </c>
      <c r="HV7" s="5">
        <f>IF($D7="Roundup Ready Spring Canola",($H7*(SUM('SpringCanola_R-Ready'!$E$9:$E$16)+'SpringCanola_R-Ready'!$G$14))/2000,0)</f>
        <v>0</v>
      </c>
      <c r="HW7" s="5">
        <f>IF($D7="Spring Canola",($H7*(SUM(SpringCanola!$E$9:$E$16)+SpringCanola!$G$14))/2000,0)</f>
        <v>0</v>
      </c>
      <c r="HX7" s="5">
        <f>IF($D7="Spriing Lentils",($H7*(SUM(SpringLentils!$E$9:$E$16)+SpringLentils!$G$14))/2000,0)</f>
        <v>0</v>
      </c>
      <c r="HY7" s="5">
        <f>IF($D7="SW Spring Wheat",($H7*(SUM(SWSpringWheat!$E$9:$E$16)+SWSpringWheat!$G$18))/2000,0)</f>
        <v>0</v>
      </c>
      <c r="HZ7" s="5">
        <f>IF($D7="HR Winter Wheat",($H7*(SUM(HRWinterWheat!$E$9:$E$16)+HRWinterWheat!$G$16))/2000,0)</f>
        <v>0</v>
      </c>
      <c r="IA7" s="5">
        <f>IF($D7="Winter Pea",($H7*(SUM(WinterPea!$E$9:$E$16)+WinterPea!$G$14))/2000,0)</f>
        <v>0</v>
      </c>
      <c r="IB7" s="5">
        <f>IF($D7="Winter Canola",($H7*(SUM(WinterCanola!$E$9:$E$16)+WinterCanola!$G$14))/2000,0)</f>
        <v>0</v>
      </c>
      <c r="IC7" s="377">
        <f>IF($D7="Forage Crop-Soil Builder Blend",($H7*(SUM(ForageCrop!$E$9:$E$16)+ForageCrop!$G$14))/2000,0)</f>
        <v>0</v>
      </c>
      <c r="ID7" s="5">
        <f>IF($D7="SW Winter Wheat after Spring Legume",$H7*SWWinterWheatAfterSpringLegume!$G$62,0)</f>
        <v>0</v>
      </c>
      <c r="IE7" s="5">
        <f>IF($D7="SW Winter Wheat after Forage Crop",$H7*SWWinterWheatAfterForageCrop!$G$62,0)</f>
        <v>0</v>
      </c>
      <c r="IF7" s="5">
        <f>IF($D7="DN Spring Wheat after Spring Legume",$H7*DNSpringWinterAfterSpringLegume!$G$62,0)</f>
        <v>0</v>
      </c>
      <c r="IG7" s="5">
        <f>IF($D7="DN Spring Wheat after Forage Crop",$H7*DNSpringWheatAfterForageCrop!$G$62,0)</f>
        <v>0</v>
      </c>
      <c r="IH7" s="5">
        <f>IF($D7="DN Spring Wheat after Winter Crop",$H7*DNSpringWheatAfterWinterCrop!$G$62,0)</f>
        <v>0</v>
      </c>
      <c r="II7" s="5">
        <f>IF($D7="Chickpea after Forage Crop",$H7*ChickpeaAfterForageCrop!$G$62,0)</f>
        <v>0</v>
      </c>
      <c r="IJ7" s="5">
        <f>IF($D7="Chickpea after Cereal",$H7*ChickpeaAfterCereal!$G$62,0)</f>
        <v>208.59375</v>
      </c>
      <c r="IK7" s="5">
        <f>IF($D7="Spring Pea after Cereal",$H7*SpringPeaAfterCereal!$G$62,0)</f>
        <v>0</v>
      </c>
      <c r="IL7" s="5">
        <f>IF($D7="Forage Crop-St. John Area",$H7*'ForageCrop-StJohn'!$G$62,0)</f>
        <v>0</v>
      </c>
      <c r="IM7" s="5">
        <f>IF($D7="Forage Crop-Genesee Area",$H7*'ForageCrop-Genesee'!$G$62,0)</f>
        <v>0</v>
      </c>
      <c r="IN7" s="5">
        <f>IF($D7="Livestock Grazing",$H7*LivestockGrazing!$G$62,0)</f>
        <v>0</v>
      </c>
      <c r="IO7" s="5">
        <f>IF($D7="SW Winter Wheat after Cereal",$H7*SWWinterWheatafterCereal!$G$62,0)</f>
        <v>0</v>
      </c>
      <c r="IP7" s="5">
        <f>IF($D7="SW Winter Wheat after Fallow",$H7*SWWinterWheatAfterFallow!$G$62,0)</f>
        <v>0</v>
      </c>
      <c r="IQ7" s="5">
        <f>IF($D7="Chem-Fallow",$H7*'Chem-Fallow'!$G$62,0)</f>
        <v>0</v>
      </c>
      <c r="IR7" s="5">
        <f>IF($D7="Flex-Fallow",$H7*'Flex-Fallow'!$G$62,0)</f>
        <v>0</v>
      </c>
      <c r="IS7" s="5">
        <f>IF($D7="Spring Barley",$H7*SpringBarley!$G$62,0)</f>
        <v>0</v>
      </c>
      <c r="IT7" s="5">
        <f>IF($D7="Roundup Ready Spring Canola",$H7*'SpringCanola_R-Ready'!$G$62,0)</f>
        <v>0</v>
      </c>
      <c r="IU7" s="5">
        <f>IF($D7="Spring Canola",$H7*SpringCanola!$G$62,0)</f>
        <v>0</v>
      </c>
      <c r="IV7" s="5">
        <f>IF($D7="Spriing Lentils",$H7*SpringLentils!$G$62,0)</f>
        <v>0</v>
      </c>
      <c r="IW7" s="5">
        <f>IF($D7="SW Spring Wheat",$H7*SWSpringWheat!$G$62,0)</f>
        <v>0</v>
      </c>
      <c r="IX7" s="5">
        <f>IF($D7="HR Winter Wheat",$H7*HRWinterWheat!$G$62,0)</f>
        <v>0</v>
      </c>
      <c r="IY7" s="5">
        <f>IF($D7="Winter Pea",$H7*WinterPea!$G$62,0)</f>
        <v>0</v>
      </c>
      <c r="IZ7" s="5">
        <f>IF($D7="Winter Canola",$H7*+WinterCanola!$G$62,0)</f>
        <v>0</v>
      </c>
      <c r="JA7" s="5">
        <f>IF($D7="Forage Crop-Soil Builder Blend",$H7*ForageCrop!$G$62,0)</f>
        <v>0</v>
      </c>
      <c r="JB7" s="5">
        <f>IF($D7="SW Winter Wheat after Spring Legume",$H7*SWWinterWheatAfterSpringLegume!$E$4,0)</f>
        <v>0</v>
      </c>
      <c r="JC7" s="5">
        <f>IF($D7="SW Winter Wheat after Forage Crop",$H7*SWWinterWheatAfterForageCrop!$E$4,0)</f>
        <v>0</v>
      </c>
      <c r="JD7" s="5">
        <f>IF($D7="DN Spring Wheat after Spring Legume",$H7*DNSpringWinterAfterSpringLegume!$E$4,0)</f>
        <v>0</v>
      </c>
      <c r="JE7" s="5">
        <f>IF($D7="DN Spring Wheat after Forage Crop",$H7*DNSpringWheatAfterForageCrop!$E$4,0)</f>
        <v>0</v>
      </c>
      <c r="JF7" s="5">
        <f>IF($D7="DN Spring Wheat after Winter Crop",$H7*DNSpringWheatAfterWinterCrop!$E$4,0)</f>
        <v>0</v>
      </c>
      <c r="JG7" s="5">
        <f>IF($D7="Chickpea after Forage Crop",$H7*ChickpeaAfterForageCrop!$E$4,0)</f>
        <v>0</v>
      </c>
      <c r="JH7" s="5">
        <f>IF($D7="Chickpea after Cereal",$H7*ChickpeaAfterCereal!$E$4,0)</f>
        <v>700000</v>
      </c>
      <c r="JI7" s="5">
        <f>IF($D7="Spring Pea after Cereal",$H7*SpringPeaAfterCereal!$E$4,0)</f>
        <v>0</v>
      </c>
      <c r="JJ7" s="5">
        <f>IF($D7="Forage Crop-St. John Area",$H7*'ForageCrop-StJohn'!$E$4,0)</f>
        <v>0</v>
      </c>
      <c r="JK7" s="5">
        <f>IF($D7="Forage Crop-Genesee Area",$H7*'ForageCrop-Genesee'!$E$4,0)</f>
        <v>0</v>
      </c>
      <c r="JL7" s="5">
        <f>IF($D7="Livestock Grazing",$H7*LivestockGrazing!$E$4,0)</f>
        <v>0</v>
      </c>
      <c r="JM7" s="5">
        <f>IF($D7="SW Winter Wheat after Cereal",$H7*SWWinterWheatafterCereal!$E$4,0)</f>
        <v>0</v>
      </c>
      <c r="JN7" s="5">
        <f>IF($D7="SW Winter Wheat after Fallow",$H7*SWWinterWheatAfterFallow!$E$4,0)</f>
        <v>0</v>
      </c>
      <c r="JO7" s="5">
        <f>IF($D7="Chem-Fallow",$H7*'Chem-Fallow'!$E$4,0)</f>
        <v>0</v>
      </c>
      <c r="JP7" s="5">
        <f>IF($D7="Flex-Fallow",$H7*'Flex-Fallow'!$E$4,0)</f>
        <v>0</v>
      </c>
      <c r="JQ7" s="5">
        <f>IF($D7="Spring Barley",$H7*SpringBarley!$E$4,0)</f>
        <v>0</v>
      </c>
      <c r="JR7" s="5">
        <f>IF($D7="Roundup Ready Spring Canola",$H7*'SpringCanola_R-Ready'!$E$4,0)</f>
        <v>0</v>
      </c>
      <c r="JS7" s="5">
        <f>IF($D7="Spring Canola",$H7*SpringCanola!$E$4,0)</f>
        <v>0</v>
      </c>
      <c r="JT7" s="5">
        <f>IF($D7="Spriing Lentils",$H7*SpringLentils!$E$4,0)</f>
        <v>0</v>
      </c>
      <c r="JU7" s="5">
        <f>IF($D7="SW Spring Wheat",$H7*SWSpringWheat!$E$4,0)</f>
        <v>0</v>
      </c>
      <c r="JV7" s="5">
        <f>IF($D7="HR Winter Wheat",$H7*HRWinterWheat!$E$4,0)</f>
        <v>0</v>
      </c>
      <c r="JW7" s="5">
        <f>IF($D7="Winter Pea",$H7*WinterPea!$E$4,0)</f>
        <v>0</v>
      </c>
      <c r="JX7" s="5">
        <f>IF($D7="Winter Canola",$H7*+WinterCanola!$E$4,0)</f>
        <v>0</v>
      </c>
      <c r="JY7" s="5">
        <f>IF($D7="Forage Crop-Soil Builder Blend",$H7*ForageCrop!$E$4,0)</f>
        <v>0</v>
      </c>
    </row>
    <row r="8" spans="1:297" ht="20" customHeight="1">
      <c r="A8" s="8"/>
      <c r="B8" s="698"/>
      <c r="C8" s="52">
        <v>4</v>
      </c>
      <c r="D8" s="154"/>
      <c r="E8" s="155">
        <v>0</v>
      </c>
      <c r="F8" s="353">
        <f>IF(D8="Livestock Grazing",0,E8)</f>
        <v>0</v>
      </c>
      <c r="G8" s="168">
        <f>IF(D8="Livestock Grazing",0,$I$2*E8)</f>
        <v>0</v>
      </c>
      <c r="H8" s="356">
        <f>$I$2*E8</f>
        <v>0</v>
      </c>
      <c r="I8" s="159">
        <f>SUM(AT8:BQ8)</f>
        <v>0</v>
      </c>
      <c r="J8" s="159"/>
      <c r="M8" s="291"/>
      <c r="N8" s="16" t="s">
        <v>100</v>
      </c>
      <c r="O8" s="235">
        <v>40977.450451334371</v>
      </c>
      <c r="P8" s="235">
        <f>SUM('Farm and Rotation Setup'!FJ5:GG9)</f>
        <v>93901.115229963441</v>
      </c>
      <c r="Q8" s="232">
        <f t="shared" si="0"/>
        <v>1.29153142022543</v>
      </c>
      <c r="R8" s="291"/>
      <c r="S8" s="15"/>
      <c r="T8" s="15"/>
      <c r="U8" s="1"/>
      <c r="V8" s="5">
        <f>IF($D8="SW Winter Wheat after Spring Legume",$H8,0)</f>
        <v>0</v>
      </c>
      <c r="W8" s="5">
        <f>IF($D8="SW Winter Wheat after Forage Crop",$H8,0)</f>
        <v>0</v>
      </c>
      <c r="X8" s="5">
        <f>IF($D8="DN Spring Wheat after Spring Legume",$H8,0)</f>
        <v>0</v>
      </c>
      <c r="Y8" s="5">
        <f>IF($D8="DN Spring Wheat after Forage Crop",$H8,0)</f>
        <v>0</v>
      </c>
      <c r="Z8" s="5">
        <f>IF($D8="DN Spring Wheat after Winter Crop",$H8,0)</f>
        <v>0</v>
      </c>
      <c r="AA8" s="5">
        <f>IF($D8="Chickpea after Forage Crop",$H8,0)</f>
        <v>0</v>
      </c>
      <c r="AB8" s="5">
        <f>IF($D8="Chickpea after Cereal",$H8,0)</f>
        <v>0</v>
      </c>
      <c r="AC8" s="5">
        <f>IF($D8="Spring Pea after Cereal",$H8,0)</f>
        <v>0</v>
      </c>
      <c r="AD8" s="5">
        <f>IF($D8="Forage Crop-St. John Area",$H8,0)</f>
        <v>0</v>
      </c>
      <c r="AE8" s="5">
        <f>IF($D8="Forage Crop-Genesee Area",$H8,0)</f>
        <v>0</v>
      </c>
      <c r="AF8" s="5">
        <f>IF($D8="Livestock Grazing",$H8,0)</f>
        <v>0</v>
      </c>
      <c r="AG8" s="5">
        <f>IF($D8="SW Winter Wheat after Cereal",$H8,0)</f>
        <v>0</v>
      </c>
      <c r="AH8" s="5">
        <f>IF($D8="SW Winter Wheat after Fallow",$H8,0)</f>
        <v>0</v>
      </c>
      <c r="AI8" s="5">
        <f>IF($D8="Chem-Fallow",$H8,0)</f>
        <v>0</v>
      </c>
      <c r="AJ8" s="5">
        <f>IF($D8="Flex-Fallow",$H8,0)</f>
        <v>0</v>
      </c>
      <c r="AK8" s="5">
        <f>IF($D8="Spring Barley",$H8,0)</f>
        <v>0</v>
      </c>
      <c r="AL8" s="5">
        <f>IF($D8="Roundup Ready Spring Canola",$H8,0)</f>
        <v>0</v>
      </c>
      <c r="AM8" s="5">
        <f>IF($D8="Spring Canola",$H8,0)</f>
        <v>0</v>
      </c>
      <c r="AN8" s="5">
        <f>IF($D8="Spring Lentils",$H8,0)</f>
        <v>0</v>
      </c>
      <c r="AO8" s="5">
        <f>IF($D8="SW Spring Wheat",$H8,0)</f>
        <v>0</v>
      </c>
      <c r="AP8" s="5">
        <f>IF($D8="HR Winter Wheat",$H8,0)</f>
        <v>0</v>
      </c>
      <c r="AQ8" s="5">
        <f>IF($D8="Winter Pea",$H8,0)</f>
        <v>0</v>
      </c>
      <c r="AR8" s="5">
        <f>IF($D8="Winter Canola",$H8,0)</f>
        <v>0</v>
      </c>
      <c r="AS8" s="377">
        <f>IF($D8="Forage Crop-Soil Builder Blend",$H8,0)</f>
        <v>0</v>
      </c>
      <c r="AT8" s="5">
        <f>IF($D8="SW Winter Wheat after Spring Legume",SWWinterWheatAfterSpringLegume!$F$138,0)</f>
        <v>0</v>
      </c>
      <c r="AU8" s="5">
        <f>IF($D8="SW Winter Wheat after Forage Crop",SWWinterWheatAfterForageCrop!$F$138,0)</f>
        <v>0</v>
      </c>
      <c r="AV8" s="5">
        <f>IF($D8="DN Spring Wheat after Spring Legume",DNSpringWinterAfterSpringLegume!$F$138,0)</f>
        <v>0</v>
      </c>
      <c r="AW8" s="5">
        <f>IF($D8="DN Spring Wheat after Forage Crop",DNSpringWheatAfterForageCrop!$F$138,0)</f>
        <v>0</v>
      </c>
      <c r="AX8" s="5">
        <f>IF($D8="DN Spring Wheat after Winter Crop",DNSpringWheatAfterWinterCrop!$F$138,0)</f>
        <v>0</v>
      </c>
      <c r="AY8" s="5">
        <f>IF($D8="Chickpea after Forage Crop",ChickpeaAfterForageCrop!$F$138,0)</f>
        <v>0</v>
      </c>
      <c r="AZ8" s="5">
        <f>IF($D8="Chickpea after Cereal",ChickpeaAfterCereal!$F$138,0)</f>
        <v>0</v>
      </c>
      <c r="BA8" s="5">
        <f>IF($D8="Spring Pea after Cereal",SpringPeaAfterCereal!$F$138,0)</f>
        <v>0</v>
      </c>
      <c r="BB8" s="5">
        <f>IF($D8="Forage Crop-St. John Area",'ForageCrop-StJohn'!$F$138,0)</f>
        <v>0</v>
      </c>
      <c r="BC8" s="5">
        <f>IF($D8="Forage Crop-Genesee Area",'ForageCrop-Genesee'!$F$138,0)</f>
        <v>0</v>
      </c>
      <c r="BD8" s="5">
        <f>IF($D8="Livestock Grazing",LivestockGrazing!$F$138,0)</f>
        <v>0</v>
      </c>
      <c r="BE8" s="5">
        <f>IF($D8="SW Winter Wheat after Cereal",SWWinterWheatafterCereal!$F$138,0)</f>
        <v>0</v>
      </c>
      <c r="BF8" s="5">
        <f>IF($D8="SW Winter Wheat after Fallow",SWWinterWheatAfterFallow!$F$138,0)</f>
        <v>0</v>
      </c>
      <c r="BG8" s="5">
        <f>IF($D8="Chem-Fallow",'Chem-Fallow'!$F$138,0)</f>
        <v>0</v>
      </c>
      <c r="BH8" s="5">
        <f>IF($D8="Flex-Fallow",'Flex-Fallow'!$F$138,0)</f>
        <v>0</v>
      </c>
      <c r="BI8" s="5">
        <f>IF($D8="Spring Barley",SpringBarley!$F$138,0)</f>
        <v>0</v>
      </c>
      <c r="BJ8" s="5">
        <f>IF($D8="Roundup Ready Spring Canola",'SpringCanola_R-Ready'!$F$138,0)</f>
        <v>0</v>
      </c>
      <c r="BK8" s="5">
        <f>IF($D8="Spring Canola",SpringCanola!$F$138,0)</f>
        <v>0</v>
      </c>
      <c r="BL8" s="5">
        <f>IF($D8="Spring Lentils",SpringLentils!$F$138,0)</f>
        <v>0</v>
      </c>
      <c r="BM8" s="5">
        <f>IF($D8="SW Spring Wheat",SWSpringWheat!$F$138,0)</f>
        <v>0</v>
      </c>
      <c r="BN8" s="5">
        <f>IF($D8="HR Winter Wheat",HRWinterWheat!$F$138,0)</f>
        <v>0</v>
      </c>
      <c r="BO8" s="5">
        <f>IF($D8="Winter Pea",WinterPea!$F$138,0)</f>
        <v>0</v>
      </c>
      <c r="BP8" s="5">
        <f>IF($D8="Winter Canola",WinterCanola!$F$138,0)</f>
        <v>0</v>
      </c>
      <c r="BQ8" s="377">
        <f>IF($D8="Forage Crop-Soil Builder Blend",ForageCrop!$F$138,0)</f>
        <v>0</v>
      </c>
      <c r="BR8" s="5">
        <f>IF($D8="SW Winter Wheat after Spring Legume",H8*SWWinterWheatAfterSpringLegume!$F$138,0)</f>
        <v>0</v>
      </c>
      <c r="BS8" s="5">
        <f>IF($D8="SW Winter Wheat after Forage Crop",H8*SWWinterWheatAfterForageCrop!$F$138,0)</f>
        <v>0</v>
      </c>
      <c r="BT8" s="5">
        <f>IF($D8="DN Spring Wheat after Spring Legume",H8*DNSpringWinterAfterSpringLegume!$F$138,0)</f>
        <v>0</v>
      </c>
      <c r="BU8" s="5">
        <f>IF($D8="DN Spring Wheat after Forage Crop",H8*DNSpringWheatAfterForageCrop!$F$138,0)</f>
        <v>0</v>
      </c>
      <c r="BV8" s="5">
        <f>IF($D8="DN Spring Wheat after Winter Crop",H8*DNSpringWheatAfterWinterCrop!$F$138,0)</f>
        <v>0</v>
      </c>
      <c r="BW8" s="5">
        <f>IF($D8="Chickpea after Forage Crop",H8*ChickpeaAfterForageCrop!$F$138,0)</f>
        <v>0</v>
      </c>
      <c r="BX8" s="5">
        <f>IF($D8="Chickpea after Cereal",H8*ChickpeaAfterCereal!$F$138,0)</f>
        <v>0</v>
      </c>
      <c r="BY8" s="5">
        <f>IF($D8="Spring Pea after Cereal",H8*SpringPeaAfterCereal!$F$138,0)</f>
        <v>0</v>
      </c>
      <c r="BZ8" s="5">
        <f>IF($D8="Forage Crop-St. John Area",H8*'ForageCrop-StJohn'!$F$138,0)</f>
        <v>0</v>
      </c>
      <c r="CA8" s="5">
        <f>IF($D8="Forage Crop-Genesee Area",H8*'ForageCrop-Genesee'!$F$138,0)</f>
        <v>0</v>
      </c>
      <c r="CB8" s="5">
        <f>IF($D8="Livestock Grazing",H8*LivestockGrazing!$F$138,0)</f>
        <v>0</v>
      </c>
      <c r="CC8" s="5">
        <f>IF($D8="SW Winter Wheat after Cereal",H8*SWWinterWheatafterCereal!$F$138,0)</f>
        <v>0</v>
      </c>
      <c r="CD8" s="5">
        <f>IF($D8="SW Winter Wheat after Fallow",H8*SWWinterWheatAfterFallow!$F$138,0)</f>
        <v>0</v>
      </c>
      <c r="CE8" s="5">
        <f>IF($D8="Chem-Fallow",H8*'Chem-Fallow'!$F$138,0)</f>
        <v>0</v>
      </c>
      <c r="CF8" s="5">
        <f>IF($D8="Flex-Fallow",H8*'Flex-Fallow'!$F$138,0)</f>
        <v>0</v>
      </c>
      <c r="CG8" s="5">
        <f>IF($D8="Spring Barley",H8*SpringBarley!$F$138,0)</f>
        <v>0</v>
      </c>
      <c r="CH8" s="5">
        <f>IF($D8="Roundup Ready Spring Canola",H8*'SpringCanola_R-Ready'!$F$138,0)</f>
        <v>0</v>
      </c>
      <c r="CI8" s="5">
        <f>IF($D8="Spring Canola",H8*SpringCanola!$F$138,0)</f>
        <v>0</v>
      </c>
      <c r="CJ8" s="5">
        <f>IF($D8="Spring Lentils",H8*SpringLentils!$F$138,0)</f>
        <v>0</v>
      </c>
      <c r="CK8" s="5">
        <f>IF($D8="SW Spring Wheat",H8*SWSpringWheat!$F$138,0)</f>
        <v>0</v>
      </c>
      <c r="CL8" s="5">
        <f>IF($D8="HR Winter Wheat",H8*HRWinterWheat!$F$138,0)</f>
        <v>0</v>
      </c>
      <c r="CM8" s="5">
        <f>IF($D8="Winter Pea",H8*WinterPea!$F$138,0)</f>
        <v>0</v>
      </c>
      <c r="CN8" s="5">
        <f>IF($D8="Winter Canola",H8*WinterCanola!$F$138,0)</f>
        <v>0</v>
      </c>
      <c r="CO8" s="377">
        <f>IF($D8="Forage Crop-Soil Builder Blend",H8*ForageCrop!$F$138,0)</f>
        <v>0</v>
      </c>
      <c r="CP8" s="5">
        <f>IF($D8="SW Winter Wheat after Spring Legume",H8*'Prices_Yields&amp;SeedInputs'!J$5,0)</f>
        <v>0</v>
      </c>
      <c r="CQ8" s="5">
        <f>IF($D8="SW Winter Wheat after Forage Crop",H8*'Prices_Yields&amp;SeedInputs'!J$6,0)</f>
        <v>0</v>
      </c>
      <c r="CR8" s="5">
        <f>IF($D8="DN Spring Wheat after Spring Legume",H8*'Prices_Yields&amp;SeedInputs'!J$7,0)</f>
        <v>0</v>
      </c>
      <c r="CS8" s="5">
        <f>IF($D8="DN Spring Wheat after Forage Crop",H8*'Prices_Yields&amp;SeedInputs'!J$8,0)</f>
        <v>0</v>
      </c>
      <c r="CT8" s="5">
        <f>IF($D8="DN Spring Wheat after Winter Crop",H8*'Prices_Yields&amp;SeedInputs'!J$9,0)</f>
        <v>0</v>
      </c>
      <c r="CU8" s="5">
        <f>IF($D8="Chickpea after Forage Crop",H8*'Prices_Yields&amp;SeedInputs'!J$10,0)</f>
        <v>0</v>
      </c>
      <c r="CV8" s="5">
        <f>IF($D8="Chickpea after Cereal",H8*'Prices_Yields&amp;SeedInputs'!J$11,0)</f>
        <v>0</v>
      </c>
      <c r="CW8" s="5">
        <f>IF($D8="Spring Pea after Cereal",H8*'Prices_Yields&amp;SeedInputs'!J$12,0)</f>
        <v>0</v>
      </c>
      <c r="CX8" s="5">
        <f>IF($D8="Forage Crop-St. John Area",H8*'Prices_Yields&amp;SeedInputs'!J$13,0)</f>
        <v>0</v>
      </c>
      <c r="CY8" s="5">
        <f>IF($D8="Forage Crop-Genesee Area",H8*'Prices_Yields&amp;SeedInputs'!J$14,0)</f>
        <v>0</v>
      </c>
      <c r="CZ8" s="5">
        <f>IF($D8="Livestock Grazing",H8*'Prices_Yields&amp;SeedInputs'!J$15,0)</f>
        <v>0</v>
      </c>
      <c r="DA8" s="5">
        <f>IF($D8="SW Winter Wheat after Cereal",H8*'Prices_Yields&amp;SeedInputs'!J$16,0)</f>
        <v>0</v>
      </c>
      <c r="DB8" s="5">
        <f>IF($D8="SW Winter Wheat after Fallow",H8*'Prices_Yields&amp;SeedInputs'!J$17,0)</f>
        <v>0</v>
      </c>
      <c r="DC8" s="5">
        <f>IF($D8="Chem-Fallow",H8*'Prices_Yields&amp;SeedInputs'!J$18,0)</f>
        <v>0</v>
      </c>
      <c r="DD8" s="5">
        <f>IF($D8="Flex-Fallow",H8*'Prices_Yields&amp;SeedInputs'!J$19,0)</f>
        <v>0</v>
      </c>
      <c r="DE8" s="5">
        <f>IF($D8="Spring Barley",H8*'Prices_Yields&amp;SeedInputs'!J$20,0)</f>
        <v>0</v>
      </c>
      <c r="DF8" s="5">
        <f>IF($D8="Roundup Ready Spring Canola",H8*'Prices_Yields&amp;SeedInputs'!J$21,0)</f>
        <v>0</v>
      </c>
      <c r="DG8" s="5">
        <f>IF($D8="Spring Canola",H8*'Prices_Yields&amp;SeedInputs'!J$22,0)</f>
        <v>0</v>
      </c>
      <c r="DH8" s="5">
        <f>IF($D8="Spring Lentils",H8*'Prices_Yields&amp;SeedInputs'!J$23,0)</f>
        <v>0</v>
      </c>
      <c r="DI8" s="5">
        <f>IF($D8="SW Spring Wheat",H8*'Prices_Yields&amp;SeedInputs'!J$24,0)</f>
        <v>0</v>
      </c>
      <c r="DJ8" s="5">
        <f>IF($D8="HR Winter Wheat",H8*'Prices_Yields&amp;SeedInputs'!J$25,0)</f>
        <v>0</v>
      </c>
      <c r="DK8" s="5">
        <f>IF($D8="Winter Pea",H8*'Prices_Yields&amp;SeedInputs'!J$26,0)</f>
        <v>0</v>
      </c>
      <c r="DL8" s="5">
        <f>IF($D8="Winter Canola",H8*'Prices_Yields&amp;SeedInputs'!J$27,0)</f>
        <v>0</v>
      </c>
      <c r="DM8" s="377">
        <f>IF($D8="Forage Crop-Soil Builder Blend",H8*'Prices_Yields&amp;SeedInputs'!J$28,0)</f>
        <v>0</v>
      </c>
      <c r="DN8" s="5">
        <f>IF($D8="SW Winter Wheat after Spring Legume",$H8*SWWinterWheatAfterSpringLegume!$F$135,0)</f>
        <v>0</v>
      </c>
      <c r="DO8" s="5">
        <f>IF($D8="SW Winter Wheat after Forage Crop",$H8*SWWinterWheatAfterForageCrop!$F$135,0)</f>
        <v>0</v>
      </c>
      <c r="DP8" s="5">
        <f>IF($D8="DN Spring Wheat after Spring Legume",$H8*DNSpringWinterAfterSpringLegume!$F$135,0)</f>
        <v>0</v>
      </c>
      <c r="DQ8" s="5">
        <f>IF($D8="DN Spring Wheat after Forage Crop",$H8*DNSpringWheatAfterForageCrop!$F$135,0)</f>
        <v>0</v>
      </c>
      <c r="DR8" s="5">
        <f>IF($D8="DN Spring Wheat after Winter Crop",$H8*DNSpringWheatAfterWinterCrop!$F$135,0)</f>
        <v>0</v>
      </c>
      <c r="DS8" s="5">
        <f>IF($D8="Chickpea after Forage Crop",$H8*ChickpeaAfterForageCrop!$F$135,0)</f>
        <v>0</v>
      </c>
      <c r="DT8" s="5">
        <f>IF($D8="Chickpea after Cereal",$H8*ChickpeaAfterCereal!$F$135,0)</f>
        <v>0</v>
      </c>
      <c r="DU8" s="5">
        <f>IF($D8="Spring Pea after Cereal",$H8*SpringPeaAfterCereal!$F$135,0)</f>
        <v>0</v>
      </c>
      <c r="DV8" s="5">
        <f>IF($D8="Forage Crop-St. John Area",$H8*'ForageCrop-StJohn'!$F$135,0)</f>
        <v>0</v>
      </c>
      <c r="DW8" s="5">
        <f>IF($D8="Forage Crop-Genesee Area",$H8*'ForageCrop-Genesee'!$F$135,0)</f>
        <v>0</v>
      </c>
      <c r="DX8" s="5">
        <f>IF($D8="Livestock Grazing",$H8*LivestockGrazing!$F$135,0)</f>
        <v>0</v>
      </c>
      <c r="DY8" s="5">
        <f>IF($D8="SW Winter Wheat after Cereal",$H8*SWWinterWheatafterCereal!$F$135,0)</f>
        <v>0</v>
      </c>
      <c r="DZ8" s="5">
        <f>IF($D8="SW Winter Wheat after Fallow",$H8*SWWinterWheatAfterFallow!$F$135,0)</f>
        <v>0</v>
      </c>
      <c r="EA8" s="5">
        <f>IF($D8="Chem-Fallow",$H8*'Chem-Fallow'!$F$135,0)</f>
        <v>0</v>
      </c>
      <c r="EB8" s="5">
        <f>IF($D8="Flex-Fallow",$H8*'Flex-Fallow'!$F$135,0)</f>
        <v>0</v>
      </c>
      <c r="EC8" s="5">
        <f>IF($D8="Spring Barley",$H8*SpringBarley!$F$135,0)</f>
        <v>0</v>
      </c>
      <c r="ED8" s="5">
        <f>IF($D8="Roundup Ready Spring Canola",$H8*'SpringCanola_R-Ready'!$F$135,0)</f>
        <v>0</v>
      </c>
      <c r="EE8" s="5">
        <f>IF($D8="Spring Canola",$H8*SpringCanola!$F$135,0)</f>
        <v>0</v>
      </c>
      <c r="EF8" s="5">
        <f>IF($D8="Spring Lentils",$H8*SpringLentils!$F$135,0)</f>
        <v>0</v>
      </c>
      <c r="EG8" s="5">
        <f>IF($D8="SW Spring Wheat",$H8*SWSpringWheat!$F$135,0)</f>
        <v>0</v>
      </c>
      <c r="EH8" s="5">
        <f>IF($D8="HR Winter Wheat",$H8*HRWinterWheat!$F$135,0)</f>
        <v>0</v>
      </c>
      <c r="EI8" s="5">
        <f>IF($D8="Winter Pea",$H8*WinterPea!$F$135,0)</f>
        <v>0</v>
      </c>
      <c r="EJ8" s="5">
        <f>IF($D8="Winter Canola",$H8*WinterCanola!$F$135,0)</f>
        <v>0</v>
      </c>
      <c r="EK8" s="377">
        <f>IF($D8="Forage Crop-Soil Builder Blend",$H8*ForageCrop!$F$135,0)</f>
        <v>0</v>
      </c>
      <c r="EL8" s="5">
        <f>IF($D8="SW Winter Wheat after Spring Legume",$H8*SWWinterWheatAfterSpringLegume!$J$116,0)</f>
        <v>0</v>
      </c>
      <c r="EM8" s="5">
        <f>IF($D8="SW Winter Wheat after Forage Crop",$H8*SWWinterWheatAfterForageCrop!$J$116,0)</f>
        <v>0</v>
      </c>
      <c r="EN8" s="5">
        <f>IF($D8="DN Spring Wheat after Spring Legume",$H8*DNSpringWinterAfterSpringLegume!$J$116,0)</f>
        <v>0</v>
      </c>
      <c r="EO8" s="5">
        <f>IF($D8="DN Spring Wheat after Forage Crop",$H8*DNSpringWheatAfterForageCrop!$J$116,0)</f>
        <v>0</v>
      </c>
      <c r="EP8" s="5">
        <f>IF($D8="DN Spring Wheat after Winter Crop",$H8*DNSpringWheatAfterWinterCrop!$J$116,0)</f>
        <v>0</v>
      </c>
      <c r="EQ8" s="5">
        <f>IF($D8="Chickpea after Forage Crop",$H8*ChickpeaAfterForageCrop!$J$116,0)</f>
        <v>0</v>
      </c>
      <c r="ER8" s="5">
        <f>IF($D8="Chickpea after Cereal",$H8*ChickpeaAfterCereal!$J$116,0)</f>
        <v>0</v>
      </c>
      <c r="ES8" s="5">
        <f>IF($D8="Spring Pea after Cereal",$H8*SpringPeaAfterCereal!$J$116,0)</f>
        <v>0</v>
      </c>
      <c r="ET8" s="5">
        <f>IF($D8="Forage Crop-St. John Area",$H8*'ForageCrop-StJohn'!$J$116,0)</f>
        <v>0</v>
      </c>
      <c r="EU8" s="5">
        <f>IF($D8="Forage Crop-Genesee Area",$H8*'ForageCrop-Genesee'!$J$116,0)</f>
        <v>0</v>
      </c>
      <c r="EV8" s="5">
        <f>IF($D8="Livestock Grazing",$H8*LivestockGrazing!$J$116,0)</f>
        <v>0</v>
      </c>
      <c r="EW8" s="5">
        <f>IF($D8="SW Winter Wheat after Cereal",$H8*SWWinterWheatafterCereal!$J$116,0)</f>
        <v>0</v>
      </c>
      <c r="EX8" s="5">
        <f>IF($D8="SW Winter Wheat after Fallow",$H8*SWWinterWheatAfterFallow!$J$116,0)</f>
        <v>0</v>
      </c>
      <c r="EY8" s="5">
        <f>IF($D8="Chem-Fallow",$H8*'Chem-Fallow'!$J$116,0)</f>
        <v>0</v>
      </c>
      <c r="EZ8" s="5">
        <f>IF($D8="Flex-Fallow",$H8*'Flex-Fallow'!$J$116,0)</f>
        <v>0</v>
      </c>
      <c r="FA8" s="5">
        <f>IF($D8="Spring Barley",$H8*SpringBarley!$J$116,0)</f>
        <v>0</v>
      </c>
      <c r="FB8" s="5">
        <f>IF($D8="Roundup Ready Spring Canola",$H8*'SpringCanola_R-Ready'!$J$116,0)</f>
        <v>0</v>
      </c>
      <c r="FC8" s="5">
        <f>IF($D8="Spring Canola",$H8*SpringCanola!$J$116,0)</f>
        <v>0</v>
      </c>
      <c r="FD8" s="5">
        <f>IF($D8="Spring Lentils",$H8*SpringLentils!$J$116,0)</f>
        <v>0</v>
      </c>
      <c r="FE8" s="5">
        <f>IF($D8="SW Spring Wheat",$H8*SWSpringWheat!$J$116,0)</f>
        <v>0</v>
      </c>
      <c r="FF8" s="5">
        <f>IF($D8="HR Winter Wheat",$H8*HRWinterWheat!$J$116,0)</f>
        <v>0</v>
      </c>
      <c r="FG8" s="5">
        <f>IF($D8="Winter Pea",$H8*WinterPea!$J$116,0)</f>
        <v>0</v>
      </c>
      <c r="FH8" s="5">
        <f>IF($D8="Winter Canola",$H8*WinterCanola!$J$116,0)</f>
        <v>0</v>
      </c>
      <c r="FI8" s="377">
        <f>IF($D8="Forage Crop-Soil Builder Blend",$H8*ForageCrop!$J$116,0)</f>
        <v>0</v>
      </c>
      <c r="FJ8" s="5">
        <f>IF($D8="SW Winter Wheat after Spring Legume",$H8*SWWinterWheatAfterSpringLegume!$J$117,0)</f>
        <v>0</v>
      </c>
      <c r="FK8" s="5">
        <f>IF($D8="SW Winter Wheat after Forage Crop",$H8*SWWinterWheatAfterForageCrop!$J$117,0)</f>
        <v>0</v>
      </c>
      <c r="FL8" s="5">
        <f>IF($D8="DN Spring Wheat after Spring Legume",$H8*DNSpringWinterAfterSpringLegume!$J$117,0)</f>
        <v>0</v>
      </c>
      <c r="FM8" s="5">
        <f>IF($D8="DN Spring Wheat after Forage Crop",$H8*DNSpringWheatAfterForageCrop!$J$117,0)</f>
        <v>0</v>
      </c>
      <c r="FN8" s="5">
        <f>IF($D8="DN Spring Wheat after Winter Crop",$H8*DNSpringWheatAfterWinterCrop!$J$117,0)</f>
        <v>0</v>
      </c>
      <c r="FO8" s="5">
        <f>IF($D8="Chickpea after Forage Crop",$H8*ChickpeaAfterForageCrop!$J$117,0)</f>
        <v>0</v>
      </c>
      <c r="FP8" s="5">
        <f>IF($D8="Chickpea after Cereal",$H8*ChickpeaAfterCereal!$J$117,0)</f>
        <v>0</v>
      </c>
      <c r="FQ8" s="5">
        <f>IF($D8="Spring Pea after Cereal",$H8*SpringPeaAfterCereal!$J$117,0)</f>
        <v>0</v>
      </c>
      <c r="FR8" s="5">
        <f>IF($D8="Forage Crop-St. John Area",$H8*'ForageCrop-StJohn'!$J$117,0)</f>
        <v>0</v>
      </c>
      <c r="FS8" s="5">
        <f>IF($D8="Forage Crop-Genesee Area",$H8*'ForageCrop-Genesee'!$J$117,0)</f>
        <v>0</v>
      </c>
      <c r="FT8" s="5">
        <f>IF($D8="Livestock Grazing",$H8*LivestockGrazing!$J$117,0)</f>
        <v>0</v>
      </c>
      <c r="FU8" s="5">
        <f>IF($D8="SW Winter Wheat after Cereal",$H8*SWWinterWheatafterCereal!$J$117,0)</f>
        <v>0</v>
      </c>
      <c r="FV8" s="5">
        <f>IF($D8="SW Winter Wheat after Fallow",$H8*SWWinterWheatAfterFallow!$J$117,0)</f>
        <v>0</v>
      </c>
      <c r="FW8" s="5">
        <f>IF($D8="Chem-Fallow",$H8*'Chem-Fallow'!$J$117,0)</f>
        <v>0</v>
      </c>
      <c r="FX8" s="5">
        <f>IF($D8="Flex-Fallow",$H8*'Flex-Fallow'!$J$117,0)</f>
        <v>0</v>
      </c>
      <c r="FY8" s="5">
        <f>IF($D8="Spring Barley",$H8*SpringBarley!$J$117,0)</f>
        <v>0</v>
      </c>
      <c r="FZ8" s="5">
        <f>IF($D8="Roundup Ready Spring Canola",$H8*'SpringCanola_R-Ready'!$J$117,0)</f>
        <v>0</v>
      </c>
      <c r="GA8" s="5">
        <f>IF($D8="Spring Canola",$H8*SpringCanola!$J$117,0)</f>
        <v>0</v>
      </c>
      <c r="GB8" s="5">
        <f>IF($D8="Spring Lentils",$H8*SpringLentils!$J$117,0)</f>
        <v>0</v>
      </c>
      <c r="GC8" s="5">
        <f>IF($D8="SW Spring Wheat",$H8*SWSpringWheat!$J$117,0)</f>
        <v>0</v>
      </c>
      <c r="GD8" s="5">
        <f>IF($D8="HR Winter Wheat",$H8*HRWinterWheat!$J$117,0)</f>
        <v>0</v>
      </c>
      <c r="GE8" s="5">
        <f>IF($D8="Winter Pea",$H8*WinterPea!$J$117,0)</f>
        <v>0</v>
      </c>
      <c r="GF8" s="5">
        <f>IF($D8="Winter Canola",$H8*WinterCanola!$J$117,0)</f>
        <v>0</v>
      </c>
      <c r="GG8" s="377">
        <f>IF($D8="Forage Crop-Soil Builder Blend",$H8*ForageCrop!$J$117,0)</f>
        <v>0</v>
      </c>
      <c r="GH8" s="5">
        <f>IF($D8="SW Winter Wheat after Spring Legume",$H8*SWWinterWheatAfterSpringLegume!$J$118,0)</f>
        <v>0</v>
      </c>
      <c r="GI8" s="5">
        <f>IF($D8="SW Winter Wheat after Forage Crop",$H8*SWWinterWheatAfterForageCrop!$J$118,0)</f>
        <v>0</v>
      </c>
      <c r="GJ8" s="5">
        <f>IF($D8="DN Spring Wheat after Spring Legume",$H8*DNSpringWinterAfterSpringLegume!$J$118,0)</f>
        <v>0</v>
      </c>
      <c r="GK8" s="5">
        <f>IF($D8="DN Spring Wheat after Forage Crop",$H8*DNSpringWheatAfterForageCrop!$J$118,0)</f>
        <v>0</v>
      </c>
      <c r="GL8" s="5">
        <f>IF($D8="DN Spring Wheat after Winter Crop",$H8*DNSpringWheatAfterWinterCrop!$J$118,0)</f>
        <v>0</v>
      </c>
      <c r="GM8" s="5">
        <f>IF($D8="Chickpea after Forage Crop",$H8*ChickpeaAfterForageCrop!$J$118,0)</f>
        <v>0</v>
      </c>
      <c r="GN8" s="5">
        <f>IF($D8="Chickpea after Cereal",$H8*ChickpeaAfterCereal!$J$118,0)</f>
        <v>0</v>
      </c>
      <c r="GO8" s="5">
        <f>IF($D8="Spring Pea after Cereal",$H8*SpringPeaAfterCereal!$J$118,0)</f>
        <v>0</v>
      </c>
      <c r="GP8" s="5">
        <f>IF($D8="Forage Crop-St. John Area",$H8*'ForageCrop-StJohn'!$J$118,0)</f>
        <v>0</v>
      </c>
      <c r="GQ8" s="5">
        <f>IF($D8="Forage Crop-Genesee Area",$H8*'ForageCrop-Genesee'!$J$118,0)</f>
        <v>0</v>
      </c>
      <c r="GR8" s="5">
        <f>IF($D8="Livestock Grazing",$H8*LivestockGrazing!$J$118,0)</f>
        <v>0</v>
      </c>
      <c r="GS8" s="5">
        <f>IF($D8="SW Winter Wheat after Cereal",$H8*SWWinterWheatafterCereal!$J$118,0)</f>
        <v>0</v>
      </c>
      <c r="GT8" s="5">
        <f>IF($D8="SW Winter Wheat after Fallow",$H8*SWWinterWheatAfterFallow!$J$118,0)</f>
        <v>0</v>
      </c>
      <c r="GU8" s="5">
        <f>IF($D8="Chem-Fallow",$H8*'Chem-Fallow'!$J$118,0)</f>
        <v>0</v>
      </c>
      <c r="GV8" s="5">
        <f>IF($D8="Flex-Fallow",$H8*'Flex-Fallow'!$J$118,0)</f>
        <v>0</v>
      </c>
      <c r="GW8" s="5">
        <f>IF($D8="Spring Barley",$H8*SpringBarley!$J$118,0)</f>
        <v>0</v>
      </c>
      <c r="GX8" s="5">
        <f>IF($D8="Roundup Ready Spring Canola",$H8*'SpringCanola_R-Ready'!$J$118,0)</f>
        <v>0</v>
      </c>
      <c r="GY8" s="5">
        <f>IF($D8="Spring Canola",$H8*SpringCanola!$J$118,0)</f>
        <v>0</v>
      </c>
      <c r="GZ8" s="5">
        <f>IF($D8="Spring Lentils",$H8*SpringLentils!$J$118,0)</f>
        <v>0</v>
      </c>
      <c r="HA8" s="5">
        <f>IF($D8="SW Spring Wheat",$H8*SWSpringWheat!$J$118,0)</f>
        <v>0</v>
      </c>
      <c r="HB8" s="5">
        <f>IF($D8="HR Winter Wheat",$H8*HRWinterWheat!$J$118,0)</f>
        <v>0</v>
      </c>
      <c r="HC8" s="5">
        <f>IF($D8="Winter Pea",$H8*WinterPea!$J$118,0)</f>
        <v>0</v>
      </c>
      <c r="HD8" s="5">
        <f>IF($D8="Winter Canola",$H8*WinterCanola!$J$118,0)</f>
        <v>0</v>
      </c>
      <c r="HE8" s="377">
        <f>IF($D8="Forage Crop-Soil Builder Blend",$H8*ForageCrop!$J$118,0)</f>
        <v>0</v>
      </c>
      <c r="HF8" s="5">
        <f>IF($D8="SW Winter Wheat after Spring Legume",($H8*(SUM(SWWinterWheatAfterSpringLegume!$E$9:$E$16)+SWWinterWheatAfterSpringLegume!$G$16))/2000,0)</f>
        <v>0</v>
      </c>
      <c r="HG8" s="5">
        <f>IF($D8="SW Winter Wheat after Forage Crop",($H8*(SUM(SWWinterWheatAfterForageCrop!$E$9:$E$16)+SWWinterWheatAfterForageCrop!$G$17))/2000,0)</f>
        <v>0</v>
      </c>
      <c r="HH8" s="5">
        <f>IF($D8="DN Spring Wheat after Spring Legume",($H8*(SUM(DNSpringWinterAfterSpringLegume!$E$9:$E$16)+DNSpringWinterAfterSpringLegume!$G$16))/2000,0)</f>
        <v>0</v>
      </c>
      <c r="HI8" s="5">
        <f>IF($D8="DN Spring Wheat after Forage Crop",($H8*(SUM(DNSpringWheatAfterForageCrop!$E$9:$E$16)+DNSpringWheatAfterForageCrop!$G$14))/2000,0)</f>
        <v>0</v>
      </c>
      <c r="HJ8" s="5">
        <f>IF($D8="DN Spring Wheat after Winter Crop",($H8*(SUM(DNSpringWheatAfterWinterCrop!$E$9:$E$16)+DNSpringWheatAfterWinterCrop!$G$16))/2000,0)</f>
        <v>0</v>
      </c>
      <c r="HK8" s="5">
        <f>IF($D8="Chickpea after Forage Crop",($H8*(SUM(ChickpeaAfterForageCrop!$E$9:$E$16)+ChickpeaAfterForageCrop!$G$14))/2000,0)</f>
        <v>0</v>
      </c>
      <c r="HL8" s="5">
        <f>IF($D8="Chickpea after Cereal",($H8*(SUM(ChickpeaAfterCereal!$E$9:$E$16)+ChickpeaAfterCereal!$G$14))/2000,0)</f>
        <v>0</v>
      </c>
      <c r="HM8" s="5">
        <f>IF($D8="Spring Pea after Cereal",($H8*(SUM(SpringPeaAfterCereal!$E$9:$E$16)+SpringPeaAfterCereal!$G$14))/2000,0)</f>
        <v>0</v>
      </c>
      <c r="HN8" s="5">
        <f>IF($D8="Forage Crop-St. John Area",($H8*(SUM('ForageCrop-StJohn'!$E$9:$E$16)+'ForageCrop-StJohn'!$G$14))/2000,0)</f>
        <v>0</v>
      </c>
      <c r="HO8" s="5">
        <f>IF($D8="Forage Crop-Genesee Area",($H8*(SUM('ForageCrop-Genesee'!$E$9:$E$16)+'ForageCrop-Genesee'!$G$14))/2000,0)</f>
        <v>0</v>
      </c>
      <c r="HP8" s="5">
        <f>IF($D8="Livestock Grazing",($H8*(SUM(LivestockGrazing!$E$9:$E$16)+LivestockGrazing!$G$14))/2000,0)</f>
        <v>0</v>
      </c>
      <c r="HQ8" s="5">
        <f>IF($D8="SW Winter Wheat after Cereal",($H8*(SUM(SWWinterWheatafterCereal!$E$9:$E$16)+SWWinterWheatafterCereal!$G$16))/2000,0)</f>
        <v>0</v>
      </c>
      <c r="HR8" s="5">
        <f>IF($D8="SW Winter Wheat after Fallow",($H8*(SUM(SWWinterWheatAfterFallow!$E$9:$E$16)+SWWinterWheatAfterFallow!$G$14))/2000,0)</f>
        <v>0</v>
      </c>
      <c r="HS8" s="5">
        <f>IF($D8="Chem-Fallow",($H8*(SUM('Chem-Fallow'!$E$9:$E$16)+'Chem-Fallow'!$G$16))/2000,0)</f>
        <v>0</v>
      </c>
      <c r="HT8" s="5">
        <f>IF($D8="Flex-Fallow",($H8*(SUM('Flex-Fallow'!$E$9:$E$16)+'Flex-Fallow'!$G$16))/2000,0)</f>
        <v>0</v>
      </c>
      <c r="HU8" s="5">
        <f>IF($D8="Spring Barley",($H8*(SUM(SpringBarley!$E$9:$E$16)+SpringBarley!$G$16))/2000,0)</f>
        <v>0</v>
      </c>
      <c r="HV8" s="5">
        <f>IF($D8="Roundup Ready Spring Canola",($H8*(SUM('SpringCanola_R-Ready'!$E$9:$E$16)+'SpringCanola_R-Ready'!$G$14))/2000,0)</f>
        <v>0</v>
      </c>
      <c r="HW8" s="5">
        <f>IF($D8="Spring Canola",($H8*(SUM(SpringCanola!$E$9:$E$16)+SpringCanola!$G$14))/2000,0)</f>
        <v>0</v>
      </c>
      <c r="HX8" s="5">
        <f>IF($D8="Spriing Lentils",($H8*(SUM(SpringLentils!$E$9:$E$16)+SpringLentils!$G$14))/2000,0)</f>
        <v>0</v>
      </c>
      <c r="HY8" s="5">
        <f>IF($D8="SW Spring Wheat",($H8*(SUM(SWSpringWheat!$E$9:$E$16)+SWSpringWheat!$G$18))/2000,0)</f>
        <v>0</v>
      </c>
      <c r="HZ8" s="5">
        <f>IF($D8="HR Winter Wheat",($H8*(SUM(HRWinterWheat!$E$9:$E$16)+HRWinterWheat!$G$16))/2000,0)</f>
        <v>0</v>
      </c>
      <c r="IA8" s="5">
        <f>IF($D8="Winter Pea",($H8*(SUM(WinterPea!$E$9:$E$16)+WinterPea!$G$14))/2000,0)</f>
        <v>0</v>
      </c>
      <c r="IB8" s="5">
        <f>IF($D8="Winter Canola",($H8*(SUM(WinterCanola!$E$9:$E$16)+WinterCanola!$G$14))/2000,0)</f>
        <v>0</v>
      </c>
      <c r="IC8" s="377">
        <f>IF($D8="Forage Crop-Soil Builder Blend",($H8*(SUM(ForageCrop!$E$9:$E$16)+ForageCrop!$G$14))/2000,0)</f>
        <v>0</v>
      </c>
      <c r="ID8" s="5">
        <f>IF($D8="SW Winter Wheat after Spring Legume",$H8*SWWinterWheatAfterSpringLegume!$G$62,0)</f>
        <v>0</v>
      </c>
      <c r="IE8" s="5">
        <f>IF($D8="SW Winter Wheat after Forage Crop",$H8*SWWinterWheatAfterForageCrop!$G$62,0)</f>
        <v>0</v>
      </c>
      <c r="IF8" s="5">
        <f>IF($D8="DN Spring Wheat after Spring Legume",$H8*DNSpringWinterAfterSpringLegume!$G$62,0)</f>
        <v>0</v>
      </c>
      <c r="IG8" s="5">
        <f>IF($D8="DN Spring Wheat after Forage Crop",$H8*DNSpringWheatAfterForageCrop!$G$62,0)</f>
        <v>0</v>
      </c>
      <c r="IH8" s="5">
        <f>IF($D8="DN Spring Wheat after Winter Crop",$H8*DNSpringWheatAfterWinterCrop!$G$62,0)</f>
        <v>0</v>
      </c>
      <c r="II8" s="5">
        <f>IF($D8="Chickpea after Forage Crop",$H8*ChickpeaAfterForageCrop!$G$62,0)</f>
        <v>0</v>
      </c>
      <c r="IJ8" s="5">
        <f>IF($D8="Chickpea after Cereal",$H8*ChickpeaAfterCereal!$G$62,0)</f>
        <v>0</v>
      </c>
      <c r="IK8" s="5">
        <f>IF($D8="Spring Pea after Cereal",$H8*SpringPeaAfterCereal!$G$62,0)</f>
        <v>0</v>
      </c>
      <c r="IL8" s="5">
        <f>IF($D8="Forage Crop-St. John Area",$H8*'ForageCrop-StJohn'!$G$62,0)</f>
        <v>0</v>
      </c>
      <c r="IM8" s="5">
        <f>IF($D8="Forage Crop-Genesee Area",$H8*'ForageCrop-Genesee'!$G$62,0)</f>
        <v>0</v>
      </c>
      <c r="IN8" s="5">
        <f>IF($D8="Livestock Grazing",$H8*LivestockGrazing!$G$62,0)</f>
        <v>0</v>
      </c>
      <c r="IO8" s="5">
        <f>IF($D8="SW Winter Wheat after Cereal",$H8*SWWinterWheatafterCereal!$G$62,0)</f>
        <v>0</v>
      </c>
      <c r="IP8" s="5">
        <f>IF($D8="SW Winter Wheat after Fallow",$H8*SWWinterWheatAfterFallow!$G$62,0)</f>
        <v>0</v>
      </c>
      <c r="IQ8" s="5">
        <f>IF($D8="Chem-Fallow",$H8*'Chem-Fallow'!$G$62,0)</f>
        <v>0</v>
      </c>
      <c r="IR8" s="5">
        <f>IF($D8="Flex-Fallow",$H8*'Flex-Fallow'!$G$62,0)</f>
        <v>0</v>
      </c>
      <c r="IS8" s="5">
        <f>IF($D8="Spring Barley",$H8*SpringBarley!$G$62,0)</f>
        <v>0</v>
      </c>
      <c r="IT8" s="5">
        <f>IF($D8="Roundup Ready Spring Canola",$H8*'SpringCanola_R-Ready'!$G$62,0)</f>
        <v>0</v>
      </c>
      <c r="IU8" s="5">
        <f>IF($D8="Spring Canola",$H8*SpringCanola!$G$62,0)</f>
        <v>0</v>
      </c>
      <c r="IV8" s="5">
        <f>IF($D8="Spriing Lentils",$H8*SpringLentils!$G$62,0)</f>
        <v>0</v>
      </c>
      <c r="IW8" s="5">
        <f>IF($D8="SW Spring Wheat",$H8*SWSpringWheat!$G$62,0)</f>
        <v>0</v>
      </c>
      <c r="IX8" s="5">
        <f>IF($D8="HR Winter Wheat",$H8*HRWinterWheat!$G$62,0)</f>
        <v>0</v>
      </c>
      <c r="IY8" s="5">
        <f>IF($D8="Winter Pea",$H8*WinterPea!$G$62,0)</f>
        <v>0</v>
      </c>
      <c r="IZ8" s="5">
        <f>IF($D8="Winter Canola",$H8*+WinterCanola!$G$62,0)</f>
        <v>0</v>
      </c>
      <c r="JA8" s="5">
        <f>IF($D8="Forage Crop-Soil Builder Blend",$H8*ForageCrop!$G$62,0)</f>
        <v>0</v>
      </c>
      <c r="JB8" s="5">
        <f>IF($D8="SW Winter Wheat after Spring Legume",$H8*SWWinterWheatAfterSpringLegume!$E$4,0)</f>
        <v>0</v>
      </c>
      <c r="JC8" s="5">
        <f>IF($D8="SW Winter Wheat after Forage Crop",$H8*SWWinterWheatAfterForageCrop!$E$4,0)</f>
        <v>0</v>
      </c>
      <c r="JD8" s="5">
        <f>IF($D8="DN Spring Wheat after Spring Legume",$H8*DNSpringWinterAfterSpringLegume!$E$4,0)</f>
        <v>0</v>
      </c>
      <c r="JE8" s="5">
        <f>IF($D8="DN Spring Wheat after Forage Crop",$H8*DNSpringWheatAfterForageCrop!$E$4,0)</f>
        <v>0</v>
      </c>
      <c r="JF8" s="5">
        <f>IF($D8="DN Spring Wheat after Winter Crop",$H8*DNSpringWheatAfterWinterCrop!$E$4,0)</f>
        <v>0</v>
      </c>
      <c r="JG8" s="5">
        <f>IF($D8="Chickpea after Forage Crop",$H8*ChickpeaAfterForageCrop!$E$4,0)</f>
        <v>0</v>
      </c>
      <c r="JH8" s="5">
        <f>IF($D8="Chickpea after Cereal",$H8*ChickpeaAfterCereal!$E$4,0)</f>
        <v>0</v>
      </c>
      <c r="JI8" s="5">
        <f>IF($D8="Spring Pea after Cereal",$H8*SpringPeaAfterCereal!$E$4,0)</f>
        <v>0</v>
      </c>
      <c r="JJ8" s="5">
        <f>IF($D8="Forage Crop-St. John Area",$H8*'ForageCrop-StJohn'!$E$4,0)</f>
        <v>0</v>
      </c>
      <c r="JK8" s="5">
        <f>IF($D8="Forage Crop-Genesee Area",$H8*'ForageCrop-Genesee'!$E$4,0)</f>
        <v>0</v>
      </c>
      <c r="JL8" s="5">
        <f>IF($D8="Livestock Grazing",$H8*LivestockGrazing!$E$4,0)</f>
        <v>0</v>
      </c>
      <c r="JM8" s="5">
        <f>IF($D8="SW Winter Wheat after Cereal",$H8*SWWinterWheatafterCereal!$E$4,0)</f>
        <v>0</v>
      </c>
      <c r="JN8" s="5">
        <f>IF($D8="SW Winter Wheat after Fallow",$H8*SWWinterWheatAfterFallow!$E$4,0)</f>
        <v>0</v>
      </c>
      <c r="JO8" s="5">
        <f>IF($D8="Chem-Fallow",$H8*'Chem-Fallow'!$E$4,0)</f>
        <v>0</v>
      </c>
      <c r="JP8" s="5">
        <f>IF($D8="Flex-Fallow",$H8*'Flex-Fallow'!$E$4,0)</f>
        <v>0</v>
      </c>
      <c r="JQ8" s="5">
        <f>IF($D8="Spring Barley",$H8*SpringBarley!$E$4,0)</f>
        <v>0</v>
      </c>
      <c r="JR8" s="5">
        <f>IF($D8="Roundup Ready Spring Canola",$H8*'SpringCanola_R-Ready'!$E$4,0)</f>
        <v>0</v>
      </c>
      <c r="JS8" s="5">
        <f>IF($D8="Spring Canola",$H8*SpringCanola!$E$4,0)</f>
        <v>0</v>
      </c>
      <c r="JT8" s="5">
        <f>IF($D8="Spriing Lentils",$H8*SpringLentils!$E$4,0)</f>
        <v>0</v>
      </c>
      <c r="JU8" s="5">
        <f>IF($D8="SW Spring Wheat",$H8*SWSpringWheat!$E$4,0)</f>
        <v>0</v>
      </c>
      <c r="JV8" s="5">
        <f>IF($D8="HR Winter Wheat",$H8*HRWinterWheat!$E$4,0)</f>
        <v>0</v>
      </c>
      <c r="JW8" s="5">
        <f>IF($D8="Winter Pea",$H8*WinterPea!$E$4,0)</f>
        <v>0</v>
      </c>
      <c r="JX8" s="5">
        <f>IF($D8="Winter Canola",$H8*+WinterCanola!$E$4,0)</f>
        <v>0</v>
      </c>
      <c r="JY8" s="5">
        <f>IF($D8="Forage Crop-Soil Builder Blend",$H8*ForageCrop!$E$4,0)</f>
        <v>0</v>
      </c>
    </row>
    <row r="9" spans="1:297" ht="20" customHeight="1">
      <c r="A9" s="8"/>
      <c r="B9" s="699"/>
      <c r="C9" s="281">
        <v>5</v>
      </c>
      <c r="D9" s="169"/>
      <c r="E9" s="170">
        <v>0</v>
      </c>
      <c r="F9" s="354">
        <f>IF(D9="Livestock Grazing",0,E9)</f>
        <v>0</v>
      </c>
      <c r="G9" s="171">
        <f>IF(D9="Livestock Grazing",0,$I$2*E9)</f>
        <v>0</v>
      </c>
      <c r="H9" s="357">
        <f>$I$2*E9</f>
        <v>0</v>
      </c>
      <c r="I9" s="172">
        <f>SUM(AT9:BQ9)</f>
        <v>0</v>
      </c>
      <c r="J9" s="228"/>
      <c r="M9" s="291"/>
      <c r="N9" s="16" t="s">
        <v>102</v>
      </c>
      <c r="O9" s="235">
        <v>16129.898273330997</v>
      </c>
      <c r="P9" s="235">
        <f>SUM('Farm and Rotation Setup'!GH5:HE9)</f>
        <v>39166.043589852394</v>
      </c>
      <c r="Q9" s="232">
        <f t="shared" si="0"/>
        <v>1.4281643272734781</v>
      </c>
      <c r="R9" s="291"/>
      <c r="S9" s="291"/>
      <c r="T9" s="428"/>
      <c r="U9" s="228"/>
      <c r="V9" s="5">
        <f>IF($D9="SW Winter Wheat after Spring Legume",$H9,0)</f>
        <v>0</v>
      </c>
      <c r="W9" s="5">
        <f>IF($D9="SW Winter Wheat after Forage Crop",$H9,0)</f>
        <v>0</v>
      </c>
      <c r="X9" s="5">
        <f>IF($D9="DN Spring Wheat after Spring Legume",$H9,0)</f>
        <v>0</v>
      </c>
      <c r="Y9" s="5">
        <f>IF($D9="DN Spring Wheat after Forage Crop",$H9,0)</f>
        <v>0</v>
      </c>
      <c r="Z9" s="5">
        <f>IF($D9="DN Spring Wheat after Winter Crop",$H9,0)</f>
        <v>0</v>
      </c>
      <c r="AA9" s="5">
        <f>IF($D9="Chickpea after Forage Crop",$H9,0)</f>
        <v>0</v>
      </c>
      <c r="AB9" s="5">
        <f>IF($D9="Chickpea after Cereal",$H9,0)</f>
        <v>0</v>
      </c>
      <c r="AC9" s="5">
        <f>IF($D9="Spring Pea after Cereal",$H9,0)</f>
        <v>0</v>
      </c>
      <c r="AD9" s="5">
        <f>IF($D9="Forage Crop-St. John Area",$H9,0)</f>
        <v>0</v>
      </c>
      <c r="AE9" s="5">
        <f>IF($D9="Forage Crop-Genesee Area",$H9,0)</f>
        <v>0</v>
      </c>
      <c r="AF9" s="5">
        <f>IF($D9="Livestock Grazing",$H9,0)</f>
        <v>0</v>
      </c>
      <c r="AG9" s="5">
        <f>IF($D9="SW Winter Wheat after Cereal",$H9,0)</f>
        <v>0</v>
      </c>
      <c r="AH9" s="5">
        <f>IF($D9="SW Winter Wheat after Fallow",$H9,0)</f>
        <v>0</v>
      </c>
      <c r="AI9" s="5">
        <f>IF($D9="Chem-Fallow",$H9,0)</f>
        <v>0</v>
      </c>
      <c r="AJ9" s="5">
        <f>IF($D9="Flex-Fallow",$H9,0)</f>
        <v>0</v>
      </c>
      <c r="AK9" s="5">
        <f>IF($D9="Spring Barley",$H9,0)</f>
        <v>0</v>
      </c>
      <c r="AL9" s="5">
        <f>IF($D9="Roundup Ready Spring Canola",$H9,0)</f>
        <v>0</v>
      </c>
      <c r="AM9" s="5">
        <f>IF($D9="Spring Canola",$H9,0)</f>
        <v>0</v>
      </c>
      <c r="AN9" s="5">
        <f>IF($D9="Spring Lentils",$H9,0)</f>
        <v>0</v>
      </c>
      <c r="AO9" s="5">
        <f>IF($D9="SW Spring Wheat",$H9,0)</f>
        <v>0</v>
      </c>
      <c r="AP9" s="5">
        <f>IF($D9="HR Winter Wheat",$H9,0)</f>
        <v>0</v>
      </c>
      <c r="AQ9" s="5">
        <f>IF($D9="Winter Pea",$H9,0)</f>
        <v>0</v>
      </c>
      <c r="AR9" s="5">
        <f>IF($D9="Winter Canola",$H9,0)</f>
        <v>0</v>
      </c>
      <c r="AS9" s="377">
        <f>IF($D9="Forage Crop-Soil Builder Blend",$H9,0)</f>
        <v>0</v>
      </c>
      <c r="AT9" s="5">
        <f>IF($D9="SW Winter Wheat after Spring Legume",SWWinterWheatAfterSpringLegume!$F$138,0)</f>
        <v>0</v>
      </c>
      <c r="AU9" s="5">
        <f>IF($D9="SW Winter Wheat after Forage Crop",SWWinterWheatAfterForageCrop!$F$138,0)</f>
        <v>0</v>
      </c>
      <c r="AV9" s="5">
        <f>IF($D9="DN Spring Wheat after Spring Legume",DNSpringWinterAfterSpringLegume!$F$138,0)</f>
        <v>0</v>
      </c>
      <c r="AW9" s="5">
        <f>IF($D9="DN Spring Wheat after Forage Crop",DNSpringWheatAfterForageCrop!$F$138,0)</f>
        <v>0</v>
      </c>
      <c r="AX9" s="5">
        <f>IF($D9="DN Spring Wheat after Winter Crop",DNSpringWheatAfterWinterCrop!$F$138,0)</f>
        <v>0</v>
      </c>
      <c r="AY9" s="5">
        <f>IF($D9="Chickpea after Forage Crop",ChickpeaAfterForageCrop!$F$138,0)</f>
        <v>0</v>
      </c>
      <c r="AZ9" s="5">
        <f>IF($D9="Chickpea after Cereal",ChickpeaAfterCereal!$F$138,0)</f>
        <v>0</v>
      </c>
      <c r="BA9" s="5">
        <f>IF($D9="Spring Pea after Cereal",SpringPeaAfterCereal!$F$138,0)</f>
        <v>0</v>
      </c>
      <c r="BB9" s="5">
        <f>IF($D9="Forage Crop-St. John Area",'ForageCrop-StJohn'!$F$138,0)</f>
        <v>0</v>
      </c>
      <c r="BC9" s="5">
        <f>IF($D9="Forage Crop-Genesee Area",'ForageCrop-Genesee'!$F$138,0)</f>
        <v>0</v>
      </c>
      <c r="BD9" s="5">
        <f>IF($D9="Livestock Grazing",LivestockGrazing!$F$138,0)</f>
        <v>0</v>
      </c>
      <c r="BE9" s="5">
        <f>IF($D9="SW Winter Wheat after Cereal",SWWinterWheatafterCereal!$F$138,0)</f>
        <v>0</v>
      </c>
      <c r="BF9" s="5">
        <f>IF($D9="SW Winter Wheat after Fallow",SWWinterWheatAfterFallow!$F$138,0)</f>
        <v>0</v>
      </c>
      <c r="BG9" s="5">
        <f>IF($D9="Chem-Fallow",'Chem-Fallow'!$F$138,0)</f>
        <v>0</v>
      </c>
      <c r="BH9" s="5">
        <f>IF($D9="Flex-Fallow",'Flex-Fallow'!$F$138,0)</f>
        <v>0</v>
      </c>
      <c r="BI9" s="5">
        <f>IF($D9="Spring Barley",SpringBarley!$F$138,0)</f>
        <v>0</v>
      </c>
      <c r="BJ9" s="5">
        <f>IF($D9="Roundup Ready Spring Canola",'SpringCanola_R-Ready'!$F$138,0)</f>
        <v>0</v>
      </c>
      <c r="BK9" s="5">
        <f>IF($D9="Spring Canola",SpringCanola!$F$138,0)</f>
        <v>0</v>
      </c>
      <c r="BL9" s="5">
        <f>IF($D9="Spring Lentils",SpringLentils!$F$138,0)</f>
        <v>0</v>
      </c>
      <c r="BM9" s="5">
        <f>IF($D9="SW Spring Wheat",SWSpringWheat!$F$138,0)</f>
        <v>0</v>
      </c>
      <c r="BN9" s="5">
        <f>IF($D9="HR Winter Wheat",HRWinterWheat!$F$138,0)</f>
        <v>0</v>
      </c>
      <c r="BO9" s="5">
        <f>IF($D9="Winter Pea",WinterPea!$F$138,0)</f>
        <v>0</v>
      </c>
      <c r="BP9" s="5">
        <f>IF($D9="Winter Canola",WinterCanola!$F$138,0)</f>
        <v>0</v>
      </c>
      <c r="BQ9" s="377">
        <f>IF($D9="Forage Crop-Soil Builder Blend",ForageCrop!$F$138,0)</f>
        <v>0</v>
      </c>
      <c r="BR9" s="5">
        <f>IF($D9="SW Winter Wheat after Spring Legume",H9*SWWinterWheatAfterSpringLegume!$F$138,0)</f>
        <v>0</v>
      </c>
      <c r="BS9" s="5">
        <f>IF($D9="SW Winter Wheat after Forage Crop",H9*SWWinterWheatAfterForageCrop!$F$138,0)</f>
        <v>0</v>
      </c>
      <c r="BT9" s="5">
        <f>IF($D9="DN Spring Wheat after Spring Legume",H9*DNSpringWinterAfterSpringLegume!$F$138,0)</f>
        <v>0</v>
      </c>
      <c r="BU9" s="5">
        <f>IF($D9="DN Spring Wheat after Forage Crop",H9*DNSpringWheatAfterForageCrop!$F$138,0)</f>
        <v>0</v>
      </c>
      <c r="BV9" s="5">
        <f>IF($D9="DN Spring Wheat after Winter Crop",H9*DNSpringWheatAfterWinterCrop!$F$138,0)</f>
        <v>0</v>
      </c>
      <c r="BW9" s="5">
        <f>IF($D9="Chickpea after Forage Crop",H9*ChickpeaAfterForageCrop!$F$138,0)</f>
        <v>0</v>
      </c>
      <c r="BX9" s="5">
        <f>IF($D9="Chickpea after Cereal",H9*ChickpeaAfterCereal!$F$138,0)</f>
        <v>0</v>
      </c>
      <c r="BY9" s="5">
        <f>IF($D9="Spring Pea after Cereal",H9*SpringPeaAfterCereal!$F$138,0)</f>
        <v>0</v>
      </c>
      <c r="BZ9" s="5">
        <f>IF($D9="Forage Crop-St. John Area",H9*'ForageCrop-StJohn'!$F$138,0)</f>
        <v>0</v>
      </c>
      <c r="CA9" s="5">
        <f>IF($D9="Forage Crop-Genesee Area",H9*'ForageCrop-Genesee'!$F$138,0)</f>
        <v>0</v>
      </c>
      <c r="CB9" s="5">
        <f>IF($D9="Livestock Grazing",H9*LivestockGrazing!$F$138,0)</f>
        <v>0</v>
      </c>
      <c r="CC9" s="5">
        <f>IF($D9="SW Winter Wheat after Cereal",H9*SWWinterWheatafterCereal!$F$138,0)</f>
        <v>0</v>
      </c>
      <c r="CD9" s="5">
        <f>IF($D9="SW Winter Wheat after Fallow",H9*SWWinterWheatAfterFallow!$F$138,0)</f>
        <v>0</v>
      </c>
      <c r="CE9" s="5">
        <f>IF($D9="Chem-Fallow",H9*'Chem-Fallow'!$F$138,0)</f>
        <v>0</v>
      </c>
      <c r="CF9" s="5">
        <f>IF($D9="Flex-Fallow",H9*'Flex-Fallow'!$F$138,0)</f>
        <v>0</v>
      </c>
      <c r="CG9" s="5">
        <f>IF($D9="Spring Barley",H9*SpringBarley!$F$138,0)</f>
        <v>0</v>
      </c>
      <c r="CH9" s="5">
        <f>IF($D9="Roundup Ready Spring Canola",H9*'SpringCanola_R-Ready'!$F$138,0)</f>
        <v>0</v>
      </c>
      <c r="CI9" s="5">
        <f>IF($D9="Spring Canola",H9*SpringCanola!$F$138,0)</f>
        <v>0</v>
      </c>
      <c r="CJ9" s="5">
        <f>IF($D9="Spring Lentils",H9*SpringLentils!$F$138,0)</f>
        <v>0</v>
      </c>
      <c r="CK9" s="5">
        <f>IF($D9="SW Spring Wheat",H9*SWSpringWheat!$F$138,0)</f>
        <v>0</v>
      </c>
      <c r="CL9" s="5">
        <f>IF($D9="HR Winter Wheat",H9*HRWinterWheat!$F$138,0)</f>
        <v>0</v>
      </c>
      <c r="CM9" s="5">
        <f>IF($D9="Winter Pea",H9*WinterPea!$F$138,0)</f>
        <v>0</v>
      </c>
      <c r="CN9" s="5">
        <f>IF($D9="Winter Canola",H9*WinterCanola!$F$138,0)</f>
        <v>0</v>
      </c>
      <c r="CO9" s="377">
        <f>IF($D9="Forage Crop-Soil Builder Blend",H9*ForageCrop!$F$138,0)</f>
        <v>0</v>
      </c>
      <c r="CP9" s="5">
        <f>IF($D9="SW Winter Wheat after Spring Legume",H9*'Prices_Yields&amp;SeedInputs'!J$5,0)</f>
        <v>0</v>
      </c>
      <c r="CQ9" s="5">
        <f>IF($D9="SW Winter Wheat after Forage Crop",H9*'Prices_Yields&amp;SeedInputs'!J$6,0)</f>
        <v>0</v>
      </c>
      <c r="CR9" s="5">
        <f>IF($D9="DN Spring Wheat after Spring Legume",H9*'Prices_Yields&amp;SeedInputs'!J$7,0)</f>
        <v>0</v>
      </c>
      <c r="CS9" s="5">
        <f>IF($D9="DN Spring Wheat after Forage Crop",H9*'Prices_Yields&amp;SeedInputs'!J$8,0)</f>
        <v>0</v>
      </c>
      <c r="CT9" s="5">
        <f>IF($D9="DN Spring Wheat after Winter Crop",H9*'Prices_Yields&amp;SeedInputs'!J$9,0)</f>
        <v>0</v>
      </c>
      <c r="CU9" s="5">
        <f>IF($D9="Chickpea after Forage Crop",H9*'Prices_Yields&amp;SeedInputs'!J$10,0)</f>
        <v>0</v>
      </c>
      <c r="CV9" s="5">
        <f>IF($D9="Chickpea after Cereal",H9*'Prices_Yields&amp;SeedInputs'!J$11,0)</f>
        <v>0</v>
      </c>
      <c r="CW9" s="5">
        <f>IF($D9="Spring Pea after Cereal",H9*'Prices_Yields&amp;SeedInputs'!J$12,0)</f>
        <v>0</v>
      </c>
      <c r="CX9" s="5">
        <f>IF($D9="Forage Crop-St. John Area",H9*'Prices_Yields&amp;SeedInputs'!J$13,0)</f>
        <v>0</v>
      </c>
      <c r="CY9" s="5">
        <f>IF($D9="Forage Crop-Genesee Area",H9*'Prices_Yields&amp;SeedInputs'!J$14,0)</f>
        <v>0</v>
      </c>
      <c r="CZ9" s="5">
        <f>IF($D9="Livestock Grazing",H9*'Prices_Yields&amp;SeedInputs'!J$15,0)</f>
        <v>0</v>
      </c>
      <c r="DA9" s="5">
        <f>IF($D9="SW Winter Wheat after Cereal",H9*'Prices_Yields&amp;SeedInputs'!J$16,0)</f>
        <v>0</v>
      </c>
      <c r="DB9" s="5">
        <f>IF($D9="SW Winter Wheat after Fallow",H9*'Prices_Yields&amp;SeedInputs'!J$17,0)</f>
        <v>0</v>
      </c>
      <c r="DC9" s="5">
        <f>IF($D9="Chem-Fallow",H9*'Prices_Yields&amp;SeedInputs'!J$18,0)</f>
        <v>0</v>
      </c>
      <c r="DD9" s="5">
        <f>IF($D9="Flex-Fallow",H9*'Prices_Yields&amp;SeedInputs'!J$19,0)</f>
        <v>0</v>
      </c>
      <c r="DE9" s="5">
        <f>IF($D9="Spring Barley",H9*'Prices_Yields&amp;SeedInputs'!J$20,0)</f>
        <v>0</v>
      </c>
      <c r="DF9" s="5">
        <f>IF($D9="Roundup Ready Spring Canola",H9*'Prices_Yields&amp;SeedInputs'!J$21,0)</f>
        <v>0</v>
      </c>
      <c r="DG9" s="5">
        <f>IF($D9="Spring Canola",H9*'Prices_Yields&amp;SeedInputs'!J$22,0)</f>
        <v>0</v>
      </c>
      <c r="DH9" s="5">
        <f>IF($D9="Spring Lentils",H9*'Prices_Yields&amp;SeedInputs'!J$23,0)</f>
        <v>0</v>
      </c>
      <c r="DI9" s="5">
        <f>IF($D9="SW Spring Wheat",H9*'Prices_Yields&amp;SeedInputs'!J$24,0)</f>
        <v>0</v>
      </c>
      <c r="DJ9" s="5">
        <f>IF($D9="HR Winter Wheat",H9*'Prices_Yields&amp;SeedInputs'!J$25,0)</f>
        <v>0</v>
      </c>
      <c r="DK9" s="5">
        <f>IF($D9="Winter Pea",H9*'Prices_Yields&amp;SeedInputs'!J$26,0)</f>
        <v>0</v>
      </c>
      <c r="DL9" s="5">
        <f>IF($D9="Winter Canola",H9*'Prices_Yields&amp;SeedInputs'!J$27,0)</f>
        <v>0</v>
      </c>
      <c r="DM9" s="377">
        <f>IF($D9="Forage Crop-Soil Builder Blend",H9*'Prices_Yields&amp;SeedInputs'!J$28,0)</f>
        <v>0</v>
      </c>
      <c r="DN9" s="5">
        <f>IF($D9="SW Winter Wheat after Spring Legume",$H9*SWWinterWheatAfterSpringLegume!$F$135,0)</f>
        <v>0</v>
      </c>
      <c r="DO9" s="5">
        <f>IF($D9="SW Winter Wheat after Forage Crop",$H9*SWWinterWheatAfterForageCrop!$F$135,0)</f>
        <v>0</v>
      </c>
      <c r="DP9" s="5">
        <f>IF($D9="DN Spring Wheat after Spring Legume",$H9*DNSpringWinterAfterSpringLegume!$F$135,0)</f>
        <v>0</v>
      </c>
      <c r="DQ9" s="5">
        <f>IF($D9="DN Spring Wheat after Forage Crop",$H9*DNSpringWheatAfterForageCrop!$F$135,0)</f>
        <v>0</v>
      </c>
      <c r="DR9" s="5">
        <f>IF($D9="DN Spring Wheat after Winter Crop",$H9*DNSpringWheatAfterWinterCrop!$F$135,0)</f>
        <v>0</v>
      </c>
      <c r="DS9" s="5">
        <f>IF($D9="Chickpea after Forage Crop",$H9*ChickpeaAfterForageCrop!$F$135,0)</f>
        <v>0</v>
      </c>
      <c r="DT9" s="5">
        <f>IF($D9="Chickpea after Cereal",$H9*ChickpeaAfterCereal!$F$135,0)</f>
        <v>0</v>
      </c>
      <c r="DU9" s="5">
        <f>IF($D9="Spring Pea after Cereal",$H9*SpringPeaAfterCereal!$F$135,0)</f>
        <v>0</v>
      </c>
      <c r="DV9" s="5">
        <f>IF($D9="Forage Crop-St. John Area",$H9*'ForageCrop-StJohn'!$F$135,0)</f>
        <v>0</v>
      </c>
      <c r="DW9" s="5">
        <f>IF($D9="Forage Crop-Genesee Area",$H9*'ForageCrop-Genesee'!$F$135,0)</f>
        <v>0</v>
      </c>
      <c r="DX9" s="5">
        <f>IF($D9="Livestock Grazing",$H9*LivestockGrazing!$F$135,0)</f>
        <v>0</v>
      </c>
      <c r="DY9" s="5">
        <f>IF($D9="SW Winter Wheat after Cereal",$H9*SWWinterWheatafterCereal!$F$135,0)</f>
        <v>0</v>
      </c>
      <c r="DZ9" s="5">
        <f>IF($D9="SW Winter Wheat after Fallow",$H9*SWWinterWheatAfterFallow!$F$135,0)</f>
        <v>0</v>
      </c>
      <c r="EA9" s="5">
        <f>IF($D9="Chem-Fallow",$H9*'Chem-Fallow'!$F$135,0)</f>
        <v>0</v>
      </c>
      <c r="EB9" s="5">
        <f>IF($D9="Flex-Fallow",$H9*'Flex-Fallow'!$F$135,0)</f>
        <v>0</v>
      </c>
      <c r="EC9" s="5">
        <f>IF($D9="Spring Barley",$H9*SpringBarley!$F$135,0)</f>
        <v>0</v>
      </c>
      <c r="ED9" s="5">
        <f>IF($D9="Roundup Ready Spring Canola",$H9*'SpringCanola_R-Ready'!$F$135,0)</f>
        <v>0</v>
      </c>
      <c r="EE9" s="5">
        <f>IF($D9="Spring Canola",$H9*SpringCanola!$F$135,0)</f>
        <v>0</v>
      </c>
      <c r="EF9" s="5">
        <f>IF($D9="Spring Lentils",$H9*SpringLentils!$F$135,0)</f>
        <v>0</v>
      </c>
      <c r="EG9" s="5">
        <f>IF($D9="SW Spring Wheat",$H9*SWSpringWheat!$F$135,0)</f>
        <v>0</v>
      </c>
      <c r="EH9" s="5">
        <f>IF($D9="HR Winter Wheat",$H9*HRWinterWheat!$F$135,0)</f>
        <v>0</v>
      </c>
      <c r="EI9" s="5">
        <f>IF($D9="Winter Pea",$H9*WinterPea!$F$135,0)</f>
        <v>0</v>
      </c>
      <c r="EJ9" s="5">
        <f>IF($D9="Winter Canola",$H9*WinterCanola!$F$135,0)</f>
        <v>0</v>
      </c>
      <c r="EK9" s="377">
        <f>IF($D9="Forage Crop-Soil Builder Blend",$H9*ForageCrop!$F$135,0)</f>
        <v>0</v>
      </c>
      <c r="EL9" s="5">
        <f>IF($D9="SW Winter Wheat after Spring Legume",$H9*SWWinterWheatAfterSpringLegume!$J$116,0)</f>
        <v>0</v>
      </c>
      <c r="EM9" s="5">
        <f>IF($D9="SW Winter Wheat after Forage Crop",$H9*SWWinterWheatAfterForageCrop!$J$116,0)</f>
        <v>0</v>
      </c>
      <c r="EN9" s="5">
        <f>IF($D9="DN Spring Wheat after Spring Legume",$H9*DNSpringWinterAfterSpringLegume!$J$116,0)</f>
        <v>0</v>
      </c>
      <c r="EO9" s="5">
        <f>IF($D9="DN Spring Wheat after Forage Crop",$H9*DNSpringWheatAfterForageCrop!$J$116,0)</f>
        <v>0</v>
      </c>
      <c r="EP9" s="5">
        <f>IF($D9="DN Spring Wheat after Winter Crop",$H9*DNSpringWheatAfterWinterCrop!$J$116,0)</f>
        <v>0</v>
      </c>
      <c r="EQ9" s="5">
        <f>IF($D9="Chickpea after Forage Crop",$H9*ChickpeaAfterForageCrop!$J$116,0)</f>
        <v>0</v>
      </c>
      <c r="ER9" s="5">
        <f>IF($D9="Chickpea after Cereal",$H9*ChickpeaAfterCereal!$J$116,0)</f>
        <v>0</v>
      </c>
      <c r="ES9" s="5">
        <f>IF($D9="Spring Pea after Cereal",$H9*SpringPeaAfterCereal!$J$116,0)</f>
        <v>0</v>
      </c>
      <c r="ET9" s="5">
        <f>IF($D9="Forage Crop-St. John Area",$H9*'ForageCrop-StJohn'!$J$116,0)</f>
        <v>0</v>
      </c>
      <c r="EU9" s="5">
        <f>IF($D9="Forage Crop-Genesee Area",$H9*'ForageCrop-Genesee'!$J$116,0)</f>
        <v>0</v>
      </c>
      <c r="EV9" s="5">
        <f>IF($D9="Livestock Grazing",$H9*LivestockGrazing!$J$116,0)</f>
        <v>0</v>
      </c>
      <c r="EW9" s="5">
        <f>IF($D9="SW Winter Wheat after Cereal",$H9*SWWinterWheatafterCereal!$J$116,0)</f>
        <v>0</v>
      </c>
      <c r="EX9" s="5">
        <f>IF($D9="SW Winter Wheat after Fallow",$H9*SWWinterWheatAfterFallow!$J$116,0)</f>
        <v>0</v>
      </c>
      <c r="EY9" s="5">
        <f>IF($D9="Chem-Fallow",$H9*'Chem-Fallow'!$J$116,0)</f>
        <v>0</v>
      </c>
      <c r="EZ9" s="5">
        <f>IF($D9="Flex-Fallow",$H9*'Flex-Fallow'!$J$116,0)</f>
        <v>0</v>
      </c>
      <c r="FA9" s="5">
        <f>IF($D9="Spring Barley",$H9*SpringBarley!$J$116,0)</f>
        <v>0</v>
      </c>
      <c r="FB9" s="5">
        <f>IF($D9="Roundup Ready Spring Canola",$H9*'SpringCanola_R-Ready'!$J$116,0)</f>
        <v>0</v>
      </c>
      <c r="FC9" s="5">
        <f>IF($D9="Spring Canola",$H9*SpringCanola!$J$116,0)</f>
        <v>0</v>
      </c>
      <c r="FD9" s="5">
        <f>IF($D9="Spring Lentils",$H9*SpringLentils!$J$116,0)</f>
        <v>0</v>
      </c>
      <c r="FE9" s="5">
        <f>IF($D9="SW Spring Wheat",$H9*SWSpringWheat!$J$116,0)</f>
        <v>0</v>
      </c>
      <c r="FF9" s="5">
        <f>IF($D9="HR Winter Wheat",$H9*HRWinterWheat!$J$116,0)</f>
        <v>0</v>
      </c>
      <c r="FG9" s="5">
        <f>IF($D9="Winter Pea",$H9*WinterPea!$J$116,0)</f>
        <v>0</v>
      </c>
      <c r="FH9" s="5">
        <f>IF($D9="Winter Canola",$H9*WinterCanola!$J$116,0)</f>
        <v>0</v>
      </c>
      <c r="FI9" s="377">
        <f>IF($D9="Forage Crop-Soil Builder Blend",$H9*ForageCrop!$J$116,0)</f>
        <v>0</v>
      </c>
      <c r="FJ9" s="5">
        <f>IF($D9="SW Winter Wheat after Spring Legume",$H9*SWWinterWheatAfterSpringLegume!$J$117,0)</f>
        <v>0</v>
      </c>
      <c r="FK9" s="5">
        <f>IF($D9="SW Winter Wheat after Forage Crop",$H9*SWWinterWheatAfterForageCrop!$J$117,0)</f>
        <v>0</v>
      </c>
      <c r="FL9" s="5">
        <f>IF($D9="DN Spring Wheat after Spring Legume",$H9*DNSpringWinterAfterSpringLegume!$J$117,0)</f>
        <v>0</v>
      </c>
      <c r="FM9" s="5">
        <f>IF($D9="DN Spring Wheat after Forage Crop",$H9*DNSpringWheatAfterForageCrop!$J$117,0)</f>
        <v>0</v>
      </c>
      <c r="FN9" s="5">
        <f>IF($D9="DN Spring Wheat after Winter Crop",$H9*DNSpringWheatAfterWinterCrop!$J$117,0)</f>
        <v>0</v>
      </c>
      <c r="FO9" s="5">
        <f>IF($D9="Chickpea after Forage Crop",$H9*ChickpeaAfterForageCrop!$J$117,0)</f>
        <v>0</v>
      </c>
      <c r="FP9" s="5">
        <f>IF($D9="Chickpea after Cereal",$H9*ChickpeaAfterCereal!$J$117,0)</f>
        <v>0</v>
      </c>
      <c r="FQ9" s="5">
        <f>IF($D9="Spring Pea after Cereal",$H9*SpringPeaAfterCereal!$J$117,0)</f>
        <v>0</v>
      </c>
      <c r="FR9" s="5">
        <f>IF($D9="Forage Crop-St. John Area",$H9*'ForageCrop-StJohn'!$J$117,0)</f>
        <v>0</v>
      </c>
      <c r="FS9" s="5">
        <f>IF($D9="Forage Crop-Genesee Area",$H9*'ForageCrop-Genesee'!$J$117,0)</f>
        <v>0</v>
      </c>
      <c r="FT9" s="5">
        <f>IF($D9="Livestock Grazing",$H9*LivestockGrazing!$J$117,0)</f>
        <v>0</v>
      </c>
      <c r="FU9" s="5">
        <f>IF($D9="SW Winter Wheat after Cereal",$H9*SWWinterWheatafterCereal!$J$117,0)</f>
        <v>0</v>
      </c>
      <c r="FV9" s="5">
        <f>IF($D9="SW Winter Wheat after Fallow",$H9*SWWinterWheatAfterFallow!$J$117,0)</f>
        <v>0</v>
      </c>
      <c r="FW9" s="5">
        <f>IF($D9="Chem-Fallow",$H9*'Chem-Fallow'!$J$117,0)</f>
        <v>0</v>
      </c>
      <c r="FX9" s="5">
        <f>IF($D9="Flex-Fallow",$H9*'Flex-Fallow'!$J$117,0)</f>
        <v>0</v>
      </c>
      <c r="FY9" s="5">
        <f>IF($D9="Spring Barley",$H9*SpringBarley!$J$117,0)</f>
        <v>0</v>
      </c>
      <c r="FZ9" s="5">
        <f>IF($D9="Roundup Ready Spring Canola",$H9*'SpringCanola_R-Ready'!$J$117,0)</f>
        <v>0</v>
      </c>
      <c r="GA9" s="5">
        <f>IF($D9="Spring Canola",$H9*SpringCanola!$J$117,0)</f>
        <v>0</v>
      </c>
      <c r="GB9" s="5">
        <f>IF($D9="Spring Lentils",$H9*SpringLentils!$J$117,0)</f>
        <v>0</v>
      </c>
      <c r="GC9" s="5">
        <f>IF($D9="SW Spring Wheat",$H9*SWSpringWheat!$J$117,0)</f>
        <v>0</v>
      </c>
      <c r="GD9" s="5">
        <f>IF($D9="HR Winter Wheat",$H9*HRWinterWheat!$J$117,0)</f>
        <v>0</v>
      </c>
      <c r="GE9" s="5">
        <f>IF($D9="Winter Pea",$H9*WinterPea!$J$117,0)</f>
        <v>0</v>
      </c>
      <c r="GF9" s="5">
        <f>IF($D9="Winter Canola",$H9*WinterCanola!$J$117,0)</f>
        <v>0</v>
      </c>
      <c r="GG9" s="377">
        <f>IF($D9="Forage Crop-Soil Builder Blend",$H9*ForageCrop!$J$117,0)</f>
        <v>0</v>
      </c>
      <c r="GH9" s="5">
        <f>IF($D9="SW Winter Wheat after Spring Legume",$H9*SWWinterWheatAfterSpringLegume!$J$118,0)</f>
        <v>0</v>
      </c>
      <c r="GI9" s="5">
        <f>IF($D9="SW Winter Wheat after Forage Crop",$H9*SWWinterWheatAfterForageCrop!$J$118,0)</f>
        <v>0</v>
      </c>
      <c r="GJ9" s="5">
        <f>IF($D9="DN Spring Wheat after Spring Legume",$H9*DNSpringWinterAfterSpringLegume!$J$118,0)</f>
        <v>0</v>
      </c>
      <c r="GK9" s="5">
        <f>IF($D9="DN Spring Wheat after Forage Crop",$H9*DNSpringWheatAfterForageCrop!$J$118,0)</f>
        <v>0</v>
      </c>
      <c r="GL9" s="5">
        <f>IF($D9="DN Spring Wheat after Winter Crop",$H9*DNSpringWheatAfterWinterCrop!$J$118,0)</f>
        <v>0</v>
      </c>
      <c r="GM9" s="5">
        <f>IF($D9="Chickpea after Forage Crop",$H9*ChickpeaAfterForageCrop!$J$118,0)</f>
        <v>0</v>
      </c>
      <c r="GN9" s="5">
        <f>IF($D9="Chickpea after Cereal",$H9*ChickpeaAfterCereal!$J$118,0)</f>
        <v>0</v>
      </c>
      <c r="GO9" s="5">
        <f>IF($D9="Spring Pea after Cereal",$H9*SpringPeaAfterCereal!$J$118,0)</f>
        <v>0</v>
      </c>
      <c r="GP9" s="5">
        <f>IF($D9="Forage Crop-St. John Area",$H9*'ForageCrop-StJohn'!$J$118,0)</f>
        <v>0</v>
      </c>
      <c r="GQ9" s="5">
        <f>IF($D9="Forage Crop-Genesee Area",$H9*'ForageCrop-Genesee'!$J$118,0)</f>
        <v>0</v>
      </c>
      <c r="GR9" s="5">
        <f>IF($D9="Livestock Grazing",$H9*LivestockGrazing!$J$118,0)</f>
        <v>0</v>
      </c>
      <c r="GS9" s="5">
        <f>IF($D9="SW Winter Wheat after Cereal",$H9*SWWinterWheatafterCereal!$J$118,0)</f>
        <v>0</v>
      </c>
      <c r="GT9" s="5">
        <f>IF($D9="SW Winter Wheat after Fallow",$H9*SWWinterWheatAfterFallow!$J$118,0)</f>
        <v>0</v>
      </c>
      <c r="GU9" s="5">
        <f>IF($D9="Chem-Fallow",$H9*'Chem-Fallow'!$J$118,0)</f>
        <v>0</v>
      </c>
      <c r="GV9" s="5">
        <f>IF($D9="Flex-Fallow",$H9*'Flex-Fallow'!$J$118,0)</f>
        <v>0</v>
      </c>
      <c r="GW9" s="5">
        <f>IF($D9="Spring Barley",$H9*SpringBarley!$J$118,0)</f>
        <v>0</v>
      </c>
      <c r="GX9" s="5">
        <f>IF($D9="Roundup Ready Spring Canola",$H9*'SpringCanola_R-Ready'!$J$118,0)</f>
        <v>0</v>
      </c>
      <c r="GY9" s="5">
        <f>IF($D9="Spring Canola",$H9*SpringCanola!$J$118,0)</f>
        <v>0</v>
      </c>
      <c r="GZ9" s="5">
        <f>IF($D9="Spring Lentils",$H9*SpringLentils!$J$118,0)</f>
        <v>0</v>
      </c>
      <c r="HA9" s="5">
        <f>IF($D9="SW Spring Wheat",$H9*SWSpringWheat!$J$118,0)</f>
        <v>0</v>
      </c>
      <c r="HB9" s="5">
        <f>IF($D9="HR Winter Wheat",$H9*HRWinterWheat!$J$118,0)</f>
        <v>0</v>
      </c>
      <c r="HC9" s="5">
        <f>IF($D9="Winter Pea",$H9*WinterPea!$J$118,0)</f>
        <v>0</v>
      </c>
      <c r="HD9" s="5">
        <f>IF($D9="Winter Canola",$H9*WinterCanola!$J$118,0)</f>
        <v>0</v>
      </c>
      <c r="HE9" s="377">
        <f>IF($D9="Forage Crop-Soil Builder Blend",$H9*ForageCrop!$J$118,0)</f>
        <v>0</v>
      </c>
      <c r="HF9" s="5">
        <f>IF($D9="SW Winter Wheat after Spring Legume",($H9*(SUM(SWWinterWheatAfterSpringLegume!$E$9:$E$16)+SWWinterWheatAfterSpringLegume!$G$16))/2000,0)</f>
        <v>0</v>
      </c>
      <c r="HG9" s="5">
        <f>IF($D9="SW Winter Wheat after Forage Crop",($H9*(SUM(SWWinterWheatAfterForageCrop!$E$9:$E$16)+SWWinterWheatAfterForageCrop!$G$17))/2000,0)</f>
        <v>0</v>
      </c>
      <c r="HH9" s="5">
        <f>IF($D9="DN Spring Wheat after Spring Legume",($H9*(SUM(DNSpringWinterAfterSpringLegume!$E$9:$E$16)+DNSpringWinterAfterSpringLegume!$G$16))/2000,0)</f>
        <v>0</v>
      </c>
      <c r="HI9" s="5">
        <f>IF($D9="DN Spring Wheat after Forage Crop",($H9*(SUM(DNSpringWheatAfterForageCrop!$E$9:$E$16)+DNSpringWheatAfterForageCrop!$G$14))/2000,0)</f>
        <v>0</v>
      </c>
      <c r="HJ9" s="5">
        <f>IF($D9="DN Spring Wheat after Winter Crop",($H9*(SUM(DNSpringWheatAfterWinterCrop!$E$9:$E$16)+DNSpringWheatAfterWinterCrop!$G$16))/2000,0)</f>
        <v>0</v>
      </c>
      <c r="HK9" s="5">
        <f>IF($D9="Chickpea after Forage Crop",($H9*(SUM(ChickpeaAfterForageCrop!$E$9:$E$16)+ChickpeaAfterForageCrop!$G$14))/2000,0)</f>
        <v>0</v>
      </c>
      <c r="HL9" s="5">
        <f>IF($D9="Chickpea after Cereal",($H9*(SUM(ChickpeaAfterCereal!$E$9:$E$16)+ChickpeaAfterCereal!$G$14))/2000,0)</f>
        <v>0</v>
      </c>
      <c r="HM9" s="5">
        <f>IF($D9="Spring Pea after Cereal",($H9*(SUM(SpringPeaAfterCereal!$E$9:$E$16)+SpringPeaAfterCereal!$G$14))/2000,0)</f>
        <v>0</v>
      </c>
      <c r="HN9" s="5">
        <f>IF($D9="Forage Crop-St. John Area",($H9*(SUM('ForageCrop-StJohn'!$E$9:$E$16)+'ForageCrop-StJohn'!$G$14))/2000,0)</f>
        <v>0</v>
      </c>
      <c r="HO9" s="5">
        <f>IF($D9="Forage Crop-Genesee Area",($H9*(SUM('ForageCrop-Genesee'!$E$9:$E$16)+'ForageCrop-Genesee'!$G$14))/2000,0)</f>
        <v>0</v>
      </c>
      <c r="HP9" s="5">
        <f>IF($D9="Livestock Grazing",($H9*(SUM(LivestockGrazing!$E$9:$E$16)+LivestockGrazing!$G$14))/2000,0)</f>
        <v>0</v>
      </c>
      <c r="HQ9" s="5">
        <f>IF($D9="SW Winter Wheat after Cereal",($H9*(SUM(SWWinterWheatafterCereal!$E$9:$E$16)+SWWinterWheatafterCereal!$G$16))/2000,0)</f>
        <v>0</v>
      </c>
      <c r="HR9" s="5">
        <f>IF($D9="SW Winter Wheat after Fallow",($H9*(SUM(SWWinterWheatAfterFallow!$E$9:$E$16)+SWWinterWheatAfterFallow!$G$14))/2000,0)</f>
        <v>0</v>
      </c>
      <c r="HS9" s="5">
        <f>IF($D9="Chem-Fallow",($H9*(SUM('Chem-Fallow'!$E$9:$E$16)+'Chem-Fallow'!$G$16))/2000,0)</f>
        <v>0</v>
      </c>
      <c r="HT9" s="5">
        <f>IF($D9="Flex-Fallow",($H9*(SUM('Flex-Fallow'!$E$9:$E$16)+'Flex-Fallow'!$G$16))/2000,0)</f>
        <v>0</v>
      </c>
      <c r="HU9" s="5">
        <f>IF($D9="Spring Barley",($H9*(SUM(SpringBarley!$E$9:$E$16)+SpringBarley!$G$16))/2000,0)</f>
        <v>0</v>
      </c>
      <c r="HV9" s="5">
        <f>IF($D9="Roundup Ready Spring Canola",($H9*(SUM('SpringCanola_R-Ready'!$E$9:$E$16)+'SpringCanola_R-Ready'!$G$14))/2000,0)</f>
        <v>0</v>
      </c>
      <c r="HW9" s="5">
        <f>IF($D9="Spring Canola",($H9*(SUM(SpringCanola!$E$9:$E$16)+SpringCanola!$G$14))/2000,0)</f>
        <v>0</v>
      </c>
      <c r="HX9" s="5">
        <f>IF($D9="Spriing Lentils",($H9*(SUM(SpringLentils!$E$9:$E$16)+SpringLentils!$G$14))/2000,0)</f>
        <v>0</v>
      </c>
      <c r="HY9" s="5">
        <f>IF($D9="SW Spring Wheat",($H9*(SUM(SWSpringWheat!$E$9:$E$16)+SWSpringWheat!$G$18))/2000,0)</f>
        <v>0</v>
      </c>
      <c r="HZ9" s="5">
        <f>IF($D9="HR Winter Wheat",($H9*(SUM(HRWinterWheat!$E$9:$E$16)+HRWinterWheat!$G$16))/2000,0)</f>
        <v>0</v>
      </c>
      <c r="IA9" s="5">
        <f>IF($D9="Winter Pea",($H9*(SUM(WinterPea!$E$9:$E$16)+WinterPea!$G$14))/2000,0)</f>
        <v>0</v>
      </c>
      <c r="IB9" s="5">
        <f>IF($D9="Winter Canola",($H9*(SUM(WinterCanola!$E$9:$E$16)+WinterCanola!$G$14))/2000,0)</f>
        <v>0</v>
      </c>
      <c r="IC9" s="377">
        <f>IF($D9="Forage Crop-Soil Builder Blend",($H9*(SUM(ForageCrop!$E$9:$E$16)+ForageCrop!$G$14))/2000,0)</f>
        <v>0</v>
      </c>
      <c r="ID9" s="5">
        <f>IF($D9="SW Winter Wheat after Spring Legume",$H9*SWWinterWheatAfterSpringLegume!$G$62,0)</f>
        <v>0</v>
      </c>
      <c r="IE9" s="5">
        <f>IF($D9="SW Winter Wheat after Forage Crop",$H9*SWWinterWheatAfterForageCrop!$G$62,0)</f>
        <v>0</v>
      </c>
      <c r="IF9" s="5">
        <f>IF($D9="DN Spring Wheat after Spring Legume",$H9*DNSpringWinterAfterSpringLegume!$G$62,0)</f>
        <v>0</v>
      </c>
      <c r="IG9" s="5">
        <f>IF($D9="DN Spring Wheat after Forage Crop",$H9*DNSpringWheatAfterForageCrop!$G$62,0)</f>
        <v>0</v>
      </c>
      <c r="IH9" s="5">
        <f>IF($D9="DN Spring Wheat after Winter Crop",$H9*DNSpringWheatAfterWinterCrop!$G$62,0)</f>
        <v>0</v>
      </c>
      <c r="II9" s="5">
        <f>IF($D9="Chickpea after Forage Crop",$H9*ChickpeaAfterForageCrop!$G$62,0)</f>
        <v>0</v>
      </c>
      <c r="IJ9" s="5">
        <f>IF($D9="Chickpea after Cereal",$H9*ChickpeaAfterCereal!$G$62,0)</f>
        <v>0</v>
      </c>
      <c r="IK9" s="5">
        <f>IF($D9="Spring Pea after Cereal",$H9*SpringPeaAfterCereal!$G$62,0)</f>
        <v>0</v>
      </c>
      <c r="IL9" s="5">
        <f>IF($D9="Forage Crop-St. John Area",$H9*'ForageCrop-StJohn'!$G$62,0)</f>
        <v>0</v>
      </c>
      <c r="IM9" s="5">
        <f>IF($D9="Forage Crop-Genesee Area",$H9*'ForageCrop-Genesee'!$G$62,0)</f>
        <v>0</v>
      </c>
      <c r="IN9" s="5">
        <f>IF($D9="Livestock Grazing",$H9*LivestockGrazing!$G$62,0)</f>
        <v>0</v>
      </c>
      <c r="IO9" s="5">
        <f>IF($D9="SW Winter Wheat after Cereal",$H9*SWWinterWheatafterCereal!$G$62,0)</f>
        <v>0</v>
      </c>
      <c r="IP9" s="5">
        <f>IF($D9="SW Winter Wheat after Fallow",$H9*SWWinterWheatAfterFallow!$G$62,0)</f>
        <v>0</v>
      </c>
      <c r="IQ9" s="5">
        <f>IF($D9="Chem-Fallow",$H9*'Chem-Fallow'!$G$62,0)</f>
        <v>0</v>
      </c>
      <c r="IR9" s="5">
        <f>IF($D9="Flex-Fallow",$H9*'Flex-Fallow'!$G$62,0)</f>
        <v>0</v>
      </c>
      <c r="IS9" s="5">
        <f>IF($D9="Spring Barley",$H9*SpringBarley!$G$62,0)</f>
        <v>0</v>
      </c>
      <c r="IT9" s="5">
        <f>IF($D9="Roundup Ready Spring Canola",$H9*'SpringCanola_R-Ready'!$G$62,0)</f>
        <v>0</v>
      </c>
      <c r="IU9" s="5">
        <f>IF($D9="Spring Canola",$H9*SpringCanola!$G$62,0)</f>
        <v>0</v>
      </c>
      <c r="IV9" s="5">
        <f>IF($D9="Spriing Lentils",$H9*SpringLentils!$G$62,0)</f>
        <v>0</v>
      </c>
      <c r="IW9" s="5">
        <f>IF($D9="SW Spring Wheat",$H9*SWSpringWheat!$G$62,0)</f>
        <v>0</v>
      </c>
      <c r="IX9" s="5">
        <f>IF($D9="HR Winter Wheat",$H9*HRWinterWheat!$G$62,0)</f>
        <v>0</v>
      </c>
      <c r="IY9" s="5">
        <f>IF($D9="Winter Pea",$H9*WinterPea!$G$62,0)</f>
        <v>0</v>
      </c>
      <c r="IZ9" s="5">
        <f>IF($D9="Winter Canola",$H9*+WinterCanola!$G$62,0)</f>
        <v>0</v>
      </c>
      <c r="JA9" s="5">
        <f>IF($D9="Forage Crop-Soil Builder Blend",$H9*ForageCrop!$G$62,0)</f>
        <v>0</v>
      </c>
      <c r="JB9" s="5">
        <f>IF($D9="SW Winter Wheat after Spring Legume",$H9*SWWinterWheatAfterSpringLegume!$E$4,0)</f>
        <v>0</v>
      </c>
      <c r="JC9" s="5">
        <f>IF($D9="SW Winter Wheat after Forage Crop",$H9*SWWinterWheatAfterForageCrop!$E$4,0)</f>
        <v>0</v>
      </c>
      <c r="JD9" s="5">
        <f>IF($D9="DN Spring Wheat after Spring Legume",$H9*DNSpringWinterAfterSpringLegume!$E$4,0)</f>
        <v>0</v>
      </c>
      <c r="JE9" s="5">
        <f>IF($D9="DN Spring Wheat after Forage Crop",$H9*DNSpringWheatAfterForageCrop!$E$4,0)</f>
        <v>0</v>
      </c>
      <c r="JF9" s="5">
        <f>IF($D9="DN Spring Wheat after Winter Crop",$H9*DNSpringWheatAfterWinterCrop!$E$4,0)</f>
        <v>0</v>
      </c>
      <c r="JG9" s="5">
        <f>IF($D9="Chickpea after Forage Crop",$H9*ChickpeaAfterForageCrop!$E$4,0)</f>
        <v>0</v>
      </c>
      <c r="JH9" s="5">
        <f>IF($D9="Chickpea after Cereal",$H9*ChickpeaAfterCereal!$E$4,0)</f>
        <v>0</v>
      </c>
      <c r="JI9" s="5">
        <f>IF($D9="Spring Pea after Cereal",$H9*SpringPeaAfterCereal!$E$4,0)</f>
        <v>0</v>
      </c>
      <c r="JJ9" s="5">
        <f>IF($D9="Forage Crop-St. John Area",$H9*'ForageCrop-StJohn'!$E$4,0)</f>
        <v>0</v>
      </c>
      <c r="JK9" s="5">
        <f>IF($D9="Forage Crop-Genesee Area",$H9*'ForageCrop-Genesee'!$E$4,0)</f>
        <v>0</v>
      </c>
      <c r="JL9" s="5">
        <f>IF($D9="Livestock Grazing",$H9*LivestockGrazing!$E$4,0)</f>
        <v>0</v>
      </c>
      <c r="JM9" s="5">
        <f>IF($D9="SW Winter Wheat after Cereal",$H9*SWWinterWheatafterCereal!$E$4,0)</f>
        <v>0</v>
      </c>
      <c r="JN9" s="5">
        <f>IF($D9="SW Winter Wheat after Fallow",$H9*SWWinterWheatAfterFallow!$E$4,0)</f>
        <v>0</v>
      </c>
      <c r="JO9" s="5">
        <f>IF($D9="Chem-Fallow",$H9*'Chem-Fallow'!$E$4,0)</f>
        <v>0</v>
      </c>
      <c r="JP9" s="5">
        <f>IF($D9="Flex-Fallow",$H9*'Flex-Fallow'!$E$4,0)</f>
        <v>0</v>
      </c>
      <c r="JQ9" s="5">
        <f>IF($D9="Spring Barley",$H9*SpringBarley!$E$4,0)</f>
        <v>0</v>
      </c>
      <c r="JR9" s="5">
        <f>IF($D9="Roundup Ready Spring Canola",$H9*'SpringCanola_R-Ready'!$E$4,0)</f>
        <v>0</v>
      </c>
      <c r="JS9" s="5">
        <f>IF($D9="Spring Canola",$H9*SpringCanola!$E$4,0)</f>
        <v>0</v>
      </c>
      <c r="JT9" s="5">
        <f>IF($D9="Spriing Lentils",$H9*SpringLentils!$E$4,0)</f>
        <v>0</v>
      </c>
      <c r="JU9" s="5">
        <f>IF($D9="SW Spring Wheat",$H9*SWSpringWheat!$E$4,0)</f>
        <v>0</v>
      </c>
      <c r="JV9" s="5">
        <f>IF($D9="HR Winter Wheat",$H9*HRWinterWheat!$E$4,0)</f>
        <v>0</v>
      </c>
      <c r="JW9" s="5">
        <f>IF($D9="Winter Pea",$H9*WinterPea!$E$4,0)</f>
        <v>0</v>
      </c>
      <c r="JX9" s="5">
        <f>IF($D9="Winter Canola",$H9*+WinterCanola!$E$4,0)</f>
        <v>0</v>
      </c>
      <c r="JY9" s="5">
        <f>IF($D9="Forage Crop-Soil Builder Blend",$H9*ForageCrop!$E$4,0)</f>
        <v>0</v>
      </c>
    </row>
    <row r="10" spans="1:297" s="1" customFormat="1" ht="20" customHeight="1">
      <c r="A10" s="8"/>
      <c r="B10" s="15"/>
      <c r="C10" s="8"/>
      <c r="D10" s="15"/>
      <c r="E10" s="426">
        <f>IF(F10&gt;1,"ERROR",SUM(F5:F9))</f>
        <v>1</v>
      </c>
      <c r="F10" s="355">
        <f>IF(SUM(F5:F9)&gt;1,"ERROR",SUM(F5:F9))</f>
        <v>1</v>
      </c>
      <c r="G10" s="227">
        <f>IF(SUM(G5:G9)&gt;$I$2,"ERROR",SUM(G5:G9))</f>
        <v>2500</v>
      </c>
      <c r="H10" s="358" t="s">
        <v>8</v>
      </c>
      <c r="I10" s="228"/>
      <c r="J10" s="228"/>
      <c r="M10" s="291"/>
      <c r="N10" s="16" t="s">
        <v>101</v>
      </c>
      <c r="O10" s="231">
        <v>73474.997618596186</v>
      </c>
      <c r="P10" s="231">
        <f>SUM('Farm and Rotation Setup'!DN5:EK9)</f>
        <v>60092.10711005026</v>
      </c>
      <c r="Q10" s="232">
        <f t="shared" si="0"/>
        <v>-0.18214210197073594</v>
      </c>
      <c r="R10" s="291"/>
      <c r="S10" s="291"/>
      <c r="T10" s="228"/>
      <c r="V10" s="274" t="s">
        <v>8</v>
      </c>
      <c r="W10" s="274" t="s">
        <v>8</v>
      </c>
      <c r="X10" s="274" t="s">
        <v>8</v>
      </c>
      <c r="Y10" s="274" t="s">
        <v>8</v>
      </c>
      <c r="Z10" s="274" t="s">
        <v>8</v>
      </c>
      <c r="AA10" s="274" t="s">
        <v>8</v>
      </c>
      <c r="AB10" s="274" t="s">
        <v>8</v>
      </c>
      <c r="AC10" s="274" t="s">
        <v>8</v>
      </c>
      <c r="AD10" s="274" t="s">
        <v>8</v>
      </c>
      <c r="AE10" s="274" t="s">
        <v>8</v>
      </c>
      <c r="AF10" s="274" t="s">
        <v>8</v>
      </c>
      <c r="AG10" s="274" t="s">
        <v>8</v>
      </c>
      <c r="AH10" s="274" t="s">
        <v>8</v>
      </c>
      <c r="AI10" s="274" t="s">
        <v>8</v>
      </c>
      <c r="AJ10" s="274" t="s">
        <v>8</v>
      </c>
      <c r="AK10" s="274" t="s">
        <v>8</v>
      </c>
      <c r="AL10" s="274" t="s">
        <v>8</v>
      </c>
      <c r="AM10" s="274" t="s">
        <v>8</v>
      </c>
      <c r="AN10" s="274" t="s">
        <v>8</v>
      </c>
      <c r="AO10" s="274" t="s">
        <v>8</v>
      </c>
      <c r="AP10" s="274" t="s">
        <v>8</v>
      </c>
      <c r="AQ10" s="274" t="s">
        <v>8</v>
      </c>
      <c r="AR10" s="274" t="s">
        <v>8</v>
      </c>
      <c r="AS10" s="417" t="s">
        <v>8</v>
      </c>
      <c r="AT10" s="2"/>
      <c r="AU10" s="274" t="s">
        <v>8</v>
      </c>
      <c r="AV10" s="274" t="s">
        <v>8</v>
      </c>
      <c r="AW10" s="274" t="s">
        <v>8</v>
      </c>
      <c r="AX10" s="274" t="s">
        <v>8</v>
      </c>
      <c r="AY10" s="274" t="s">
        <v>8</v>
      </c>
      <c r="AZ10" s="274" t="s">
        <v>8</v>
      </c>
      <c r="BA10" s="274" t="s">
        <v>8</v>
      </c>
      <c r="BB10" s="274" t="s">
        <v>8</v>
      </c>
      <c r="BC10" s="274" t="s">
        <v>8</v>
      </c>
      <c r="BD10" s="274" t="s">
        <v>8</v>
      </c>
      <c r="BE10" s="276" t="s">
        <v>8</v>
      </c>
      <c r="BF10" s="274" t="s">
        <v>8</v>
      </c>
      <c r="BG10" s="274" t="s">
        <v>8</v>
      </c>
      <c r="BH10" s="274" t="s">
        <v>8</v>
      </c>
      <c r="BI10" s="274" t="s">
        <v>8</v>
      </c>
      <c r="BJ10" s="274" t="s">
        <v>8</v>
      </c>
      <c r="BK10" s="274" t="s">
        <v>8</v>
      </c>
      <c r="BL10" s="274" t="s">
        <v>8</v>
      </c>
      <c r="BM10" s="274" t="s">
        <v>8</v>
      </c>
      <c r="BN10" s="274" t="s">
        <v>8</v>
      </c>
      <c r="BO10" s="274" t="s">
        <v>8</v>
      </c>
      <c r="BP10" s="274" t="s">
        <v>8</v>
      </c>
      <c r="BQ10" s="417" t="s">
        <v>8</v>
      </c>
      <c r="BR10" s="274" t="s">
        <v>8</v>
      </c>
      <c r="BS10" s="274" t="s">
        <v>8</v>
      </c>
      <c r="BT10" s="274" t="s">
        <v>8</v>
      </c>
      <c r="BU10" s="274" t="s">
        <v>8</v>
      </c>
      <c r="BV10" s="274" t="s">
        <v>8</v>
      </c>
      <c r="BW10" s="274" t="s">
        <v>8</v>
      </c>
      <c r="BX10" s="274" t="s">
        <v>8</v>
      </c>
      <c r="BY10" s="274" t="s">
        <v>8</v>
      </c>
      <c r="BZ10" s="274" t="s">
        <v>8</v>
      </c>
      <c r="CA10" s="274" t="s">
        <v>8</v>
      </c>
      <c r="CB10" s="274" t="s">
        <v>8</v>
      </c>
      <c r="CC10" s="274" t="s">
        <v>8</v>
      </c>
      <c r="CD10" s="274" t="s">
        <v>8</v>
      </c>
      <c r="CE10" s="274" t="s">
        <v>8</v>
      </c>
      <c r="CF10" s="274" t="s">
        <v>8</v>
      </c>
      <c r="CG10" s="274" t="s">
        <v>8</v>
      </c>
      <c r="CH10" s="274" t="s">
        <v>8</v>
      </c>
      <c r="CI10" s="274" t="s">
        <v>8</v>
      </c>
      <c r="CJ10" s="274" t="s">
        <v>8</v>
      </c>
      <c r="CK10" s="274" t="s">
        <v>8</v>
      </c>
      <c r="CL10" s="274" t="s">
        <v>8</v>
      </c>
      <c r="CM10" s="274" t="s">
        <v>8</v>
      </c>
      <c r="CN10" s="274" t="s">
        <v>8</v>
      </c>
      <c r="CO10" s="417" t="s">
        <v>8</v>
      </c>
      <c r="CP10" s="274" t="s">
        <v>8</v>
      </c>
      <c r="CQ10" s="274" t="s">
        <v>8</v>
      </c>
      <c r="CR10" s="274" t="s">
        <v>8</v>
      </c>
      <c r="CS10" s="274" t="s">
        <v>8</v>
      </c>
      <c r="CT10" s="274" t="s">
        <v>8</v>
      </c>
      <c r="CU10" s="274" t="s">
        <v>8</v>
      </c>
      <c r="CV10" s="274" t="s">
        <v>8</v>
      </c>
      <c r="CW10" s="274" t="s">
        <v>8</v>
      </c>
      <c r="CX10" s="274" t="s">
        <v>8</v>
      </c>
      <c r="CY10" s="274" t="s">
        <v>8</v>
      </c>
      <c r="CZ10" s="274" t="s">
        <v>8</v>
      </c>
      <c r="DA10" s="274" t="s">
        <v>8</v>
      </c>
      <c r="DB10" s="274" t="s">
        <v>8</v>
      </c>
      <c r="DC10" s="274" t="s">
        <v>8</v>
      </c>
      <c r="DD10" s="274" t="s">
        <v>8</v>
      </c>
      <c r="DE10" s="274" t="s">
        <v>8</v>
      </c>
      <c r="DF10" s="274" t="s">
        <v>8</v>
      </c>
      <c r="DG10" s="274" t="s">
        <v>8</v>
      </c>
      <c r="DH10" s="274" t="s">
        <v>8</v>
      </c>
      <c r="DI10" s="274" t="s">
        <v>8</v>
      </c>
      <c r="DJ10" s="274" t="s">
        <v>8</v>
      </c>
      <c r="DK10" s="274" t="s">
        <v>8</v>
      </c>
      <c r="DL10" s="274" t="s">
        <v>8</v>
      </c>
      <c r="DM10" s="417" t="s">
        <v>8</v>
      </c>
      <c r="DN10" s="5"/>
      <c r="DO10" s="5"/>
      <c r="DP10" s="5"/>
      <c r="DQ10" s="5"/>
      <c r="DR10" s="5"/>
      <c r="DS10" s="5"/>
      <c r="DT10" s="5"/>
      <c r="DU10" s="5"/>
      <c r="DV10" s="5"/>
      <c r="DW10" s="5"/>
      <c r="DX10" s="5"/>
      <c r="DY10" s="5"/>
      <c r="DZ10" s="5"/>
      <c r="EA10" s="5"/>
      <c r="EB10" s="5"/>
      <c r="EC10" s="5"/>
      <c r="ED10" s="5"/>
      <c r="EE10" s="5"/>
      <c r="EF10" s="5"/>
      <c r="EG10" s="5"/>
      <c r="EH10" s="5"/>
      <c r="EI10" s="5"/>
      <c r="EJ10" s="5"/>
      <c r="EK10" s="377"/>
      <c r="EL10" s="274" t="s">
        <v>8</v>
      </c>
      <c r="EM10" s="274" t="s">
        <v>8</v>
      </c>
      <c r="EN10" s="274" t="s">
        <v>8</v>
      </c>
      <c r="EO10" s="274" t="s">
        <v>8</v>
      </c>
      <c r="EP10" s="274" t="s">
        <v>8</v>
      </c>
      <c r="EQ10" s="274" t="s">
        <v>8</v>
      </c>
      <c r="ER10" s="274" t="s">
        <v>8</v>
      </c>
      <c r="ES10" s="274" t="s">
        <v>8</v>
      </c>
      <c r="ET10" s="274" t="s">
        <v>8</v>
      </c>
      <c r="EU10" s="274" t="s">
        <v>8</v>
      </c>
      <c r="EV10" s="274" t="s">
        <v>8</v>
      </c>
      <c r="EW10" s="274" t="s">
        <v>8</v>
      </c>
      <c r="EX10" s="274" t="s">
        <v>8</v>
      </c>
      <c r="EY10" s="274" t="s">
        <v>8</v>
      </c>
      <c r="EZ10" s="274" t="s">
        <v>8</v>
      </c>
      <c r="FA10" s="274" t="s">
        <v>8</v>
      </c>
      <c r="FB10" s="274" t="s">
        <v>8</v>
      </c>
      <c r="FC10" s="274" t="s">
        <v>8</v>
      </c>
      <c r="FD10" s="274" t="s">
        <v>8</v>
      </c>
      <c r="FE10" s="274" t="s">
        <v>8</v>
      </c>
      <c r="FF10" s="274" t="s">
        <v>8</v>
      </c>
      <c r="FG10" s="274" t="s">
        <v>8</v>
      </c>
      <c r="FH10" s="274" t="s">
        <v>8</v>
      </c>
      <c r="FI10" s="417" t="s">
        <v>8</v>
      </c>
      <c r="FJ10" s="274" t="s">
        <v>8</v>
      </c>
      <c r="FK10" s="274" t="s">
        <v>8</v>
      </c>
      <c r="FL10" s="274" t="s">
        <v>8</v>
      </c>
      <c r="FM10" s="274" t="s">
        <v>8</v>
      </c>
      <c r="FN10" s="274" t="s">
        <v>8</v>
      </c>
      <c r="FO10" s="274" t="s">
        <v>8</v>
      </c>
      <c r="FP10" s="274" t="s">
        <v>8</v>
      </c>
      <c r="FQ10" s="274" t="s">
        <v>8</v>
      </c>
      <c r="FR10" s="274" t="s">
        <v>8</v>
      </c>
      <c r="FS10" s="274" t="s">
        <v>8</v>
      </c>
      <c r="FT10" s="274" t="s">
        <v>8</v>
      </c>
      <c r="FU10" s="274" t="s">
        <v>8</v>
      </c>
      <c r="FV10" s="274" t="s">
        <v>8</v>
      </c>
      <c r="FW10" s="274" t="s">
        <v>8</v>
      </c>
      <c r="FX10" s="274" t="s">
        <v>8</v>
      </c>
      <c r="FY10" s="274" t="s">
        <v>8</v>
      </c>
      <c r="FZ10" s="274" t="s">
        <v>8</v>
      </c>
      <c r="GA10" s="274" t="s">
        <v>8</v>
      </c>
      <c r="GB10" s="274" t="s">
        <v>8</v>
      </c>
      <c r="GC10" s="274" t="s">
        <v>8</v>
      </c>
      <c r="GD10" s="274" t="s">
        <v>8</v>
      </c>
      <c r="GE10" s="274" t="s">
        <v>8</v>
      </c>
      <c r="GF10" s="274" t="s">
        <v>8</v>
      </c>
      <c r="GG10" s="417" t="s">
        <v>8</v>
      </c>
      <c r="GH10" s="274" t="s">
        <v>8</v>
      </c>
      <c r="GI10" s="274" t="s">
        <v>8</v>
      </c>
      <c r="GJ10" s="274" t="s">
        <v>8</v>
      </c>
      <c r="GK10" s="274" t="s">
        <v>8</v>
      </c>
      <c r="GL10" s="274" t="s">
        <v>8</v>
      </c>
      <c r="GM10" s="274" t="s">
        <v>8</v>
      </c>
      <c r="GN10" s="274" t="s">
        <v>8</v>
      </c>
      <c r="GO10" s="274" t="s">
        <v>8</v>
      </c>
      <c r="GP10" s="274" t="s">
        <v>8</v>
      </c>
      <c r="GQ10" s="274" t="s">
        <v>8</v>
      </c>
      <c r="GR10" s="274" t="s">
        <v>8</v>
      </c>
      <c r="GS10" s="274" t="s">
        <v>8</v>
      </c>
      <c r="GT10" s="274" t="s">
        <v>8</v>
      </c>
      <c r="GU10" s="274" t="s">
        <v>8</v>
      </c>
      <c r="GV10" s="274" t="s">
        <v>8</v>
      </c>
      <c r="GW10" s="274" t="s">
        <v>8</v>
      </c>
      <c r="GX10" s="274" t="s">
        <v>8</v>
      </c>
      <c r="GY10" s="274" t="s">
        <v>8</v>
      </c>
      <c r="GZ10" s="274" t="s">
        <v>8</v>
      </c>
      <c r="HA10" s="274" t="s">
        <v>8</v>
      </c>
      <c r="HB10" s="274" t="s">
        <v>8</v>
      </c>
      <c r="HC10" s="274" t="s">
        <v>8</v>
      </c>
      <c r="HD10" s="274" t="s">
        <v>8</v>
      </c>
      <c r="HE10" s="417" t="s">
        <v>8</v>
      </c>
      <c r="HF10" s="274"/>
      <c r="HG10" s="274"/>
      <c r="HH10" s="274" t="s">
        <v>8</v>
      </c>
      <c r="HI10" s="274" t="s">
        <v>8</v>
      </c>
      <c r="HJ10" s="274" t="s">
        <v>8</v>
      </c>
      <c r="HK10" s="274" t="s">
        <v>8</v>
      </c>
      <c r="HL10" s="274" t="s">
        <v>8</v>
      </c>
      <c r="HM10" s="274" t="s">
        <v>8</v>
      </c>
      <c r="HN10" s="5"/>
      <c r="HO10" s="5"/>
      <c r="HP10" s="5"/>
      <c r="HQ10" s="278"/>
      <c r="HR10" s="274" t="s">
        <v>8</v>
      </c>
      <c r="HS10" s="274" t="s">
        <v>8</v>
      </c>
      <c r="HT10" s="274" t="s">
        <v>8</v>
      </c>
      <c r="HU10" s="274" t="s">
        <v>8</v>
      </c>
      <c r="HV10" s="274" t="s">
        <v>8</v>
      </c>
      <c r="HW10" s="274" t="s">
        <v>8</v>
      </c>
      <c r="HX10" s="274" t="s">
        <v>8</v>
      </c>
      <c r="HY10" s="274"/>
      <c r="HZ10" s="274" t="s">
        <v>8</v>
      </c>
      <c r="IA10" s="274" t="s">
        <v>8</v>
      </c>
      <c r="IB10" s="274" t="s">
        <v>8</v>
      </c>
      <c r="IC10" s="377"/>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15"/>
      <c r="KA10" s="15"/>
      <c r="KB10" s="15"/>
      <c r="KC10" s="15"/>
      <c r="KD10" s="15"/>
      <c r="KE10" s="15"/>
      <c r="KF10" s="15"/>
      <c r="KG10" s="15"/>
      <c r="KH10" s="15"/>
      <c r="KI10" s="15"/>
      <c r="KJ10" s="15"/>
      <c r="KK10" s="15"/>
    </row>
    <row r="11" spans="1:297" s="1" customFormat="1" ht="20" customHeight="1">
      <c r="A11" s="8"/>
      <c r="B11" s="15"/>
      <c r="C11" s="8"/>
      <c r="D11" s="15"/>
      <c r="E11" s="226"/>
      <c r="F11" s="355"/>
      <c r="G11" s="280"/>
      <c r="H11" s="359"/>
      <c r="I11" s="228"/>
      <c r="J11" s="228"/>
      <c r="M11" s="291"/>
      <c r="N11" s="16"/>
      <c r="O11" s="232"/>
      <c r="P11" s="15"/>
      <c r="Q11" s="232"/>
      <c r="R11" s="291"/>
      <c r="S11" s="291"/>
      <c r="T11" s="228"/>
      <c r="V11" s="5"/>
      <c r="W11" s="274" t="s">
        <v>8</v>
      </c>
      <c r="X11" s="5"/>
      <c r="Y11" s="5"/>
      <c r="Z11" s="5"/>
      <c r="AA11" s="5"/>
      <c r="AB11" s="5"/>
      <c r="AC11" s="5"/>
      <c r="AD11" s="5"/>
      <c r="AE11" s="5"/>
      <c r="AF11" s="5"/>
      <c r="AG11" s="5"/>
      <c r="AH11" s="5"/>
      <c r="AI11" s="5"/>
      <c r="AJ11" s="5"/>
      <c r="AK11" s="5"/>
      <c r="AL11" s="5"/>
      <c r="AM11" s="5"/>
      <c r="AN11" s="5"/>
      <c r="AO11" s="5"/>
      <c r="AP11" s="5"/>
      <c r="AQ11" s="5"/>
      <c r="AR11" s="5"/>
      <c r="AS11" s="377"/>
      <c r="AT11" s="2"/>
      <c r="AU11" s="5"/>
      <c r="AV11" s="5"/>
      <c r="AW11" s="5"/>
      <c r="AX11" s="5"/>
      <c r="AY11" s="5"/>
      <c r="AZ11" s="5"/>
      <c r="BA11" s="5"/>
      <c r="BB11" s="5"/>
      <c r="BC11" s="5"/>
      <c r="BD11" s="5"/>
      <c r="BE11" s="276" t="s">
        <v>8</v>
      </c>
      <c r="BF11" s="5"/>
      <c r="BG11" s="5"/>
      <c r="BH11" s="5"/>
      <c r="BI11" s="5"/>
      <c r="BJ11" s="5"/>
      <c r="BK11" s="5"/>
      <c r="BL11" s="5"/>
      <c r="BM11" s="5"/>
      <c r="BN11" s="5"/>
      <c r="BO11" s="5"/>
      <c r="BP11" s="5"/>
      <c r="BQ11" s="377"/>
      <c r="BR11" s="5"/>
      <c r="BS11" s="5"/>
      <c r="BT11" s="5"/>
      <c r="BU11" s="5"/>
      <c r="BV11" s="5"/>
      <c r="BW11" s="5"/>
      <c r="BX11" s="5"/>
      <c r="BY11" s="5"/>
      <c r="BZ11" s="5"/>
      <c r="CA11" s="5"/>
      <c r="CB11" s="5"/>
      <c r="CC11" s="5"/>
      <c r="CD11" s="5"/>
      <c r="CE11" s="5"/>
      <c r="CF11" s="5"/>
      <c r="CG11" s="5"/>
      <c r="CH11" s="5"/>
      <c r="CI11" s="5"/>
      <c r="CJ11" s="5"/>
      <c r="CK11" s="5"/>
      <c r="CL11" s="5"/>
      <c r="CM11" s="5"/>
      <c r="CN11" s="5"/>
      <c r="CO11" s="377"/>
      <c r="CP11" s="5"/>
      <c r="CQ11" s="5"/>
      <c r="CR11" s="5"/>
      <c r="CS11" s="5"/>
      <c r="CT11" s="5"/>
      <c r="CU11" s="5"/>
      <c r="CV11" s="5"/>
      <c r="CW11" s="5"/>
      <c r="CX11" s="5"/>
      <c r="CY11" s="5"/>
      <c r="CZ11" s="5"/>
      <c r="DA11" s="5"/>
      <c r="DB11" s="5"/>
      <c r="DC11" s="5"/>
      <c r="DD11" s="5"/>
      <c r="DE11" s="5"/>
      <c r="DF11" s="5"/>
      <c r="DG11" s="5"/>
      <c r="DH11" s="5"/>
      <c r="DI11" s="5"/>
      <c r="DJ11" s="5"/>
      <c r="DK11" s="5"/>
      <c r="DL11" s="5"/>
      <c r="DM11" s="377"/>
      <c r="DN11" s="5"/>
      <c r="DO11" s="5"/>
      <c r="DP11" s="5"/>
      <c r="DQ11" s="5"/>
      <c r="DR11" s="5"/>
      <c r="DS11" s="5"/>
      <c r="DT11" s="5"/>
      <c r="DU11" s="5"/>
      <c r="DV11" s="5"/>
      <c r="DW11" s="5"/>
      <c r="DX11" s="5"/>
      <c r="DY11" s="5"/>
      <c r="DZ11" s="5"/>
      <c r="EA11" s="5"/>
      <c r="EB11" s="5"/>
      <c r="EC11" s="5"/>
      <c r="ED11" s="5"/>
      <c r="EE11" s="5"/>
      <c r="EF11" s="5"/>
      <c r="EG11" s="5"/>
      <c r="EH11" s="5"/>
      <c r="EI11" s="5"/>
      <c r="EJ11" s="5"/>
      <c r="EK11" s="377"/>
      <c r="EL11" s="5"/>
      <c r="EM11" s="5"/>
      <c r="EN11" s="5"/>
      <c r="EO11" s="5"/>
      <c r="EP11" s="5"/>
      <c r="EQ11" s="5"/>
      <c r="ER11" s="5"/>
      <c r="ES11" s="5"/>
      <c r="ET11" s="5"/>
      <c r="EU11" s="5"/>
      <c r="EV11" s="5"/>
      <c r="EW11" s="5"/>
      <c r="EX11" s="5"/>
      <c r="EY11" s="5"/>
      <c r="EZ11" s="5"/>
      <c r="FA11" s="5"/>
      <c r="FB11" s="5"/>
      <c r="FC11" s="5"/>
      <c r="FD11" s="5"/>
      <c r="FE11" s="5"/>
      <c r="FF11" s="5"/>
      <c r="FG11" s="5"/>
      <c r="FH11" s="5"/>
      <c r="FI11" s="377"/>
      <c r="FJ11" s="5"/>
      <c r="FK11" s="5"/>
      <c r="FL11" s="5"/>
      <c r="FM11" s="5"/>
      <c r="FN11" s="5"/>
      <c r="FO11" s="5"/>
      <c r="FP11" s="5"/>
      <c r="FQ11" s="5"/>
      <c r="FR11" s="5"/>
      <c r="FS11" s="5"/>
      <c r="FT11" s="5"/>
      <c r="FU11" s="5"/>
      <c r="FV11" s="5"/>
      <c r="FW11" s="5"/>
      <c r="FX11" s="5"/>
      <c r="FY11" s="5"/>
      <c r="FZ11" s="5"/>
      <c r="GA11" s="5"/>
      <c r="GB11" s="5"/>
      <c r="GC11" s="5"/>
      <c r="GD11" s="5"/>
      <c r="GE11" s="5"/>
      <c r="GF11" s="5"/>
      <c r="GG11" s="377"/>
      <c r="GH11" s="5"/>
      <c r="GI11" s="5"/>
      <c r="GJ11" s="5"/>
      <c r="GK11" s="5"/>
      <c r="GL11" s="5"/>
      <c r="GM11" s="5"/>
      <c r="GN11" s="5"/>
      <c r="GO11" s="5"/>
      <c r="GP11" s="5"/>
      <c r="GQ11" s="5"/>
      <c r="GR11" s="5"/>
      <c r="GS11" s="5"/>
      <c r="GT11" s="5"/>
      <c r="GU11" s="5"/>
      <c r="GV11" s="5"/>
      <c r="GW11" s="5"/>
      <c r="GX11" s="5"/>
      <c r="GY11" s="5"/>
      <c r="GZ11" s="5"/>
      <c r="HA11" s="5"/>
      <c r="HB11" s="5"/>
      <c r="HC11" s="5"/>
      <c r="HD11" s="5"/>
      <c r="HE11" s="377"/>
      <c r="HF11" s="5"/>
      <c r="HG11" s="5"/>
      <c r="HH11" s="5"/>
      <c r="HI11" s="5"/>
      <c r="HJ11" s="5"/>
      <c r="HK11" s="5"/>
      <c r="HL11" s="5"/>
      <c r="HM11" s="5"/>
      <c r="HN11" s="5"/>
      <c r="HO11" s="5"/>
      <c r="HP11" s="5"/>
      <c r="HQ11" s="278"/>
      <c r="HR11" s="5"/>
      <c r="HS11" s="5"/>
      <c r="HT11" s="5"/>
      <c r="HU11" s="5"/>
      <c r="HV11" s="5"/>
      <c r="HW11" s="5"/>
      <c r="HX11" s="5"/>
      <c r="HY11" s="5"/>
      <c r="HZ11" s="5"/>
      <c r="IA11" s="5"/>
      <c r="IB11" s="5"/>
      <c r="IC11" s="377"/>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15"/>
      <c r="KA11" s="15"/>
      <c r="KB11" s="15"/>
      <c r="KC11" s="15"/>
      <c r="KD11" s="15"/>
      <c r="KE11" s="15"/>
      <c r="KF11" s="15"/>
      <c r="KG11" s="15"/>
      <c r="KH11" s="15"/>
      <c r="KI11" s="15"/>
      <c r="KJ11" s="15"/>
      <c r="KK11" s="15"/>
    </row>
    <row r="12" spans="1:297" s="1" customFormat="1" ht="20" customHeight="1">
      <c r="A12" s="8"/>
      <c r="B12" s="717" t="s">
        <v>103</v>
      </c>
      <c r="C12" s="719" t="s">
        <v>194</v>
      </c>
      <c r="D12" s="721" t="s">
        <v>195</v>
      </c>
      <c r="E12" s="719" t="s">
        <v>197</v>
      </c>
      <c r="F12" s="621"/>
      <c r="G12" s="723" t="s">
        <v>105</v>
      </c>
      <c r="H12" s="622"/>
      <c r="I12" s="723" t="s">
        <v>104</v>
      </c>
      <c r="J12" s="228"/>
      <c r="M12" s="291"/>
      <c r="N12" s="16"/>
      <c r="O12" s="236"/>
      <c r="P12" s="231"/>
      <c r="Q12" s="232"/>
      <c r="R12" s="291"/>
      <c r="S12" s="291"/>
      <c r="T12" s="228"/>
      <c r="V12" s="5"/>
      <c r="W12" s="5"/>
      <c r="X12" s="5"/>
      <c r="Y12" s="5"/>
      <c r="Z12" s="5"/>
      <c r="AA12" s="5"/>
      <c r="AB12" s="5"/>
      <c r="AC12" s="5"/>
      <c r="AD12" s="5"/>
      <c r="AE12" s="5"/>
      <c r="AF12" s="5"/>
      <c r="AG12" s="5"/>
      <c r="AH12" s="5"/>
      <c r="AI12" s="5"/>
      <c r="AJ12" s="5"/>
      <c r="AK12" s="5"/>
      <c r="AL12" s="5"/>
      <c r="AM12" s="5"/>
      <c r="AN12" s="5"/>
      <c r="AO12" s="5"/>
      <c r="AP12" s="5"/>
      <c r="AQ12" s="5"/>
      <c r="AR12" s="5"/>
      <c r="AS12" s="377"/>
      <c r="AT12" s="2"/>
      <c r="AU12" s="5"/>
      <c r="AV12" s="5"/>
      <c r="AW12" s="5"/>
      <c r="AX12" s="5"/>
      <c r="AY12" s="5"/>
      <c r="AZ12" s="5"/>
      <c r="BA12" s="5"/>
      <c r="BB12" s="5"/>
      <c r="BC12" s="5"/>
      <c r="BD12" s="5"/>
      <c r="BE12" s="276" t="s">
        <v>8</v>
      </c>
      <c r="BF12" s="5"/>
      <c r="BG12" s="5"/>
      <c r="BH12" s="5"/>
      <c r="BI12" s="5"/>
      <c r="BJ12" s="5"/>
      <c r="BK12" s="5"/>
      <c r="BL12" s="5"/>
      <c r="BM12" s="5"/>
      <c r="BN12" s="5"/>
      <c r="BO12" s="5"/>
      <c r="BP12" s="5"/>
      <c r="BQ12" s="377"/>
      <c r="BR12" s="5"/>
      <c r="BS12" s="5"/>
      <c r="BT12" s="5"/>
      <c r="BU12" s="5"/>
      <c r="BV12" s="5"/>
      <c r="BW12" s="5"/>
      <c r="BX12" s="5"/>
      <c r="BY12" s="5"/>
      <c r="BZ12" s="5"/>
      <c r="CA12" s="5"/>
      <c r="CB12" s="5"/>
      <c r="CC12" s="5"/>
      <c r="CD12" s="5"/>
      <c r="CE12" s="5"/>
      <c r="CF12" s="5"/>
      <c r="CG12" s="5"/>
      <c r="CH12" s="5"/>
      <c r="CI12" s="5"/>
      <c r="CJ12" s="5"/>
      <c r="CK12" s="5"/>
      <c r="CL12" s="5"/>
      <c r="CM12" s="5"/>
      <c r="CN12" s="5"/>
      <c r="CO12" s="377"/>
      <c r="CP12" s="5"/>
      <c r="CQ12" s="5"/>
      <c r="CR12" s="5"/>
      <c r="CS12" s="5"/>
      <c r="CT12" s="5"/>
      <c r="CU12" s="5"/>
      <c r="CV12" s="5"/>
      <c r="CW12" s="5"/>
      <c r="CX12" s="5"/>
      <c r="CY12" s="5"/>
      <c r="CZ12" s="5"/>
      <c r="DA12" s="5"/>
      <c r="DB12" s="5"/>
      <c r="DC12" s="5"/>
      <c r="DD12" s="5"/>
      <c r="DE12" s="5"/>
      <c r="DF12" s="5"/>
      <c r="DG12" s="5"/>
      <c r="DH12" s="5"/>
      <c r="DI12" s="5"/>
      <c r="DJ12" s="5"/>
      <c r="DK12" s="5"/>
      <c r="DL12" s="5"/>
      <c r="DM12" s="377"/>
      <c r="DN12" s="5"/>
      <c r="DO12" s="5"/>
      <c r="DP12" s="5"/>
      <c r="DQ12" s="5"/>
      <c r="DR12" s="5"/>
      <c r="DS12" s="5"/>
      <c r="DT12" s="5"/>
      <c r="DU12" s="5"/>
      <c r="DV12" s="5"/>
      <c r="DW12" s="5"/>
      <c r="DX12" s="5"/>
      <c r="DY12" s="5"/>
      <c r="DZ12" s="5"/>
      <c r="EA12" s="5"/>
      <c r="EB12" s="5"/>
      <c r="EC12" s="5"/>
      <c r="ED12" s="5"/>
      <c r="EE12" s="5"/>
      <c r="EF12" s="5"/>
      <c r="EG12" s="5"/>
      <c r="EH12" s="5"/>
      <c r="EI12" s="5"/>
      <c r="EJ12" s="5"/>
      <c r="EK12" s="377"/>
      <c r="EL12" s="5"/>
      <c r="EM12" s="5"/>
      <c r="EN12" s="5"/>
      <c r="EO12" s="5"/>
      <c r="EP12" s="5"/>
      <c r="EQ12" s="5"/>
      <c r="ER12" s="5"/>
      <c r="ES12" s="5"/>
      <c r="ET12" s="5"/>
      <c r="EU12" s="5"/>
      <c r="EV12" s="5"/>
      <c r="EW12" s="5"/>
      <c r="EX12" s="5"/>
      <c r="EY12" s="5"/>
      <c r="EZ12" s="5"/>
      <c r="FA12" s="5"/>
      <c r="FB12" s="5"/>
      <c r="FC12" s="5"/>
      <c r="FD12" s="5"/>
      <c r="FE12" s="5"/>
      <c r="FF12" s="5"/>
      <c r="FG12" s="5"/>
      <c r="FH12" s="5"/>
      <c r="FI12" s="377"/>
      <c r="FJ12" s="5"/>
      <c r="FK12" s="5"/>
      <c r="FL12" s="5"/>
      <c r="FM12" s="5"/>
      <c r="FN12" s="5"/>
      <c r="FO12" s="5"/>
      <c r="FP12" s="5"/>
      <c r="FQ12" s="5"/>
      <c r="FR12" s="5"/>
      <c r="FS12" s="5"/>
      <c r="FT12" s="5"/>
      <c r="FU12" s="5"/>
      <c r="FV12" s="5"/>
      <c r="FW12" s="5"/>
      <c r="FX12" s="5"/>
      <c r="FY12" s="5"/>
      <c r="FZ12" s="5"/>
      <c r="GA12" s="5"/>
      <c r="GB12" s="5"/>
      <c r="GC12" s="5"/>
      <c r="GD12" s="5"/>
      <c r="GE12" s="5"/>
      <c r="GF12" s="5"/>
      <c r="GG12" s="377"/>
      <c r="GH12" s="5"/>
      <c r="GI12" s="5"/>
      <c r="GJ12" s="5"/>
      <c r="GK12" s="5"/>
      <c r="GL12" s="5"/>
      <c r="GM12" s="5"/>
      <c r="GN12" s="5"/>
      <c r="GO12" s="5"/>
      <c r="GP12" s="5"/>
      <c r="GQ12" s="5"/>
      <c r="GR12" s="5"/>
      <c r="GS12" s="5"/>
      <c r="GT12" s="5"/>
      <c r="GU12" s="5"/>
      <c r="GV12" s="5"/>
      <c r="GW12" s="5"/>
      <c r="GX12" s="5"/>
      <c r="GY12" s="5"/>
      <c r="GZ12" s="5"/>
      <c r="HA12" s="5"/>
      <c r="HB12" s="5"/>
      <c r="HC12" s="5"/>
      <c r="HD12" s="5"/>
      <c r="HE12" s="377"/>
      <c r="HF12" s="5"/>
      <c r="HG12" s="5"/>
      <c r="HH12" s="5"/>
      <c r="HI12" s="5"/>
      <c r="HJ12" s="5"/>
      <c r="HK12" s="5"/>
      <c r="HL12" s="5"/>
      <c r="HM12" s="5"/>
      <c r="HN12" s="5"/>
      <c r="HO12" s="5"/>
      <c r="HP12" s="5"/>
      <c r="HQ12" s="278"/>
      <c r="HR12" s="5"/>
      <c r="HS12" s="5"/>
      <c r="HT12" s="5"/>
      <c r="HU12" s="5"/>
      <c r="HV12" s="5"/>
      <c r="HW12" s="5"/>
      <c r="HX12" s="5"/>
      <c r="HY12" s="5"/>
      <c r="HZ12" s="5"/>
      <c r="IA12" s="5"/>
      <c r="IB12" s="5"/>
      <c r="IC12" s="377"/>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15"/>
      <c r="KA12" s="15"/>
      <c r="KB12" s="15"/>
      <c r="KC12" s="15"/>
      <c r="KD12" s="15"/>
      <c r="KE12" s="15"/>
      <c r="KF12" s="15"/>
      <c r="KG12" s="15"/>
      <c r="KH12" s="15"/>
      <c r="KI12" s="15"/>
      <c r="KJ12" s="15"/>
      <c r="KK12" s="15"/>
    </row>
    <row r="13" spans="1:297" s="1" customFormat="1" ht="20" customHeight="1">
      <c r="A13" s="8"/>
      <c r="B13" s="718"/>
      <c r="C13" s="720"/>
      <c r="D13" s="722"/>
      <c r="E13" s="720"/>
      <c r="F13" s="623"/>
      <c r="G13" s="724"/>
      <c r="H13" s="624"/>
      <c r="I13" s="724"/>
      <c r="J13" s="228"/>
      <c r="M13" s="291"/>
      <c r="N13" s="16"/>
      <c r="O13" s="236"/>
      <c r="P13" s="231"/>
      <c r="Q13" s="232"/>
      <c r="R13" s="291"/>
      <c r="S13" s="291"/>
      <c r="T13" s="228"/>
      <c r="V13" s="5"/>
      <c r="W13" s="5"/>
      <c r="X13" s="5"/>
      <c r="Y13" s="5"/>
      <c r="Z13" s="5"/>
      <c r="AA13" s="5"/>
      <c r="AB13" s="5"/>
      <c r="AC13" s="5"/>
      <c r="AD13" s="5"/>
      <c r="AE13" s="5"/>
      <c r="AF13" s="5"/>
      <c r="AG13" s="5"/>
      <c r="AH13" s="5"/>
      <c r="AI13" s="5"/>
      <c r="AJ13" s="5"/>
      <c r="AK13" s="5"/>
      <c r="AL13" s="5"/>
      <c r="AM13" s="5"/>
      <c r="AN13" s="5"/>
      <c r="AO13" s="5"/>
      <c r="AP13" s="5"/>
      <c r="AQ13" s="5"/>
      <c r="AR13" s="5"/>
      <c r="AS13" s="377"/>
      <c r="AT13" s="2"/>
      <c r="AU13" s="5"/>
      <c r="AV13" s="5"/>
      <c r="AW13" s="5"/>
      <c r="AX13" s="5"/>
      <c r="AY13" s="5"/>
      <c r="AZ13" s="5"/>
      <c r="BA13" s="5"/>
      <c r="BB13" s="5"/>
      <c r="BC13" s="5"/>
      <c r="BD13" s="5"/>
      <c r="BE13" s="276" t="s">
        <v>8</v>
      </c>
      <c r="BF13" s="5"/>
      <c r="BG13" s="5"/>
      <c r="BH13" s="5"/>
      <c r="BI13" s="5"/>
      <c r="BJ13" s="5"/>
      <c r="BK13" s="5"/>
      <c r="BL13" s="5"/>
      <c r="BM13" s="5"/>
      <c r="BN13" s="5"/>
      <c r="BO13" s="5"/>
      <c r="BP13" s="5"/>
      <c r="BQ13" s="377"/>
      <c r="BR13" s="5"/>
      <c r="BS13" s="5"/>
      <c r="BT13" s="5"/>
      <c r="BU13" s="5"/>
      <c r="BV13" s="5"/>
      <c r="BW13" s="5"/>
      <c r="BX13" s="5"/>
      <c r="BY13" s="5"/>
      <c r="BZ13" s="5"/>
      <c r="CA13" s="5"/>
      <c r="CB13" s="5"/>
      <c r="CC13" s="5"/>
      <c r="CD13" s="5"/>
      <c r="CE13" s="5"/>
      <c r="CF13" s="5"/>
      <c r="CG13" s="5"/>
      <c r="CH13" s="5"/>
      <c r="CI13" s="5"/>
      <c r="CJ13" s="5"/>
      <c r="CK13" s="5"/>
      <c r="CL13" s="5"/>
      <c r="CM13" s="5"/>
      <c r="CN13" s="5"/>
      <c r="CO13" s="377"/>
      <c r="CP13" s="5"/>
      <c r="CQ13" s="5"/>
      <c r="CR13" s="5"/>
      <c r="CS13" s="5"/>
      <c r="CT13" s="5"/>
      <c r="CU13" s="5"/>
      <c r="CV13" s="5"/>
      <c r="CW13" s="5"/>
      <c r="CX13" s="5"/>
      <c r="CY13" s="5"/>
      <c r="CZ13" s="5"/>
      <c r="DA13" s="5"/>
      <c r="DB13" s="5"/>
      <c r="DC13" s="5"/>
      <c r="DD13" s="5"/>
      <c r="DE13" s="5"/>
      <c r="DF13" s="5"/>
      <c r="DG13" s="5"/>
      <c r="DH13" s="5"/>
      <c r="DI13" s="5"/>
      <c r="DJ13" s="5"/>
      <c r="DK13" s="5"/>
      <c r="DL13" s="5"/>
      <c r="DM13" s="377"/>
      <c r="DN13" s="5"/>
      <c r="DO13" s="5"/>
      <c r="DP13" s="5"/>
      <c r="DQ13" s="5"/>
      <c r="DR13" s="5"/>
      <c r="DS13" s="5"/>
      <c r="DT13" s="5"/>
      <c r="DU13" s="5"/>
      <c r="DV13" s="5"/>
      <c r="DW13" s="5"/>
      <c r="DX13" s="5"/>
      <c r="DY13" s="5"/>
      <c r="DZ13" s="5"/>
      <c r="EA13" s="5"/>
      <c r="EB13" s="5"/>
      <c r="EC13" s="5"/>
      <c r="ED13" s="5"/>
      <c r="EE13" s="5"/>
      <c r="EF13" s="5"/>
      <c r="EG13" s="5"/>
      <c r="EH13" s="5"/>
      <c r="EI13" s="5"/>
      <c r="EJ13" s="5"/>
      <c r="EK13" s="377"/>
      <c r="EL13" s="5"/>
      <c r="EM13" s="5"/>
      <c r="EN13" s="5"/>
      <c r="EO13" s="5"/>
      <c r="EP13" s="5"/>
      <c r="EQ13" s="5"/>
      <c r="ER13" s="5"/>
      <c r="ES13" s="5"/>
      <c r="ET13" s="5"/>
      <c r="EU13" s="5"/>
      <c r="EV13" s="5"/>
      <c r="EW13" s="5"/>
      <c r="EX13" s="5"/>
      <c r="EY13" s="5"/>
      <c r="EZ13" s="5"/>
      <c r="FA13" s="5"/>
      <c r="FB13" s="5"/>
      <c r="FC13" s="5"/>
      <c r="FD13" s="5"/>
      <c r="FE13" s="5"/>
      <c r="FF13" s="5"/>
      <c r="FG13" s="5"/>
      <c r="FH13" s="5"/>
      <c r="FI13" s="377"/>
      <c r="FJ13" s="5"/>
      <c r="FK13" s="5"/>
      <c r="FL13" s="5"/>
      <c r="FM13" s="5"/>
      <c r="FN13" s="5"/>
      <c r="FO13" s="5"/>
      <c r="FP13" s="5"/>
      <c r="FQ13" s="5"/>
      <c r="FR13" s="5"/>
      <c r="FS13" s="5"/>
      <c r="FT13" s="5"/>
      <c r="FU13" s="5"/>
      <c r="FV13" s="5"/>
      <c r="FW13" s="5"/>
      <c r="FX13" s="5"/>
      <c r="FY13" s="5"/>
      <c r="FZ13" s="5"/>
      <c r="GA13" s="5"/>
      <c r="GB13" s="5"/>
      <c r="GC13" s="5"/>
      <c r="GD13" s="5"/>
      <c r="GE13" s="5"/>
      <c r="GF13" s="5"/>
      <c r="GG13" s="377"/>
      <c r="GH13" s="5"/>
      <c r="GI13" s="5"/>
      <c r="GJ13" s="5"/>
      <c r="GK13" s="5"/>
      <c r="GL13" s="5"/>
      <c r="GM13" s="5"/>
      <c r="GN13" s="5"/>
      <c r="GO13" s="5"/>
      <c r="GP13" s="5"/>
      <c r="GQ13" s="5"/>
      <c r="GR13" s="5"/>
      <c r="GS13" s="5"/>
      <c r="GT13" s="5"/>
      <c r="GU13" s="5"/>
      <c r="GV13" s="5"/>
      <c r="GW13" s="5"/>
      <c r="GX13" s="5"/>
      <c r="GY13" s="5"/>
      <c r="GZ13" s="5"/>
      <c r="HA13" s="5"/>
      <c r="HB13" s="5"/>
      <c r="HC13" s="5"/>
      <c r="HD13" s="5"/>
      <c r="HE13" s="377"/>
      <c r="HF13" s="5"/>
      <c r="HG13" s="5"/>
      <c r="HH13" s="5"/>
      <c r="HI13" s="5"/>
      <c r="HJ13" s="5"/>
      <c r="HK13" s="5"/>
      <c r="HL13" s="5"/>
      <c r="HM13" s="5"/>
      <c r="HN13" s="5"/>
      <c r="HO13" s="5"/>
      <c r="HP13" s="5"/>
      <c r="HQ13" s="278"/>
      <c r="HR13" s="5"/>
      <c r="HS13" s="5"/>
      <c r="HT13" s="5"/>
      <c r="HU13" s="5"/>
      <c r="HV13" s="5"/>
      <c r="HW13" s="5"/>
      <c r="HX13" s="5"/>
      <c r="HY13" s="5"/>
      <c r="HZ13" s="5"/>
      <c r="IA13" s="5"/>
      <c r="IB13" s="5"/>
      <c r="IC13" s="377"/>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15"/>
      <c r="KA13" s="15"/>
      <c r="KB13" s="15"/>
      <c r="KC13" s="15"/>
      <c r="KD13" s="15"/>
      <c r="KE13" s="15"/>
      <c r="KF13" s="15"/>
      <c r="KG13" s="15"/>
      <c r="KH13" s="15"/>
      <c r="KI13" s="15"/>
      <c r="KJ13" s="15"/>
      <c r="KK13" s="15"/>
    </row>
    <row r="14" spans="1:297" ht="20" customHeight="1">
      <c r="A14" s="8"/>
      <c r="B14" s="700" t="s">
        <v>143</v>
      </c>
      <c r="C14" s="625">
        <v>1</v>
      </c>
      <c r="D14" s="626" t="s">
        <v>374</v>
      </c>
      <c r="E14" s="627">
        <v>0.45</v>
      </c>
      <c r="F14" s="628">
        <f>IF(D14="Livestock Grazing",0,E14)</f>
        <v>0.45</v>
      </c>
      <c r="G14" s="629">
        <f>IF(D14="Livestock Grazing",0,$I$2*E14)</f>
        <v>1125</v>
      </c>
      <c r="H14" s="630">
        <f>$I$2*E14</f>
        <v>1125</v>
      </c>
      <c r="I14" s="631">
        <f>SUM(AT14:BQ14)</f>
        <v>816.49464571128692</v>
      </c>
      <c r="J14" s="228"/>
      <c r="M14" s="147"/>
      <c r="N14" s="15"/>
      <c r="O14" s="15"/>
      <c r="P14" s="15"/>
      <c r="Q14" s="15"/>
      <c r="R14" s="147"/>
      <c r="S14" s="147"/>
      <c r="T14" s="228"/>
      <c r="V14" s="5">
        <f>IF($D14="SW Winter Wheat after Spring Legume",$H14,0)</f>
        <v>1125</v>
      </c>
      <c r="W14" s="5">
        <f>IF($D14="SW Winter Wheat after Forage Crop",$H14,0)</f>
        <v>0</v>
      </c>
      <c r="X14" s="5">
        <f>IF($D14="DN Spring Wheat after Spring Legume",$H14,0)</f>
        <v>0</v>
      </c>
      <c r="Y14" s="5">
        <f>IF($D14="DN Spring Wheat after Forage Crop",$H14,0)</f>
        <v>0</v>
      </c>
      <c r="Z14" s="5">
        <f>IF($D14="DN Spring Wheat after Winter Crop",$H14,0)</f>
        <v>0</v>
      </c>
      <c r="AA14" s="5">
        <f>IF($D14="Chickpea after Forage Crop",$H14,0)</f>
        <v>0</v>
      </c>
      <c r="AB14" s="5">
        <f>IF($D14="Chickpea after Cereal",$H14,0)</f>
        <v>0</v>
      </c>
      <c r="AC14" s="5">
        <f>IF($D14="Spring Pea after Cereal",$H14,0)</f>
        <v>0</v>
      </c>
      <c r="AD14" s="5">
        <f>IF($D14="Forage Crop-St. John Area",$H14,0)</f>
        <v>0</v>
      </c>
      <c r="AE14" s="5">
        <f>IF($D14="Forage Crop-Genesee Area",$H14,0)</f>
        <v>0</v>
      </c>
      <c r="AF14" s="5">
        <f>IF($D14="Livestock Grazing",$H14,0)</f>
        <v>0</v>
      </c>
      <c r="AG14" s="5">
        <f>IF($D14="SW Winter Wheat after Cereal",$H14,0)</f>
        <v>0</v>
      </c>
      <c r="AH14" s="5">
        <f>IF($D14="SW Winter Wheat after Fallow",$H14,0)</f>
        <v>0</v>
      </c>
      <c r="AI14" s="5">
        <f>IF($D14="Chem-Fallow",$H14,0)</f>
        <v>0</v>
      </c>
      <c r="AJ14" s="5">
        <f>IF($D14="Flex-Fallow",$H14,0)</f>
        <v>0</v>
      </c>
      <c r="AK14" s="5">
        <f>IF($D14="Spring Barley",$H14,0)</f>
        <v>0</v>
      </c>
      <c r="AL14" s="5">
        <f>IF($D14="Roundup Ready Spring Canola",$H14,0)</f>
        <v>0</v>
      </c>
      <c r="AM14" s="5">
        <f>IF($D14="Spring Canola",$H14,0)</f>
        <v>0</v>
      </c>
      <c r="AN14" s="5">
        <f>IF($D14="Spring Lentils",$H14,0)</f>
        <v>0</v>
      </c>
      <c r="AO14" s="5">
        <f>IF($D14="SW Spring Wheat",$H14,0)</f>
        <v>0</v>
      </c>
      <c r="AP14" s="5">
        <f>IF($D14="HR Winter Wheat",$H14,0)</f>
        <v>0</v>
      </c>
      <c r="AQ14" s="5">
        <f>IF($D14="Winter Pea",$H14,0)</f>
        <v>0</v>
      </c>
      <c r="AR14" s="5">
        <f>IF($D14="Winter Canola",$H14,0)</f>
        <v>0</v>
      </c>
      <c r="AS14" s="377">
        <f>IF($D14="Forage Crop-Soil Builder Blend",$H14,0)</f>
        <v>0</v>
      </c>
      <c r="AT14" s="5">
        <f>IF($D14="SW Winter Wheat after Spring Legume",SWWinterWheatAfterSpringLegume!$H$138,0)</f>
        <v>816.49464571128692</v>
      </c>
      <c r="AU14" s="5">
        <f>IF($D14="SW Winter Wheat after Forage Crop",SWWinterWheatAfterForageCrop!$H$138,0)</f>
        <v>0</v>
      </c>
      <c r="AV14" s="5">
        <f>IF($D14="DN Spring Wheat after Spring Legume",DNSpringWinterAfterSpringLegume!$H$138,0)</f>
        <v>0</v>
      </c>
      <c r="AW14" s="5">
        <f>IF($D14="DN Spring Wheat after Forage Crop",DNSpringWheatAfterForageCrop!$H$138,0)</f>
        <v>0</v>
      </c>
      <c r="AX14" s="5">
        <f>IF($D14="DN Spring Wheat after Winter Crop",DNSpringWheatAfterWinterCrop!$H$138,0)</f>
        <v>0</v>
      </c>
      <c r="AY14" s="5">
        <f>IF($D14="Chickpea after Forage Crop",ChickpeaAfterForageCrop!$H$138,0)</f>
        <v>0</v>
      </c>
      <c r="AZ14" s="5">
        <f>IF($D14="Chickpea after Cereal",ChickpeaAfterCereal!$H$138,0)</f>
        <v>0</v>
      </c>
      <c r="BA14" s="5">
        <f>IF($D14="Spring Pea after Cereal",SpringPeaAfterCereal!$H$138,0)</f>
        <v>0</v>
      </c>
      <c r="BB14" s="5">
        <f>IF($D14="Forage Crop-St. John Area",'ForageCrop-StJohn'!$H$138,0)</f>
        <v>0</v>
      </c>
      <c r="BC14" s="5">
        <f>IF($D14="Forage Crop-Genesee Area",'ForageCrop-Genesee'!$H$138,0)</f>
        <v>0</v>
      </c>
      <c r="BD14" s="5">
        <f>IF($D14="Livestock Grazing",LivestockGrazing!$H$138,0)</f>
        <v>0</v>
      </c>
      <c r="BE14" s="5">
        <f>IF($D14="SW Winter Wheat after Cereal",SWWinterWheatafterCereal!$H$138,0)</f>
        <v>0</v>
      </c>
      <c r="BF14" s="5">
        <f>IF($D14="SW Winter Wheat after Fallow",SWWinterWheatAfterFallow!$H$138,0)</f>
        <v>0</v>
      </c>
      <c r="BG14" s="5">
        <f>IF($D14="Chem-Fallow",'Chem-Fallow'!$H$138,0)</f>
        <v>0</v>
      </c>
      <c r="BH14" s="5">
        <f>IF($D14="Flex-Fallow",'Flex-Fallow'!$H$138,0)</f>
        <v>0</v>
      </c>
      <c r="BI14" s="5">
        <f>IF($D14="Spring Barley",SpringBarley!$H$138,0)</f>
        <v>0</v>
      </c>
      <c r="BJ14" s="5">
        <f>IF($D14="Roundup Ready Spring Canola",'SpringCanola_R-Ready'!$H$138,0)</f>
        <v>0</v>
      </c>
      <c r="BK14" s="5">
        <f>IF($D14="Spring Canola",SpringCanola!$H$138,0)</f>
        <v>0</v>
      </c>
      <c r="BL14" s="5">
        <f>IF($D14="Spring Lentils",SpringLentils!$H$138,0)</f>
        <v>0</v>
      </c>
      <c r="BM14" s="5">
        <f>IF($D14="SW Spring Wheat",SWSpringWheat!$H$138,0)</f>
        <v>0</v>
      </c>
      <c r="BN14" s="5">
        <f>IF($D14="HR Winter Wheat",HRWinterWheat!$H$138,0)</f>
        <v>0</v>
      </c>
      <c r="BO14" s="5">
        <f>IF($D14="Winter Pea",WinterPea!$H$138,0)</f>
        <v>0</v>
      </c>
      <c r="BP14" s="5">
        <f>IF($D14="Winter Canola",WinterCanola!$H$138,0)</f>
        <v>0</v>
      </c>
      <c r="BQ14" s="377">
        <f>IF($D14="Forage Crop-Soil Builder Blend",ForageCrop!$H$138,0)</f>
        <v>0</v>
      </c>
      <c r="BR14" s="5">
        <f>IF($D14="SW Winter Wheat after Spring Legume",H14*SWWinterWheatAfterSpringLegume!$H$138,0)</f>
        <v>918556.47642519779</v>
      </c>
      <c r="BS14" s="5">
        <f>IF($D14="SW Winter Wheat after Forage Crop",H14*SWWinterWheatAfterForageCrop!$H$138,0)</f>
        <v>0</v>
      </c>
      <c r="BT14" s="5">
        <f>IF($D14="DN Spring Wheat after Spring Legume",H14*DNSpringWinterAfterSpringLegume!$H$138,0)</f>
        <v>0</v>
      </c>
      <c r="BU14" s="5">
        <f>IF($D14="DN Spring Wheat after Forage Crop",H14*DNSpringWheatAfterForageCrop!$H$138,0)</f>
        <v>0</v>
      </c>
      <c r="BV14" s="5">
        <f>IF($D14="DN Spring Wheat after Winter Crop",H14*DNSpringWheatAfterWinterCrop!$H$138,0)</f>
        <v>0</v>
      </c>
      <c r="BW14" s="5">
        <f>IF($D14="Chickpea after Forage Crop",H14*ChickpeaAfterForageCrop!$H$138,0)</f>
        <v>0</v>
      </c>
      <c r="BX14" s="5">
        <f>IF($D14="Chickpea after Cereal",H14*ChickpeaAfterCereal!$H$138,0)</f>
        <v>0</v>
      </c>
      <c r="BY14" s="5">
        <f>IF($D14="Spring Pea after Cereal",H14*SpringPeaAfterCereal!$H$138,0)</f>
        <v>0</v>
      </c>
      <c r="BZ14" s="5">
        <f>IF($D14="Forage Crop-St. John Area",H14*'ForageCrop-StJohn'!$H$138,0)</f>
        <v>0</v>
      </c>
      <c r="CA14" s="5">
        <f>IF($D14="Forage Crop-Genesee Area",H14*'ForageCrop-Genesee'!$H$138,0)</f>
        <v>0</v>
      </c>
      <c r="CB14" s="5">
        <f>IF($D14="Livestock Grazing",H14*LivestockGrazing!$H$138,0)</f>
        <v>0</v>
      </c>
      <c r="CC14" s="5">
        <f>IF($D14="SW Winter Wheat after Cereal",H14*SWWinterWheatafterCereal!$H$138,0)</f>
        <v>0</v>
      </c>
      <c r="CD14" s="5">
        <f>IF($D14="SW Winter Wheat after Fallow",H14*SWWinterWheatAfterFallow!$H$138,0)</f>
        <v>0</v>
      </c>
      <c r="CE14" s="5">
        <f>IF($D14="Chem-Fallow",H14*'Chem-Fallow'!$H$138,0)</f>
        <v>0</v>
      </c>
      <c r="CF14" s="5">
        <f>IF($D14="Flex-Fallow",H14*'Flex-Fallow'!$H$138,0)</f>
        <v>0</v>
      </c>
      <c r="CG14" s="5">
        <f>IF($D14="Spring Barley",H14*SpringBarley!$H$138,0)</f>
        <v>0</v>
      </c>
      <c r="CH14" s="5">
        <f>IF($D14="Roundup Ready Spring Canola",H14*'SpringCanola_R-Ready'!$H$138,0)</f>
        <v>0</v>
      </c>
      <c r="CI14" s="5">
        <f>IF($D14="Spring Canola",H14*SpringCanola!$H$138,0)</f>
        <v>0</v>
      </c>
      <c r="CJ14" s="5">
        <f>IF($D14="Spring Lentils",H14*SpringLentils!$H$138,0)</f>
        <v>0</v>
      </c>
      <c r="CK14" s="5">
        <f>IF($D14="SW Spring Wheat",H14*SWSpringWheat!$H$138,0)</f>
        <v>0</v>
      </c>
      <c r="CL14" s="5">
        <f>IF($D14="HR Winter Wheat",H14*HRWinterWheat!$H$138,0)</f>
        <v>0</v>
      </c>
      <c r="CM14" s="5">
        <f>IF($D14="Winter Pea",H14*WinterPea!$H$138,0)</f>
        <v>0</v>
      </c>
      <c r="CN14" s="5">
        <f>IF($D14="Winter Canola",H14*WinterCanola!$H$138,0)</f>
        <v>0</v>
      </c>
      <c r="CO14" s="377">
        <f>IF($D14="Forage Crop-Soil Builder Blend",H14*ForageCrop!$H$138,0)</f>
        <v>0</v>
      </c>
      <c r="CP14" s="5">
        <f>IF($D14="SW Winter Wheat after Spring Legume",H14*'Prices_Yields&amp;SeedInputs'!J$5,0)</f>
        <v>101250</v>
      </c>
      <c r="CQ14" s="5">
        <f>IF($D14="SW Winter Wheat after Forage Crop",H14*'Prices_Yields&amp;SeedInputs'!J$6,0)</f>
        <v>0</v>
      </c>
      <c r="CR14" s="5">
        <f>IF($D14="DN Spring Wheat after Spring Legume",H14*'Prices_Yields&amp;SeedInputs'!J$7,0)</f>
        <v>0</v>
      </c>
      <c r="CS14" s="5">
        <f>IF($D14="DN Spring Wheat after Forage Crop",H14*'Prices_Yields&amp;SeedInputs'!J$8,0)</f>
        <v>0</v>
      </c>
      <c r="CT14" s="5">
        <f>IF($D14="DN Spring Wheat after Winter Crop",H14*'Prices_Yields&amp;SeedInputs'!J$9,0)</f>
        <v>0</v>
      </c>
      <c r="CU14" s="5">
        <f>IF($D14="Chickpea after Forage Crop",H14*'Prices_Yields&amp;SeedInputs'!J$10,0)</f>
        <v>0</v>
      </c>
      <c r="CV14" s="5">
        <f>IF($D14="Chickpea after Cereal",H14*'Prices_Yields&amp;SeedInputs'!J$11,0)</f>
        <v>0</v>
      </c>
      <c r="CW14" s="5">
        <f>IF($D14="Spring Pea after Cereal",H14*'Prices_Yields&amp;SeedInputs'!J$12,0)</f>
        <v>0</v>
      </c>
      <c r="CX14" s="5">
        <f>IF($D14="Forage Crop-St. John Area",H14*'Prices_Yields&amp;SeedInputs'!J$13,0)</f>
        <v>0</v>
      </c>
      <c r="CY14" s="5">
        <f>IF($D14="Forage Crop-Genesee Area",H14*'Prices_Yields&amp;SeedInputs'!J$14,0)</f>
        <v>0</v>
      </c>
      <c r="CZ14" s="5">
        <f>IF($D14="Livestock Grazing",H14*'Prices_Yields&amp;SeedInputs'!J$15,0)</f>
        <v>0</v>
      </c>
      <c r="DA14" s="5">
        <f>IF($D14="SW Winter Wheat after Cereal",H14*'Prices_Yields&amp;SeedInputs'!J$16,0)</f>
        <v>0</v>
      </c>
      <c r="DB14" s="5">
        <f>IF($D14="SW Winter Wheat after Fallow",H14*'Prices_Yields&amp;SeedInputs'!J$17,0)</f>
        <v>0</v>
      </c>
      <c r="DC14" s="5">
        <f>IF($D14="Chem-Fallow",H14*'Prices_Yields&amp;SeedInputs'!J$18,0)</f>
        <v>0</v>
      </c>
      <c r="DD14" s="5">
        <f>IF($D14="Flex-Fallow",H14*'Prices_Yields&amp;SeedInputs'!J$19,0)</f>
        <v>0</v>
      </c>
      <c r="DE14" s="5">
        <f>IF($D14="Spring Barley",H14*'Prices_Yields&amp;SeedInputs'!J$20,0)</f>
        <v>0</v>
      </c>
      <c r="DF14" s="5">
        <f>IF($D14="Roundup Ready Spring Canola",H14*'Prices_Yields&amp;SeedInputs'!J$21,0)</f>
        <v>0</v>
      </c>
      <c r="DG14" s="5">
        <f>IF($D14="Spring Canola",H14*'Prices_Yields&amp;SeedInputs'!J$22,0)</f>
        <v>0</v>
      </c>
      <c r="DH14" s="5">
        <f>IF($D14="Spring Lentils",H14*'Prices_Yields&amp;SeedInputs'!J$23,0)</f>
        <v>0</v>
      </c>
      <c r="DI14" s="5">
        <f>IF($D14="SW Spring Wheat",H14*'Prices_Yields&amp;SeedInputs'!J$24,0)</f>
        <v>0</v>
      </c>
      <c r="DJ14" s="5">
        <f>IF($D14="HR Winter Wheat",H14*'Prices_Yields&amp;SeedInputs'!J$25,0)</f>
        <v>0</v>
      </c>
      <c r="DK14" s="5">
        <f>IF($D14="Winter Pea",H14*'Prices_Yields&amp;SeedInputs'!J$26,0)</f>
        <v>0</v>
      </c>
      <c r="DL14" s="5">
        <f>IF($D14="Winter Canola",H14*'Prices_Yields&amp;SeedInputs'!J$27,0)</f>
        <v>0</v>
      </c>
      <c r="DM14" s="377">
        <f>IF($D14="Forage Crop-Soil Builder Blend",H14*'Prices_Yields&amp;SeedInputs'!J$28,0)</f>
        <v>0</v>
      </c>
      <c r="DN14" s="5">
        <f>IF($D14="SW Winter Wheat after Spring Legume",$H14*SWWinterWheatAfterSpringLegume!$H$135,0)</f>
        <v>27223.09382690339</v>
      </c>
      <c r="DO14" s="5">
        <f>IF($D14="SW Winter Wheat after Forage Crop",$H14*SWWinterWheatAfterForageCrop!$H$135,0)</f>
        <v>0</v>
      </c>
      <c r="DP14" s="5">
        <f>IF($D14="DN Spring Wheat after Spring Legume",$H14*DNSpringWinterAfterSpringLegume!$H$135,0)</f>
        <v>0</v>
      </c>
      <c r="DQ14" s="5">
        <f>IF($D14="DN Spring Wheat after Forage Crop",$H14*DNSpringWheatAfterForageCrop!$H$135,0)</f>
        <v>0</v>
      </c>
      <c r="DR14" s="5">
        <f>IF($D14="DN Spring Wheat after Winter Crop",$H14*DNSpringWheatAfterWinterCrop!$H$135,0)</f>
        <v>0</v>
      </c>
      <c r="DS14" s="5">
        <f>IF($D14="Chickpea after Forage Crop",$H14*ChickpeaAfterForageCrop!$H$135,0)</f>
        <v>0</v>
      </c>
      <c r="DT14" s="5">
        <f>IF($D14="Chickpea after Cereal",$H14*ChickpeaAfterCereal!$H$135,0)</f>
        <v>0</v>
      </c>
      <c r="DU14" s="5">
        <f>IF($D14="Spring Pea after Cereal",$H14*SpringPeaAfterCereal!$H$135,0)</f>
        <v>0</v>
      </c>
      <c r="DV14" s="5">
        <f>IF($D14="Forage Crop-St. John Area",$H14*'ForageCrop-StJohn'!$H$135,0)</f>
        <v>0</v>
      </c>
      <c r="DW14" s="5">
        <f>IF($D14="Forage Crop-Genesee Area",$H14*'ForageCrop-Genesee'!$H$135,0)</f>
        <v>0</v>
      </c>
      <c r="DX14" s="5">
        <f>IF($D14="Livestock Grazing",$H14*LivestockGrazing!$H$135,0)</f>
        <v>0</v>
      </c>
      <c r="DY14" s="5">
        <f>IF($D14="SW Winter Wheat after Cereal",$H14*SWWinterWheatafterCereal!$H$135,0)</f>
        <v>0</v>
      </c>
      <c r="DZ14" s="5">
        <f>IF($D14="SW Winter Wheat after Fallow",$H14*SWWinterWheatAfterFallow!$H$135,0)</f>
        <v>0</v>
      </c>
      <c r="EA14" s="5">
        <f>IF($D14="Chem-Fallow",$H14*'Chem-Fallow'!$H$135,0)</f>
        <v>0</v>
      </c>
      <c r="EB14" s="5">
        <f>IF($D14="Flex-Fallow",$H14*'Flex-Fallow'!$H$135,0)</f>
        <v>0</v>
      </c>
      <c r="EC14" s="5">
        <f>IF($D14="Spring Barley",$H14*SpringBarley!$H$135,0)</f>
        <v>0</v>
      </c>
      <c r="ED14" s="5">
        <f>IF($D14="Roundup Ready Spring Canola",$H14*'SpringCanola_R-Ready'!$H$135,0)</f>
        <v>0</v>
      </c>
      <c r="EE14" s="5">
        <f>IF($D14="Spring Canola",$H14*SpringCanola!$H$135,0)</f>
        <v>0</v>
      </c>
      <c r="EF14" s="5">
        <f>IF($D14="Spring Lentils",$H14*SpringLentils!$H$135,0)</f>
        <v>0</v>
      </c>
      <c r="EG14" s="5">
        <f>IF($D14="SW Spring Wheat",$H14*SWSpringWheat!$H$135,0)</f>
        <v>0</v>
      </c>
      <c r="EH14" s="5">
        <f>IF($D14="HR Winter Wheat",$H14*HRWinterWheat!$H$135,0)</f>
        <v>0</v>
      </c>
      <c r="EI14" s="5">
        <f>IF($D14="Winter Pea",$H14*WinterPea!$H$135,0)</f>
        <v>0</v>
      </c>
      <c r="EJ14" s="5">
        <f>IF($D14="Winter Canola",$H14*WinterCanola!$H$135,0)</f>
        <v>0</v>
      </c>
      <c r="EK14" s="377">
        <f>IF($D14="Forage Crop-Soil Builder Blend",$H14*ForageCrop!$H$135,0)</f>
        <v>0</v>
      </c>
      <c r="EL14" s="5">
        <f>IF($D14="SW Winter Wheat after Spring Legume",$H14*SWWinterWheatAfterSpringLegume!$J$116,0)</f>
        <v>18146.171736080902</v>
      </c>
      <c r="EM14" s="5">
        <f>IF($D14="SW Winter Wheat after Forage Crop",$H14*SWWinterWheatAfterForageCrop!$J$116,0)</f>
        <v>0</v>
      </c>
      <c r="EN14" s="5">
        <f>IF($D14="DN Spring Wheat after Spring Legume",$H14*DNSpringWinterAfterSpringLegume!$J$116,0)</f>
        <v>0</v>
      </c>
      <c r="EO14" s="5">
        <f>IF($D14="DN Spring Wheat after Forage Crop",$H14*DNSpringWheatAfterForageCrop!$J$116,0)</f>
        <v>0</v>
      </c>
      <c r="EP14" s="5">
        <f>IF($D14="DN Spring Wheat after Winter Crop",$H14*DNSpringWheatAfterWinterCrop!$J$116,0)</f>
        <v>0</v>
      </c>
      <c r="EQ14" s="5">
        <f>IF($D14="Chickpea after Forage Crop",$H14*ChickpeaAfterForageCrop!$J$116,0)</f>
        <v>0</v>
      </c>
      <c r="ER14" s="5">
        <f>IF($D14="Chickpea after Cereal",$H14*ChickpeaAfterCereal!$J$116,0)</f>
        <v>0</v>
      </c>
      <c r="ES14" s="5">
        <f>IF($D14="Spring Pea after Cereal",$H14*SpringPeaAfterCereal!$J$116,0)</f>
        <v>0</v>
      </c>
      <c r="ET14" s="5">
        <f>IF($D14="Forage Crop-St. John Area",$H14*'ForageCrop-StJohn'!$J$116,0)</f>
        <v>0</v>
      </c>
      <c r="EU14" s="5">
        <f>IF($D14="Forage Crop-Genesee Area",$H14*'ForageCrop-Genesee'!$J$116,0)</f>
        <v>0</v>
      </c>
      <c r="EV14" s="5">
        <f>IF($D14="Livestock Grazing",$H14*LivestockGrazing!$J$116,0)</f>
        <v>0</v>
      </c>
      <c r="EW14" s="5">
        <f>IF($D14="SW Winter Wheat after Cereal",$H14*SWWinterWheatafterCereal!$J$116,0)</f>
        <v>0</v>
      </c>
      <c r="EX14" s="5">
        <f>IF($D14="SW Winter Wheat after Fallow",$H14*SWWinterWheatAfterFallow!$J$116,0)</f>
        <v>0</v>
      </c>
      <c r="EY14" s="5">
        <f>IF($D14="Chem-Fallow",$H14*'Chem-Fallow'!$J$116,0)</f>
        <v>0</v>
      </c>
      <c r="EZ14" s="5">
        <f>IF($D14="Flex-Fallow",$H14*'Flex-Fallow'!$J$116,0)</f>
        <v>0</v>
      </c>
      <c r="FA14" s="5">
        <f>IF($D14="Spring Barley",$H14*SpringBarley!$J$116,0)</f>
        <v>0</v>
      </c>
      <c r="FB14" s="5">
        <f>IF($D14="Roundup Ready Spring Canola",$H14*'SpringCanola_R-Ready'!$J$116,0)</f>
        <v>0</v>
      </c>
      <c r="FC14" s="5">
        <f>IF($D14="Spring Canola",$H14*SpringCanola!$J$116,0)</f>
        <v>0</v>
      </c>
      <c r="FD14" s="5">
        <f>IF($D14="Spring Lentils",$H14*SpringLentils!$J$116,0)</f>
        <v>0</v>
      </c>
      <c r="FE14" s="5">
        <f>IF($D14="SW Spring Wheat",$H14*SWSpringWheat!$J$116,0)</f>
        <v>0</v>
      </c>
      <c r="FF14" s="5">
        <f>IF($D14="HR Winter Wheat",$H14*HRWinterWheat!$J$116,0)</f>
        <v>0</v>
      </c>
      <c r="FG14" s="5">
        <f>IF($D14="Winter Pea",$H14*WinterPea!$J$116,0)</f>
        <v>0</v>
      </c>
      <c r="FH14" s="5">
        <f>IF($D14="Winter Canola",$H14*WinterCanola!$J$116,0)</f>
        <v>0</v>
      </c>
      <c r="FI14" s="377">
        <f>IF($D14="Forage Crop-Soil Builder Blend",$H14*ForageCrop!$J$116,0)</f>
        <v>0</v>
      </c>
      <c r="FJ14" s="5">
        <f>IF($D14="SW Winter Wheat after Spring Legume",$H14*SWWinterWheatAfterSpringLegume!$J$117,0)</f>
        <v>42661.57723096542</v>
      </c>
      <c r="FK14" s="5">
        <f>IF($D14="SW Winter Wheat after Forage Crop",$H14*SWWinterWheatAfterForageCrop!$J$117,0)</f>
        <v>0</v>
      </c>
      <c r="FL14" s="5">
        <f>IF($D14="DN Spring Wheat after Spring Legume",$H14*DNSpringWinterAfterSpringLegume!$J$117,0)</f>
        <v>0</v>
      </c>
      <c r="FM14" s="5">
        <f>IF($D14="DN Spring Wheat after Forage Crop",$H14*DNSpringWheatAfterForageCrop!$J$117,0)</f>
        <v>0</v>
      </c>
      <c r="FN14" s="5">
        <f>IF($D14="DN Spring Wheat after Winter Crop",$H14*DNSpringWheatAfterWinterCrop!$J$117,0)</f>
        <v>0</v>
      </c>
      <c r="FO14" s="5">
        <f>IF($D14="Chickpea after Forage Crop",$H14*ChickpeaAfterForageCrop!$J$117,0)</f>
        <v>0</v>
      </c>
      <c r="FP14" s="5">
        <f>IF($D14="Chickpea after Cereal",$H14*ChickpeaAfterCereal!$J$117,0)</f>
        <v>0</v>
      </c>
      <c r="FQ14" s="5">
        <f>IF($D14="Spring Pea after Cereal",$H14*SpringPeaAfterCereal!$J$117,0)</f>
        <v>0</v>
      </c>
      <c r="FR14" s="5">
        <f>IF($D14="Forage Crop-St. John Area",$H14*'ForageCrop-StJohn'!$J$117,0)</f>
        <v>0</v>
      </c>
      <c r="FS14" s="5">
        <f>IF($D14="Forage Crop-Genesee Area",$H14*'ForageCrop-Genesee'!$J$117,0)</f>
        <v>0</v>
      </c>
      <c r="FT14" s="5">
        <f>IF($D14="Livestock Grazing",$H14*LivestockGrazing!$J$117,0)</f>
        <v>0</v>
      </c>
      <c r="FU14" s="5">
        <f>IF($D14="SW Winter Wheat after Cereal",$H14*SWWinterWheatafterCereal!$J$117,0)</f>
        <v>0</v>
      </c>
      <c r="FV14" s="5">
        <f>IF($D14="SW Winter Wheat after Fallow",$H14*SWWinterWheatAfterFallow!$J$117,0)</f>
        <v>0</v>
      </c>
      <c r="FW14" s="5">
        <f>IF($D14="Chem-Fallow",$H14*'Chem-Fallow'!$J$117,0)</f>
        <v>0</v>
      </c>
      <c r="FX14" s="5">
        <f>IF($D14="Flex-Fallow",$H14*'Flex-Fallow'!$J$117,0)</f>
        <v>0</v>
      </c>
      <c r="FY14" s="5">
        <f>IF($D14="Spring Barley",$H14*SpringBarley!$J$117,0)</f>
        <v>0</v>
      </c>
      <c r="FZ14" s="5">
        <f>IF($D14="Roundup Ready Spring Canola",$H14*'SpringCanola_R-Ready'!$J$117,0)</f>
        <v>0</v>
      </c>
      <c r="GA14" s="5">
        <f>IF($D14="Spring Canola",$H14*SpringCanola!$J$117,0)</f>
        <v>0</v>
      </c>
      <c r="GB14" s="5">
        <f>IF($D14="Spring Lentils",$H14*SpringLentils!$J$117,0)</f>
        <v>0</v>
      </c>
      <c r="GC14" s="5">
        <f>IF($D14="SW Spring Wheat",$H14*SWSpringWheat!$J$117,0)</f>
        <v>0</v>
      </c>
      <c r="GD14" s="5">
        <f>IF($D14="HR Winter Wheat",$H14*HRWinterWheat!$J$117,0)</f>
        <v>0</v>
      </c>
      <c r="GE14" s="5">
        <f>IF($D14="Winter Pea",$H14*WinterPea!$J$117,0)</f>
        <v>0</v>
      </c>
      <c r="GF14" s="5">
        <f>IF($D14="Winter Canola",$H14*WinterCanola!$J$117,0)</f>
        <v>0</v>
      </c>
      <c r="GG14" s="377">
        <f>IF($D14="Forage Crop-Soil Builder Blend",$H14*ForageCrop!$J$117,0)</f>
        <v>0</v>
      </c>
      <c r="GH14" s="5">
        <f>IF($D14="SW Winter Wheat after Spring Legume",$H14*SWWinterWheatAfterSpringLegume!$L$118,0)</f>
        <v>17753.097846472047</v>
      </c>
      <c r="GI14" s="5">
        <f>IF($D14="SW Winter Wheat after Forage Crop",$H14*SWWinterWheatAfterForageCrop!$L$118,0)</f>
        <v>0</v>
      </c>
      <c r="GJ14" s="5">
        <f>IF($D14="DN Spring Wheat after Spring Legume",$H14*DNSpringWinterAfterSpringLegume!$L$118,0)</f>
        <v>0</v>
      </c>
      <c r="GK14" s="5">
        <f>IF($D14="DN Spring Wheat after Forage Crop",$H14*DNSpringWheatAfterForageCrop!$L$118,0)</f>
        <v>0</v>
      </c>
      <c r="GL14" s="5">
        <f>IF($D14="DN Spring Wheat after Winter Crop",$H14*DNSpringWheatAfterWinterCrop!$L$118,0)</f>
        <v>0</v>
      </c>
      <c r="GM14" s="5">
        <f>IF($D14="Chickpea after Forage Crop",$H14*ChickpeaAfterForageCrop!$L$118,0)</f>
        <v>0</v>
      </c>
      <c r="GN14" s="5">
        <f>IF($D14="Chickpea after Cereal",$H14*ChickpeaAfterCereal!$L$118,0)</f>
        <v>0</v>
      </c>
      <c r="GO14" s="5">
        <f>IF($D14="Spring Pea after Cereal",$H14*SpringPeaAfterCereal!$L$118,0)</f>
        <v>0</v>
      </c>
      <c r="GP14" s="5">
        <f>IF($D14="Forage Crop-St. John Area",$H14*'ForageCrop-StJohn'!$L$118,0)</f>
        <v>0</v>
      </c>
      <c r="GQ14" s="5">
        <f>IF($D14="Forage Crop-Genesee Area",$H14*'ForageCrop-Genesee'!$L$118,0)</f>
        <v>0</v>
      </c>
      <c r="GR14" s="5">
        <f>IF($D14="Livestock Grazing",$H14*LivestockGrazing!$L$118,0)</f>
        <v>0</v>
      </c>
      <c r="GS14" s="5">
        <f>IF($D14="SW Winter Wheat after Cereal",$H14*SWWinterWheatafterCereal!$L$118,0)</f>
        <v>0</v>
      </c>
      <c r="GT14" s="5">
        <f>IF($D14="SW Winter Wheat after Fallow",$H14*SWWinterWheatAfterFallow!$L$118,0)</f>
        <v>0</v>
      </c>
      <c r="GU14" s="5">
        <f>IF($D14="Chem-Fallow",$H14*'Chem-Fallow'!$L$118,0)</f>
        <v>0</v>
      </c>
      <c r="GV14" s="5">
        <f>IF($D14="Flex-Fallow",$H14*'Flex-Fallow'!$L$118,0)</f>
        <v>0</v>
      </c>
      <c r="GW14" s="5">
        <f>IF($D14="Spring Barley",$H14*SpringBarley!$L$118,0)</f>
        <v>0</v>
      </c>
      <c r="GX14" s="5">
        <f>IF($D14="Roundup Ready Spring Canola",$H14*'SpringCanola_R-Ready'!$L$118,0)</f>
        <v>0</v>
      </c>
      <c r="GY14" s="5">
        <f>IF($D14="Spring Canola",$H14*SpringCanola!$L$118,0)</f>
        <v>0</v>
      </c>
      <c r="GZ14" s="5">
        <f>IF($D14="Spring Lentils",$H14*SpringLentils!$L$118,0)</f>
        <v>0</v>
      </c>
      <c r="HA14" s="5">
        <f>IF($D14="SW Spring Wheat",$H14*SWSpringWheat!$L$118,0)</f>
        <v>0</v>
      </c>
      <c r="HB14" s="5">
        <f>IF($D14="HR Winter Wheat",$H14*HRWinterWheat!$L$118,0)</f>
        <v>0</v>
      </c>
      <c r="HC14" s="5">
        <f>IF($D14="Winter Pea",$H14*WinterPea!$L$118,0)</f>
        <v>0</v>
      </c>
      <c r="HD14" s="5">
        <f>IF($D14="Winter Canola",$H14*WinterCanola!$L$118,0)</f>
        <v>0</v>
      </c>
      <c r="HE14" s="377">
        <f>IF($D14="Forage Crop-Soil Builder Blend",$H14*ForageCrop!$L$118,0)</f>
        <v>0</v>
      </c>
      <c r="HF14" s="5">
        <f>IF($D14="SW Winter Wheat after Spring Legume",($H14*(SUM(SWWinterWheatAfterSpringLegume!$E$9:$E$16)+SWWinterWheatAfterSpringLegume!$G$16))/2000,0)</f>
        <v>89.1</v>
      </c>
      <c r="HG14" s="5">
        <f>IF($D14="SW Winter Wheat after Forage Crop",($H14*(SUM(SWWinterWheatAfterForageCrop!$E$9:$E$16)+SWWinterWheatAfterForageCrop!$G$17))/2000,0)</f>
        <v>0</v>
      </c>
      <c r="HH14" s="5">
        <f>IF($D14="DN Spring Wheat after Spring Legume",($H14*(SUM(DNSpringWinterAfterSpringLegume!$E$9:$E$16)+DNSpringWinterAfterSpringLegume!$G$16))/2000,0)</f>
        <v>0</v>
      </c>
      <c r="HI14" s="5">
        <f>IF($D14="DN Spring Wheat after Forage Crop",($H14*(SUM(DNSpringWheatAfterForageCrop!$E$9:$E$16)+DNSpringWheatAfterForageCrop!$G$14))/2000,0)</f>
        <v>0</v>
      </c>
      <c r="HJ14" s="5">
        <f>IF($D14="DN Spring Wheat after Winter Crop",($H14*(SUM(DNSpringWheatAfterWinterCrop!$E$9:$E$16)+DNSpringWheatAfterWinterCrop!$G$16))/2000,0)</f>
        <v>0</v>
      </c>
      <c r="HK14" s="5">
        <f>IF($D14="Chickpea after Forage Crop",($H14*(SUM(ChickpeaAfterForageCrop!$E$9:$E$16)+ChickpeaAfterForageCrop!$G$14))/2000,0)</f>
        <v>0</v>
      </c>
      <c r="HL14" s="5">
        <f>IF($D14="Chickpea after Cereal",($H14*(SUM(ChickpeaAfterCereal!$E$9:$E$16)+ChickpeaAfterCereal!$G$14))/2000,0)</f>
        <v>0</v>
      </c>
      <c r="HM14" s="5">
        <f>IF($D14="Spring Pea after Cereal",($H14*(SUM(SpringPeaAfterCereal!$E$9:$E$16)+SpringPeaAfterCereal!$G$14))/2000,0)</f>
        <v>0</v>
      </c>
      <c r="HN14" s="5">
        <f>IF($D14="Forage Crop-St. John Area",($H14*(SUM('ForageCrop-StJohn'!$E$9:$E$16)+'ForageCrop-StJohn'!$G$14))/2000,0)</f>
        <v>0</v>
      </c>
      <c r="HO14" s="5">
        <f>IF($D14="Forage Crop-Genesee Area",($H14*(SUM('ForageCrop-Genesee'!$E$9:$E$16)+'ForageCrop-Genesee'!$G$14))/2000,0)</f>
        <v>0</v>
      </c>
      <c r="HP14" s="5">
        <f>IF($D14="Livestock Grazing",($H14*(SUM(LivestockGrazing!$E$9:$E$16)+LivestockGrazing!$G$14))/2000,0)</f>
        <v>0</v>
      </c>
      <c r="HQ14" s="5">
        <f>IF($D14="SW Winter Wheat after Cereal",($H14*(SUM(SWWinterWheatafterCereal!$E$9:$E$16)+SWWinterWheatafterCereal!$G$16))/2000,0)</f>
        <v>0</v>
      </c>
      <c r="HR14" s="5">
        <f>IF($D14="SW Winter Wheat after Fallow",($H14*(SUM(SWWinterWheatAfterFallow!$E$9:$E$16)+SWWinterWheatAfterFallow!$G$14))/2000,0)</f>
        <v>0</v>
      </c>
      <c r="HS14" s="5">
        <f>IF($D14="Chem-Fallow",($H14*(SUM('Chem-Fallow'!$E$9:$E$16)+'Chem-Fallow'!$G$16))/2000,0)</f>
        <v>0</v>
      </c>
      <c r="HT14" s="5">
        <f>IF($D14="Flex-Fallow",($H14*(SUM('Flex-Fallow'!$E$9:$E$16)+'Flex-Fallow'!$G$16))/2000,0)</f>
        <v>0</v>
      </c>
      <c r="HU14" s="5">
        <f>IF($D14="Spring Barley",($H14*(SUM(SpringBarley!$E$9:$E$16)+SpringBarley!$G$16))/2000,0)</f>
        <v>0</v>
      </c>
      <c r="HV14" s="5">
        <f>IF($D14="Roundup Ready Spring Canola",($H14*(SUM('SpringCanola_R-Ready'!$E$9:$E$16)+'SpringCanola_R-Ready'!$G$14))/2000,0)</f>
        <v>0</v>
      </c>
      <c r="HW14" s="5">
        <f>IF($D14="Spring Canola",($H14*(SUM(SpringCanola!$E$9:$E$16)+SpringCanola!$G$14))/2000,0)</f>
        <v>0</v>
      </c>
      <c r="HX14" s="5">
        <f>IF($D14="Spriing Lentils",($H14*(SUM(SpringLentils!$E$9:$E$16)+SpringLentils!$G$14))/2000,0)</f>
        <v>0</v>
      </c>
      <c r="HY14" s="5">
        <f>IF($D14="SW Spring Wheat",($H14*(SUM(SWSpringWheat!$E$9:$E$16)+SWSpringWheat!$G$18))/2000,0)</f>
        <v>0</v>
      </c>
      <c r="HZ14" s="5">
        <f>IF($D14="HR Winter Wheat",($H14*(SUM(HRWinterWheat!$E$9:$E$16)+HRWinterWheat!$G$16))/2000,0)</f>
        <v>0</v>
      </c>
      <c r="IA14" s="5">
        <f>IF($D14="Winter Pea",($H14*(SUM(WinterPea!$E$9:$E$16)+WinterPea!$G$14))/2000,0)</f>
        <v>0</v>
      </c>
      <c r="IB14" s="5">
        <f>IF($D14="Winter Canola",($H14*(SUM(WinterCanola!$E$9:$E$16)+WinterCanola!$G$14))/2000,0)</f>
        <v>0</v>
      </c>
      <c r="IC14" s="377">
        <f>IF($D14="Forage Crop-Soil Builder Blend",($H14*(SUM(ForageCrop!$E$9:$E$16)+ForageCrop!$G$14))/2000,0)</f>
        <v>0</v>
      </c>
      <c r="ID14" s="5">
        <f>IF($D14="SW Winter Wheat after Spring Legume",$H14*SWWinterWheatAfterSpringLegume!$G$62,0)</f>
        <v>666.650390625</v>
      </c>
      <c r="IE14" s="5">
        <f>IF($D14="SW Winter Wheat after Forage Crop",$H14*SWWinterWheatAfterForageCrop!$G$62,0)</f>
        <v>0</v>
      </c>
      <c r="IF14" s="5">
        <f>IF($D14="DN Spring Wheat after Spring Legume",$H14*DNSpringWinterAfterSpringLegume!$G$62,0)</f>
        <v>0</v>
      </c>
      <c r="IG14" s="5">
        <f>IF($D14="DN Spring Wheat after Forage Crop",$H14*DNSpringWheatAfterForageCrop!$G$62,0)</f>
        <v>0</v>
      </c>
      <c r="IH14" s="5">
        <f>IF($D14="DN Spring Wheat after Winter Crop",$H14*DNSpringWheatAfterWinterCrop!$G$62,0)</f>
        <v>0</v>
      </c>
      <c r="II14" s="5">
        <f>IF($D14="Chickpea after Forage Crop",$H14*ChickpeaAfterForageCrop!$G$62,0)</f>
        <v>0</v>
      </c>
      <c r="IJ14" s="5">
        <f>IF($D14="Chickpea after Cereal",$H14*ChickpeaAfterCereal!$G$62,0)</f>
        <v>0</v>
      </c>
      <c r="IK14" s="5">
        <f>IF($D14="Spring Pea after Cereal",$H14*SpringPeaAfterCereal!$G$62,0)</f>
        <v>0</v>
      </c>
      <c r="IL14" s="5">
        <f>IF($D14="Forage Crop-St. John Area",$H14*'ForageCrop-StJohn'!$G$62,0)</f>
        <v>0</v>
      </c>
      <c r="IM14" s="5">
        <f>IF($D14="Forage Crop-Genesee Area",$H14*'ForageCrop-Genesee'!$G$62,0)</f>
        <v>0</v>
      </c>
      <c r="IN14" s="5">
        <f>IF($D14="Livestock Grazing",$H14*LivestockGrazing!$G$62,0)</f>
        <v>0</v>
      </c>
      <c r="IO14" s="5">
        <f>IF($D14="SW Winter Wheat after Cereal",$H14*SWWinterWheatafterCereal!$G$62,0)</f>
        <v>0</v>
      </c>
      <c r="IP14" s="5">
        <f>IF($D14="SW Winter Wheat after Fallow",$H14*SWWinterWheatAfterFallow!$G$62,0)</f>
        <v>0</v>
      </c>
      <c r="IQ14" s="5">
        <f>IF($D14="Chem-Fallow",$H14*'Chem-Fallow'!$G$62,0)</f>
        <v>0</v>
      </c>
      <c r="IR14" s="5">
        <f>IF($D14="Flex-Fallow",$H14*'Flex-Fallow'!$G$62,0)</f>
        <v>0</v>
      </c>
      <c r="IS14" s="5">
        <f>IF($D14="Spring Barley",$H14*SpringBarley!$G$62,0)</f>
        <v>0</v>
      </c>
      <c r="IT14" s="5">
        <f>IF($D14="Roundup Ready Spring Canola",$H14*'SpringCanola_R-Ready'!$G$62,0)</f>
        <v>0</v>
      </c>
      <c r="IU14" s="5">
        <f>IF($D14="Spring Canola",$H14*SpringCanola!$G$62,0)</f>
        <v>0</v>
      </c>
      <c r="IV14" s="5">
        <f>IF($D14="Spriing Lentils",$H14*SpringLentils!$G$62,0)</f>
        <v>0</v>
      </c>
      <c r="IW14" s="5">
        <f>IF($D14="SW Spring Wheat",$H14*SWSpringWheat!$G$62,0)</f>
        <v>0</v>
      </c>
      <c r="IX14" s="5">
        <f>IF($D14="HR Winter Wheat",$H14*HRWinterWheat!$G$62,0)</f>
        <v>0</v>
      </c>
      <c r="IY14" s="5">
        <f>IF($D14="Winter Pea",$H14*WinterPea!$G$62,0)</f>
        <v>0</v>
      </c>
      <c r="IZ14" s="5">
        <f>IF($D14="Winter Canola",$H14*+WinterCanola!$G$62,0)</f>
        <v>0</v>
      </c>
      <c r="JA14" s="5">
        <f>IF($D14="Forage Crop-Soil Builder Blend",$H14*ForageCrop!$G$62,0)</f>
        <v>0</v>
      </c>
      <c r="JB14" s="5">
        <f>IF($D14="SW Winter Wheat after Spring Legume",$H14*SWWinterWheatAfterSpringLegume!$E$4,0)</f>
        <v>101250</v>
      </c>
      <c r="JC14" s="5">
        <f>IF($D14="SW Winter Wheat after Forage Crop",$H14*SWWinterWheatAfterForageCrop!$E$4,0)</f>
        <v>0</v>
      </c>
      <c r="JD14" s="5">
        <f>IF($D14="DN Spring Wheat after Spring Legume",$H14*DNSpringWinterAfterSpringLegume!$E$4,0)</f>
        <v>0</v>
      </c>
      <c r="JE14" s="5">
        <f>IF($D14="DN Spring Wheat after Forage Crop",$H14*DNSpringWheatAfterForageCrop!$E$4,0)</f>
        <v>0</v>
      </c>
      <c r="JF14" s="5">
        <f>IF($D14="DN Spring Wheat after Winter Crop",$H14*DNSpringWheatAfterWinterCrop!$E$4,0)</f>
        <v>0</v>
      </c>
      <c r="JG14" s="5">
        <f>IF($D14="Chickpea after Forage Crop",$H14*ChickpeaAfterForageCrop!$E$4,0)</f>
        <v>0</v>
      </c>
      <c r="JH14" s="5">
        <f>IF($D14="Chickpea after Cereal",$H14*ChickpeaAfterCereal!$E$4,0)</f>
        <v>0</v>
      </c>
      <c r="JI14" s="5">
        <f>IF($D14="Spring Pea after Cereal",$H14*SpringPeaAfterCereal!$E$4,0)</f>
        <v>0</v>
      </c>
      <c r="JJ14" s="5">
        <f>IF($D14="Forage Crop-St. John Area",$H14*'ForageCrop-StJohn'!$E$4,0)</f>
        <v>0</v>
      </c>
      <c r="JK14" s="5">
        <f>IF($D14="Forage Crop-Genesee Area",$H14*'ForageCrop-Genesee'!$E$4,0)</f>
        <v>0</v>
      </c>
      <c r="JL14" s="5">
        <f>IF($D14="Livestock Grazing",$H14*LivestockGrazing!$E$4,0)</f>
        <v>0</v>
      </c>
      <c r="JM14" s="5">
        <f>IF($D14="SW Winter Wheat after Cereal",$H14*SWWinterWheatafterCereal!$E$4,0)</f>
        <v>0</v>
      </c>
      <c r="JN14" s="5">
        <f>IF($D14="SW Winter Wheat after Fallow",$H14*SWWinterWheatAfterFallow!$E$4,0)</f>
        <v>0</v>
      </c>
      <c r="JO14" s="5">
        <f>IF($D14="Chem-Fallow",$H14*'Chem-Fallow'!$E$4,0)</f>
        <v>0</v>
      </c>
      <c r="JP14" s="5">
        <f>IF($D14="Flex-Fallow",$H14*'Flex-Fallow'!$E$4,0)</f>
        <v>0</v>
      </c>
      <c r="JQ14" s="5">
        <f>IF($D14="Spring Barley",$H14*SpringBarley!$E$4,0)</f>
        <v>0</v>
      </c>
      <c r="JR14" s="5">
        <f>IF($D14="Roundup Ready Spring Canola",$H14*'SpringCanola_R-Ready'!$E$4,0)</f>
        <v>0</v>
      </c>
      <c r="JS14" s="5">
        <f>IF($D14="Spring Canola",$H14*SpringCanola!$E$4,0)</f>
        <v>0</v>
      </c>
      <c r="JT14" s="5">
        <f>IF($D14="Spriing Lentils",$H14*SpringLentils!$E$4,0)</f>
        <v>0</v>
      </c>
      <c r="JU14" s="5">
        <f>IF($D14="SW Spring Wheat",$H14*SWSpringWheat!$E$4,0)</f>
        <v>0</v>
      </c>
      <c r="JV14" s="5">
        <f>IF($D14="HR Winter Wheat",$H14*HRWinterWheat!$E$4,0)</f>
        <v>0</v>
      </c>
      <c r="JW14" s="5">
        <f>IF($D14="Winter Pea",$H14*WinterPea!$E$4,0)</f>
        <v>0</v>
      </c>
      <c r="JX14" s="5">
        <f>IF($D14="Winter Canola",$H14*+WinterCanola!$E$4,0)</f>
        <v>0</v>
      </c>
      <c r="JY14" s="5">
        <f>IF($D14="Forage Crop-Soil Builder Blend",$H14*ForageCrop!$E$4,0)</f>
        <v>0</v>
      </c>
    </row>
    <row r="15" spans="1:297" ht="20" customHeight="1">
      <c r="A15" s="8"/>
      <c r="B15" s="701"/>
      <c r="C15" s="632">
        <v>2</v>
      </c>
      <c r="D15" s="633" t="s">
        <v>378</v>
      </c>
      <c r="E15" s="627">
        <v>0.45</v>
      </c>
      <c r="F15" s="628">
        <f>IF(D15="Livestock Grazing",0,E15)</f>
        <v>0.45</v>
      </c>
      <c r="G15" s="629">
        <f>IF(D15="Livestock Grazing",0,$I$2*E15)</f>
        <v>1125</v>
      </c>
      <c r="H15" s="630">
        <f>$I$2*E15</f>
        <v>1125</v>
      </c>
      <c r="I15" s="634">
        <f>SUM(AT15:BQ15)</f>
        <v>576.04947760191192</v>
      </c>
      <c r="J15" s="159"/>
      <c r="M15" s="147"/>
      <c r="N15" s="16"/>
      <c r="O15" s="236"/>
      <c r="P15" s="235"/>
      <c r="Q15" s="232"/>
      <c r="R15" s="147"/>
      <c r="S15" s="147"/>
      <c r="T15" s="159"/>
      <c r="V15" s="5">
        <f>IF($D15="SW Winter Wheat after Spring Legume",$H15,0)</f>
        <v>0</v>
      </c>
      <c r="W15" s="5">
        <f>IF($D15="SW Winter Wheat after Forage Crop",$H15,0)</f>
        <v>0</v>
      </c>
      <c r="X15" s="5">
        <f>IF($D15="DN Spring Wheat after Spring Legume",$H15,0)</f>
        <v>0</v>
      </c>
      <c r="Y15" s="5">
        <f>IF($D15="DN Spring Wheat after Forage Crop",$H15,0)</f>
        <v>0</v>
      </c>
      <c r="Z15" s="5">
        <f>IF($D15="DN Spring Wheat after Winter Crop",$H15,0)</f>
        <v>1125</v>
      </c>
      <c r="AA15" s="5">
        <f>IF($D15="Chickpea after Forage Crop",$H15,0)</f>
        <v>0</v>
      </c>
      <c r="AB15" s="5">
        <f>IF($D15="Chickpea after Cereal",$H15,0)</f>
        <v>0</v>
      </c>
      <c r="AC15" s="5">
        <f>IF($D15="Spring Pea after Cereal",$H15,0)</f>
        <v>0</v>
      </c>
      <c r="AD15" s="5">
        <f>IF($D15="Forage Crop-St. John Area",$H15,0)</f>
        <v>0</v>
      </c>
      <c r="AE15" s="5">
        <f>IF($D15="Forage Crop-Genesee Area",$H15,0)</f>
        <v>0</v>
      </c>
      <c r="AF15" s="5">
        <f>IF($D15="Livestock Grazing",$H15,0)</f>
        <v>0</v>
      </c>
      <c r="AG15" s="5">
        <f>IF($D15="SW Winter Wheat after Cereal",$H15,0)</f>
        <v>0</v>
      </c>
      <c r="AH15" s="5">
        <f>IF($D15="SW Winter Wheat after Fallow",$H15,0)</f>
        <v>0</v>
      </c>
      <c r="AI15" s="5">
        <f>IF($D15="Chem-Fallow",$H15,0)</f>
        <v>0</v>
      </c>
      <c r="AJ15" s="5">
        <f>IF($D15="Flex-Fallow",$H15,0)</f>
        <v>0</v>
      </c>
      <c r="AK15" s="5">
        <f>IF($D15="Spring Barley",$H15,0)</f>
        <v>0</v>
      </c>
      <c r="AL15" s="5">
        <f>IF($D15="Roundup Ready Spring Canola",$H15,0)</f>
        <v>0</v>
      </c>
      <c r="AM15" s="5">
        <f>IF($D15="Spring Canola",$H15,0)</f>
        <v>0</v>
      </c>
      <c r="AN15" s="5">
        <f>IF($D15="Spring Lentils",$H15,0)</f>
        <v>0</v>
      </c>
      <c r="AO15" s="5">
        <f>IF($D15="SW Spring Wheat",$H15,0)</f>
        <v>0</v>
      </c>
      <c r="AP15" s="5">
        <f>IF($D15="HR Winter Wheat",$H15,0)</f>
        <v>0</v>
      </c>
      <c r="AQ15" s="5">
        <f>IF($D15="Winter Pea",$H15,0)</f>
        <v>0</v>
      </c>
      <c r="AR15" s="5">
        <f>IF($D15="Winter Canola",$H15,0)</f>
        <v>0</v>
      </c>
      <c r="AS15" s="377">
        <f>IF($D15="Forage Crop-Soil Builder Blend",$H15,0)</f>
        <v>0</v>
      </c>
      <c r="AT15" s="5">
        <f>IF($D15="SW Winter Wheat after Spring Legume",SWWinterWheatAfterSpringLegume!$H$138,0)</f>
        <v>0</v>
      </c>
      <c r="AU15" s="5">
        <f>IF($D15="SW Winter Wheat after Forage Crop",SWWinterWheatAfterForageCrop!$H$138,0)</f>
        <v>0</v>
      </c>
      <c r="AV15" s="5">
        <f>IF($D15="DN Spring Wheat after Spring Legume",DNSpringWinterAfterSpringLegume!$H$138,0)</f>
        <v>0</v>
      </c>
      <c r="AW15" s="5">
        <f>IF($D15="DN Spring Wheat after Forage Crop",DNSpringWheatAfterForageCrop!$H$138,0)</f>
        <v>0</v>
      </c>
      <c r="AX15" s="5">
        <f>IF($D15="DN Spring Wheat after Winter Crop",DNSpringWheatAfterWinterCrop!$H$138,0)</f>
        <v>576.04947760191192</v>
      </c>
      <c r="AY15" s="5">
        <f>IF($D15="Chickpea after Forage Crop",ChickpeaAfterForageCrop!$H$138,0)</f>
        <v>0</v>
      </c>
      <c r="AZ15" s="5">
        <f>IF($D15="Chickpea after Cereal",ChickpeaAfterCereal!$H$138,0)</f>
        <v>0</v>
      </c>
      <c r="BA15" s="5">
        <f>IF($D15="Spring Pea after Cereal",SpringPeaAfterCereal!$H$138,0)</f>
        <v>0</v>
      </c>
      <c r="BB15" s="5">
        <f>IF($D15="Forage Crop-St. John Area",'ForageCrop-StJohn'!$H$138,0)</f>
        <v>0</v>
      </c>
      <c r="BC15" s="5">
        <f>IF($D15="Forage Crop-Genesee Area",'ForageCrop-Genesee'!$H$138,0)</f>
        <v>0</v>
      </c>
      <c r="BD15" s="5">
        <f>IF($D15="Livestock Grazing",LivestockGrazing!$H$138,0)</f>
        <v>0</v>
      </c>
      <c r="BE15" s="5">
        <f>IF($D15="SW Winter Wheat after Cereal",SWWinterWheatafterCereal!$H$138,0)</f>
        <v>0</v>
      </c>
      <c r="BF15" s="5">
        <f>IF($D15="SW Winter Wheat after Fallow",SWWinterWheatAfterFallow!$H$138,0)</f>
        <v>0</v>
      </c>
      <c r="BG15" s="5">
        <f>IF($D15="Chem-Fallow",'Chem-Fallow'!$H$138,0)</f>
        <v>0</v>
      </c>
      <c r="BH15" s="5">
        <f>IF($D15="Flex-Fallow",'Flex-Fallow'!$H$138,0)</f>
        <v>0</v>
      </c>
      <c r="BI15" s="5">
        <f>IF($D15="Spring Barley",SpringBarley!$H$138,0)</f>
        <v>0</v>
      </c>
      <c r="BJ15" s="5">
        <f>IF($D15="Roundup Ready Spring Canola",'SpringCanola_R-Ready'!$H$138,0)</f>
        <v>0</v>
      </c>
      <c r="BK15" s="5">
        <f>IF($D15="Spring Canola",SpringCanola!$H$138,0)</f>
        <v>0</v>
      </c>
      <c r="BL15" s="5">
        <f>IF($D15="Spring Lentils",SpringLentils!$H$138,0)</f>
        <v>0</v>
      </c>
      <c r="BM15" s="5">
        <f>IF($D15="SW Spring Wheat",SWSpringWheat!$H$138,0)</f>
        <v>0</v>
      </c>
      <c r="BN15" s="5">
        <f>IF($D15="HR Winter Wheat",HRWinterWheat!$H$138,0)</f>
        <v>0</v>
      </c>
      <c r="BO15" s="5">
        <f>IF($D15="Winter Pea",WinterPea!$H$138,0)</f>
        <v>0</v>
      </c>
      <c r="BP15" s="5">
        <f>IF($D15="Winter Canola",WinterCanola!$H$138,0)</f>
        <v>0</v>
      </c>
      <c r="BQ15" s="377">
        <f>IF($D15="Forage Crop-Soil Builder Blend",ForageCrop!$H$138,0)</f>
        <v>0</v>
      </c>
      <c r="BR15" s="5">
        <f>IF($D15="SW Winter Wheat after Spring Legume",H15*SWWinterWheatAfterSpringLegume!$H$138,0)</f>
        <v>0</v>
      </c>
      <c r="BS15" s="5">
        <f>IF($D15="SW Winter Wheat after Forage Crop",H15*SWWinterWheatAfterForageCrop!$H$138,0)</f>
        <v>0</v>
      </c>
      <c r="BT15" s="5">
        <f>IF($D15="DN Spring Wheat after Spring Legume",H15*DNSpringWinterAfterSpringLegume!$H$138,0)</f>
        <v>0</v>
      </c>
      <c r="BU15" s="5">
        <f>IF($D15="DN Spring Wheat after Forage Crop",H15*DNSpringWheatAfterForageCrop!$H$138,0)</f>
        <v>0</v>
      </c>
      <c r="BV15" s="5">
        <f>IF($D15="DN Spring Wheat after Winter Crop",H15*DNSpringWheatAfterWinterCrop!$H$138,0)</f>
        <v>648055.66230215086</v>
      </c>
      <c r="BW15" s="5">
        <f>IF($D15="Chickpea after Forage Crop",H15*ChickpeaAfterForageCrop!$H$138,0)</f>
        <v>0</v>
      </c>
      <c r="BX15" s="5">
        <f>IF($D15="Chickpea after Cereal",H15*ChickpeaAfterCereal!$H$138,0)</f>
        <v>0</v>
      </c>
      <c r="BY15" s="5">
        <f>IF($D15="Spring Pea after Cereal",H15*SpringPeaAfterCereal!$H$138,0)</f>
        <v>0</v>
      </c>
      <c r="BZ15" s="5">
        <f>IF($D15="Forage Crop-St. John Area",H15*'ForageCrop-StJohn'!$H$138,0)</f>
        <v>0</v>
      </c>
      <c r="CA15" s="5">
        <f>IF($D15="Forage Crop-Genesee Area",H15*'ForageCrop-Genesee'!$H$138,0)</f>
        <v>0</v>
      </c>
      <c r="CB15" s="5">
        <f>IF($D15="Livestock Grazing",H15*LivestockGrazing!$H$138,0)</f>
        <v>0</v>
      </c>
      <c r="CC15" s="5">
        <f>IF($D15="SW Winter Wheat after Cereal",H15*SWWinterWheatafterCereal!$H$138,0)</f>
        <v>0</v>
      </c>
      <c r="CD15" s="5">
        <f>IF($D15="SW Winter Wheat after Fallow",H15*SWWinterWheatAfterFallow!$H$138,0)</f>
        <v>0</v>
      </c>
      <c r="CE15" s="5">
        <f>IF($D15="Chem-Fallow",H15*'Chem-Fallow'!$H$138,0)</f>
        <v>0</v>
      </c>
      <c r="CF15" s="5">
        <f>IF($D15="Flex-Fallow",H15*'Flex-Fallow'!$H$138,0)</f>
        <v>0</v>
      </c>
      <c r="CG15" s="5">
        <f>IF($D15="Spring Barley",H15*SpringBarley!$H$138,0)</f>
        <v>0</v>
      </c>
      <c r="CH15" s="5">
        <f>IF($D15="Roundup Ready Spring Canola",H15*'SpringCanola_R-Ready'!$H$138,0)</f>
        <v>0</v>
      </c>
      <c r="CI15" s="5">
        <f>IF($D15="Spring Canola",H15*SpringCanola!$H$138,0)</f>
        <v>0</v>
      </c>
      <c r="CJ15" s="5">
        <f>IF($D15="Spring Lentils",H15*SpringLentils!$H$138,0)</f>
        <v>0</v>
      </c>
      <c r="CK15" s="5">
        <f>IF($D15="SW Spring Wheat",H15*SWSpringWheat!$H$138,0)</f>
        <v>0</v>
      </c>
      <c r="CL15" s="5">
        <f>IF($D15="HR Winter Wheat",H15*HRWinterWheat!$H$138,0)</f>
        <v>0</v>
      </c>
      <c r="CM15" s="5">
        <f>IF($D15="Winter Pea",H15*WinterPea!$H$138,0)</f>
        <v>0</v>
      </c>
      <c r="CN15" s="5">
        <f>IF($D15="Winter Canola",H15*WinterCanola!$H$138,0)</f>
        <v>0</v>
      </c>
      <c r="CO15" s="377">
        <f>IF($D15="Forage Crop-Soil Builder Blend",H15*ForageCrop!$H$138,0)</f>
        <v>0</v>
      </c>
      <c r="CP15" s="5">
        <f>IF($D15="SW Winter Wheat after Spring Legume",H15*'Prices_Yields&amp;SeedInputs'!J$5,0)</f>
        <v>0</v>
      </c>
      <c r="CQ15" s="5">
        <f>IF($D15="SW Winter Wheat after Forage Crop",H15*'Prices_Yields&amp;SeedInputs'!J$6,0)</f>
        <v>0</v>
      </c>
      <c r="CR15" s="5">
        <f>IF($D15="DN Spring Wheat after Spring Legume",H15*'Prices_Yields&amp;SeedInputs'!J$7,0)</f>
        <v>0</v>
      </c>
      <c r="CS15" s="5">
        <f>IF($D15="DN Spring Wheat after Forage Crop",H15*'Prices_Yields&amp;SeedInputs'!J$8,0)</f>
        <v>0</v>
      </c>
      <c r="CT15" s="5">
        <f>IF($D15="DN Spring Wheat after Winter Crop",H15*'Prices_Yields&amp;SeedInputs'!J$9,0)</f>
        <v>112500</v>
      </c>
      <c r="CU15" s="5">
        <f>IF($D15="Chickpea after Forage Crop",H15*'Prices_Yields&amp;SeedInputs'!J$10,0)</f>
        <v>0</v>
      </c>
      <c r="CV15" s="5">
        <f>IF($D15="Chickpea after Cereal",H15*'Prices_Yields&amp;SeedInputs'!J$11,0)</f>
        <v>0</v>
      </c>
      <c r="CW15" s="5">
        <f>IF($D15="Spring Pea after Cereal",H15*'Prices_Yields&amp;SeedInputs'!J$12,0)</f>
        <v>0</v>
      </c>
      <c r="CX15" s="5">
        <f>IF($D15="Forage Crop-St. John Area",H15*'Prices_Yields&amp;SeedInputs'!J$13,0)</f>
        <v>0</v>
      </c>
      <c r="CY15" s="5">
        <f>IF($D15="Forage Crop-Genesee Area",H15*'Prices_Yields&amp;SeedInputs'!J$14,0)</f>
        <v>0</v>
      </c>
      <c r="CZ15" s="5">
        <f>IF($D15="Livestock Grazing",H15*'Prices_Yields&amp;SeedInputs'!J$15,0)</f>
        <v>0</v>
      </c>
      <c r="DA15" s="5">
        <f>IF($D15="SW Winter Wheat after Cereal",H15*'Prices_Yields&amp;SeedInputs'!J$16,0)</f>
        <v>0</v>
      </c>
      <c r="DB15" s="5">
        <f>IF($D15="SW Winter Wheat after Fallow",H15*'Prices_Yields&amp;SeedInputs'!J$17,0)</f>
        <v>0</v>
      </c>
      <c r="DC15" s="5">
        <f>IF($D15="Chem-Fallow",H15*'Prices_Yields&amp;SeedInputs'!J$18,0)</f>
        <v>0</v>
      </c>
      <c r="DD15" s="5">
        <f>IF($D15="Flex-Fallow",H15*'Prices_Yields&amp;SeedInputs'!J$19,0)</f>
        <v>0</v>
      </c>
      <c r="DE15" s="5">
        <f>IF($D15="Spring Barley",H15*'Prices_Yields&amp;SeedInputs'!J$20,0)</f>
        <v>0</v>
      </c>
      <c r="DF15" s="5">
        <f>IF($D15="Roundup Ready Spring Canola",H15*'Prices_Yields&amp;SeedInputs'!J$21,0)</f>
        <v>0</v>
      </c>
      <c r="DG15" s="5">
        <f>IF($D15="Spring Canola",H15*'Prices_Yields&amp;SeedInputs'!J$22,0)</f>
        <v>0</v>
      </c>
      <c r="DH15" s="5">
        <f>IF($D15="Spring Lentils",H15*'Prices_Yields&amp;SeedInputs'!J$23,0)</f>
        <v>0</v>
      </c>
      <c r="DI15" s="5">
        <f>IF($D15="SW Spring Wheat",H15*'Prices_Yields&amp;SeedInputs'!J$24,0)</f>
        <v>0</v>
      </c>
      <c r="DJ15" s="5">
        <f>IF($D15="HR Winter Wheat",H15*'Prices_Yields&amp;SeedInputs'!J$25,0)</f>
        <v>0</v>
      </c>
      <c r="DK15" s="5">
        <f>IF($D15="Winter Pea",H15*'Prices_Yields&amp;SeedInputs'!J$26,0)</f>
        <v>0</v>
      </c>
      <c r="DL15" s="5">
        <f>IF($D15="Winter Canola",H15*'Prices_Yields&amp;SeedInputs'!J$27,0)</f>
        <v>0</v>
      </c>
      <c r="DM15" s="377">
        <f>IF($D15="Forage Crop-Soil Builder Blend",H15*'Prices_Yields&amp;SeedInputs'!J$28,0)</f>
        <v>0</v>
      </c>
      <c r="DN15" s="5">
        <f>IF($D15="SW Winter Wheat after Spring Legume",$H15*SWWinterWheatAfterSpringLegume!$H$135,0)</f>
        <v>0</v>
      </c>
      <c r="DO15" s="5">
        <f>IF($D15="SW Winter Wheat after Forage Crop",$H15*SWWinterWheatAfterForageCrop!$H$135,0)</f>
        <v>0</v>
      </c>
      <c r="DP15" s="5">
        <f>IF($D15="DN Spring Wheat after Spring Legume",$H15*DNSpringWinterAfterSpringLegume!$H$135,0)</f>
        <v>0</v>
      </c>
      <c r="DQ15" s="5">
        <f>IF($D15="DN Spring Wheat after Forage Crop",$H15*DNSpringWheatAfterForageCrop!$H$135,0)</f>
        <v>0</v>
      </c>
      <c r="DR15" s="5">
        <f>IF($D15="DN Spring Wheat after Winter Crop",$H15*DNSpringWheatAfterWinterCrop!$H$135,0)</f>
        <v>27223.09382690339</v>
      </c>
      <c r="DS15" s="5">
        <f>IF($D15="Chickpea after Forage Crop",$H15*ChickpeaAfterForageCrop!$H$135,0)</f>
        <v>0</v>
      </c>
      <c r="DT15" s="5">
        <f>IF($D15="Chickpea after Cereal",$H15*ChickpeaAfterCereal!$H$135,0)</f>
        <v>0</v>
      </c>
      <c r="DU15" s="5">
        <f>IF($D15="Spring Pea after Cereal",$H15*SpringPeaAfterCereal!$H$135,0)</f>
        <v>0</v>
      </c>
      <c r="DV15" s="5">
        <f>IF($D15="Forage Crop-St. John Area",$H15*'ForageCrop-StJohn'!$H$135,0)</f>
        <v>0</v>
      </c>
      <c r="DW15" s="5">
        <f>IF($D15="Forage Crop-Genesee Area",$H15*'ForageCrop-Genesee'!$H$135,0)</f>
        <v>0</v>
      </c>
      <c r="DX15" s="5">
        <f>IF($D15="Livestock Grazing",$H15*LivestockGrazing!$H$135,0)</f>
        <v>0</v>
      </c>
      <c r="DY15" s="5">
        <f>IF($D15="SW Winter Wheat after Cereal",$H15*SWWinterWheatafterCereal!$H$135,0)</f>
        <v>0</v>
      </c>
      <c r="DZ15" s="5">
        <f>IF($D15="SW Winter Wheat after Fallow",$H15*SWWinterWheatAfterFallow!$H$135,0)</f>
        <v>0</v>
      </c>
      <c r="EA15" s="5">
        <f>IF($D15="Chem-Fallow",$H15*'Chem-Fallow'!$H$135,0)</f>
        <v>0</v>
      </c>
      <c r="EB15" s="5">
        <f>IF($D15="Flex-Fallow",$H15*'Flex-Fallow'!$H$135,0)</f>
        <v>0</v>
      </c>
      <c r="EC15" s="5">
        <f>IF($D15="Spring Barley",$H15*SpringBarley!$H$135,0)</f>
        <v>0</v>
      </c>
      <c r="ED15" s="5">
        <f>IF($D15="Roundup Ready Spring Canola",$H15*'SpringCanola_R-Ready'!$H$135,0)</f>
        <v>0</v>
      </c>
      <c r="EE15" s="5">
        <f>IF($D15="Spring Canola",$H15*SpringCanola!$H$135,0)</f>
        <v>0</v>
      </c>
      <c r="EF15" s="5">
        <f>IF($D15="Spring Lentils",$H15*SpringLentils!$H$135,0)</f>
        <v>0</v>
      </c>
      <c r="EG15" s="5">
        <f>IF($D15="SW Spring Wheat",$H15*SWSpringWheat!$H$135,0)</f>
        <v>0</v>
      </c>
      <c r="EH15" s="5">
        <f>IF($D15="HR Winter Wheat",$H15*HRWinterWheat!$H$135,0)</f>
        <v>0</v>
      </c>
      <c r="EI15" s="5">
        <f>IF($D15="Winter Pea",$H15*WinterPea!$H$135,0)</f>
        <v>0</v>
      </c>
      <c r="EJ15" s="5">
        <f>IF($D15="Winter Canola",$H15*WinterCanola!$H$135,0)</f>
        <v>0</v>
      </c>
      <c r="EK15" s="377">
        <f>IF($D15="Forage Crop-Soil Builder Blend",$H15*ForageCrop!$H$135,0)</f>
        <v>0</v>
      </c>
      <c r="EL15" s="5">
        <f>IF($D15="SW Winter Wheat after Spring Legume",$H15*SWWinterWheatAfterSpringLegume!$J$116,0)</f>
        <v>0</v>
      </c>
      <c r="EM15" s="5">
        <f>IF($D15="SW Winter Wheat after Forage Crop",$H15*SWWinterWheatAfterForageCrop!$J$116,0)</f>
        <v>0</v>
      </c>
      <c r="EN15" s="5">
        <f>IF($D15="DN Spring Wheat after Spring Legume",$H15*DNSpringWinterAfterSpringLegume!$J$116,0)</f>
        <v>0</v>
      </c>
      <c r="EO15" s="5">
        <f>IF($D15="DN Spring Wheat after Forage Crop",$H15*DNSpringWheatAfterForageCrop!$J$116,0)</f>
        <v>0</v>
      </c>
      <c r="EP15" s="5">
        <f>IF($D15="DN Spring Wheat after Winter Crop",$H15*DNSpringWheatAfterWinterCrop!$J$116,0)</f>
        <v>18146.171736080902</v>
      </c>
      <c r="EQ15" s="5">
        <f>IF($D15="Chickpea after Forage Crop",$H15*ChickpeaAfterForageCrop!$J$116,0)</f>
        <v>0</v>
      </c>
      <c r="ER15" s="5">
        <f>IF($D15="Chickpea after Cereal",$H15*ChickpeaAfterCereal!$J$116,0)</f>
        <v>0</v>
      </c>
      <c r="ES15" s="5">
        <f>IF($D15="Spring Pea after Cereal",$H15*SpringPeaAfterCereal!$J$116,0)</f>
        <v>0</v>
      </c>
      <c r="ET15" s="5">
        <f>IF($D15="Forage Crop-St. John Area",$H15*'ForageCrop-StJohn'!$J$116,0)</f>
        <v>0</v>
      </c>
      <c r="EU15" s="5">
        <f>IF($D15="Forage Crop-Genesee Area",$H15*'ForageCrop-Genesee'!$J$116,0)</f>
        <v>0</v>
      </c>
      <c r="EV15" s="5">
        <f>IF($D15="Livestock Grazing",$H15*LivestockGrazing!$J$116,0)</f>
        <v>0</v>
      </c>
      <c r="EW15" s="5">
        <f>IF($D15="SW Winter Wheat after Cereal",$H15*SWWinterWheatafterCereal!$J$116,0)</f>
        <v>0</v>
      </c>
      <c r="EX15" s="5">
        <f>IF($D15="SW Winter Wheat after Fallow",$H15*SWWinterWheatAfterFallow!$J$116,0)</f>
        <v>0</v>
      </c>
      <c r="EY15" s="5">
        <f>IF($D15="Chem-Fallow",$H15*'Chem-Fallow'!$J$116,0)</f>
        <v>0</v>
      </c>
      <c r="EZ15" s="5">
        <f>IF($D15="Flex-Fallow",$H15*'Flex-Fallow'!$J$116,0)</f>
        <v>0</v>
      </c>
      <c r="FA15" s="5">
        <f>IF($D15="Spring Barley",$H15*SpringBarley!$J$116,0)</f>
        <v>0</v>
      </c>
      <c r="FB15" s="5">
        <f>IF($D15="Roundup Ready Spring Canola",$H15*'SpringCanola_R-Ready'!$J$116,0)</f>
        <v>0</v>
      </c>
      <c r="FC15" s="5">
        <f>IF($D15="Spring Canola",$H15*SpringCanola!$J$116,0)</f>
        <v>0</v>
      </c>
      <c r="FD15" s="5">
        <f>IF($D15="Spring Lentils",$H15*SpringLentils!$J$116,0)</f>
        <v>0</v>
      </c>
      <c r="FE15" s="5">
        <f>IF($D15="SW Spring Wheat",$H15*SWSpringWheat!$J$116,0)</f>
        <v>0</v>
      </c>
      <c r="FF15" s="5">
        <f>IF($D15="HR Winter Wheat",$H15*HRWinterWheat!$J$116,0)</f>
        <v>0</v>
      </c>
      <c r="FG15" s="5">
        <f>IF($D15="Winter Pea",$H15*WinterPea!$J$116,0)</f>
        <v>0</v>
      </c>
      <c r="FH15" s="5">
        <f>IF($D15="Winter Canola",$H15*WinterCanola!$J$116,0)</f>
        <v>0</v>
      </c>
      <c r="FI15" s="377">
        <f>IF($D15="Forage Crop-Soil Builder Blend",$H15*ForageCrop!$J$116,0)</f>
        <v>0</v>
      </c>
      <c r="FJ15" s="5">
        <f>IF($D15="SW Winter Wheat after Spring Legume",$H15*SWWinterWheatAfterSpringLegume!$J$117,0)</f>
        <v>0</v>
      </c>
      <c r="FK15" s="5">
        <f>IF($D15="SW Winter Wheat after Forage Crop",$H15*SWWinterWheatAfterForageCrop!$J$117,0)</f>
        <v>0</v>
      </c>
      <c r="FL15" s="5">
        <f>IF($D15="DN Spring Wheat after Spring Legume",$H15*DNSpringWinterAfterSpringLegume!$J$117,0)</f>
        <v>0</v>
      </c>
      <c r="FM15" s="5">
        <f>IF($D15="DN Spring Wheat after Forage Crop",$H15*DNSpringWheatAfterForageCrop!$J$117,0)</f>
        <v>0</v>
      </c>
      <c r="FN15" s="5">
        <f>IF($D15="DN Spring Wheat after Winter Crop",$H15*DNSpringWheatAfterWinterCrop!$J$117,0)</f>
        <v>42661.57723096542</v>
      </c>
      <c r="FO15" s="5">
        <f>IF($D15="Chickpea after Forage Crop",$H15*ChickpeaAfterForageCrop!$J$117,0)</f>
        <v>0</v>
      </c>
      <c r="FP15" s="5">
        <f>IF($D15="Chickpea after Cereal",$H15*ChickpeaAfterCereal!$J$117,0)</f>
        <v>0</v>
      </c>
      <c r="FQ15" s="5">
        <f>IF($D15="Spring Pea after Cereal",$H15*SpringPeaAfterCereal!$J$117,0)</f>
        <v>0</v>
      </c>
      <c r="FR15" s="5">
        <f>IF($D15="Forage Crop-St. John Area",$H15*'ForageCrop-StJohn'!$J$117,0)</f>
        <v>0</v>
      </c>
      <c r="FS15" s="5">
        <f>IF($D15="Forage Crop-Genesee Area",$H15*'ForageCrop-Genesee'!$J$117,0)</f>
        <v>0</v>
      </c>
      <c r="FT15" s="5">
        <f>IF($D15="Livestock Grazing",$H15*LivestockGrazing!$J$117,0)</f>
        <v>0</v>
      </c>
      <c r="FU15" s="5">
        <f>IF($D15="SW Winter Wheat after Cereal",$H15*SWWinterWheatafterCereal!$J$117,0)</f>
        <v>0</v>
      </c>
      <c r="FV15" s="5">
        <f>IF($D15="SW Winter Wheat after Fallow",$H15*SWWinterWheatAfterFallow!$J$117,0)</f>
        <v>0</v>
      </c>
      <c r="FW15" s="5">
        <f>IF($D15="Chem-Fallow",$H15*'Chem-Fallow'!$J$117,0)</f>
        <v>0</v>
      </c>
      <c r="FX15" s="5">
        <f>IF($D15="Flex-Fallow",$H15*'Flex-Fallow'!$J$117,0)</f>
        <v>0</v>
      </c>
      <c r="FY15" s="5">
        <f>IF($D15="Spring Barley",$H15*SpringBarley!$J$117,0)</f>
        <v>0</v>
      </c>
      <c r="FZ15" s="5">
        <f>IF($D15="Roundup Ready Spring Canola",$H15*'SpringCanola_R-Ready'!$J$117,0)</f>
        <v>0</v>
      </c>
      <c r="GA15" s="5">
        <f>IF($D15="Spring Canola",$H15*SpringCanola!$J$117,0)</f>
        <v>0</v>
      </c>
      <c r="GB15" s="5">
        <f>IF($D15="Spring Lentils",$H15*SpringLentils!$J$117,0)</f>
        <v>0</v>
      </c>
      <c r="GC15" s="5">
        <f>IF($D15="SW Spring Wheat",$H15*SWSpringWheat!$J$117,0)</f>
        <v>0</v>
      </c>
      <c r="GD15" s="5">
        <f>IF($D15="HR Winter Wheat",$H15*HRWinterWheat!$J$117,0)</f>
        <v>0</v>
      </c>
      <c r="GE15" s="5">
        <f>IF($D15="Winter Pea",$H15*WinterPea!$J$117,0)</f>
        <v>0</v>
      </c>
      <c r="GF15" s="5">
        <f>IF($D15="Winter Canola",$H15*WinterCanola!$J$117,0)</f>
        <v>0</v>
      </c>
      <c r="GG15" s="377">
        <f>IF($D15="Forage Crop-Soil Builder Blend",$H15*ForageCrop!$J$117,0)</f>
        <v>0</v>
      </c>
      <c r="GH15" s="5">
        <f>IF($D15="SW Winter Wheat after Spring Legume",$H15*SWWinterWheatAfterSpringLegume!$L$118,0)</f>
        <v>0</v>
      </c>
      <c r="GI15" s="5">
        <f>IF($D15="SW Winter Wheat after Forage Crop",$H15*SWWinterWheatAfterForageCrop!$L$118,0)</f>
        <v>0</v>
      </c>
      <c r="GJ15" s="5">
        <f>IF($D15="DN Spring Wheat after Spring Legume",$H15*DNSpringWinterAfterSpringLegume!$L$118,0)</f>
        <v>0</v>
      </c>
      <c r="GK15" s="5">
        <f>IF($D15="DN Spring Wheat after Forage Crop",$H15*DNSpringWheatAfterForageCrop!$L$118,0)</f>
        <v>0</v>
      </c>
      <c r="GL15" s="5">
        <f>IF($D15="DN Spring Wheat after Winter Crop",$H15*DNSpringWheatAfterWinterCrop!$L$118,0)</f>
        <v>17753.097846472047</v>
      </c>
      <c r="GM15" s="5">
        <f>IF($D15="Chickpea after Forage Crop",$H15*ChickpeaAfterForageCrop!$L$118,0)</f>
        <v>0</v>
      </c>
      <c r="GN15" s="5">
        <f>IF($D15="Chickpea after Cereal",$H15*ChickpeaAfterCereal!$L$118,0)</f>
        <v>0</v>
      </c>
      <c r="GO15" s="5">
        <f>IF($D15="Spring Pea after Cereal",$H15*SpringPeaAfterCereal!$L$118,0)</f>
        <v>0</v>
      </c>
      <c r="GP15" s="5">
        <f>IF($D15="Forage Crop-St. John Area",$H15*'ForageCrop-StJohn'!$L$118,0)</f>
        <v>0</v>
      </c>
      <c r="GQ15" s="5">
        <f>IF($D15="Forage Crop-Genesee Area",$H15*'ForageCrop-Genesee'!$L$118,0)</f>
        <v>0</v>
      </c>
      <c r="GR15" s="5">
        <f>IF($D15="Livestock Grazing",$H15*LivestockGrazing!$L$118,0)</f>
        <v>0</v>
      </c>
      <c r="GS15" s="5">
        <f>IF($D15="SW Winter Wheat after Cereal",$H15*SWWinterWheatafterCereal!$L$118,0)</f>
        <v>0</v>
      </c>
      <c r="GT15" s="5">
        <f>IF($D15="SW Winter Wheat after Fallow",$H15*SWWinterWheatAfterFallow!$L$118,0)</f>
        <v>0</v>
      </c>
      <c r="GU15" s="5">
        <f>IF($D15="Chem-Fallow",$H15*'Chem-Fallow'!$L$118,0)</f>
        <v>0</v>
      </c>
      <c r="GV15" s="5">
        <f>IF($D15="Flex-Fallow",$H15*'Flex-Fallow'!$L$118,0)</f>
        <v>0</v>
      </c>
      <c r="GW15" s="5">
        <f>IF($D15="Spring Barley",$H15*SpringBarley!$L$118,0)</f>
        <v>0</v>
      </c>
      <c r="GX15" s="5">
        <f>IF($D15="Roundup Ready Spring Canola",$H15*'SpringCanola_R-Ready'!$L$118,0)</f>
        <v>0</v>
      </c>
      <c r="GY15" s="5">
        <f>IF($D15="Spring Canola",$H15*SpringCanola!$L$118,0)</f>
        <v>0</v>
      </c>
      <c r="GZ15" s="5">
        <f>IF($D15="Spring Lentils",$H15*SpringLentils!$L$118,0)</f>
        <v>0</v>
      </c>
      <c r="HA15" s="5">
        <f>IF($D15="SW Spring Wheat",$H15*SWSpringWheat!$L$118,0)</f>
        <v>0</v>
      </c>
      <c r="HB15" s="5">
        <f>IF($D15="HR Winter Wheat",$H15*HRWinterWheat!$L$118,0)</f>
        <v>0</v>
      </c>
      <c r="HC15" s="5">
        <f>IF($D15="Winter Pea",$H15*WinterPea!$L$118,0)</f>
        <v>0</v>
      </c>
      <c r="HD15" s="5">
        <f>IF($D15="Winter Canola",$H15*WinterCanola!$L$118,0)</f>
        <v>0</v>
      </c>
      <c r="HE15" s="377">
        <f>IF($D15="Forage Crop-Soil Builder Blend",$H15*ForageCrop!$L$118,0)</f>
        <v>0</v>
      </c>
      <c r="HF15" s="5">
        <f>IF($D15="SW Winter Wheat after Spring Legume",($H15*(SUM(SWWinterWheatAfterSpringLegume!$E$9:$E$16)+SWWinterWheatAfterSpringLegume!$G$16))/2000,0)</f>
        <v>0</v>
      </c>
      <c r="HG15" s="5">
        <f>IF($D15="SW Winter Wheat after Forage Crop",($H15*(SUM(SWWinterWheatAfterForageCrop!$E$9:$E$16)+SWWinterWheatAfterForageCrop!$G$17))/2000,0)</f>
        <v>0</v>
      </c>
      <c r="HH15" s="5">
        <f>IF($D15="DN Spring Wheat after Spring Legume",($H15*(SUM(DNSpringWinterAfterSpringLegume!$E$9:$E$16)+DNSpringWinterAfterSpringLegume!$G$16))/2000,0)</f>
        <v>0</v>
      </c>
      <c r="HI15" s="5">
        <f>IF($D15="DN Spring Wheat after Forage Crop",($H15*(SUM(DNSpringWheatAfterForageCrop!$E$9:$E$16)+DNSpringWheatAfterForageCrop!$G$14))/2000,0)</f>
        <v>0</v>
      </c>
      <c r="HJ15" s="5">
        <f>IF($D15="DN Spring Wheat after Winter Crop",($H15*(SUM(DNSpringWheatAfterWinterCrop!$E$9:$E$16)+DNSpringWheatAfterWinterCrop!$G$16))/2000,0)</f>
        <v>90.956249999999997</v>
      </c>
      <c r="HK15" s="5">
        <f>IF($D15="Chickpea after Forage Crop",($H15*(SUM(ChickpeaAfterForageCrop!$E$9:$E$16)+ChickpeaAfterForageCrop!$G$14))/2000,0)</f>
        <v>0</v>
      </c>
      <c r="HL15" s="5">
        <f>IF($D15="Chickpea after Cereal",($H15*(SUM(ChickpeaAfterCereal!$E$9:$E$16)+ChickpeaAfterCereal!$G$14))/2000,0)</f>
        <v>0</v>
      </c>
      <c r="HM15" s="5">
        <f>IF($D15="Spring Pea after Cereal",($H15*(SUM(SpringPeaAfterCereal!$E$9:$E$16)+SpringPeaAfterCereal!$G$14))/2000,0)</f>
        <v>0</v>
      </c>
      <c r="HN15" s="5">
        <f>IF($D15="Forage Crop-St. John Area",($H15*(SUM('ForageCrop-StJohn'!$E$9:$E$16)+'ForageCrop-StJohn'!$G$14))/2000,0)</f>
        <v>0</v>
      </c>
      <c r="HO15" s="5">
        <f>IF($D15="Forage Crop-Genesee Area",($H15*(SUM('ForageCrop-Genesee'!$E$9:$E$16)+'ForageCrop-Genesee'!$G$14))/2000,0)</f>
        <v>0</v>
      </c>
      <c r="HP15" s="5">
        <f>IF($D15="Livestock Grazing",($H15*(SUM(LivestockGrazing!$E$9:$E$16)+LivestockGrazing!$G$14))/2000,0)</f>
        <v>0</v>
      </c>
      <c r="HQ15" s="5">
        <f>IF($D15="SW Winter Wheat after Cereal",($H15*(SUM(SWWinterWheatafterCereal!$E$9:$E$16)+SWWinterWheatafterCereal!$G$16))/2000,0)</f>
        <v>0</v>
      </c>
      <c r="HR15" s="5">
        <f>IF($D15="SW Winter Wheat after Fallow",($H15*(SUM(SWWinterWheatAfterFallow!$E$9:$E$16)+SWWinterWheatAfterFallow!$G$14))/2000,0)</f>
        <v>0</v>
      </c>
      <c r="HS15" s="5">
        <f>IF($D15="Chem-Fallow",($H15*(SUM('Chem-Fallow'!$E$9:$E$16)+'Chem-Fallow'!$G$16))/2000,0)</f>
        <v>0</v>
      </c>
      <c r="HT15" s="5">
        <f>IF($D15="Flex-Fallow",($H15*(SUM('Flex-Fallow'!$E$9:$E$16)+'Flex-Fallow'!$G$16))/2000,0)</f>
        <v>0</v>
      </c>
      <c r="HU15" s="5">
        <f>IF($D15="Spring Barley",($H15*(SUM(SpringBarley!$E$9:$E$16)+SpringBarley!$G$16))/2000,0)</f>
        <v>0</v>
      </c>
      <c r="HV15" s="5">
        <f>IF($D15="Roundup Ready Spring Canola",($H15*(SUM('SpringCanola_R-Ready'!$E$9:$E$16)+'SpringCanola_R-Ready'!$G$14))/2000,0)</f>
        <v>0</v>
      </c>
      <c r="HW15" s="5">
        <f>IF($D15="Spring Canola",($H15*(SUM(SpringCanola!$E$9:$E$16)+SpringCanola!$G$14))/2000,0)</f>
        <v>0</v>
      </c>
      <c r="HX15" s="5">
        <f>IF($D15="Spriing Lentils",($H15*(SUM(SpringLentils!$E$9:$E$16)+SpringLentils!$G$14))/2000,0)</f>
        <v>0</v>
      </c>
      <c r="HY15" s="5">
        <f>IF($D15="SW Spring Wheat",($H15*(SUM(SWSpringWheat!$E$9:$E$16)+SWSpringWheat!$G$18))/2000,0)</f>
        <v>0</v>
      </c>
      <c r="HZ15" s="5">
        <f>IF($D15="HR Winter Wheat",($H15*(SUM(HRWinterWheat!$E$9:$E$16)+HRWinterWheat!$G$16))/2000,0)</f>
        <v>0</v>
      </c>
      <c r="IA15" s="5">
        <f>IF($D15="Winter Pea",($H15*(SUM(WinterPea!$E$9:$E$16)+WinterPea!$G$14))/2000,0)</f>
        <v>0</v>
      </c>
      <c r="IB15" s="5">
        <f>IF($D15="Winter Canola",($H15*(SUM(WinterCanola!$E$9:$E$16)+WinterCanola!$G$14))/2000,0)</f>
        <v>0</v>
      </c>
      <c r="IC15" s="377">
        <f>IF($D15="Forage Crop-Soil Builder Blend",($H15*(SUM(ForageCrop!$E$9:$E$16)+ForageCrop!$G$14))/2000,0)</f>
        <v>0</v>
      </c>
      <c r="ID15" s="5">
        <f>IF($D15="SW Winter Wheat after Spring Legume",$H15*SWWinterWheatAfterSpringLegume!$G$62,0)</f>
        <v>0</v>
      </c>
      <c r="IE15" s="5">
        <f>IF($D15="SW Winter Wheat after Forage Crop",$H15*SWWinterWheatAfterForageCrop!$G$62,0)</f>
        <v>0</v>
      </c>
      <c r="IF15" s="5">
        <f>IF($D15="DN Spring Wheat after Spring Legume",$H15*DNSpringWinterAfterSpringLegume!$G$62,0)</f>
        <v>0</v>
      </c>
      <c r="IG15" s="5">
        <f>IF($D15="DN Spring Wheat after Forage Crop",$H15*DNSpringWheatAfterForageCrop!$G$62,0)</f>
        <v>0</v>
      </c>
      <c r="IH15" s="5">
        <f>IF($D15="DN Spring Wheat after Winter Crop",$H15*DNSpringWheatAfterWinterCrop!$G$62,0)</f>
        <v>651.708984375</v>
      </c>
      <c r="II15" s="5">
        <f>IF($D15="Chickpea after Forage Crop",$H15*ChickpeaAfterForageCrop!$G$62,0)</f>
        <v>0</v>
      </c>
      <c r="IJ15" s="5">
        <f>IF($D15="Chickpea after Cereal",$H15*ChickpeaAfterCereal!$G$62,0)</f>
        <v>0</v>
      </c>
      <c r="IK15" s="5">
        <f>IF($D15="Spring Pea after Cereal",$H15*SpringPeaAfterCereal!$G$62,0)</f>
        <v>0</v>
      </c>
      <c r="IL15" s="5">
        <f>IF($D15="Forage Crop-St. John Area",$H15*'ForageCrop-StJohn'!$G$62,0)</f>
        <v>0</v>
      </c>
      <c r="IM15" s="5">
        <f>IF($D15="Forage Crop-Genesee Area",$H15*'ForageCrop-Genesee'!$G$62,0)</f>
        <v>0</v>
      </c>
      <c r="IN15" s="5">
        <f>IF($D15="Livestock Grazing",$H15*LivestockGrazing!$G$62,0)</f>
        <v>0</v>
      </c>
      <c r="IO15" s="5">
        <f>IF($D15="SW Winter Wheat after Cereal",$H15*SWWinterWheatafterCereal!$G$62,0)</f>
        <v>0</v>
      </c>
      <c r="IP15" s="5">
        <f>IF($D15="SW Winter Wheat after Fallow",$H15*SWWinterWheatAfterFallow!$G$62,0)</f>
        <v>0</v>
      </c>
      <c r="IQ15" s="5">
        <f>IF($D15="Chem-Fallow",$H15*'Chem-Fallow'!$G$62,0)</f>
        <v>0</v>
      </c>
      <c r="IR15" s="5">
        <f>IF($D15="Flex-Fallow",$H15*'Flex-Fallow'!$G$62,0)</f>
        <v>0</v>
      </c>
      <c r="IS15" s="5">
        <f>IF($D15="Spring Barley",$H15*SpringBarley!$G$62,0)</f>
        <v>0</v>
      </c>
      <c r="IT15" s="5">
        <f>IF($D15="Roundup Ready Spring Canola",$H15*'SpringCanola_R-Ready'!$G$62,0)</f>
        <v>0</v>
      </c>
      <c r="IU15" s="5">
        <f>IF($D15="Spring Canola",$H15*SpringCanola!$G$62,0)</f>
        <v>0</v>
      </c>
      <c r="IV15" s="5">
        <f>IF($D15="Spriing Lentils",$H15*SpringLentils!$G$62,0)</f>
        <v>0</v>
      </c>
      <c r="IW15" s="5">
        <f>IF($D15="SW Spring Wheat",$H15*SWSpringWheat!$G$62,0)</f>
        <v>0</v>
      </c>
      <c r="IX15" s="5">
        <f>IF($D15="HR Winter Wheat",$H15*HRWinterWheat!$G$62,0)</f>
        <v>0</v>
      </c>
      <c r="IY15" s="5">
        <f>IF($D15="Winter Pea",$H15*WinterPea!$G$62,0)</f>
        <v>0</v>
      </c>
      <c r="IZ15" s="5">
        <f>IF($D15="Winter Canola",$H15*+WinterCanola!$G$62,0)</f>
        <v>0</v>
      </c>
      <c r="JA15" s="5">
        <f>IF($D15="Forage Crop-Soil Builder Blend",$H15*ForageCrop!$G$62,0)</f>
        <v>0</v>
      </c>
      <c r="JB15" s="5">
        <f>IF($D15="SW Winter Wheat after Spring Legume",$H15*SWWinterWheatAfterSpringLegume!$E$4,0)</f>
        <v>0</v>
      </c>
      <c r="JC15" s="5">
        <f>IF($D15="SW Winter Wheat after Forage Crop",$H15*SWWinterWheatAfterForageCrop!$E$4,0)</f>
        <v>0</v>
      </c>
      <c r="JD15" s="5">
        <f>IF($D15="DN Spring Wheat after Spring Legume",$H15*DNSpringWinterAfterSpringLegume!$E$4,0)</f>
        <v>0</v>
      </c>
      <c r="JE15" s="5">
        <f>IF($D15="DN Spring Wheat after Forage Crop",$H15*DNSpringWheatAfterForageCrop!$E$4,0)</f>
        <v>0</v>
      </c>
      <c r="JF15" s="5">
        <f>IF($D15="DN Spring Wheat after Winter Crop",$H15*DNSpringWheatAfterWinterCrop!$E$4,0)</f>
        <v>67500</v>
      </c>
      <c r="JG15" s="5">
        <f>IF($D15="Chickpea after Forage Crop",$H15*ChickpeaAfterForageCrop!$E$4,0)</f>
        <v>0</v>
      </c>
      <c r="JH15" s="5">
        <f>IF($D15="Chickpea after Cereal",$H15*ChickpeaAfterCereal!$E$4,0)</f>
        <v>0</v>
      </c>
      <c r="JI15" s="5">
        <f>IF($D15="Spring Pea after Cereal",$H15*SpringPeaAfterCereal!$E$4,0)</f>
        <v>0</v>
      </c>
      <c r="JJ15" s="5">
        <f>IF($D15="Forage Crop-St. John Area",$H15*'ForageCrop-StJohn'!$E$4,0)</f>
        <v>0</v>
      </c>
      <c r="JK15" s="5">
        <f>IF($D15="Forage Crop-Genesee Area",$H15*'ForageCrop-Genesee'!$E$4,0)</f>
        <v>0</v>
      </c>
      <c r="JL15" s="5">
        <f>IF($D15="Livestock Grazing",$H15*LivestockGrazing!$E$4,0)</f>
        <v>0</v>
      </c>
      <c r="JM15" s="5">
        <f>IF($D15="SW Winter Wheat after Cereal",$H15*SWWinterWheatafterCereal!$E$4,0)</f>
        <v>0</v>
      </c>
      <c r="JN15" s="5">
        <f>IF($D15="SW Winter Wheat after Fallow",$H15*SWWinterWheatAfterFallow!$E$4,0)</f>
        <v>0</v>
      </c>
      <c r="JO15" s="5">
        <f>IF($D15="Chem-Fallow",$H15*'Chem-Fallow'!$E$4,0)</f>
        <v>0</v>
      </c>
      <c r="JP15" s="5">
        <f>IF($D15="Flex-Fallow",$H15*'Flex-Fallow'!$E$4,0)</f>
        <v>0</v>
      </c>
      <c r="JQ15" s="5">
        <f>IF($D15="Spring Barley",$H15*SpringBarley!$E$4,0)</f>
        <v>0</v>
      </c>
      <c r="JR15" s="5">
        <f>IF($D15="Roundup Ready Spring Canola",$H15*'SpringCanola_R-Ready'!$E$4,0)</f>
        <v>0</v>
      </c>
      <c r="JS15" s="5">
        <f>IF($D15="Spring Canola",$H15*SpringCanola!$E$4,0)</f>
        <v>0</v>
      </c>
      <c r="JT15" s="5">
        <f>IF($D15="Spriing Lentils",$H15*SpringLentils!$E$4,0)</f>
        <v>0</v>
      </c>
      <c r="JU15" s="5">
        <f>IF($D15="SW Spring Wheat",$H15*SWSpringWheat!$E$4,0)</f>
        <v>0</v>
      </c>
      <c r="JV15" s="5">
        <f>IF($D15="HR Winter Wheat",$H15*HRWinterWheat!$E$4,0)</f>
        <v>0</v>
      </c>
      <c r="JW15" s="5">
        <f>IF($D15="Winter Pea",$H15*WinterPea!$E$4,0)</f>
        <v>0</v>
      </c>
      <c r="JX15" s="5">
        <f>IF($D15="Winter Canola",$H15*+WinterCanola!$E$4,0)</f>
        <v>0</v>
      </c>
      <c r="JY15" s="5">
        <f>IF($D15="Forage Crop-Soil Builder Blend",$H15*ForageCrop!$E$4,0)</f>
        <v>0</v>
      </c>
    </row>
    <row r="16" spans="1:297" ht="20" customHeight="1">
      <c r="A16" s="8"/>
      <c r="B16" s="701"/>
      <c r="C16" s="632">
        <v>3</v>
      </c>
      <c r="D16" s="633" t="s">
        <v>140</v>
      </c>
      <c r="E16" s="627">
        <v>0.1</v>
      </c>
      <c r="F16" s="628">
        <f>IF(D16="Livestock Grazing",0,E16)</f>
        <v>0.1</v>
      </c>
      <c r="G16" s="629">
        <f>IF(D16="Livestock Grazing",0,$I$2*E16)</f>
        <v>250</v>
      </c>
      <c r="H16" s="630">
        <f>$I$2*E16</f>
        <v>250</v>
      </c>
      <c r="I16" s="634">
        <f>SUM(AT16:BQ16)</f>
        <v>2.5648027050240785</v>
      </c>
      <c r="J16" s="159"/>
      <c r="M16" s="147"/>
      <c r="N16" s="241" t="s">
        <v>129</v>
      </c>
      <c r="O16" s="242">
        <v>19025.161209340673</v>
      </c>
      <c r="P16" s="242">
        <f>SUM('Farm and Rotation Setup'!BR14:CO18)</f>
        <v>1567253.3394036049</v>
      </c>
      <c r="Q16" s="243">
        <f t="shared" ref="Q16:Q23" si="1">IF(P16=0,"",((P16-O16)/O16))</f>
        <v>81.377926902093193</v>
      </c>
      <c r="R16" s="147"/>
      <c r="S16" s="147"/>
      <c r="T16" s="159"/>
      <c r="V16" s="5">
        <f>IF($D16="SW Winter Wheat after Spring Legume",$H16,0)</f>
        <v>0</v>
      </c>
      <c r="W16" s="5">
        <f>IF($D16="SW Winter Wheat after Forage Crop",$H16,0)</f>
        <v>0</v>
      </c>
      <c r="X16" s="5">
        <f>IF($D16="DN Spring Wheat after Spring Legume",$H16,0)</f>
        <v>0</v>
      </c>
      <c r="Y16" s="5">
        <f>IF($D16="DN Spring Wheat after Forage Crop",$H16,0)</f>
        <v>0</v>
      </c>
      <c r="Z16" s="5">
        <f>IF($D16="DN Spring Wheat after Winter Crop",$H16,0)</f>
        <v>0</v>
      </c>
      <c r="AA16" s="5">
        <f>IF($D16="Chickpea after Forage Crop",$H16,0)</f>
        <v>0</v>
      </c>
      <c r="AB16" s="5">
        <f>IF($D16="Chickpea after Cereal",$H16,0)</f>
        <v>0</v>
      </c>
      <c r="AC16" s="5">
        <f>IF($D16="Spring Pea after Cereal",$H16,0)</f>
        <v>0</v>
      </c>
      <c r="AD16" s="5">
        <f>IF($D16="Forage Crop-St. John Area",$H16,0)</f>
        <v>0</v>
      </c>
      <c r="AE16" s="5">
        <f>IF($D16="Forage Crop-Genesee Area",$H16,0)</f>
        <v>0</v>
      </c>
      <c r="AF16" s="5">
        <f>IF($D16="Livestock Grazing",$H16,0)</f>
        <v>0</v>
      </c>
      <c r="AG16" s="5">
        <f>IF($D16="SW Winter Wheat after Cereal",$H16,0)</f>
        <v>0</v>
      </c>
      <c r="AH16" s="5">
        <f>IF($D16="SW Winter Wheat after Fallow",$H16,0)</f>
        <v>0</v>
      </c>
      <c r="AI16" s="5">
        <f>IF($D16="Chem-Fallow",$H16,0)</f>
        <v>0</v>
      </c>
      <c r="AJ16" s="5">
        <f>IF($D16="Flex-Fallow",$H16,0)</f>
        <v>0</v>
      </c>
      <c r="AK16" s="5">
        <f>IF($D16="Spring Barley",$H16,0)</f>
        <v>0</v>
      </c>
      <c r="AL16" s="5">
        <f>IF($D16="Roundup Ready Spring Canola",$H16,0)</f>
        <v>0</v>
      </c>
      <c r="AM16" s="5">
        <f>IF($D16="Spring Canola",$H16,0)</f>
        <v>0</v>
      </c>
      <c r="AN16" s="5">
        <f>IF($D16="Spring Lentils",$H16,0)</f>
        <v>0</v>
      </c>
      <c r="AO16" s="5">
        <f>IF($D16="SW Spring Wheat",$H16,0)</f>
        <v>0</v>
      </c>
      <c r="AP16" s="5">
        <f>IF($D16="HR Winter Wheat",$H16,0)</f>
        <v>0</v>
      </c>
      <c r="AQ16" s="5">
        <f>IF($D16="Winter Pea",$H16,0)</f>
        <v>250</v>
      </c>
      <c r="AR16" s="5">
        <f>IF($D16="Winter Canola",$H16,0)</f>
        <v>0</v>
      </c>
      <c r="AS16" s="377">
        <f>IF($D16="Forage Crop-Soil Builder Blend",$H16,0)</f>
        <v>0</v>
      </c>
      <c r="AT16" s="5">
        <f>IF($D16="SW Winter Wheat after Spring Legume",SWWinterWheatAfterSpringLegume!$H$138,0)</f>
        <v>0</v>
      </c>
      <c r="AU16" s="5">
        <f>IF($D16="SW Winter Wheat after Forage Crop",SWWinterWheatAfterForageCrop!$H$138,0)</f>
        <v>0</v>
      </c>
      <c r="AV16" s="5">
        <f>IF($D16="DN Spring Wheat after Spring Legume",DNSpringWinterAfterSpringLegume!$H$138,0)</f>
        <v>0</v>
      </c>
      <c r="AW16" s="5">
        <f>IF($D16="DN Spring Wheat after Forage Crop",DNSpringWheatAfterForageCrop!$H$138,0)</f>
        <v>0</v>
      </c>
      <c r="AX16" s="5">
        <f>IF($D16="DN Spring Wheat after Winter Crop",DNSpringWheatAfterWinterCrop!$H$138,0)</f>
        <v>0</v>
      </c>
      <c r="AY16" s="5">
        <f>IF($D16="Chickpea after Forage Crop",ChickpeaAfterForageCrop!$H$138,0)</f>
        <v>0</v>
      </c>
      <c r="AZ16" s="5">
        <f>IF($D16="Chickpea after Cereal",ChickpeaAfterCereal!$H$138,0)</f>
        <v>0</v>
      </c>
      <c r="BA16" s="5">
        <f>IF($D16="Spring Pea after Cereal",SpringPeaAfterCereal!$H$138,0)</f>
        <v>0</v>
      </c>
      <c r="BB16" s="5">
        <f>IF($D16="Forage Crop-St. John Area",'ForageCrop-StJohn'!$H$138,0)</f>
        <v>0</v>
      </c>
      <c r="BC16" s="5">
        <f>IF($D16="Forage Crop-Genesee Area",'ForageCrop-Genesee'!$H$138,0)</f>
        <v>0</v>
      </c>
      <c r="BD16" s="5">
        <f>IF($D16="Livestock Grazing",LivestockGrazing!$H$138,0)</f>
        <v>0</v>
      </c>
      <c r="BE16" s="5">
        <f>IF($D16="SW Winter Wheat after Cereal",SWWinterWheatafterCereal!$H$138,0)</f>
        <v>0</v>
      </c>
      <c r="BF16" s="5">
        <f>IF($D16="SW Winter Wheat after Fallow",SWWinterWheatAfterFallow!$H$138,0)</f>
        <v>0</v>
      </c>
      <c r="BG16" s="5">
        <f>IF($D16="Chem-Fallow",'Chem-Fallow'!$H$138,0)</f>
        <v>0</v>
      </c>
      <c r="BH16" s="5">
        <f>IF($D16="Flex-Fallow",'Flex-Fallow'!$H$138,0)</f>
        <v>0</v>
      </c>
      <c r="BI16" s="5">
        <f>IF($D16="Spring Barley",SpringBarley!$H$138,0)</f>
        <v>0</v>
      </c>
      <c r="BJ16" s="5">
        <f>IF($D16="Roundup Ready Spring Canola",'SpringCanola_R-Ready'!$H$138,0)</f>
        <v>0</v>
      </c>
      <c r="BK16" s="5">
        <f>IF($D16="Spring Canola",SpringCanola!$H$138,0)</f>
        <v>0</v>
      </c>
      <c r="BL16" s="5">
        <f>IF($D16="Spring Lentils",SpringLentils!$H$138,0)</f>
        <v>0</v>
      </c>
      <c r="BM16" s="5">
        <f>IF($D16="SW Spring Wheat",SWSpringWheat!$H$138,0)</f>
        <v>0</v>
      </c>
      <c r="BN16" s="5">
        <f>IF($D16="HR Winter Wheat",HRWinterWheat!$H$138,0)</f>
        <v>0</v>
      </c>
      <c r="BO16" s="5">
        <f>IF($D16="Winter Pea",WinterPea!$H$138,0)</f>
        <v>2.5648027050240785</v>
      </c>
      <c r="BP16" s="5">
        <f>IF($D16="Winter Canola",WinterCanola!$H$138,0)</f>
        <v>0</v>
      </c>
      <c r="BQ16" s="377">
        <f>IF($D16="Forage Crop-Soil Builder Blend",ForageCrop!$H$138,0)</f>
        <v>0</v>
      </c>
      <c r="BR16" s="5">
        <f>IF($D16="SW Winter Wheat after Spring Legume",H16*SWWinterWheatAfterSpringLegume!$H$138,0)</f>
        <v>0</v>
      </c>
      <c r="BS16" s="5">
        <f>IF($D16="SW Winter Wheat after Forage Crop",H16*SWWinterWheatAfterForageCrop!$H$138,0)</f>
        <v>0</v>
      </c>
      <c r="BT16" s="5">
        <f>IF($D16="DN Spring Wheat after Spring Legume",H16*DNSpringWinterAfterSpringLegume!$H$138,0)</f>
        <v>0</v>
      </c>
      <c r="BU16" s="5">
        <f>IF($D16="DN Spring Wheat after Forage Crop",H16*DNSpringWheatAfterForageCrop!$H$138,0)</f>
        <v>0</v>
      </c>
      <c r="BV16" s="5">
        <f>IF($D16="DN Spring Wheat after Winter Crop",H16*DNSpringWheatAfterWinterCrop!$H$138,0)</f>
        <v>0</v>
      </c>
      <c r="BW16" s="5">
        <f>IF($D16="Chickpea after Forage Crop",H16*ChickpeaAfterForageCrop!$H$138,0)</f>
        <v>0</v>
      </c>
      <c r="BX16" s="5">
        <f>IF($D16="Chickpea after Cereal",H16*ChickpeaAfterCereal!$H$138,0)</f>
        <v>0</v>
      </c>
      <c r="BY16" s="5">
        <f>IF($D16="Spring Pea after Cereal",H16*SpringPeaAfterCereal!$H$138,0)</f>
        <v>0</v>
      </c>
      <c r="BZ16" s="5">
        <f>IF($D16="Forage Crop-St. John Area",H16*'ForageCrop-StJohn'!$H$138,0)</f>
        <v>0</v>
      </c>
      <c r="CA16" s="5">
        <f>IF($D16="Forage Crop-Genesee Area",H16*'ForageCrop-Genesee'!$H$138,0)</f>
        <v>0</v>
      </c>
      <c r="CB16" s="5">
        <f>IF($D16="Livestock Grazing",H16*LivestockGrazing!$H$138,0)</f>
        <v>0</v>
      </c>
      <c r="CC16" s="5">
        <f>IF($D16="SW Winter Wheat after Cereal",H16*SWWinterWheatafterCereal!$H$138,0)</f>
        <v>0</v>
      </c>
      <c r="CD16" s="5">
        <f>IF($D16="SW Winter Wheat after Fallow",H16*SWWinterWheatAfterFallow!$H$138,0)</f>
        <v>0</v>
      </c>
      <c r="CE16" s="5">
        <f>IF($D16="Chem-Fallow",H16*'Chem-Fallow'!$H$138,0)</f>
        <v>0</v>
      </c>
      <c r="CF16" s="5">
        <f>IF($D16="Flex-Fallow",H16*'Flex-Fallow'!$H$138,0)</f>
        <v>0</v>
      </c>
      <c r="CG16" s="5">
        <f>IF($D16="Spring Barley",H16*SpringBarley!$H$138,0)</f>
        <v>0</v>
      </c>
      <c r="CH16" s="5">
        <f>IF($D16="Roundup Ready Spring Canola",H16*'SpringCanola_R-Ready'!$H$138,0)</f>
        <v>0</v>
      </c>
      <c r="CI16" s="5">
        <f>IF($D16="Spring Canola",H16*SpringCanola!$H$138,0)</f>
        <v>0</v>
      </c>
      <c r="CJ16" s="5">
        <f>IF($D16="Spring Lentils",H16*SpringLentils!$H$138,0)</f>
        <v>0</v>
      </c>
      <c r="CK16" s="5">
        <f>IF($D16="SW Spring Wheat",H16*SWSpringWheat!$H$138,0)</f>
        <v>0</v>
      </c>
      <c r="CL16" s="5">
        <f>IF($D16="HR Winter Wheat",H16*HRWinterWheat!$H$138,0)</f>
        <v>0</v>
      </c>
      <c r="CM16" s="5">
        <f>IF($D16="Winter Pea",H16*WinterPea!$H$138,0)</f>
        <v>641.20067625601962</v>
      </c>
      <c r="CN16" s="5">
        <f>IF($D16="Winter Canola",H16*WinterCanola!$H$138,0)</f>
        <v>0</v>
      </c>
      <c r="CO16" s="377">
        <f>IF($D16="Forage Crop-Soil Builder Blend",H16*ForageCrop!$H$138,0)</f>
        <v>0</v>
      </c>
      <c r="CP16" s="5">
        <f>IF($D16="SW Winter Wheat after Spring Legume",H16*'Prices_Yields&amp;SeedInputs'!J$5,0)</f>
        <v>0</v>
      </c>
      <c r="CQ16" s="5">
        <f>IF($D16="SW Winter Wheat after Forage Crop",H16*'Prices_Yields&amp;SeedInputs'!J$6,0)</f>
        <v>0</v>
      </c>
      <c r="CR16" s="5">
        <f>IF($D16="DN Spring Wheat after Spring Legume",H16*'Prices_Yields&amp;SeedInputs'!J$7,0)</f>
        <v>0</v>
      </c>
      <c r="CS16" s="5">
        <f>IF($D16="DN Spring Wheat after Forage Crop",H16*'Prices_Yields&amp;SeedInputs'!J$8,0)</f>
        <v>0</v>
      </c>
      <c r="CT16" s="5">
        <f>IF($D16="DN Spring Wheat after Winter Crop",H16*'Prices_Yields&amp;SeedInputs'!J$9,0)</f>
        <v>0</v>
      </c>
      <c r="CU16" s="5">
        <f>IF($D16="Chickpea after Forage Crop",H16*'Prices_Yields&amp;SeedInputs'!J$10,0)</f>
        <v>0</v>
      </c>
      <c r="CV16" s="5">
        <f>IF($D16="Chickpea after Cereal",H16*'Prices_Yields&amp;SeedInputs'!J$11,0)</f>
        <v>0</v>
      </c>
      <c r="CW16" s="5">
        <f>IF($D16="Spring Pea after Cereal",H16*'Prices_Yields&amp;SeedInputs'!J$12,0)</f>
        <v>0</v>
      </c>
      <c r="CX16" s="5">
        <f>IF($D16="Forage Crop-St. John Area",H16*'Prices_Yields&amp;SeedInputs'!J$13,0)</f>
        <v>0</v>
      </c>
      <c r="CY16" s="5">
        <f>IF($D16="Forage Crop-Genesee Area",H16*'Prices_Yields&amp;SeedInputs'!J$14,0)</f>
        <v>0</v>
      </c>
      <c r="CZ16" s="5">
        <f>IF($D16="Livestock Grazing",H16*'Prices_Yields&amp;SeedInputs'!J$15,0)</f>
        <v>0</v>
      </c>
      <c r="DA16" s="5">
        <f>IF($D16="SW Winter Wheat after Cereal",H16*'Prices_Yields&amp;SeedInputs'!J$16,0)</f>
        <v>0</v>
      </c>
      <c r="DB16" s="5">
        <f>IF($D16="SW Winter Wheat after Fallow",H16*'Prices_Yields&amp;SeedInputs'!J$17,0)</f>
        <v>0</v>
      </c>
      <c r="DC16" s="5">
        <f>IF($D16="Chem-Fallow",H16*'Prices_Yields&amp;SeedInputs'!J$18,0)</f>
        <v>0</v>
      </c>
      <c r="DD16" s="5">
        <f>IF($D16="Flex-Fallow",H16*'Prices_Yields&amp;SeedInputs'!J$19,0)</f>
        <v>0</v>
      </c>
      <c r="DE16" s="5">
        <f>IF($D16="Spring Barley",H16*'Prices_Yields&amp;SeedInputs'!J$20,0)</f>
        <v>0</v>
      </c>
      <c r="DF16" s="5">
        <f>IF($D16="Roundup Ready Spring Canola",H16*'Prices_Yields&amp;SeedInputs'!J$21,0)</f>
        <v>0</v>
      </c>
      <c r="DG16" s="5">
        <f>IF($D16="Spring Canola",H16*'Prices_Yields&amp;SeedInputs'!J$22,0)</f>
        <v>0</v>
      </c>
      <c r="DH16" s="5">
        <f>IF($D16="Spring Lentils",H16*'Prices_Yields&amp;SeedInputs'!J$23,0)</f>
        <v>0</v>
      </c>
      <c r="DI16" s="5">
        <f>IF($D16="SW Spring Wheat",H16*'Prices_Yields&amp;SeedInputs'!J$24,0)</f>
        <v>0</v>
      </c>
      <c r="DJ16" s="5">
        <f>IF($D16="HR Winter Wheat",H16*'Prices_Yields&amp;SeedInputs'!J$25,0)</f>
        <v>0</v>
      </c>
      <c r="DK16" s="5">
        <f>IF($D16="Winter Pea",H16*'Prices_Yields&amp;SeedInputs'!J$26,0)</f>
        <v>50000</v>
      </c>
      <c r="DL16" s="5">
        <f>IF($D16="Winter Canola",H16*'Prices_Yields&amp;SeedInputs'!J$27,0)</f>
        <v>0</v>
      </c>
      <c r="DM16" s="377">
        <f>IF($D16="Forage Crop-Soil Builder Blend",H16*'Prices_Yields&amp;SeedInputs'!J$28,0)</f>
        <v>0</v>
      </c>
      <c r="DN16" s="5">
        <f>IF($D16="SW Winter Wheat after Spring Legume",$H16*SWWinterWheatAfterSpringLegume!$H$135,0)</f>
        <v>0</v>
      </c>
      <c r="DO16" s="5">
        <f>IF($D16="SW Winter Wheat after Forage Crop",$H16*SWWinterWheatAfterForageCrop!$H$135,0)</f>
        <v>0</v>
      </c>
      <c r="DP16" s="5">
        <f>IF($D16="DN Spring Wheat after Spring Legume",$H16*DNSpringWinterAfterSpringLegume!$H$135,0)</f>
        <v>0</v>
      </c>
      <c r="DQ16" s="5">
        <f>IF($D16="DN Spring Wheat after Forage Crop",$H16*DNSpringWheatAfterForageCrop!$H$135,0)</f>
        <v>0</v>
      </c>
      <c r="DR16" s="5">
        <f>IF($D16="DN Spring Wheat after Winter Crop",$H16*DNSpringWheatAfterWinterCrop!$H$135,0)</f>
        <v>0</v>
      </c>
      <c r="DS16" s="5">
        <f>IF($D16="Chickpea after Forage Crop",$H16*ChickpeaAfterForageCrop!$H$135,0)</f>
        <v>0</v>
      </c>
      <c r="DT16" s="5">
        <f>IF($D16="Chickpea after Cereal",$H16*ChickpeaAfterCereal!$H$135,0)</f>
        <v>0</v>
      </c>
      <c r="DU16" s="5">
        <f>IF($D16="Spring Pea after Cereal",$H16*SpringPeaAfterCereal!$H$135,0)</f>
        <v>0</v>
      </c>
      <c r="DV16" s="5">
        <f>IF($D16="Forage Crop-St. John Area",$H16*'ForageCrop-StJohn'!$H$135,0)</f>
        <v>0</v>
      </c>
      <c r="DW16" s="5">
        <f>IF($D16="Forage Crop-Genesee Area",$H16*'ForageCrop-Genesee'!$H$135,0)</f>
        <v>0</v>
      </c>
      <c r="DX16" s="5">
        <f>IF($D16="Livestock Grazing",$H16*LivestockGrazing!$H$135,0)</f>
        <v>0</v>
      </c>
      <c r="DY16" s="5">
        <f>IF($D16="SW Winter Wheat after Cereal",$H16*SWWinterWheatafterCereal!$H$135,0)</f>
        <v>0</v>
      </c>
      <c r="DZ16" s="5">
        <f>IF($D16="SW Winter Wheat after Fallow",$H16*SWWinterWheatAfterFallow!$H$135,0)</f>
        <v>0</v>
      </c>
      <c r="EA16" s="5">
        <f>IF($D16="Chem-Fallow",$H16*'Chem-Fallow'!$H$135,0)</f>
        <v>0</v>
      </c>
      <c r="EB16" s="5">
        <f>IF($D16="Flex-Fallow",$H16*'Flex-Fallow'!$H$135,0)</f>
        <v>0</v>
      </c>
      <c r="EC16" s="5">
        <f>IF($D16="Spring Barley",$H16*SpringBarley!$H$135,0)</f>
        <v>0</v>
      </c>
      <c r="ED16" s="5">
        <f>IF($D16="Roundup Ready Spring Canola",$H16*'SpringCanola_R-Ready'!$H$135,0)</f>
        <v>0</v>
      </c>
      <c r="EE16" s="5">
        <f>IF($D16="Spring Canola",$H16*SpringCanola!$H$135,0)</f>
        <v>0</v>
      </c>
      <c r="EF16" s="5">
        <f>IF($D16="Spring Lentils",$H16*SpringLentils!$H$135,0)</f>
        <v>0</v>
      </c>
      <c r="EG16" s="5">
        <f>IF($D16="SW Spring Wheat",$H16*SWSpringWheat!$H$135,0)</f>
        <v>0</v>
      </c>
      <c r="EH16" s="5">
        <f>IF($D16="HR Winter Wheat",$H16*HRWinterWheat!$H$135,0)</f>
        <v>0</v>
      </c>
      <c r="EI16" s="5">
        <f>IF($D16="Winter Pea",$H16*WinterPea!$H$135,0)</f>
        <v>5847.3234364617829</v>
      </c>
      <c r="EJ16" s="5">
        <f>IF($D16="Winter Canola",$H16*WinterCanola!$H$135,0)</f>
        <v>0</v>
      </c>
      <c r="EK16" s="377">
        <f>IF($D16="Forage Crop-Soil Builder Blend",$H16*ForageCrop!$H$135,0)</f>
        <v>0</v>
      </c>
      <c r="EL16" s="5">
        <f>IF($D16="SW Winter Wheat after Spring Legume",$H16*SWWinterWheatAfterSpringLegume!$J$116,0)</f>
        <v>0</v>
      </c>
      <c r="EM16" s="5">
        <f>IF($D16="SW Winter Wheat after Forage Crop",$H16*SWWinterWheatAfterForageCrop!$J$116,0)</f>
        <v>0</v>
      </c>
      <c r="EN16" s="5">
        <f>IF($D16="DN Spring Wheat after Spring Legume",$H16*DNSpringWinterAfterSpringLegume!$J$116,0)</f>
        <v>0</v>
      </c>
      <c r="EO16" s="5">
        <f>IF($D16="DN Spring Wheat after Forage Crop",$H16*DNSpringWheatAfterForageCrop!$J$116,0)</f>
        <v>0</v>
      </c>
      <c r="EP16" s="5">
        <f>IF($D16="DN Spring Wheat after Winter Crop",$H16*DNSpringWheatAfterWinterCrop!$J$116,0)</f>
        <v>0</v>
      </c>
      <c r="EQ16" s="5">
        <f>IF($D16="Chickpea after Forage Crop",$H16*ChickpeaAfterForageCrop!$J$116,0)</f>
        <v>0</v>
      </c>
      <c r="ER16" s="5">
        <f>IF($D16="Chickpea after Cereal",$H16*ChickpeaAfterCereal!$J$116,0)</f>
        <v>0</v>
      </c>
      <c r="ES16" s="5">
        <f>IF($D16="Spring Pea after Cereal",$H16*SpringPeaAfterCereal!$J$116,0)</f>
        <v>0</v>
      </c>
      <c r="ET16" s="5">
        <f>IF($D16="Forage Crop-St. John Area",$H16*'ForageCrop-StJohn'!$J$116,0)</f>
        <v>0</v>
      </c>
      <c r="EU16" s="5">
        <f>IF($D16="Forage Crop-Genesee Area",$H16*'ForageCrop-Genesee'!$J$116,0)</f>
        <v>0</v>
      </c>
      <c r="EV16" s="5">
        <f>IF($D16="Livestock Grazing",$H16*LivestockGrazing!$J$116,0)</f>
        <v>0</v>
      </c>
      <c r="EW16" s="5">
        <f>IF($D16="SW Winter Wheat after Cereal",$H16*SWWinterWheatafterCereal!$J$116,0)</f>
        <v>0</v>
      </c>
      <c r="EX16" s="5">
        <f>IF($D16="SW Winter Wheat after Fallow",$H16*SWWinterWheatAfterFallow!$J$116,0)</f>
        <v>0</v>
      </c>
      <c r="EY16" s="5">
        <f>IF($D16="Chem-Fallow",$H16*'Chem-Fallow'!$J$116,0)</f>
        <v>0</v>
      </c>
      <c r="EZ16" s="5">
        <f>IF($D16="Flex-Fallow",$H16*'Flex-Fallow'!$J$116,0)</f>
        <v>0</v>
      </c>
      <c r="FA16" s="5">
        <f>IF($D16="Spring Barley",$H16*SpringBarley!$J$116,0)</f>
        <v>0</v>
      </c>
      <c r="FB16" s="5">
        <f>IF($D16="Roundup Ready Spring Canola",$H16*'SpringCanola_R-Ready'!$J$116,0)</f>
        <v>0</v>
      </c>
      <c r="FC16" s="5">
        <f>IF($D16="Spring Canola",$H16*SpringCanola!$J$116,0)</f>
        <v>0</v>
      </c>
      <c r="FD16" s="5">
        <f>IF($D16="Spring Lentils",$H16*SpringLentils!$J$116,0)</f>
        <v>0</v>
      </c>
      <c r="FE16" s="5">
        <f>IF($D16="SW Spring Wheat",$H16*SWSpringWheat!$J$116,0)</f>
        <v>0</v>
      </c>
      <c r="FF16" s="5">
        <f>IF($D16="HR Winter Wheat",$H16*HRWinterWheat!$J$116,0)</f>
        <v>0</v>
      </c>
      <c r="FG16" s="5">
        <f>IF($D16="Winter Pea",$H16*WinterPea!$J$116,0)</f>
        <v>3914.7796000522189</v>
      </c>
      <c r="FH16" s="5">
        <f>IF($D16="Winter Canola",$H16*WinterCanola!$J$116,0)</f>
        <v>0</v>
      </c>
      <c r="FI16" s="377">
        <f>IF($D16="Forage Crop-Soil Builder Blend",$H16*ForageCrop!$J$116,0)</f>
        <v>0</v>
      </c>
      <c r="FJ16" s="5">
        <f>IF($D16="SW Winter Wheat after Spring Legume",$H16*SWWinterWheatAfterSpringLegume!$J$117,0)</f>
        <v>0</v>
      </c>
      <c r="FK16" s="5">
        <f>IF($D16="SW Winter Wheat after Forage Crop",$H16*SWWinterWheatAfterForageCrop!$J$117,0)</f>
        <v>0</v>
      </c>
      <c r="FL16" s="5">
        <f>IF($D16="DN Spring Wheat after Spring Legume",$H16*DNSpringWinterAfterSpringLegume!$J$117,0)</f>
        <v>0</v>
      </c>
      <c r="FM16" s="5">
        <f>IF($D16="DN Spring Wheat after Forage Crop",$H16*DNSpringWheatAfterForageCrop!$J$117,0)</f>
        <v>0</v>
      </c>
      <c r="FN16" s="5">
        <f>IF($D16="DN Spring Wheat after Winter Crop",$H16*DNSpringWheatAfterWinterCrop!$J$117,0)</f>
        <v>0</v>
      </c>
      <c r="FO16" s="5">
        <f>IF($D16="Chickpea after Forage Crop",$H16*ChickpeaAfterForageCrop!$J$117,0)</f>
        <v>0</v>
      </c>
      <c r="FP16" s="5">
        <f>IF($D16="Chickpea after Cereal",$H16*ChickpeaAfterCereal!$J$117,0)</f>
        <v>0</v>
      </c>
      <c r="FQ16" s="5">
        <f>IF($D16="Spring Pea after Cereal",$H16*SpringPeaAfterCereal!$J$117,0)</f>
        <v>0</v>
      </c>
      <c r="FR16" s="5">
        <f>IF($D16="Forage Crop-St. John Area",$H16*'ForageCrop-StJohn'!$J$117,0)</f>
        <v>0</v>
      </c>
      <c r="FS16" s="5">
        <f>IF($D16="Forage Crop-Genesee Area",$H16*'ForageCrop-Genesee'!$J$117,0)</f>
        <v>0</v>
      </c>
      <c r="FT16" s="5">
        <f>IF($D16="Livestock Grazing",$H16*LivestockGrazing!$J$117,0)</f>
        <v>0</v>
      </c>
      <c r="FU16" s="5">
        <f>IF($D16="SW Winter Wheat after Cereal",$H16*SWWinterWheatafterCereal!$J$117,0)</f>
        <v>0</v>
      </c>
      <c r="FV16" s="5">
        <f>IF($D16="SW Winter Wheat after Fallow",$H16*SWWinterWheatAfterFallow!$J$117,0)</f>
        <v>0</v>
      </c>
      <c r="FW16" s="5">
        <f>IF($D16="Chem-Fallow",$H16*'Chem-Fallow'!$J$117,0)</f>
        <v>0</v>
      </c>
      <c r="FX16" s="5">
        <f>IF($D16="Flex-Fallow",$H16*'Flex-Fallow'!$J$117,0)</f>
        <v>0</v>
      </c>
      <c r="FY16" s="5">
        <f>IF($D16="Spring Barley",$H16*SpringBarley!$J$117,0)</f>
        <v>0</v>
      </c>
      <c r="FZ16" s="5">
        <f>IF($D16="Roundup Ready Spring Canola",$H16*'SpringCanola_R-Ready'!$J$117,0)</f>
        <v>0</v>
      </c>
      <c r="GA16" s="5">
        <f>IF($D16="Spring Canola",$H16*SpringCanola!$J$117,0)</f>
        <v>0</v>
      </c>
      <c r="GB16" s="5">
        <f>IF($D16="Spring Lentils",$H16*SpringLentils!$J$117,0)</f>
        <v>0</v>
      </c>
      <c r="GC16" s="5">
        <f>IF($D16="SW Spring Wheat",$H16*SWSpringWheat!$J$117,0)</f>
        <v>0</v>
      </c>
      <c r="GD16" s="5">
        <f>IF($D16="HR Winter Wheat",$H16*HRWinterWheat!$J$117,0)</f>
        <v>0</v>
      </c>
      <c r="GE16" s="5">
        <f>IF($D16="Winter Pea",$H16*WinterPea!$J$117,0)</f>
        <v>9029.1556319013489</v>
      </c>
      <c r="GF16" s="5">
        <f>IF($D16="Winter Canola",$H16*WinterCanola!$J$117,0)</f>
        <v>0</v>
      </c>
      <c r="GG16" s="377">
        <f>IF($D16="Forage Crop-Soil Builder Blend",$H16*ForageCrop!$J$117,0)</f>
        <v>0</v>
      </c>
      <c r="GH16" s="5">
        <f>IF($D16="SW Winter Wheat after Spring Legume",$H16*SWWinterWheatAfterSpringLegume!$L$118,0)</f>
        <v>0</v>
      </c>
      <c r="GI16" s="5">
        <f>IF($D16="SW Winter Wheat after Forage Crop",$H16*SWWinterWheatAfterForageCrop!$L$118,0)</f>
        <v>0</v>
      </c>
      <c r="GJ16" s="5">
        <f>IF($D16="DN Spring Wheat after Spring Legume",$H16*DNSpringWinterAfterSpringLegume!$L$118,0)</f>
        <v>0</v>
      </c>
      <c r="GK16" s="5">
        <f>IF($D16="DN Spring Wheat after Forage Crop",$H16*DNSpringWheatAfterForageCrop!$L$118,0)</f>
        <v>0</v>
      </c>
      <c r="GL16" s="5">
        <f>IF($D16="DN Spring Wheat after Winter Crop",$H16*DNSpringWheatAfterWinterCrop!$L$118,0)</f>
        <v>0</v>
      </c>
      <c r="GM16" s="5">
        <f>IF($D16="Chickpea after Forage Crop",$H16*ChickpeaAfterForageCrop!$L$118,0)</f>
        <v>0</v>
      </c>
      <c r="GN16" s="5">
        <f>IF($D16="Chickpea after Cereal",$H16*ChickpeaAfterCereal!$L$118,0)</f>
        <v>0</v>
      </c>
      <c r="GO16" s="5">
        <f>IF($D16="Spring Pea after Cereal",$H16*SpringPeaAfterCereal!$L$118,0)</f>
        <v>0</v>
      </c>
      <c r="GP16" s="5">
        <f>IF($D16="Forage Crop-St. John Area",$H16*'ForageCrop-StJohn'!$L$118,0)</f>
        <v>0</v>
      </c>
      <c r="GQ16" s="5">
        <f>IF($D16="Forage Crop-Genesee Area",$H16*'ForageCrop-Genesee'!$L$118,0)</f>
        <v>0</v>
      </c>
      <c r="GR16" s="5">
        <f>IF($D16="Livestock Grazing",$H16*LivestockGrazing!$L$118,0)</f>
        <v>0</v>
      </c>
      <c r="GS16" s="5">
        <f>IF($D16="SW Winter Wheat after Cereal",$H16*SWWinterWheatafterCereal!$L$118,0)</f>
        <v>0</v>
      </c>
      <c r="GT16" s="5">
        <f>IF($D16="SW Winter Wheat after Fallow",$H16*SWWinterWheatAfterFallow!$L$118,0)</f>
        <v>0</v>
      </c>
      <c r="GU16" s="5">
        <f>IF($D16="Chem-Fallow",$H16*'Chem-Fallow'!$L$118,0)</f>
        <v>0</v>
      </c>
      <c r="GV16" s="5">
        <f>IF($D16="Flex-Fallow",$H16*'Flex-Fallow'!$L$118,0)</f>
        <v>0</v>
      </c>
      <c r="GW16" s="5">
        <f>IF($D16="Spring Barley",$H16*SpringBarley!$L$118,0)</f>
        <v>0</v>
      </c>
      <c r="GX16" s="5">
        <f>IF($D16="Roundup Ready Spring Canola",$H16*'SpringCanola_R-Ready'!$L$118,0)</f>
        <v>0</v>
      </c>
      <c r="GY16" s="5">
        <f>IF($D16="Spring Canola",$H16*SpringCanola!$L$118,0)</f>
        <v>0</v>
      </c>
      <c r="GZ16" s="5">
        <f>IF($D16="Spring Lentils",$H16*SpringLentils!$L$118,0)</f>
        <v>0</v>
      </c>
      <c r="HA16" s="5">
        <f>IF($D16="SW Spring Wheat",$H16*SWSpringWheat!$L$118,0)</f>
        <v>0</v>
      </c>
      <c r="HB16" s="5">
        <f>IF($D16="HR Winter Wheat",$H16*HRWinterWheat!$L$118,0)</f>
        <v>0</v>
      </c>
      <c r="HC16" s="5">
        <f>IF($D16="Winter Pea",$H16*WinterPea!$L$118,0)</f>
        <v>3819.4328083619444</v>
      </c>
      <c r="HD16" s="5">
        <f>IF($D16="Winter Canola",$H16*WinterCanola!$L$118,0)</f>
        <v>0</v>
      </c>
      <c r="HE16" s="377">
        <f>IF($D16="Forage Crop-Soil Builder Blend",$H16*ForageCrop!$L$118,0)</f>
        <v>0</v>
      </c>
      <c r="HF16" s="5">
        <f>IF($D16="SW Winter Wheat after Spring Legume",($H16*(SUM(SWWinterWheatAfterSpringLegume!$E$9:$E$16)+SWWinterWheatAfterSpringLegume!$G$16))/2000,0)</f>
        <v>0</v>
      </c>
      <c r="HG16" s="5">
        <f>IF($D16="SW Winter Wheat after Forage Crop",($H16*(SUM(SWWinterWheatAfterForageCrop!$E$9:$E$16)+SWWinterWheatAfterForageCrop!$G$17))/2000,0)</f>
        <v>0</v>
      </c>
      <c r="HH16" s="5">
        <f>IF($D16="DN Spring Wheat after Spring Legume",($H16*(SUM(DNSpringWinterAfterSpringLegume!$E$9:$E$16)+DNSpringWinterAfterSpringLegume!$G$16))/2000,0)</f>
        <v>0</v>
      </c>
      <c r="HI16" s="5">
        <f>IF($D16="DN Spring Wheat after Forage Crop",($H16*(SUM(DNSpringWheatAfterForageCrop!$E$9:$E$16)+DNSpringWheatAfterForageCrop!$G$14))/2000,0)</f>
        <v>0</v>
      </c>
      <c r="HJ16" s="5">
        <f>IF($D16="DN Spring Wheat after Winter Crop",($H16*(SUM(DNSpringWheatAfterWinterCrop!$E$9:$E$16)+DNSpringWheatAfterWinterCrop!$G$16))/2000,0)</f>
        <v>0</v>
      </c>
      <c r="HK16" s="5">
        <f>IF($D16="Chickpea after Forage Crop",($H16*(SUM(ChickpeaAfterForageCrop!$E$9:$E$16)+ChickpeaAfterForageCrop!$G$14))/2000,0)</f>
        <v>0</v>
      </c>
      <c r="HL16" s="5">
        <f>IF($D16="Chickpea after Cereal",($H16*(SUM(ChickpeaAfterCereal!$E$9:$E$16)+ChickpeaAfterCereal!$G$14))/2000,0)</f>
        <v>0</v>
      </c>
      <c r="HM16" s="5">
        <f>IF($D16="Spring Pea after Cereal",($H16*(SUM(SpringPeaAfterCereal!$E$9:$E$16)+SpringPeaAfterCereal!$G$14))/2000,0)</f>
        <v>0</v>
      </c>
      <c r="HN16" s="5">
        <f>IF($D16="Forage Crop-St. John Area",($H16*(SUM('ForageCrop-StJohn'!$E$9:$E$16)+'ForageCrop-StJohn'!$G$14))/2000,0)</f>
        <v>0</v>
      </c>
      <c r="HO16" s="5">
        <f>IF($D16="Forage Crop-Genesee Area",($H16*(SUM('ForageCrop-Genesee'!$E$9:$E$16)+'ForageCrop-Genesee'!$G$14))/2000,0)</f>
        <v>0</v>
      </c>
      <c r="HP16" s="5">
        <f>IF($D16="Livestock Grazing",($H16*(SUM(LivestockGrazing!$E$9:$E$16)+LivestockGrazing!$G$14))/2000,0)</f>
        <v>0</v>
      </c>
      <c r="HQ16" s="5">
        <f>IF($D16="SW Winter Wheat after Cereal",($H16*(SUM(SWWinterWheatafterCereal!$E$9:$E$16)+SWWinterWheatafterCereal!$G$16))/2000,0)</f>
        <v>0</v>
      </c>
      <c r="HR16" s="5">
        <f>IF($D16="SW Winter Wheat after Fallow",($H16*(SUM(SWWinterWheatAfterFallow!$E$9:$E$16)+SWWinterWheatAfterFallow!$G$14))/2000,0)</f>
        <v>0</v>
      </c>
      <c r="HS16" s="5">
        <f>IF($D16="Chem-Fallow",($H16*(SUM('Chem-Fallow'!$E$9:$E$16)+'Chem-Fallow'!$G$16))/2000,0)</f>
        <v>0</v>
      </c>
      <c r="HT16" s="5">
        <f>IF($D16="Flex-Fallow",($H16*(SUM('Flex-Fallow'!$E$9:$E$16)+'Flex-Fallow'!$G$16))/2000,0)</f>
        <v>0</v>
      </c>
      <c r="HU16" s="5">
        <f>IF($D16="Spring Barley",($H16*(SUM(SpringBarley!$E$9:$E$16)+SpringBarley!$G$16))/2000,0)</f>
        <v>0</v>
      </c>
      <c r="HV16" s="5">
        <f>IF($D16="Roundup Ready Spring Canola",($H16*(SUM('SpringCanola_R-Ready'!$E$9:$E$16)+'SpringCanola_R-Ready'!$G$14))/2000,0)</f>
        <v>0</v>
      </c>
      <c r="HW16" s="5">
        <f>IF($D16="Spring Canola",($H16*(SUM(SpringCanola!$E$9:$E$16)+SpringCanola!$G$14))/2000,0)</f>
        <v>0</v>
      </c>
      <c r="HX16" s="5">
        <f>IF($D16="Spriing Lentils",($H16*(SUM(SpringLentils!$E$9:$E$16)+SpringLentils!$G$14))/2000,0)</f>
        <v>0</v>
      </c>
      <c r="HY16" s="5">
        <f>IF($D16="SW Spring Wheat",($H16*(SUM(SWSpringWheat!$E$9:$E$16)+SWSpringWheat!$G$18))/2000,0)</f>
        <v>0</v>
      </c>
      <c r="HZ16" s="5">
        <f>IF($D16="HR Winter Wheat",($H16*(SUM(HRWinterWheat!$E$9:$E$16)+HRWinterWheat!$G$16))/2000,0)</f>
        <v>0</v>
      </c>
      <c r="IA16" s="5">
        <f>IF($D16="Winter Pea",($H16*(SUM(WinterPea!$E$9:$E$16)+WinterPea!$G$14))/2000,0)</f>
        <v>0.21416015624999998</v>
      </c>
      <c r="IB16" s="5">
        <f>IF($D16="Winter Canola",($H16*(SUM(WinterCanola!$E$9:$E$16)+WinterCanola!$G$14))/2000,0)</f>
        <v>0</v>
      </c>
      <c r="IC16" s="377">
        <f>IF($D16="Forage Crop-Soil Builder Blend",($H16*(SUM(ForageCrop!$E$9:$E$16)+ForageCrop!$G$14))/2000,0)</f>
        <v>0</v>
      </c>
      <c r="ID16" s="5">
        <f>IF($D16="SW Winter Wheat after Spring Legume",$H16*SWWinterWheatAfterSpringLegume!$G$62,0)</f>
        <v>0</v>
      </c>
      <c r="IE16" s="5">
        <f>IF($D16="SW Winter Wheat after Forage Crop",$H16*SWWinterWheatAfterForageCrop!$G$62,0)</f>
        <v>0</v>
      </c>
      <c r="IF16" s="5">
        <f>IF($D16="DN Spring Wheat after Spring Legume",$H16*DNSpringWinterAfterSpringLegume!$G$62,0)</f>
        <v>0</v>
      </c>
      <c r="IG16" s="5">
        <f>IF($D16="DN Spring Wheat after Forage Crop",$H16*DNSpringWheatAfterForageCrop!$G$62,0)</f>
        <v>0</v>
      </c>
      <c r="IH16" s="5">
        <f>IF($D16="DN Spring Wheat after Winter Crop",$H16*DNSpringWheatAfterWinterCrop!$G$62,0)</f>
        <v>0</v>
      </c>
      <c r="II16" s="5">
        <f>IF($D16="Chickpea after Forage Crop",$H16*ChickpeaAfterForageCrop!$G$62,0)</f>
        <v>0</v>
      </c>
      <c r="IJ16" s="5">
        <f>IF($D16="Chickpea after Cereal",$H16*ChickpeaAfterCereal!$G$62,0)</f>
        <v>0</v>
      </c>
      <c r="IK16" s="5">
        <f>IF($D16="Spring Pea after Cereal",$H16*SpringPeaAfterCereal!$G$62,0)</f>
        <v>0</v>
      </c>
      <c r="IL16" s="5">
        <f>IF($D16="Forage Crop-St. John Area",$H16*'ForageCrop-StJohn'!$G$62,0)</f>
        <v>0</v>
      </c>
      <c r="IM16" s="5">
        <f>IF($D16="Forage Crop-Genesee Area",$H16*'ForageCrop-Genesee'!$G$62,0)</f>
        <v>0</v>
      </c>
      <c r="IN16" s="5">
        <f>IF($D16="Livestock Grazing",$H16*LivestockGrazing!$G$62,0)</f>
        <v>0</v>
      </c>
      <c r="IO16" s="5">
        <f>IF($D16="SW Winter Wheat after Cereal",$H16*SWWinterWheatafterCereal!$G$62,0)</f>
        <v>0</v>
      </c>
      <c r="IP16" s="5">
        <f>IF($D16="SW Winter Wheat after Fallow",$H16*SWWinterWheatAfterFallow!$G$62,0)</f>
        <v>0</v>
      </c>
      <c r="IQ16" s="5">
        <f>IF($D16="Chem-Fallow",$H16*'Chem-Fallow'!$G$62,0)</f>
        <v>0</v>
      </c>
      <c r="IR16" s="5">
        <f>IF($D16="Flex-Fallow",$H16*'Flex-Fallow'!$G$62,0)</f>
        <v>0</v>
      </c>
      <c r="IS16" s="5">
        <f>IF($D16="Spring Barley",$H16*SpringBarley!$G$62,0)</f>
        <v>0</v>
      </c>
      <c r="IT16" s="5">
        <f>IF($D16="Roundup Ready Spring Canola",$H16*'SpringCanola_R-Ready'!$G$62,0)</f>
        <v>0</v>
      </c>
      <c r="IU16" s="5">
        <f>IF($D16="Spring Canola",$H16*SpringCanola!$G$62,0)</f>
        <v>0</v>
      </c>
      <c r="IV16" s="5">
        <f>IF($D16="Spriing Lentils",$H16*SpringLentils!$G$62,0)</f>
        <v>0</v>
      </c>
      <c r="IW16" s="5">
        <f>IF($D16="SW Spring Wheat",$H16*SWSpringWheat!$G$62,0)</f>
        <v>0</v>
      </c>
      <c r="IX16" s="5">
        <f>IF($D16="HR Winter Wheat",$H16*HRWinterWheat!$G$62,0)</f>
        <v>0</v>
      </c>
      <c r="IY16" s="5">
        <f>IF($D16="Winter Pea",$H16*WinterPea!$G$62,0)</f>
        <v>94.140625</v>
      </c>
      <c r="IZ16" s="5">
        <f>IF($D16="Winter Canola",$H16*+WinterCanola!$G$62,0)</f>
        <v>0</v>
      </c>
      <c r="JA16" s="5">
        <f>IF($D16="Forage Crop-Soil Builder Blend",$H16*ForageCrop!$G$62,0)</f>
        <v>0</v>
      </c>
      <c r="JB16" s="5">
        <f>IF($D16="SW Winter Wheat after Spring Legume",$H16*SWWinterWheatAfterSpringLegume!$E$4,0)</f>
        <v>0</v>
      </c>
      <c r="JC16" s="5">
        <f>IF($D16="SW Winter Wheat after Forage Crop",$H16*SWWinterWheatAfterForageCrop!$E$4,0)</f>
        <v>0</v>
      </c>
      <c r="JD16" s="5">
        <f>IF($D16="DN Spring Wheat after Spring Legume",$H16*DNSpringWinterAfterSpringLegume!$E$4,0)</f>
        <v>0</v>
      </c>
      <c r="JE16" s="5">
        <f>IF($D16="DN Spring Wheat after Forage Crop",$H16*DNSpringWheatAfterForageCrop!$E$4,0)</f>
        <v>0</v>
      </c>
      <c r="JF16" s="5">
        <f>IF($D16="DN Spring Wheat after Winter Crop",$H16*DNSpringWheatAfterWinterCrop!$E$4,0)</f>
        <v>0</v>
      </c>
      <c r="JG16" s="5">
        <f>IF($D16="Chickpea after Forage Crop",$H16*ChickpeaAfterForageCrop!$E$4,0)</f>
        <v>0</v>
      </c>
      <c r="JH16" s="5">
        <f>IF($D16="Chickpea after Cereal",$H16*ChickpeaAfterCereal!$E$4,0)</f>
        <v>0</v>
      </c>
      <c r="JI16" s="5">
        <f>IF($D16="Spring Pea after Cereal",$H16*SpringPeaAfterCereal!$E$4,0)</f>
        <v>0</v>
      </c>
      <c r="JJ16" s="5">
        <f>IF($D16="Forage Crop-St. John Area",$H16*'ForageCrop-StJohn'!$E$4,0)</f>
        <v>0</v>
      </c>
      <c r="JK16" s="5">
        <f>IF($D16="Forage Crop-Genesee Area",$H16*'ForageCrop-Genesee'!$E$4,0)</f>
        <v>0</v>
      </c>
      <c r="JL16" s="5">
        <f>IF($D16="Livestock Grazing",$H16*LivestockGrazing!$E$4,0)</f>
        <v>0</v>
      </c>
      <c r="JM16" s="5">
        <f>IF($D16="SW Winter Wheat after Cereal",$H16*SWWinterWheatafterCereal!$E$4,0)</f>
        <v>0</v>
      </c>
      <c r="JN16" s="5">
        <f>IF($D16="SW Winter Wheat after Fallow",$H16*SWWinterWheatAfterFallow!$E$4,0)</f>
        <v>0</v>
      </c>
      <c r="JO16" s="5">
        <f>IF($D16="Chem-Fallow",$H16*'Chem-Fallow'!$E$4,0)</f>
        <v>0</v>
      </c>
      <c r="JP16" s="5">
        <f>IF($D16="Flex-Fallow",$H16*'Flex-Fallow'!$E$4,0)</f>
        <v>0</v>
      </c>
      <c r="JQ16" s="5">
        <f>IF($D16="Spring Barley",$H16*SpringBarley!$E$4,0)</f>
        <v>0</v>
      </c>
      <c r="JR16" s="5">
        <f>IF($D16="Roundup Ready Spring Canola",$H16*'SpringCanola_R-Ready'!$E$4,0)</f>
        <v>0</v>
      </c>
      <c r="JS16" s="5">
        <f>IF($D16="Spring Canola",$H16*SpringCanola!$E$4,0)</f>
        <v>0</v>
      </c>
      <c r="JT16" s="5">
        <f>IF($D16="Spriing Lentils",$H16*SpringLentils!$E$4,0)</f>
        <v>0</v>
      </c>
      <c r="JU16" s="5">
        <f>IF($D16="SW Spring Wheat",$H16*SWSpringWheat!$E$4,0)</f>
        <v>0</v>
      </c>
      <c r="JV16" s="5">
        <f>IF($D16="HR Winter Wheat",$H16*HRWinterWheat!$E$4,0)</f>
        <v>0</v>
      </c>
      <c r="JW16" s="5">
        <f>IF($D16="Winter Pea",$H16*WinterPea!$E$4,0)</f>
        <v>500000</v>
      </c>
      <c r="JX16" s="5">
        <f>IF($D16="Winter Canola",$H16*+WinterCanola!$E$4,0)</f>
        <v>0</v>
      </c>
      <c r="JY16" s="5">
        <f>IF($D16="Forage Crop-Soil Builder Blend",$H16*ForageCrop!$E$4,0)</f>
        <v>0</v>
      </c>
    </row>
    <row r="17" spans="1:297" ht="20" customHeight="1">
      <c r="A17" s="8"/>
      <c r="B17" s="701"/>
      <c r="C17" s="632">
        <v>4</v>
      </c>
      <c r="D17" s="633"/>
      <c r="E17" s="627">
        <v>0</v>
      </c>
      <c r="F17" s="628">
        <f>IF(D17="Livestock Grazing",0,E17)</f>
        <v>0</v>
      </c>
      <c r="G17" s="629">
        <f>IF(D17="Livestock Grazing",0,$I$2*E17)</f>
        <v>0</v>
      </c>
      <c r="H17" s="630">
        <f>$I$2*E17</f>
        <v>0</v>
      </c>
      <c r="I17" s="634">
        <f>SUM(AT17:BQ17)</f>
        <v>0</v>
      </c>
      <c r="J17" s="159"/>
      <c r="M17" s="159"/>
      <c r="N17" s="233" t="s">
        <v>128</v>
      </c>
      <c r="O17" s="234">
        <v>112500</v>
      </c>
      <c r="P17" s="234">
        <f>SUM('Farm and Rotation Setup'!CP14:DM18)</f>
        <v>263750</v>
      </c>
      <c r="Q17" s="232">
        <f t="shared" si="1"/>
        <v>1.3444444444444446</v>
      </c>
      <c r="R17" s="159"/>
      <c r="S17" s="159"/>
      <c r="T17" s="159"/>
      <c r="V17" s="5">
        <f>IF($D17="SW Winter Wheat after Spring Legume",$H17,0)</f>
        <v>0</v>
      </c>
      <c r="W17" s="5">
        <f>IF($D17="SW Winter Wheat after Forage Crop",$H17,0)</f>
        <v>0</v>
      </c>
      <c r="X17" s="5">
        <f>IF($D17="DN Spring Wheat after Spring Legume",$H17,0)</f>
        <v>0</v>
      </c>
      <c r="Y17" s="5">
        <f>IF($D17="DN Spring Wheat after Forage Crop",$H17,0)</f>
        <v>0</v>
      </c>
      <c r="Z17" s="5">
        <f>IF($D17="DN Spring Wheat after Winter Crop",$H17,0)</f>
        <v>0</v>
      </c>
      <c r="AA17" s="5">
        <f>IF($D17="Chickpea after Forage Crop",$H17,0)</f>
        <v>0</v>
      </c>
      <c r="AB17" s="5">
        <f>IF($D17="Chickpea after Cereal",$H17,0)</f>
        <v>0</v>
      </c>
      <c r="AC17" s="5">
        <f>IF($D17="Spring Pea after Cereal",$H17,0)</f>
        <v>0</v>
      </c>
      <c r="AD17" s="5">
        <f>IF($D17="Forage Crop-St. John Area",$H17,0)</f>
        <v>0</v>
      </c>
      <c r="AE17" s="5">
        <f>IF($D17="Forage Crop-Genesee Area",$H17,0)</f>
        <v>0</v>
      </c>
      <c r="AF17" s="5">
        <f>IF($D17="Livestock Grazing",$H17,0)</f>
        <v>0</v>
      </c>
      <c r="AG17" s="5">
        <f>IF($D17="SW Winter Wheat after Cereal",$H17,0)</f>
        <v>0</v>
      </c>
      <c r="AH17" s="5">
        <f>IF($D17="SW Winter Wheat after Fallow",$H17,0)</f>
        <v>0</v>
      </c>
      <c r="AI17" s="5">
        <f>IF($D17="Chem-Fallow",$H17,0)</f>
        <v>0</v>
      </c>
      <c r="AJ17" s="5">
        <f>IF($D17="Flex-Fallow",$H17,0)</f>
        <v>0</v>
      </c>
      <c r="AK17" s="5">
        <f>IF($D17="Spring Barley",$H17,0)</f>
        <v>0</v>
      </c>
      <c r="AL17" s="5">
        <f>IF($D17="Roundup Ready Spring Canola",$H17,0)</f>
        <v>0</v>
      </c>
      <c r="AM17" s="5">
        <f>IF($D17="Spring Canola",$H17,0)</f>
        <v>0</v>
      </c>
      <c r="AN17" s="5">
        <f>IF($D17="Spring Lentils",$H17,0)</f>
        <v>0</v>
      </c>
      <c r="AO17" s="5">
        <f>IF($D17="SW Spring Wheat",$H17,0)</f>
        <v>0</v>
      </c>
      <c r="AP17" s="5">
        <f>IF($D17="HR Winter Wheat",$H17,0)</f>
        <v>0</v>
      </c>
      <c r="AQ17" s="5">
        <f>IF($D17="Winter Pea",$H17,0)</f>
        <v>0</v>
      </c>
      <c r="AR17" s="5">
        <f>IF($D17="Winter Canola",$H17,0)</f>
        <v>0</v>
      </c>
      <c r="AS17" s="377">
        <f>IF($D17="Forage Crop-Soil Builder Blend",$H17,0)</f>
        <v>0</v>
      </c>
      <c r="AT17" s="5">
        <f>IF($D17="SW Winter Wheat after Spring Legume",SWWinterWheatAfterSpringLegume!$H$138,0)</f>
        <v>0</v>
      </c>
      <c r="AU17" s="5">
        <f>IF($D17="SW Winter Wheat after Forage Crop",SWWinterWheatAfterForageCrop!$H$138,0)</f>
        <v>0</v>
      </c>
      <c r="AV17" s="5">
        <f>IF($D17="DN Spring Wheat after Spring Legume",DNSpringWinterAfterSpringLegume!$H$138,0)</f>
        <v>0</v>
      </c>
      <c r="AW17" s="5">
        <f>IF($D17="DN Spring Wheat after Forage Crop",DNSpringWheatAfterForageCrop!$H$138,0)</f>
        <v>0</v>
      </c>
      <c r="AX17" s="5">
        <f>IF($D17="DN Spring Wheat after Winter Crop",DNSpringWheatAfterWinterCrop!$H$138,0)</f>
        <v>0</v>
      </c>
      <c r="AY17" s="5">
        <f>IF($D17="Chickpea after Forage Crop",ChickpeaAfterForageCrop!$H$138,0)</f>
        <v>0</v>
      </c>
      <c r="AZ17" s="5">
        <f>IF($D17="Chickpea after Cereal",ChickpeaAfterCereal!$H$138,0)</f>
        <v>0</v>
      </c>
      <c r="BA17" s="5">
        <f>IF($D17="Spring Pea after Cereal",SpringPeaAfterCereal!$H$138,0)</f>
        <v>0</v>
      </c>
      <c r="BB17" s="5">
        <f>IF($D17="Forage Crop-St. John Area",'ForageCrop-StJohn'!$H$138,0)</f>
        <v>0</v>
      </c>
      <c r="BC17" s="5">
        <f>IF($D17="Forage Crop-Genesee Area",'ForageCrop-Genesee'!$H$138,0)</f>
        <v>0</v>
      </c>
      <c r="BD17" s="5">
        <f>IF($D17="Livestock Grazing",LivestockGrazing!$H$138,0)</f>
        <v>0</v>
      </c>
      <c r="BE17" s="5">
        <f>IF($D17="SW Winter Wheat after Cereal",SWWinterWheatafterCereal!$H$138,0)</f>
        <v>0</v>
      </c>
      <c r="BF17" s="5">
        <f>IF($D17="SW Winter Wheat after Fallow",SWWinterWheatAfterFallow!$H$138,0)</f>
        <v>0</v>
      </c>
      <c r="BG17" s="5">
        <f>IF($D17="Chem-Fallow",'Chem-Fallow'!$H$138,0)</f>
        <v>0</v>
      </c>
      <c r="BH17" s="5">
        <f>IF($D17="Flex-Fallow",'Flex-Fallow'!$H$138,0)</f>
        <v>0</v>
      </c>
      <c r="BI17" s="5">
        <f>IF($D17="Spring Barley",SpringBarley!$H$138,0)</f>
        <v>0</v>
      </c>
      <c r="BJ17" s="5">
        <f>IF($D17="Roundup Ready Spring Canola",'SpringCanola_R-Ready'!$H$138,0)</f>
        <v>0</v>
      </c>
      <c r="BK17" s="5">
        <f>IF($D17="Spring Canola",SpringCanola!$H$138,0)</f>
        <v>0</v>
      </c>
      <c r="BL17" s="5">
        <f>IF($D17="Spring Lentils",SpringLentils!$H$138,0)</f>
        <v>0</v>
      </c>
      <c r="BM17" s="5">
        <f>IF($D17="SW Spring Wheat",SWSpringWheat!$H$138,0)</f>
        <v>0</v>
      </c>
      <c r="BN17" s="5">
        <f>IF($D17="HR Winter Wheat",HRWinterWheat!$H$138,0)</f>
        <v>0</v>
      </c>
      <c r="BO17" s="5">
        <f>IF($D17="Winter Pea",WinterPea!$H$138,0)</f>
        <v>0</v>
      </c>
      <c r="BP17" s="5">
        <f>IF($D17="Winter Canola",WinterCanola!$H$138,0)</f>
        <v>0</v>
      </c>
      <c r="BQ17" s="377">
        <f>IF($D17="Forage Crop-Soil Builder Blend",ForageCrop!$H$138,0)</f>
        <v>0</v>
      </c>
      <c r="BR17" s="5">
        <f>IF($D17="SW Winter Wheat after Spring Legume",H17*SWWinterWheatAfterSpringLegume!$H$138,0)</f>
        <v>0</v>
      </c>
      <c r="BS17" s="5">
        <f>IF($D17="SW Winter Wheat after Forage Crop",H17*SWWinterWheatAfterForageCrop!$H$138,0)</f>
        <v>0</v>
      </c>
      <c r="BT17" s="5">
        <f>IF($D17="DN Spring Wheat after Spring Legume",H17*DNSpringWinterAfterSpringLegume!$H$138,0)</f>
        <v>0</v>
      </c>
      <c r="BU17" s="5">
        <f>IF($D17="DN Spring Wheat after Forage Crop",H17*DNSpringWheatAfterForageCrop!$H$138,0)</f>
        <v>0</v>
      </c>
      <c r="BV17" s="5">
        <f>IF($D17="DN Spring Wheat after Winter Crop",H17*DNSpringWheatAfterWinterCrop!$H$138,0)</f>
        <v>0</v>
      </c>
      <c r="BW17" s="5">
        <f>IF($D17="Chickpea after Forage Crop",H17*ChickpeaAfterForageCrop!$H$138,0)</f>
        <v>0</v>
      </c>
      <c r="BX17" s="5">
        <f>IF($D17="Chickpea after Cereal",H17*ChickpeaAfterCereal!$H$138,0)</f>
        <v>0</v>
      </c>
      <c r="BY17" s="5">
        <f>IF($D17="Spring Pea after Cereal",H17*SpringPeaAfterCereal!$H$138,0)</f>
        <v>0</v>
      </c>
      <c r="BZ17" s="5">
        <f>IF($D17="Forage Crop-St. John Area",H17*'ForageCrop-StJohn'!$H$138,0)</f>
        <v>0</v>
      </c>
      <c r="CA17" s="5">
        <f>IF($D17="Forage Crop-Genesee Area",H17*'ForageCrop-Genesee'!$H$138,0)</f>
        <v>0</v>
      </c>
      <c r="CB17" s="5">
        <f>IF($D17="Livestock Grazing",H17*LivestockGrazing!$H$138,0)</f>
        <v>0</v>
      </c>
      <c r="CC17" s="5">
        <f>IF($D17="SW Winter Wheat after Cereal",H17*SWWinterWheatafterCereal!$H$138,0)</f>
        <v>0</v>
      </c>
      <c r="CD17" s="5">
        <f>IF($D17="SW Winter Wheat after Fallow",H17*SWWinterWheatAfterFallow!$H$138,0)</f>
        <v>0</v>
      </c>
      <c r="CE17" s="5">
        <f>IF($D17="Chem-Fallow",H17*'Chem-Fallow'!$H$138,0)</f>
        <v>0</v>
      </c>
      <c r="CF17" s="5">
        <f>IF($D17="Flex-Fallow",H17*'Flex-Fallow'!$H$138,0)</f>
        <v>0</v>
      </c>
      <c r="CG17" s="5">
        <f>IF($D17="Spring Barley",H17*SpringBarley!$H$138,0)</f>
        <v>0</v>
      </c>
      <c r="CH17" s="5">
        <f>IF($D17="Roundup Ready Spring Canola",H17*'SpringCanola_R-Ready'!$H$138,0)</f>
        <v>0</v>
      </c>
      <c r="CI17" s="5">
        <f>IF($D17="Spring Canola",H17*SpringCanola!$H$138,0)</f>
        <v>0</v>
      </c>
      <c r="CJ17" s="5">
        <f>IF($D17="Spring Lentils",H17*SpringLentils!$H$138,0)</f>
        <v>0</v>
      </c>
      <c r="CK17" s="5">
        <f>IF($D17="SW Spring Wheat",H17*SWSpringWheat!$H$138,0)</f>
        <v>0</v>
      </c>
      <c r="CL17" s="5">
        <f>IF($D17="HR Winter Wheat",H17*HRWinterWheat!$H$138,0)</f>
        <v>0</v>
      </c>
      <c r="CM17" s="5">
        <f>IF($D17="Winter Pea",H17*WinterPea!$H$138,0)</f>
        <v>0</v>
      </c>
      <c r="CN17" s="5">
        <f>IF($D17="Winter Canola",H17*WinterCanola!$H$138,0)</f>
        <v>0</v>
      </c>
      <c r="CO17" s="377">
        <f>IF($D17="Forage Crop-Soil Builder Blend",H17*ForageCrop!$H$138,0)</f>
        <v>0</v>
      </c>
      <c r="CP17" s="5">
        <f>IF($D17="SW Winter Wheat after Spring Legume",H17*'Prices_Yields&amp;SeedInputs'!J$5,0)</f>
        <v>0</v>
      </c>
      <c r="CQ17" s="5">
        <f>IF($D17="SW Winter Wheat after Forage Crop",H17*'Prices_Yields&amp;SeedInputs'!J$6,0)</f>
        <v>0</v>
      </c>
      <c r="CR17" s="5">
        <f>IF($D17="DN Spring Wheat after Spring Legume",H17*'Prices_Yields&amp;SeedInputs'!J$7,0)</f>
        <v>0</v>
      </c>
      <c r="CS17" s="5">
        <f>IF($D17="DN Spring Wheat after Forage Crop",H17*'Prices_Yields&amp;SeedInputs'!J$8,0)</f>
        <v>0</v>
      </c>
      <c r="CT17" s="5">
        <f>IF($D17="DN Spring Wheat after Winter Crop",H17*'Prices_Yields&amp;SeedInputs'!J$9,0)</f>
        <v>0</v>
      </c>
      <c r="CU17" s="5">
        <f>IF($D17="Chickpea after Forage Crop",H17*'Prices_Yields&amp;SeedInputs'!J$10,0)</f>
        <v>0</v>
      </c>
      <c r="CV17" s="5">
        <f>IF($D17="Chickpea after Cereal",H17*'Prices_Yields&amp;SeedInputs'!J$11,0)</f>
        <v>0</v>
      </c>
      <c r="CW17" s="5">
        <f>IF($D17="Spring Pea after Cereal",H17*'Prices_Yields&amp;SeedInputs'!J$12,0)</f>
        <v>0</v>
      </c>
      <c r="CX17" s="5">
        <f>IF($D17="Forage Crop-St. John Area",H17*'Prices_Yields&amp;SeedInputs'!J$13,0)</f>
        <v>0</v>
      </c>
      <c r="CY17" s="5">
        <f>IF($D17="Forage Crop-Genesee Area",H17*'Prices_Yields&amp;SeedInputs'!J$14,0)</f>
        <v>0</v>
      </c>
      <c r="CZ17" s="5">
        <f>IF($D17="Livestock Grazing",H17*'Prices_Yields&amp;SeedInputs'!J$15,0)</f>
        <v>0</v>
      </c>
      <c r="DA17" s="5">
        <f>IF($D17="SW Winter Wheat after Cereal",H17*'Prices_Yields&amp;SeedInputs'!J$16,0)</f>
        <v>0</v>
      </c>
      <c r="DB17" s="5">
        <f>IF($D17="SW Winter Wheat after Fallow",H17*'Prices_Yields&amp;SeedInputs'!J$17,0)</f>
        <v>0</v>
      </c>
      <c r="DC17" s="5">
        <f>IF($D17="Chem-Fallow",H17*'Prices_Yields&amp;SeedInputs'!J$18,0)</f>
        <v>0</v>
      </c>
      <c r="DD17" s="5">
        <f>IF($D17="Flex-Fallow",H17*'Prices_Yields&amp;SeedInputs'!J$19,0)</f>
        <v>0</v>
      </c>
      <c r="DE17" s="5">
        <f>IF($D17="Spring Barley",H17*'Prices_Yields&amp;SeedInputs'!J$20,0)</f>
        <v>0</v>
      </c>
      <c r="DF17" s="5">
        <f>IF($D17="Roundup Ready Spring Canola",H17*'Prices_Yields&amp;SeedInputs'!J$21,0)</f>
        <v>0</v>
      </c>
      <c r="DG17" s="5">
        <f>IF($D17="Spring Canola",H17*'Prices_Yields&amp;SeedInputs'!J$22,0)</f>
        <v>0</v>
      </c>
      <c r="DH17" s="5">
        <f>IF($D17="Spring Lentils",H17*'Prices_Yields&amp;SeedInputs'!J$23,0)</f>
        <v>0</v>
      </c>
      <c r="DI17" s="5">
        <f>IF($D17="SW Spring Wheat",H17*'Prices_Yields&amp;SeedInputs'!J$24,0)</f>
        <v>0</v>
      </c>
      <c r="DJ17" s="5">
        <f>IF($D17="HR Winter Wheat",H17*'Prices_Yields&amp;SeedInputs'!J$25,0)</f>
        <v>0</v>
      </c>
      <c r="DK17" s="5">
        <f>IF($D17="Winter Pea",H17*'Prices_Yields&amp;SeedInputs'!J$26,0)</f>
        <v>0</v>
      </c>
      <c r="DL17" s="5">
        <f>IF($D17="Winter Canola",H17*'Prices_Yields&amp;SeedInputs'!J$27,0)</f>
        <v>0</v>
      </c>
      <c r="DM17" s="377">
        <f>IF($D17="Forage Crop-Soil Builder Blend",H17*'Prices_Yields&amp;SeedInputs'!J$28,0)</f>
        <v>0</v>
      </c>
      <c r="DN17" s="5">
        <f>IF($D17="SW Winter Wheat after Spring Legume",$H17*SWWinterWheatAfterSpringLegume!$H$135,0)</f>
        <v>0</v>
      </c>
      <c r="DO17" s="5">
        <f>IF($D17="SW Winter Wheat after Forage Crop",$H17*SWWinterWheatAfterForageCrop!$H$135,0)</f>
        <v>0</v>
      </c>
      <c r="DP17" s="5">
        <f>IF($D17="DN Spring Wheat after Spring Legume",$H17*DNSpringWinterAfterSpringLegume!$H$135,0)</f>
        <v>0</v>
      </c>
      <c r="DQ17" s="5">
        <f>IF($D17="DN Spring Wheat after Forage Crop",$H17*DNSpringWheatAfterForageCrop!$H$135,0)</f>
        <v>0</v>
      </c>
      <c r="DR17" s="5">
        <f>IF($D17="DN Spring Wheat after Winter Crop",$H17*DNSpringWheatAfterWinterCrop!$H$135,0)</f>
        <v>0</v>
      </c>
      <c r="DS17" s="5">
        <f>IF($D17="Chickpea after Forage Crop",$H17*ChickpeaAfterForageCrop!$H$135,0)</f>
        <v>0</v>
      </c>
      <c r="DT17" s="5">
        <f>IF($D17="Chickpea after Cereal",$H17*ChickpeaAfterCereal!$H$135,0)</f>
        <v>0</v>
      </c>
      <c r="DU17" s="5">
        <f>IF($D17="Spring Pea after Cereal",$H17*SpringPeaAfterCereal!$H$135,0)</f>
        <v>0</v>
      </c>
      <c r="DV17" s="5">
        <f>IF($D17="Forage Crop-St. John Area",$H17*'ForageCrop-StJohn'!$H$135,0)</f>
        <v>0</v>
      </c>
      <c r="DW17" s="5">
        <f>IF($D17="Forage Crop-Genesee Area",$H17*'ForageCrop-Genesee'!$H$135,0)</f>
        <v>0</v>
      </c>
      <c r="DX17" s="5">
        <f>IF($D17="Livestock Grazing",$H17*LivestockGrazing!$H$135,0)</f>
        <v>0</v>
      </c>
      <c r="DY17" s="5">
        <f>IF($D17="SW Winter Wheat after Cereal",$H17*SWWinterWheatafterCereal!$H$135,0)</f>
        <v>0</v>
      </c>
      <c r="DZ17" s="5">
        <f>IF($D17="SW Winter Wheat after Fallow",$H17*SWWinterWheatAfterFallow!$H$135,0)</f>
        <v>0</v>
      </c>
      <c r="EA17" s="5">
        <f>IF($D17="Chem-Fallow",$H17*'Chem-Fallow'!$H$135,0)</f>
        <v>0</v>
      </c>
      <c r="EB17" s="5">
        <f>IF($D17="Flex-Fallow",$H17*'Flex-Fallow'!$H$135,0)</f>
        <v>0</v>
      </c>
      <c r="EC17" s="5">
        <f>IF($D17="Spring Barley",$H17*SpringBarley!$H$135,0)</f>
        <v>0</v>
      </c>
      <c r="ED17" s="5">
        <f>IF($D17="Roundup Ready Spring Canola",$H17*'SpringCanola_R-Ready'!$H$135,0)</f>
        <v>0</v>
      </c>
      <c r="EE17" s="5">
        <f>IF($D17="Spring Canola",$H17*SpringCanola!$H$135,0)</f>
        <v>0</v>
      </c>
      <c r="EF17" s="5">
        <f>IF($D17="Spring Lentils",$H17*SpringLentils!$H$135,0)</f>
        <v>0</v>
      </c>
      <c r="EG17" s="5">
        <f>IF($D17="SW Spring Wheat",$H17*SWSpringWheat!$H$135,0)</f>
        <v>0</v>
      </c>
      <c r="EH17" s="5">
        <f>IF($D17="HR Winter Wheat",$H17*HRWinterWheat!$H$135,0)</f>
        <v>0</v>
      </c>
      <c r="EI17" s="5">
        <f>IF($D17="Winter Pea",$H17*WinterPea!$H$135,0)</f>
        <v>0</v>
      </c>
      <c r="EJ17" s="5">
        <f>IF($D17="Winter Canola",$H17*WinterCanola!$H$135,0)</f>
        <v>0</v>
      </c>
      <c r="EK17" s="377">
        <f>IF($D17="Forage Crop-Soil Builder Blend",$H17*ForageCrop!$H$135,0)</f>
        <v>0</v>
      </c>
      <c r="EL17" s="5">
        <f>IF($D17="SW Winter Wheat after Spring Legume",$H17*SWWinterWheatAfterSpringLegume!$J$116,0)</f>
        <v>0</v>
      </c>
      <c r="EM17" s="5">
        <f>IF($D17="SW Winter Wheat after Forage Crop",$H17*SWWinterWheatAfterForageCrop!$J$116,0)</f>
        <v>0</v>
      </c>
      <c r="EN17" s="5">
        <f>IF($D17="DN Spring Wheat after Spring Legume",$H17*DNSpringWinterAfterSpringLegume!$J$116,0)</f>
        <v>0</v>
      </c>
      <c r="EO17" s="5">
        <f>IF($D17="DN Spring Wheat after Forage Crop",$H17*DNSpringWheatAfterForageCrop!$J$116,0)</f>
        <v>0</v>
      </c>
      <c r="EP17" s="5">
        <f>IF($D17="DN Spring Wheat after Winter Crop",$H17*DNSpringWheatAfterWinterCrop!$J$116,0)</f>
        <v>0</v>
      </c>
      <c r="EQ17" s="5">
        <f>IF($D17="Chickpea after Forage Crop",$H17*ChickpeaAfterForageCrop!$J$116,0)</f>
        <v>0</v>
      </c>
      <c r="ER17" s="5">
        <f>IF($D17="Chickpea after Cereal",$H17*ChickpeaAfterCereal!$J$116,0)</f>
        <v>0</v>
      </c>
      <c r="ES17" s="5">
        <f>IF($D17="Spring Pea after Cereal",$H17*SpringPeaAfterCereal!$J$116,0)</f>
        <v>0</v>
      </c>
      <c r="ET17" s="5">
        <f>IF($D17="Forage Crop-St. John Area",$H17*'ForageCrop-StJohn'!$J$116,0)</f>
        <v>0</v>
      </c>
      <c r="EU17" s="5">
        <f>IF($D17="Forage Crop-Genesee Area",$H17*'ForageCrop-Genesee'!$J$116,0)</f>
        <v>0</v>
      </c>
      <c r="EV17" s="5">
        <f>IF($D17="Livestock Grazing",$H17*LivestockGrazing!$J$116,0)</f>
        <v>0</v>
      </c>
      <c r="EW17" s="5">
        <f>IF($D17="SW Winter Wheat after Cereal",$H17*SWWinterWheatafterCereal!$J$116,0)</f>
        <v>0</v>
      </c>
      <c r="EX17" s="5">
        <f>IF($D17="SW Winter Wheat after Fallow",$H17*SWWinterWheatAfterFallow!$J$116,0)</f>
        <v>0</v>
      </c>
      <c r="EY17" s="5">
        <f>IF($D17="Chem-Fallow",$H17*'Chem-Fallow'!$J$116,0)</f>
        <v>0</v>
      </c>
      <c r="EZ17" s="5">
        <f>IF($D17="Flex-Fallow",$H17*'Flex-Fallow'!$J$116,0)</f>
        <v>0</v>
      </c>
      <c r="FA17" s="5">
        <f>IF($D17="Spring Barley",$H17*SpringBarley!$J$116,0)</f>
        <v>0</v>
      </c>
      <c r="FB17" s="5">
        <f>IF($D17="Roundup Ready Spring Canola",$H17*'SpringCanola_R-Ready'!$J$116,0)</f>
        <v>0</v>
      </c>
      <c r="FC17" s="5">
        <f>IF($D17="Spring Canola",$H17*SpringCanola!$J$116,0)</f>
        <v>0</v>
      </c>
      <c r="FD17" s="5">
        <f>IF($D17="Spring Lentils",$H17*SpringLentils!$J$116,0)</f>
        <v>0</v>
      </c>
      <c r="FE17" s="5">
        <f>IF($D17="SW Spring Wheat",$H17*SWSpringWheat!$J$116,0)</f>
        <v>0</v>
      </c>
      <c r="FF17" s="5">
        <f>IF($D17="HR Winter Wheat",$H17*HRWinterWheat!$J$116,0)</f>
        <v>0</v>
      </c>
      <c r="FG17" s="5">
        <f>IF($D17="Winter Pea",$H17*WinterPea!$J$116,0)</f>
        <v>0</v>
      </c>
      <c r="FH17" s="5">
        <f>IF($D17="Winter Canola",$H17*WinterCanola!$J$116,0)</f>
        <v>0</v>
      </c>
      <c r="FI17" s="377">
        <f>IF($D17="Forage Crop-Soil Builder Blend",$H17*ForageCrop!$J$116,0)</f>
        <v>0</v>
      </c>
      <c r="FJ17" s="5">
        <f>IF($D17="SW Winter Wheat after Spring Legume",$H17*SWWinterWheatAfterSpringLegume!$J$117,0)</f>
        <v>0</v>
      </c>
      <c r="FK17" s="5">
        <f>IF($D17="SW Winter Wheat after Forage Crop",$H17*SWWinterWheatAfterForageCrop!$J$117,0)</f>
        <v>0</v>
      </c>
      <c r="FL17" s="5">
        <f>IF($D17="DN Spring Wheat after Spring Legume",$H17*DNSpringWinterAfterSpringLegume!$J$117,0)</f>
        <v>0</v>
      </c>
      <c r="FM17" s="5">
        <f>IF($D17="DN Spring Wheat after Forage Crop",$H17*DNSpringWheatAfterForageCrop!$J$117,0)</f>
        <v>0</v>
      </c>
      <c r="FN17" s="5">
        <f>IF($D17="DN Spring Wheat after Winter Crop",$H17*DNSpringWheatAfterWinterCrop!$J$117,0)</f>
        <v>0</v>
      </c>
      <c r="FO17" s="5">
        <f>IF($D17="Chickpea after Forage Crop",$H17*ChickpeaAfterForageCrop!$J$117,0)</f>
        <v>0</v>
      </c>
      <c r="FP17" s="5">
        <f>IF($D17="Chickpea after Cereal",$H17*ChickpeaAfterCereal!$J$117,0)</f>
        <v>0</v>
      </c>
      <c r="FQ17" s="5">
        <f>IF($D17="Spring Pea after Cereal",$H17*SpringPeaAfterCereal!$J$117,0)</f>
        <v>0</v>
      </c>
      <c r="FR17" s="5">
        <f>IF($D17="Forage Crop-St. John Area",$H17*'ForageCrop-StJohn'!$J$117,0)</f>
        <v>0</v>
      </c>
      <c r="FS17" s="5">
        <f>IF($D17="Forage Crop-Genesee Area",$H17*'ForageCrop-Genesee'!$J$117,0)</f>
        <v>0</v>
      </c>
      <c r="FT17" s="5">
        <f>IF($D17="Livestock Grazing",$H17*LivestockGrazing!$J$117,0)</f>
        <v>0</v>
      </c>
      <c r="FU17" s="5">
        <f>IF($D17="SW Winter Wheat after Cereal",$H17*SWWinterWheatafterCereal!$J$117,0)</f>
        <v>0</v>
      </c>
      <c r="FV17" s="5">
        <f>IF($D17="SW Winter Wheat after Fallow",$H17*SWWinterWheatAfterFallow!$J$117,0)</f>
        <v>0</v>
      </c>
      <c r="FW17" s="5">
        <f>IF($D17="Chem-Fallow",$H17*'Chem-Fallow'!$J$117,0)</f>
        <v>0</v>
      </c>
      <c r="FX17" s="5">
        <f>IF($D17="Flex-Fallow",$H17*'Flex-Fallow'!$J$117,0)</f>
        <v>0</v>
      </c>
      <c r="FY17" s="5">
        <f>IF($D17="Spring Barley",$H17*SpringBarley!$J$117,0)</f>
        <v>0</v>
      </c>
      <c r="FZ17" s="5">
        <f>IF($D17="Roundup Ready Spring Canola",$H17*'SpringCanola_R-Ready'!$J$117,0)</f>
        <v>0</v>
      </c>
      <c r="GA17" s="5">
        <f>IF($D17="Spring Canola",$H17*SpringCanola!$J$117,0)</f>
        <v>0</v>
      </c>
      <c r="GB17" s="5">
        <f>IF($D17="Spring Lentils",$H17*SpringLentils!$J$117,0)</f>
        <v>0</v>
      </c>
      <c r="GC17" s="5">
        <f>IF($D17="SW Spring Wheat",$H17*SWSpringWheat!$J$117,0)</f>
        <v>0</v>
      </c>
      <c r="GD17" s="5">
        <f>IF($D17="HR Winter Wheat",$H17*HRWinterWheat!$J$117,0)</f>
        <v>0</v>
      </c>
      <c r="GE17" s="5">
        <f>IF($D17="Winter Pea",$H17*WinterPea!$J$117,0)</f>
        <v>0</v>
      </c>
      <c r="GF17" s="5">
        <f>IF($D17="Winter Canola",$H17*WinterCanola!$J$117,0)</f>
        <v>0</v>
      </c>
      <c r="GG17" s="377">
        <f>IF($D17="Forage Crop-Soil Builder Blend",$H17*ForageCrop!$J$117,0)</f>
        <v>0</v>
      </c>
      <c r="GH17" s="5">
        <f>IF($D17="SW Winter Wheat after Spring Legume",$H17*SWWinterWheatAfterSpringLegume!$L$118,0)</f>
        <v>0</v>
      </c>
      <c r="GI17" s="5">
        <f>IF($D17="SW Winter Wheat after Forage Crop",$H17*SWWinterWheatAfterForageCrop!$L$118,0)</f>
        <v>0</v>
      </c>
      <c r="GJ17" s="5">
        <f>IF($D17="DN Spring Wheat after Spring Legume",$H17*DNSpringWinterAfterSpringLegume!$L$118,0)</f>
        <v>0</v>
      </c>
      <c r="GK17" s="5">
        <f>IF($D17="DN Spring Wheat after Forage Crop",$H17*DNSpringWheatAfterForageCrop!$L$118,0)</f>
        <v>0</v>
      </c>
      <c r="GL17" s="5">
        <f>IF($D17="DN Spring Wheat after Winter Crop",$H17*DNSpringWheatAfterWinterCrop!$L$118,0)</f>
        <v>0</v>
      </c>
      <c r="GM17" s="5">
        <f>IF($D17="Chickpea after Forage Crop",$H17*ChickpeaAfterForageCrop!$L$118,0)</f>
        <v>0</v>
      </c>
      <c r="GN17" s="5">
        <f>IF($D17="Chickpea after Cereal",$H17*ChickpeaAfterCereal!$L$118,0)</f>
        <v>0</v>
      </c>
      <c r="GO17" s="5">
        <f>IF($D17="Spring Pea after Cereal",$H17*SpringPeaAfterCereal!$L$118,0)</f>
        <v>0</v>
      </c>
      <c r="GP17" s="5">
        <f>IF($D17="Forage Crop-St. John Area",$H17*'ForageCrop-StJohn'!$L$118,0)</f>
        <v>0</v>
      </c>
      <c r="GQ17" s="5">
        <f>IF($D17="Forage Crop-Genesee Area",$H17*'ForageCrop-Genesee'!$L$118,0)</f>
        <v>0</v>
      </c>
      <c r="GR17" s="5">
        <f>IF($D17="Livestock Grazing",$H17*LivestockGrazing!$L$118,0)</f>
        <v>0</v>
      </c>
      <c r="GS17" s="5">
        <f>IF($D17="SW Winter Wheat after Cereal",$H17*SWWinterWheatafterCereal!$L$118,0)</f>
        <v>0</v>
      </c>
      <c r="GT17" s="5">
        <f>IF($D17="SW Winter Wheat after Fallow",$H17*SWWinterWheatAfterFallow!$L$118,0)</f>
        <v>0</v>
      </c>
      <c r="GU17" s="5">
        <f>IF($D17="Chem-Fallow",$H17*'Chem-Fallow'!$L$118,0)</f>
        <v>0</v>
      </c>
      <c r="GV17" s="5">
        <f>IF($D17="Flex-Fallow",$H17*'Flex-Fallow'!$L$118,0)</f>
        <v>0</v>
      </c>
      <c r="GW17" s="5">
        <f>IF($D17="Spring Barley",$H17*SpringBarley!$L$118,0)</f>
        <v>0</v>
      </c>
      <c r="GX17" s="5">
        <f>IF($D17="Roundup Ready Spring Canola",$H17*'SpringCanola_R-Ready'!$L$118,0)</f>
        <v>0</v>
      </c>
      <c r="GY17" s="5">
        <f>IF($D17="Spring Canola",$H17*SpringCanola!$L$118,0)</f>
        <v>0</v>
      </c>
      <c r="GZ17" s="5">
        <f>IF($D17="Spring Lentils",$H17*SpringLentils!$L$118,0)</f>
        <v>0</v>
      </c>
      <c r="HA17" s="5">
        <f>IF($D17="SW Spring Wheat",$H17*SWSpringWheat!$L$118,0)</f>
        <v>0</v>
      </c>
      <c r="HB17" s="5">
        <f>IF($D17="HR Winter Wheat",$H17*HRWinterWheat!$L$118,0)</f>
        <v>0</v>
      </c>
      <c r="HC17" s="5">
        <f>IF($D17="Winter Pea",$H17*WinterPea!$L$118,0)</f>
        <v>0</v>
      </c>
      <c r="HD17" s="5">
        <f>IF($D17="Winter Canola",$H17*WinterCanola!$L$118,0)</f>
        <v>0</v>
      </c>
      <c r="HE17" s="377">
        <f>IF($D17="Forage Crop-Soil Builder Blend",$H17*ForageCrop!$L$118,0)</f>
        <v>0</v>
      </c>
      <c r="HF17" s="5">
        <f>IF($D17="SW Winter Wheat after Spring Legume",($H17*(SUM(SWWinterWheatAfterSpringLegume!$E$9:$E$16)+SWWinterWheatAfterSpringLegume!$G$16))/2000,0)</f>
        <v>0</v>
      </c>
      <c r="HG17" s="5">
        <f>IF($D17="SW Winter Wheat after Forage Crop",($H17*(SUM(SWWinterWheatAfterForageCrop!$E$9:$E$16)+SWWinterWheatAfterForageCrop!$G$17))/2000,0)</f>
        <v>0</v>
      </c>
      <c r="HH17" s="5">
        <f>IF($D17="DN Spring Wheat after Spring Legume",($H17*(SUM(DNSpringWinterAfterSpringLegume!$E$9:$E$16)+DNSpringWinterAfterSpringLegume!$G$16))/2000,0)</f>
        <v>0</v>
      </c>
      <c r="HI17" s="5">
        <f>IF($D17="DN Spring Wheat after Forage Crop",($H17*(SUM(DNSpringWheatAfterForageCrop!$E$9:$E$16)+DNSpringWheatAfterForageCrop!$G$14))/2000,0)</f>
        <v>0</v>
      </c>
      <c r="HJ17" s="5">
        <f>IF($D17="DN Spring Wheat after Winter Crop",($H17*(SUM(DNSpringWheatAfterWinterCrop!$E$9:$E$16)+DNSpringWheatAfterWinterCrop!$G$16))/2000,0)</f>
        <v>0</v>
      </c>
      <c r="HK17" s="5">
        <f>IF($D17="Chickpea after Forage Crop",($H17*(SUM(ChickpeaAfterForageCrop!$E$9:$E$16)+ChickpeaAfterForageCrop!$G$14))/2000,0)</f>
        <v>0</v>
      </c>
      <c r="HL17" s="5">
        <f>IF($D17="Chickpea after Cereal",($H17*(SUM(ChickpeaAfterCereal!$E$9:$E$16)+ChickpeaAfterCereal!$G$14))/2000,0)</f>
        <v>0</v>
      </c>
      <c r="HM17" s="5">
        <f>IF($D17="Spring Pea after Cereal",($H17*(SUM(SpringPeaAfterCereal!$E$9:$E$16)+SpringPeaAfterCereal!$G$14))/2000,0)</f>
        <v>0</v>
      </c>
      <c r="HN17" s="5">
        <f>IF($D17="Forage Crop-St. John Area",($H17*(SUM('ForageCrop-StJohn'!$E$9:$E$16)+'ForageCrop-StJohn'!$G$14))/2000,0)</f>
        <v>0</v>
      </c>
      <c r="HO17" s="5">
        <f>IF($D17="Forage Crop-Genesee Area",($H17*(SUM('ForageCrop-Genesee'!$E$9:$E$16)+'ForageCrop-Genesee'!$G$14))/2000,0)</f>
        <v>0</v>
      </c>
      <c r="HP17" s="5">
        <f>IF($D17="Livestock Grazing",($H17*(SUM(LivestockGrazing!$E$9:$E$16)+LivestockGrazing!$G$14))/2000,0)</f>
        <v>0</v>
      </c>
      <c r="HQ17" s="5">
        <f>IF($D17="SW Winter Wheat after Cereal",($H17*(SUM(SWWinterWheatafterCereal!$E$9:$E$16)+SWWinterWheatafterCereal!$G$16))/2000,0)</f>
        <v>0</v>
      </c>
      <c r="HR17" s="5">
        <f>IF($D17="SW Winter Wheat after Fallow",($H17*(SUM(SWWinterWheatAfterFallow!$E$9:$E$16)+SWWinterWheatAfterFallow!$G$14))/2000,0)</f>
        <v>0</v>
      </c>
      <c r="HS17" s="5">
        <f>IF($D17="Chem-Fallow",($H17*(SUM('Chem-Fallow'!$E$9:$E$16)+'Chem-Fallow'!$G$16))/2000,0)</f>
        <v>0</v>
      </c>
      <c r="HT17" s="5">
        <f>IF($D17="Flex-Fallow",($H17*(SUM('Flex-Fallow'!$E$9:$E$16)+'Flex-Fallow'!$G$16))/2000,0)</f>
        <v>0</v>
      </c>
      <c r="HU17" s="5">
        <f>IF($D17="Spring Barley",($H17*(SUM(SpringBarley!$E$9:$E$16)+SpringBarley!$G$16))/2000,0)</f>
        <v>0</v>
      </c>
      <c r="HV17" s="5">
        <f>IF($D17="Roundup Ready Spring Canola",($H17*(SUM('SpringCanola_R-Ready'!$E$9:$E$16)+'SpringCanola_R-Ready'!$G$14))/2000,0)</f>
        <v>0</v>
      </c>
      <c r="HW17" s="5">
        <f>IF($D17="Spring Canola",($H17*(SUM(SpringCanola!$E$9:$E$16)+SpringCanola!$G$14))/2000,0)</f>
        <v>0</v>
      </c>
      <c r="HX17" s="5">
        <f>IF($D17="Spriing Lentils",($H17*(SUM(SpringLentils!$E$9:$E$16)+SpringLentils!$G$14))/2000,0)</f>
        <v>0</v>
      </c>
      <c r="HY17" s="5">
        <f>IF($D17="SW Spring Wheat",($H17*(SUM(SWSpringWheat!$E$9:$E$16)+SWSpringWheat!$G$18))/2000,0)</f>
        <v>0</v>
      </c>
      <c r="HZ17" s="5">
        <f>IF($D17="HR Winter Wheat",($H17*(SUM(HRWinterWheat!$E$9:$E$16)+HRWinterWheat!$G$16))/2000,0)</f>
        <v>0</v>
      </c>
      <c r="IA17" s="5">
        <f>IF($D17="Winter Pea",($H17*(SUM(WinterPea!$E$9:$E$16)+WinterPea!$G$14))/2000,0)</f>
        <v>0</v>
      </c>
      <c r="IB17" s="5">
        <f>IF($D17="Winter Canola",($H17*(SUM(WinterCanola!$E$9:$E$16)+WinterCanola!$G$14))/2000,0)</f>
        <v>0</v>
      </c>
      <c r="IC17" s="377">
        <f>IF($D17="Forage Crop-Soil Builder Blend",($H17*(SUM(ForageCrop!$E$9:$E$16)+ForageCrop!$G$14))/2000,0)</f>
        <v>0</v>
      </c>
      <c r="ID17" s="5">
        <f>IF($D17="SW Winter Wheat after Spring Legume",$H17*SWWinterWheatAfterSpringLegume!$G$62,0)</f>
        <v>0</v>
      </c>
      <c r="IE17" s="5">
        <f>IF($D17="SW Winter Wheat after Forage Crop",$H17*SWWinterWheatAfterForageCrop!$G$62,0)</f>
        <v>0</v>
      </c>
      <c r="IF17" s="5">
        <f>IF($D17="DN Spring Wheat after Spring Legume",$H17*DNSpringWinterAfterSpringLegume!$G$62,0)</f>
        <v>0</v>
      </c>
      <c r="IG17" s="5">
        <f>IF($D17="DN Spring Wheat after Forage Crop",$H17*DNSpringWheatAfterForageCrop!$G$62,0)</f>
        <v>0</v>
      </c>
      <c r="IH17" s="5">
        <f>IF($D17="DN Spring Wheat after Winter Crop",$H17*DNSpringWheatAfterWinterCrop!$G$62,0)</f>
        <v>0</v>
      </c>
      <c r="II17" s="5">
        <f>IF($D17="Chickpea after Forage Crop",$H17*ChickpeaAfterForageCrop!$G$62,0)</f>
        <v>0</v>
      </c>
      <c r="IJ17" s="5">
        <f>IF($D17="Chickpea after Cereal",$H17*ChickpeaAfterCereal!$G$62,0)</f>
        <v>0</v>
      </c>
      <c r="IK17" s="5">
        <f>IF($D17="Spring Pea after Cereal",$H17*SpringPeaAfterCereal!$G$62,0)</f>
        <v>0</v>
      </c>
      <c r="IL17" s="5">
        <f>IF($D17="Forage Crop-St. John Area",$H17*'ForageCrop-StJohn'!$G$62,0)</f>
        <v>0</v>
      </c>
      <c r="IM17" s="5">
        <f>IF($D17="Forage Crop-Genesee Area",$H17*'ForageCrop-Genesee'!$G$62,0)</f>
        <v>0</v>
      </c>
      <c r="IN17" s="5">
        <f>IF($D17="Livestock Grazing",$H17*LivestockGrazing!$G$62,0)</f>
        <v>0</v>
      </c>
      <c r="IO17" s="5">
        <f>IF($D17="SW Winter Wheat after Cereal",$H17*SWWinterWheatafterCereal!$G$62,0)</f>
        <v>0</v>
      </c>
      <c r="IP17" s="5">
        <f>IF($D17="SW Winter Wheat after Fallow",$H17*SWWinterWheatAfterFallow!$G$62,0)</f>
        <v>0</v>
      </c>
      <c r="IQ17" s="5">
        <f>IF($D17="Chem-Fallow",$H17*'Chem-Fallow'!$G$62,0)</f>
        <v>0</v>
      </c>
      <c r="IR17" s="5">
        <f>IF($D17="Flex-Fallow",$H17*'Flex-Fallow'!$G$62,0)</f>
        <v>0</v>
      </c>
      <c r="IS17" s="5">
        <f>IF($D17="Spring Barley",$H17*SpringBarley!$G$62,0)</f>
        <v>0</v>
      </c>
      <c r="IT17" s="5">
        <f>IF($D17="Roundup Ready Spring Canola",$H17*'SpringCanola_R-Ready'!$G$62,0)</f>
        <v>0</v>
      </c>
      <c r="IU17" s="5">
        <f>IF($D17="Spring Canola",$H17*SpringCanola!$G$62,0)</f>
        <v>0</v>
      </c>
      <c r="IV17" s="5">
        <f>IF($D17="Spriing Lentils",$H17*SpringLentils!$G$62,0)</f>
        <v>0</v>
      </c>
      <c r="IW17" s="5">
        <f>IF($D17="SW Spring Wheat",$H17*SWSpringWheat!$G$62,0)</f>
        <v>0</v>
      </c>
      <c r="IX17" s="5">
        <f>IF($D17="HR Winter Wheat",$H17*HRWinterWheat!$G$62,0)</f>
        <v>0</v>
      </c>
      <c r="IY17" s="5">
        <f>IF($D17="Winter Pea",$H17*WinterPea!$G$62,0)</f>
        <v>0</v>
      </c>
      <c r="IZ17" s="5">
        <f>IF($D17="Winter Canola",$H17*+WinterCanola!$G$62,0)</f>
        <v>0</v>
      </c>
      <c r="JA17" s="5">
        <f>IF($D17="Forage Crop-Soil Builder Blend",$H17*ForageCrop!$G$62,0)</f>
        <v>0</v>
      </c>
      <c r="JB17" s="5">
        <f>IF($D17="SW Winter Wheat after Spring Legume",$H17*SWWinterWheatAfterSpringLegume!$E$4,0)</f>
        <v>0</v>
      </c>
      <c r="JC17" s="5">
        <f>IF($D17="SW Winter Wheat after Forage Crop",$H17*SWWinterWheatAfterForageCrop!$E$4,0)</f>
        <v>0</v>
      </c>
      <c r="JD17" s="5">
        <f>IF($D17="DN Spring Wheat after Spring Legume",$H17*DNSpringWinterAfterSpringLegume!$E$4,0)</f>
        <v>0</v>
      </c>
      <c r="JE17" s="5">
        <f>IF($D17="DN Spring Wheat after Forage Crop",$H17*DNSpringWheatAfterForageCrop!$E$4,0)</f>
        <v>0</v>
      </c>
      <c r="JF17" s="5">
        <f>IF($D17="DN Spring Wheat after Winter Crop",$H17*DNSpringWheatAfterWinterCrop!$E$4,0)</f>
        <v>0</v>
      </c>
      <c r="JG17" s="5">
        <f>IF($D17="Chickpea after Forage Crop",$H17*ChickpeaAfterForageCrop!$E$4,0)</f>
        <v>0</v>
      </c>
      <c r="JH17" s="5">
        <f>IF($D17="Chickpea after Cereal",$H17*ChickpeaAfterCereal!$E$4,0)</f>
        <v>0</v>
      </c>
      <c r="JI17" s="5">
        <f>IF($D17="Spring Pea after Cereal",$H17*SpringPeaAfterCereal!$E$4,0)</f>
        <v>0</v>
      </c>
      <c r="JJ17" s="5">
        <f>IF($D17="Forage Crop-St. John Area",$H17*'ForageCrop-StJohn'!$E$4,0)</f>
        <v>0</v>
      </c>
      <c r="JK17" s="5">
        <f>IF($D17="Forage Crop-Genesee Area",$H17*'ForageCrop-Genesee'!$E$4,0)</f>
        <v>0</v>
      </c>
      <c r="JL17" s="5">
        <f>IF($D17="Livestock Grazing",$H17*LivestockGrazing!$E$4,0)</f>
        <v>0</v>
      </c>
      <c r="JM17" s="5">
        <f>IF($D17="SW Winter Wheat after Cereal",$H17*SWWinterWheatafterCereal!$E$4,0)</f>
        <v>0</v>
      </c>
      <c r="JN17" s="5">
        <f>IF($D17="SW Winter Wheat after Fallow",$H17*SWWinterWheatAfterFallow!$E$4,0)</f>
        <v>0</v>
      </c>
      <c r="JO17" s="5">
        <f>IF($D17="Chem-Fallow",$H17*'Chem-Fallow'!$E$4,0)</f>
        <v>0</v>
      </c>
      <c r="JP17" s="5">
        <f>IF($D17="Flex-Fallow",$H17*'Flex-Fallow'!$E$4,0)</f>
        <v>0</v>
      </c>
      <c r="JQ17" s="5">
        <f>IF($D17="Spring Barley",$H17*SpringBarley!$E$4,0)</f>
        <v>0</v>
      </c>
      <c r="JR17" s="5">
        <f>IF($D17="Roundup Ready Spring Canola",$H17*'SpringCanola_R-Ready'!$E$4,0)</f>
        <v>0</v>
      </c>
      <c r="JS17" s="5">
        <f>IF($D17="Spring Canola",$H17*SpringCanola!$E$4,0)</f>
        <v>0</v>
      </c>
      <c r="JT17" s="5">
        <f>IF($D17="Spriing Lentils",$H17*SpringLentils!$E$4,0)</f>
        <v>0</v>
      </c>
      <c r="JU17" s="5">
        <f>IF($D17="SW Spring Wheat",$H17*SWSpringWheat!$E$4,0)</f>
        <v>0</v>
      </c>
      <c r="JV17" s="5">
        <f>IF($D17="HR Winter Wheat",$H17*HRWinterWheat!$E$4,0)</f>
        <v>0</v>
      </c>
      <c r="JW17" s="5">
        <f>IF($D17="Winter Pea",$H17*WinterPea!$E$4,0)</f>
        <v>0</v>
      </c>
      <c r="JX17" s="5">
        <f>IF($D17="Winter Canola",$H17*+WinterCanola!$E$4,0)</f>
        <v>0</v>
      </c>
      <c r="JY17" s="5">
        <f>IF($D17="Forage Crop-Soil Builder Blend",$H17*ForageCrop!$E$4,0)</f>
        <v>0</v>
      </c>
    </row>
    <row r="18" spans="1:297" ht="20" customHeight="1">
      <c r="A18" s="8"/>
      <c r="B18" s="702"/>
      <c r="C18" s="635">
        <v>5</v>
      </c>
      <c r="D18" s="636"/>
      <c r="E18" s="637">
        <v>0</v>
      </c>
      <c r="F18" s="638">
        <f>IF(D18="Livestock Grazing",0,E18)</f>
        <v>0</v>
      </c>
      <c r="G18" s="639">
        <f>IF(D18="Livestock Grazing",0,$I$2*E18)</f>
        <v>0</v>
      </c>
      <c r="H18" s="640">
        <f>$I$2*E18</f>
        <v>0</v>
      </c>
      <c r="I18" s="641">
        <f>SUM(AT18:BQ18)</f>
        <v>0</v>
      </c>
      <c r="J18" s="228"/>
      <c r="M18" s="228"/>
      <c r="N18" s="16" t="s">
        <v>127</v>
      </c>
      <c r="O18" s="235">
        <v>103.90625</v>
      </c>
      <c r="P18" s="235">
        <f>SUM('Farm and Rotation Setup'!HF14:IC18)</f>
        <v>180.27041015624997</v>
      </c>
      <c r="Q18" s="232">
        <f t="shared" si="1"/>
        <v>0.73493327067669145</v>
      </c>
      <c r="R18" s="228"/>
      <c r="S18" s="228"/>
      <c r="T18" s="228"/>
      <c r="V18" s="5">
        <f>IF($D18="SW Winter Wheat after Spring Legume",$H18,0)</f>
        <v>0</v>
      </c>
      <c r="W18" s="5">
        <f>IF($D18="SW Winter Wheat after Forage Crop",$H18,0)</f>
        <v>0</v>
      </c>
      <c r="X18" s="5">
        <f>IF($D18="DN Spring Wheat after Spring Legume",$H18,0)</f>
        <v>0</v>
      </c>
      <c r="Y18" s="5">
        <f>IF($D18="DN Spring Wheat after Forage Crop",$H18,0)</f>
        <v>0</v>
      </c>
      <c r="Z18" s="5">
        <f>IF($D18="DN Spring Wheat after Winter Crop",$H18,0)</f>
        <v>0</v>
      </c>
      <c r="AA18" s="5">
        <f>IF($D18="Chickpea after Forage Crop",$H18,0)</f>
        <v>0</v>
      </c>
      <c r="AB18" s="5">
        <f>IF($D18="Chickpea after Cereal",$H18,0)</f>
        <v>0</v>
      </c>
      <c r="AC18" s="5">
        <f>IF($D18="Spring Pea after Cereal",$H18,0)</f>
        <v>0</v>
      </c>
      <c r="AD18" s="5">
        <f>IF($D18="Forage Crop-St. John Area",$H18,0)</f>
        <v>0</v>
      </c>
      <c r="AE18" s="5">
        <f>IF($D18="Forage Crop-Genesee Area",$H18,0)</f>
        <v>0</v>
      </c>
      <c r="AF18" s="5">
        <f>IF($D18="Livestock Grazing",$H18,0)</f>
        <v>0</v>
      </c>
      <c r="AG18" s="5">
        <f>IF($D18="SW Winter Wheat after Cereal",$H18,0)</f>
        <v>0</v>
      </c>
      <c r="AH18" s="5">
        <f>IF($D18="SW Winter Wheat after Fallow",$H18,0)</f>
        <v>0</v>
      </c>
      <c r="AI18" s="5">
        <f>IF($D18="Chem-Fallow",$H18,0)</f>
        <v>0</v>
      </c>
      <c r="AJ18" s="5">
        <f>IF($D18="Flex-Fallow",$H18,0)</f>
        <v>0</v>
      </c>
      <c r="AK18" s="5">
        <f>IF($D18="Spring Barley",$H18,0)</f>
        <v>0</v>
      </c>
      <c r="AL18" s="5">
        <f>IF($D18="Roundup Ready Spring Canola",$H18,0)</f>
        <v>0</v>
      </c>
      <c r="AM18" s="5">
        <f>IF($D18="Spring Canola",$H18,0)</f>
        <v>0</v>
      </c>
      <c r="AN18" s="5">
        <f>IF($D18="Spring Lentils",$H18,0)</f>
        <v>0</v>
      </c>
      <c r="AO18" s="5">
        <f>IF($D18="SW Spring Wheat",$H18,0)</f>
        <v>0</v>
      </c>
      <c r="AP18" s="5">
        <f>IF($D18="HR Winter Wheat",$H18,0)</f>
        <v>0</v>
      </c>
      <c r="AQ18" s="5">
        <f>IF($D18="Winter Pea",$H18,0)</f>
        <v>0</v>
      </c>
      <c r="AR18" s="5">
        <f>IF($D18="Winter Canola",$H18,0)</f>
        <v>0</v>
      </c>
      <c r="AS18" s="377">
        <f>IF($D18="Forage Crop-Soil Builder Blend",$H18,0)</f>
        <v>0</v>
      </c>
      <c r="AT18" s="5">
        <f>IF($D18="SW Winter Wheat after Spring Legume",SWWinterWheatAfterSpringLegume!$H$138,0)</f>
        <v>0</v>
      </c>
      <c r="AU18" s="5">
        <f>IF($D18="SW Winter Wheat after Forage Crop",SWWinterWheatAfterForageCrop!$H$138,0)</f>
        <v>0</v>
      </c>
      <c r="AV18" s="5">
        <f>IF($D18="DN Spring Wheat after Spring Legume",DNSpringWinterAfterSpringLegume!$H$138,0)</f>
        <v>0</v>
      </c>
      <c r="AW18" s="5">
        <f>IF($D18="DN Spring Wheat after Forage Crop",DNSpringWheatAfterForageCrop!$H$138,0)</f>
        <v>0</v>
      </c>
      <c r="AX18" s="5">
        <f>IF($D18="DN Spring Wheat after Winter Crop",DNSpringWheatAfterWinterCrop!$H$138,0)</f>
        <v>0</v>
      </c>
      <c r="AY18" s="5">
        <f>IF($D18="Chickpea after Forage Crop",ChickpeaAfterForageCrop!$H$138,0)</f>
        <v>0</v>
      </c>
      <c r="AZ18" s="5">
        <f>IF($D18="Chickpea after Cereal",ChickpeaAfterCereal!$H$138,0)</f>
        <v>0</v>
      </c>
      <c r="BA18" s="5">
        <f>IF($D18="Spring Pea after Cereal",SpringPeaAfterCereal!$H$138,0)</f>
        <v>0</v>
      </c>
      <c r="BB18" s="5">
        <f>IF($D18="Forage Crop-St. John Area",'ForageCrop-StJohn'!$H$138,0)</f>
        <v>0</v>
      </c>
      <c r="BC18" s="5">
        <f>IF($D18="Forage Crop-Genesee Area",'ForageCrop-Genesee'!$H$138,0)</f>
        <v>0</v>
      </c>
      <c r="BD18" s="5">
        <f>IF($D18="Livestock Grazing",LivestockGrazing!$H$138,0)</f>
        <v>0</v>
      </c>
      <c r="BE18" s="5">
        <f>IF($D18="SW Winter Wheat after Cereal",SWWinterWheatafterCereal!$H$138,0)</f>
        <v>0</v>
      </c>
      <c r="BF18" s="5">
        <f>IF($D18="SW Winter Wheat after Fallow",SWWinterWheatAfterFallow!$H$138,0)</f>
        <v>0</v>
      </c>
      <c r="BG18" s="5">
        <f>IF($D18="Chem-Fallow",'Chem-Fallow'!$H$138,0)</f>
        <v>0</v>
      </c>
      <c r="BH18" s="5">
        <f>IF($D18="Flex-Fallow",'Flex-Fallow'!$H$138,0)</f>
        <v>0</v>
      </c>
      <c r="BI18" s="5">
        <f>IF($D18="Spring Barley",SpringBarley!$H$138,0)</f>
        <v>0</v>
      </c>
      <c r="BJ18" s="5">
        <f>IF($D18="Roundup Ready Spring Canola",'SpringCanola_R-Ready'!$H$138,0)</f>
        <v>0</v>
      </c>
      <c r="BK18" s="5">
        <f>IF($D18="Spring Canola",SpringCanola!$H$138,0)</f>
        <v>0</v>
      </c>
      <c r="BL18" s="5">
        <f>IF($D18="Spring Lentils",SpringLentils!$H$138,0)</f>
        <v>0</v>
      </c>
      <c r="BM18" s="5">
        <f>IF($D18="SW Spring Wheat",SWSpringWheat!$H$138,0)</f>
        <v>0</v>
      </c>
      <c r="BN18" s="5">
        <f>IF($D18="HR Winter Wheat",HRWinterWheat!$H$138,0)</f>
        <v>0</v>
      </c>
      <c r="BO18" s="5">
        <f>IF($D18="Winter Pea",WinterPea!$H$138,0)</f>
        <v>0</v>
      </c>
      <c r="BP18" s="5">
        <f>IF($D18="Winter Canola",WinterCanola!$H$138,0)</f>
        <v>0</v>
      </c>
      <c r="BQ18" s="377">
        <f>IF($D18="Forage Crop-Soil Builder Blend",ForageCrop!$H$138,0)</f>
        <v>0</v>
      </c>
      <c r="BR18" s="5">
        <f>IF($D18="SW Winter Wheat after Spring Legume",H18*SWWinterWheatAfterSpringLegume!$H$138,0)</f>
        <v>0</v>
      </c>
      <c r="BS18" s="5">
        <f>IF($D18="SW Winter Wheat after Forage Crop",H18*SWWinterWheatAfterForageCrop!$H$138,0)</f>
        <v>0</v>
      </c>
      <c r="BT18" s="5">
        <f>IF($D18="DN Spring Wheat after Spring Legume",H18*DNSpringWinterAfterSpringLegume!$H$138,0)</f>
        <v>0</v>
      </c>
      <c r="BU18" s="5">
        <f>IF($D18="DN Spring Wheat after Forage Crop",H18*DNSpringWheatAfterForageCrop!$H$138,0)</f>
        <v>0</v>
      </c>
      <c r="BV18" s="5">
        <f>IF($D18="DN Spring Wheat after Winter Crop",H18*DNSpringWheatAfterWinterCrop!$H$138,0)</f>
        <v>0</v>
      </c>
      <c r="BW18" s="5">
        <f>IF($D18="Chickpea after Forage Crop",H18*ChickpeaAfterForageCrop!$H$138,0)</f>
        <v>0</v>
      </c>
      <c r="BX18" s="5">
        <f>IF($D18="Chickpea after Cereal",H18*ChickpeaAfterCereal!$H$138,0)</f>
        <v>0</v>
      </c>
      <c r="BY18" s="5">
        <f>IF($D18="Spring Pea after Cereal",H18*SpringPeaAfterCereal!$H$138,0)</f>
        <v>0</v>
      </c>
      <c r="BZ18" s="5">
        <f>IF($D18="Forage Crop-St. John Area",H18*'ForageCrop-StJohn'!$H$138,0)</f>
        <v>0</v>
      </c>
      <c r="CA18" s="5">
        <f>IF($D18="Forage Crop-Genesee Area",H18*'ForageCrop-Genesee'!$H$138,0)</f>
        <v>0</v>
      </c>
      <c r="CB18" s="5">
        <f>IF($D18="Livestock Grazing",H18*LivestockGrazing!$H$138,0)</f>
        <v>0</v>
      </c>
      <c r="CC18" s="5">
        <f>IF($D18="SW Winter Wheat after Cereal",H18*SWWinterWheatafterCereal!$H$138,0)</f>
        <v>0</v>
      </c>
      <c r="CD18" s="5">
        <f>IF($D18="SW Winter Wheat after Fallow",H18*SWWinterWheatAfterFallow!$H$138,0)</f>
        <v>0</v>
      </c>
      <c r="CE18" s="5">
        <f>IF($D18="Chem-Fallow",H18*'Chem-Fallow'!$H$138,0)</f>
        <v>0</v>
      </c>
      <c r="CF18" s="5">
        <f>IF($D18="Flex-Fallow",H18*'Flex-Fallow'!$H$138,0)</f>
        <v>0</v>
      </c>
      <c r="CG18" s="5">
        <f>IF($D18="Spring Barley",H18*SpringBarley!$H$138,0)</f>
        <v>0</v>
      </c>
      <c r="CH18" s="5">
        <f>IF($D18="Roundup Ready Spring Canola",H18*'SpringCanola_R-Ready'!$H$138,0)</f>
        <v>0</v>
      </c>
      <c r="CI18" s="5">
        <f>IF($D18="Spring Canola",H18*SpringCanola!$H$138,0)</f>
        <v>0</v>
      </c>
      <c r="CJ18" s="5">
        <f>IF($D18="Spring Lentils",H18*SpringLentils!$H$138,0)</f>
        <v>0</v>
      </c>
      <c r="CK18" s="5">
        <f>IF($D18="SW Spring Wheat",H18*SWSpringWheat!$H$138,0)</f>
        <v>0</v>
      </c>
      <c r="CL18" s="5">
        <f>IF($D18="HR Winter Wheat",H18*HRWinterWheat!$H$138,0)</f>
        <v>0</v>
      </c>
      <c r="CM18" s="5">
        <f>IF($D18="Winter Pea",H18*WinterPea!$H$138,0)</f>
        <v>0</v>
      </c>
      <c r="CN18" s="5">
        <f>IF($D18="Winter Canola",H18*WinterCanola!$H$138,0)</f>
        <v>0</v>
      </c>
      <c r="CO18" s="377">
        <f>IF($D18="Forage Crop-Soil Builder Blend",H18*ForageCrop!$H$138,0)</f>
        <v>0</v>
      </c>
      <c r="CP18" s="5">
        <f>IF($D18="SW Winter Wheat after Spring Legume",H18*'Prices_Yields&amp;SeedInputs'!J$5,0)</f>
        <v>0</v>
      </c>
      <c r="CQ18" s="5">
        <f>IF($D18="SW Winter Wheat after Forage Crop",H18*'Prices_Yields&amp;SeedInputs'!J$6,0)</f>
        <v>0</v>
      </c>
      <c r="CR18" s="5">
        <f>IF($D18="DN Spring Wheat after Spring Legume",H18*'Prices_Yields&amp;SeedInputs'!J$7,0)</f>
        <v>0</v>
      </c>
      <c r="CS18" s="5">
        <f>IF($D18="DN Spring Wheat after Forage Crop",H18*'Prices_Yields&amp;SeedInputs'!J$8,0)</f>
        <v>0</v>
      </c>
      <c r="CT18" s="5">
        <f>IF($D18="DN Spring Wheat after Winter Crop",H18*'Prices_Yields&amp;SeedInputs'!J$9,0)</f>
        <v>0</v>
      </c>
      <c r="CU18" s="5">
        <f>IF($D18="Chickpea after Forage Crop",H18*'Prices_Yields&amp;SeedInputs'!J$10,0)</f>
        <v>0</v>
      </c>
      <c r="CV18" s="5">
        <f>IF($D18="Chickpea after Cereal",H18*'Prices_Yields&amp;SeedInputs'!J$11,0)</f>
        <v>0</v>
      </c>
      <c r="CW18" s="5">
        <f>IF($D18="Spring Pea after Cereal",H18*'Prices_Yields&amp;SeedInputs'!J$12,0)</f>
        <v>0</v>
      </c>
      <c r="CX18" s="5">
        <f>IF($D18="Forage Crop-St. John Area",H18*'Prices_Yields&amp;SeedInputs'!J$13,0)</f>
        <v>0</v>
      </c>
      <c r="CY18" s="5">
        <f>IF($D18="Forage Crop-Genesee Area",H18*'Prices_Yields&amp;SeedInputs'!J$14,0)</f>
        <v>0</v>
      </c>
      <c r="CZ18" s="5">
        <f>IF($D18="Livestock Grazing",H18*'Prices_Yields&amp;SeedInputs'!J$15,0)</f>
        <v>0</v>
      </c>
      <c r="DA18" s="5">
        <f>IF($D18="SW Winter Wheat after Cereal",H18*'Prices_Yields&amp;SeedInputs'!J$16,0)</f>
        <v>0</v>
      </c>
      <c r="DB18" s="5">
        <f>IF($D18="SW Winter Wheat after Fallow",H18*'Prices_Yields&amp;SeedInputs'!J$17,0)</f>
        <v>0</v>
      </c>
      <c r="DC18" s="5">
        <f>IF($D18="Chem-Fallow",H18*'Prices_Yields&amp;SeedInputs'!J$18,0)</f>
        <v>0</v>
      </c>
      <c r="DD18" s="5">
        <f>IF($D18="Flex-Fallow",H18*'Prices_Yields&amp;SeedInputs'!J$19,0)</f>
        <v>0</v>
      </c>
      <c r="DE18" s="5">
        <f>IF($D18="Spring Barley",H18*'Prices_Yields&amp;SeedInputs'!J$20,0)</f>
        <v>0</v>
      </c>
      <c r="DF18" s="5">
        <f>IF($D18="Roundup Ready Spring Canola",H18*'Prices_Yields&amp;SeedInputs'!J$21,0)</f>
        <v>0</v>
      </c>
      <c r="DG18" s="5">
        <f>IF($D18="Spring Canola",H18*'Prices_Yields&amp;SeedInputs'!J$22,0)</f>
        <v>0</v>
      </c>
      <c r="DH18" s="5">
        <f>IF($D18="Spring Lentils",H18*'Prices_Yields&amp;SeedInputs'!J$23,0)</f>
        <v>0</v>
      </c>
      <c r="DI18" s="5">
        <f>IF($D18="SW Spring Wheat",H18*'Prices_Yields&amp;SeedInputs'!J$24,0)</f>
        <v>0</v>
      </c>
      <c r="DJ18" s="5">
        <f>IF($D18="HR Winter Wheat",H18*'Prices_Yields&amp;SeedInputs'!J$25,0)</f>
        <v>0</v>
      </c>
      <c r="DK18" s="5">
        <f>IF($D18="Winter Pea",H18*'Prices_Yields&amp;SeedInputs'!J$26,0)</f>
        <v>0</v>
      </c>
      <c r="DL18" s="5">
        <f>IF($D18="Winter Canola",H18*'Prices_Yields&amp;SeedInputs'!J$27,0)</f>
        <v>0</v>
      </c>
      <c r="DM18" s="377">
        <f>IF($D18="Forage Crop-Soil Builder Blend",H18*'Prices_Yields&amp;SeedInputs'!J$28,0)</f>
        <v>0</v>
      </c>
      <c r="DN18" s="5">
        <f>IF($D18="SW Winter Wheat after Spring Legume",$H18*SWWinterWheatAfterSpringLegume!$H$135,0)</f>
        <v>0</v>
      </c>
      <c r="DO18" s="5">
        <f>IF($D18="SW Winter Wheat after Forage Crop",$H18*SWWinterWheatAfterForageCrop!$H$135,0)</f>
        <v>0</v>
      </c>
      <c r="DP18" s="5">
        <f>IF($D18="DN Spring Wheat after Spring Legume",$H18*DNSpringWinterAfterSpringLegume!$H$135,0)</f>
        <v>0</v>
      </c>
      <c r="DQ18" s="5">
        <f>IF($D18="DN Spring Wheat after Forage Crop",$H18*DNSpringWheatAfterForageCrop!$H$135,0)</f>
        <v>0</v>
      </c>
      <c r="DR18" s="5">
        <f>IF($D18="DN Spring Wheat after Winter Crop",$H18*DNSpringWheatAfterWinterCrop!$H$135,0)</f>
        <v>0</v>
      </c>
      <c r="DS18" s="5">
        <f>IF($D18="Chickpea after Forage Crop",$H18*ChickpeaAfterForageCrop!$H$135,0)</f>
        <v>0</v>
      </c>
      <c r="DT18" s="5">
        <f>IF($D18="Chickpea after Cereal",$H18*ChickpeaAfterCereal!$H$135,0)</f>
        <v>0</v>
      </c>
      <c r="DU18" s="5">
        <f>IF($D18="Spring Pea after Cereal",$H18*SpringPeaAfterCereal!$H$135,0)</f>
        <v>0</v>
      </c>
      <c r="DV18" s="5">
        <f>IF($D18="Forage Crop-St. John Area",$H18*'ForageCrop-StJohn'!$H$135,0)</f>
        <v>0</v>
      </c>
      <c r="DW18" s="5">
        <f>IF($D18="Forage Crop-Genesee Area",$H18*'ForageCrop-Genesee'!$H$135,0)</f>
        <v>0</v>
      </c>
      <c r="DX18" s="5">
        <f>IF($D18="Livestock Grazing",$H18*LivestockGrazing!$H$135,0)</f>
        <v>0</v>
      </c>
      <c r="DY18" s="5">
        <f>IF($D18="SW Winter Wheat after Cereal",$H18*SWWinterWheatafterCereal!$H$135,0)</f>
        <v>0</v>
      </c>
      <c r="DZ18" s="5">
        <f>IF($D18="SW Winter Wheat after Fallow",$H18*SWWinterWheatAfterFallow!$H$135,0)</f>
        <v>0</v>
      </c>
      <c r="EA18" s="5">
        <f>IF($D18="Chem-Fallow",$H18*'Chem-Fallow'!$H$135,0)</f>
        <v>0</v>
      </c>
      <c r="EB18" s="5">
        <f>IF($D18="Flex-Fallow",$H18*'Flex-Fallow'!$H$135,0)</f>
        <v>0</v>
      </c>
      <c r="EC18" s="5">
        <f>IF($D18="Spring Barley",$H18*SpringBarley!$H$135,0)</f>
        <v>0</v>
      </c>
      <c r="ED18" s="5">
        <f>IF($D18="Roundup Ready Spring Canola",$H18*'SpringCanola_R-Ready'!$H$135,0)</f>
        <v>0</v>
      </c>
      <c r="EE18" s="5">
        <f>IF($D18="Spring Canola",$H18*SpringCanola!$H$135,0)</f>
        <v>0</v>
      </c>
      <c r="EF18" s="5">
        <f>IF($D18="Spring Lentils",$H18*SpringLentils!$H$135,0)</f>
        <v>0</v>
      </c>
      <c r="EG18" s="5">
        <f>IF($D18="SW Spring Wheat",$H18*SWSpringWheat!$H$135,0)</f>
        <v>0</v>
      </c>
      <c r="EH18" s="5">
        <f>IF($D18="HR Winter Wheat",$H18*HRWinterWheat!$H$135,0)</f>
        <v>0</v>
      </c>
      <c r="EI18" s="5">
        <f>IF($D18="Winter Pea",$H18*WinterPea!$H$135,0)</f>
        <v>0</v>
      </c>
      <c r="EJ18" s="5">
        <f>IF($D18="Winter Canola",$H18*WinterCanola!$H$135,0)</f>
        <v>0</v>
      </c>
      <c r="EK18" s="377">
        <f>IF($D18="Forage Crop-Soil Builder Blend",$H18*ForageCrop!$H$135,0)</f>
        <v>0</v>
      </c>
      <c r="EL18" s="5">
        <f>IF($D18="SW Winter Wheat after Spring Legume",$H18*SWWinterWheatAfterSpringLegume!$J$116,0)</f>
        <v>0</v>
      </c>
      <c r="EM18" s="5">
        <f>IF($D18="SW Winter Wheat after Forage Crop",$H18*SWWinterWheatAfterForageCrop!$J$116,0)</f>
        <v>0</v>
      </c>
      <c r="EN18" s="5">
        <f>IF($D18="DN Spring Wheat after Spring Legume",$H18*DNSpringWinterAfterSpringLegume!$J$116,0)</f>
        <v>0</v>
      </c>
      <c r="EO18" s="5">
        <f>IF($D18="DN Spring Wheat after Forage Crop",$H18*DNSpringWheatAfterForageCrop!$J$116,0)</f>
        <v>0</v>
      </c>
      <c r="EP18" s="5">
        <f>IF($D18="DN Spring Wheat after Winter Crop",$H18*DNSpringWheatAfterWinterCrop!$J$116,0)</f>
        <v>0</v>
      </c>
      <c r="EQ18" s="5">
        <f>IF($D18="Chickpea after Forage Crop",$H18*ChickpeaAfterForageCrop!$J$116,0)</f>
        <v>0</v>
      </c>
      <c r="ER18" s="5">
        <f>IF($D18="Chickpea after Cereal",$H18*ChickpeaAfterCereal!$J$116,0)</f>
        <v>0</v>
      </c>
      <c r="ES18" s="5">
        <f>IF($D18="Spring Pea after Cereal",$H18*SpringPeaAfterCereal!$J$116,0)</f>
        <v>0</v>
      </c>
      <c r="ET18" s="5">
        <f>IF($D18="Forage Crop-St. John Area",$H18*'ForageCrop-StJohn'!$J$116,0)</f>
        <v>0</v>
      </c>
      <c r="EU18" s="5">
        <f>IF($D18="Forage Crop-Genesee Area",$H18*'ForageCrop-Genesee'!$J$116,0)</f>
        <v>0</v>
      </c>
      <c r="EV18" s="5">
        <f>IF($D18="Livestock Grazing",$H18*LivestockGrazing!$J$116,0)</f>
        <v>0</v>
      </c>
      <c r="EW18" s="5">
        <f>IF($D18="SW Winter Wheat after Cereal",$H18*SWWinterWheatafterCereal!$J$116,0)</f>
        <v>0</v>
      </c>
      <c r="EX18" s="5">
        <f>IF($D18="SW Winter Wheat after Fallow",$H18*SWWinterWheatAfterFallow!$J$116,0)</f>
        <v>0</v>
      </c>
      <c r="EY18" s="5">
        <f>IF($D18="Chem-Fallow",$H18*'Chem-Fallow'!$J$116,0)</f>
        <v>0</v>
      </c>
      <c r="EZ18" s="5">
        <f>IF($D18="Flex-Fallow",$H18*'Flex-Fallow'!$J$116,0)</f>
        <v>0</v>
      </c>
      <c r="FA18" s="5">
        <f>IF($D18="Spring Barley",$H18*SpringBarley!$J$116,0)</f>
        <v>0</v>
      </c>
      <c r="FB18" s="5">
        <f>IF($D18="Roundup Ready Spring Canola",$H18*'SpringCanola_R-Ready'!$J$116,0)</f>
        <v>0</v>
      </c>
      <c r="FC18" s="5">
        <f>IF($D18="Spring Canola",$H18*SpringCanola!$J$116,0)</f>
        <v>0</v>
      </c>
      <c r="FD18" s="5">
        <f>IF($D18="Spring Lentils",$H18*SpringLentils!$J$116,0)</f>
        <v>0</v>
      </c>
      <c r="FE18" s="5">
        <f>IF($D18="SW Spring Wheat",$H18*SWSpringWheat!$J$116,0)</f>
        <v>0</v>
      </c>
      <c r="FF18" s="5">
        <f>IF($D18="HR Winter Wheat",$H18*HRWinterWheat!$J$116,0)</f>
        <v>0</v>
      </c>
      <c r="FG18" s="5">
        <f>IF($D18="Winter Pea",$H18*WinterPea!$J$116,0)</f>
        <v>0</v>
      </c>
      <c r="FH18" s="5">
        <f>IF($D18="Winter Canola",$H18*WinterCanola!$J$116,0)</f>
        <v>0</v>
      </c>
      <c r="FI18" s="377">
        <f>IF($D18="Forage Crop-Soil Builder Blend",$H18*ForageCrop!$J$116,0)</f>
        <v>0</v>
      </c>
      <c r="FJ18" s="5">
        <f>IF($D18="SW Winter Wheat after Spring Legume",$H18*SWWinterWheatAfterSpringLegume!$J$117,0)</f>
        <v>0</v>
      </c>
      <c r="FK18" s="5">
        <f>IF($D18="SW Winter Wheat after Forage Crop",$H18*SWWinterWheatAfterForageCrop!$J$117,0)</f>
        <v>0</v>
      </c>
      <c r="FL18" s="5">
        <f>IF($D18="DN Spring Wheat after Spring Legume",$H18*DNSpringWinterAfterSpringLegume!$J$117,0)</f>
        <v>0</v>
      </c>
      <c r="FM18" s="5">
        <f>IF($D18="DN Spring Wheat after Forage Crop",$H18*DNSpringWheatAfterForageCrop!$J$117,0)</f>
        <v>0</v>
      </c>
      <c r="FN18" s="5">
        <f>IF($D18="DN Spring Wheat after Winter Crop",$H18*DNSpringWheatAfterWinterCrop!$J$117,0)</f>
        <v>0</v>
      </c>
      <c r="FO18" s="5">
        <f>IF($D18="Chickpea after Forage Crop",$H18*ChickpeaAfterForageCrop!$J$117,0)</f>
        <v>0</v>
      </c>
      <c r="FP18" s="5">
        <f>IF($D18="Chickpea after Cereal",$H18*ChickpeaAfterCereal!$J$117,0)</f>
        <v>0</v>
      </c>
      <c r="FQ18" s="5">
        <f>IF($D18="Spring Pea after Cereal",$H18*SpringPeaAfterCereal!$J$117,0)</f>
        <v>0</v>
      </c>
      <c r="FR18" s="5">
        <f>IF($D18="Forage Crop-St. John Area",$H18*'ForageCrop-StJohn'!$J$117,0)</f>
        <v>0</v>
      </c>
      <c r="FS18" s="5">
        <f>IF($D18="Forage Crop-Genesee Area",$H18*'ForageCrop-Genesee'!$J$117,0)</f>
        <v>0</v>
      </c>
      <c r="FT18" s="5">
        <f>IF($D18="Livestock Grazing",$H18*LivestockGrazing!$J$117,0)</f>
        <v>0</v>
      </c>
      <c r="FU18" s="5">
        <f>IF($D18="SW Winter Wheat after Cereal",$H18*SWWinterWheatafterCereal!$J$117,0)</f>
        <v>0</v>
      </c>
      <c r="FV18" s="5">
        <f>IF($D18="SW Winter Wheat after Fallow",$H18*SWWinterWheatAfterFallow!$J$117,0)</f>
        <v>0</v>
      </c>
      <c r="FW18" s="5">
        <f>IF($D18="Chem-Fallow",$H18*'Chem-Fallow'!$J$117,0)</f>
        <v>0</v>
      </c>
      <c r="FX18" s="5">
        <f>IF($D18="Flex-Fallow",$H18*'Flex-Fallow'!$J$117,0)</f>
        <v>0</v>
      </c>
      <c r="FY18" s="5">
        <f>IF($D18="Spring Barley",$H18*SpringBarley!$J$117,0)</f>
        <v>0</v>
      </c>
      <c r="FZ18" s="5">
        <f>IF($D18="Roundup Ready Spring Canola",$H18*'SpringCanola_R-Ready'!$J$117,0)</f>
        <v>0</v>
      </c>
      <c r="GA18" s="5">
        <f>IF($D18="Spring Canola",$H18*SpringCanola!$J$117,0)</f>
        <v>0</v>
      </c>
      <c r="GB18" s="5">
        <f>IF($D18="Spring Lentils",$H18*SpringLentils!$J$117,0)</f>
        <v>0</v>
      </c>
      <c r="GC18" s="5">
        <f>IF($D18="SW Spring Wheat",$H18*SWSpringWheat!$J$117,0)</f>
        <v>0</v>
      </c>
      <c r="GD18" s="5">
        <f>IF($D18="HR Winter Wheat",$H18*HRWinterWheat!$J$117,0)</f>
        <v>0</v>
      </c>
      <c r="GE18" s="5">
        <f>IF($D18="Winter Pea",$H18*WinterPea!$J$117,0)</f>
        <v>0</v>
      </c>
      <c r="GF18" s="5">
        <f>IF($D18="Winter Canola",$H18*WinterCanola!$J$117,0)</f>
        <v>0</v>
      </c>
      <c r="GG18" s="377">
        <f>IF($D18="Forage Crop-Soil Builder Blend",$H18*ForageCrop!$J$117,0)</f>
        <v>0</v>
      </c>
      <c r="GH18" s="5">
        <f>IF($D18="SW Winter Wheat after Spring Legume",$H18*SWWinterWheatAfterSpringLegume!$L$118,0)</f>
        <v>0</v>
      </c>
      <c r="GI18" s="5">
        <f>IF($D18="SW Winter Wheat after Forage Crop",$H18*SWWinterWheatAfterForageCrop!$L$118,0)</f>
        <v>0</v>
      </c>
      <c r="GJ18" s="5">
        <f>IF($D18="DN Spring Wheat after Spring Legume",$H18*DNSpringWinterAfterSpringLegume!$L$118,0)</f>
        <v>0</v>
      </c>
      <c r="GK18" s="5">
        <f>IF($D18="DN Spring Wheat after Forage Crop",$H18*DNSpringWheatAfterForageCrop!$L$118,0)</f>
        <v>0</v>
      </c>
      <c r="GL18" s="5">
        <f>IF($D18="DN Spring Wheat after Winter Crop",$H18*DNSpringWheatAfterWinterCrop!$L$118,0)</f>
        <v>0</v>
      </c>
      <c r="GM18" s="5">
        <f>IF($D18="Chickpea after Forage Crop",$H18*ChickpeaAfterForageCrop!$L$118,0)</f>
        <v>0</v>
      </c>
      <c r="GN18" s="5">
        <f>IF($D18="Chickpea after Cereal",$H18*ChickpeaAfterCereal!$L$118,0)</f>
        <v>0</v>
      </c>
      <c r="GO18" s="5">
        <f>IF($D18="Spring Pea after Cereal",$H18*SpringPeaAfterCereal!$L$118,0)</f>
        <v>0</v>
      </c>
      <c r="GP18" s="5">
        <f>IF($D18="Forage Crop-St. John Area",$H18*'ForageCrop-StJohn'!$L$118,0)</f>
        <v>0</v>
      </c>
      <c r="GQ18" s="5">
        <f>IF($D18="Forage Crop-Genesee Area",$H18*'ForageCrop-Genesee'!$L$118,0)</f>
        <v>0</v>
      </c>
      <c r="GR18" s="5">
        <f>IF($D18="Livestock Grazing",$H18*LivestockGrazing!$L$118,0)</f>
        <v>0</v>
      </c>
      <c r="GS18" s="5">
        <f>IF($D18="SW Winter Wheat after Cereal",$H18*SWWinterWheatafterCereal!$L$118,0)</f>
        <v>0</v>
      </c>
      <c r="GT18" s="5">
        <f>IF($D18="SW Winter Wheat after Fallow",$H18*SWWinterWheatAfterFallow!$L$118,0)</f>
        <v>0</v>
      </c>
      <c r="GU18" s="5">
        <f>IF($D18="Chem-Fallow",$H18*'Chem-Fallow'!$L$118,0)</f>
        <v>0</v>
      </c>
      <c r="GV18" s="5">
        <f>IF($D18="Flex-Fallow",$H18*'Flex-Fallow'!$L$118,0)</f>
        <v>0</v>
      </c>
      <c r="GW18" s="5">
        <f>IF($D18="Spring Barley",$H18*SpringBarley!$L$118,0)</f>
        <v>0</v>
      </c>
      <c r="GX18" s="5">
        <f>IF($D18="Roundup Ready Spring Canola",$H18*'SpringCanola_R-Ready'!$L$118,0)</f>
        <v>0</v>
      </c>
      <c r="GY18" s="5">
        <f>IF($D18="Spring Canola",$H18*SpringCanola!$L$118,0)</f>
        <v>0</v>
      </c>
      <c r="GZ18" s="5">
        <f>IF($D18="Spring Lentils",$H18*SpringLentils!$L$118,0)</f>
        <v>0</v>
      </c>
      <c r="HA18" s="5">
        <f>IF($D18="SW Spring Wheat",$H18*SWSpringWheat!$L$118,0)</f>
        <v>0</v>
      </c>
      <c r="HB18" s="5">
        <f>IF($D18="HR Winter Wheat",$H18*HRWinterWheat!$L$118,0)</f>
        <v>0</v>
      </c>
      <c r="HC18" s="5">
        <f>IF($D18="Winter Pea",$H18*WinterPea!$L$118,0)</f>
        <v>0</v>
      </c>
      <c r="HD18" s="5">
        <f>IF($D18="Winter Canola",$H18*WinterCanola!$L$118,0)</f>
        <v>0</v>
      </c>
      <c r="HE18" s="377">
        <f>IF($D18="Forage Crop-Soil Builder Blend",$H18*ForageCrop!$L$118,0)</f>
        <v>0</v>
      </c>
      <c r="HF18" s="5">
        <f>IF($D18="SW Winter Wheat after Spring Legume",($H18*(SUM(SWWinterWheatAfterSpringLegume!$E$9:$E$16)+SWWinterWheatAfterSpringLegume!$G$16))/2000,0)</f>
        <v>0</v>
      </c>
      <c r="HG18" s="5">
        <f>IF($D18="SW Winter Wheat after Forage Crop",($H18*(SUM(SWWinterWheatAfterForageCrop!$E$9:$E$16)+SWWinterWheatAfterForageCrop!$G$17))/2000,0)</f>
        <v>0</v>
      </c>
      <c r="HH18" s="5">
        <f>IF($D18="DN Spring Wheat after Spring Legume",($H18*(SUM(DNSpringWinterAfterSpringLegume!$E$9:$E$16)+DNSpringWinterAfterSpringLegume!$G$16))/2000,0)</f>
        <v>0</v>
      </c>
      <c r="HI18" s="5">
        <f>IF($D18="DN Spring Wheat after Forage Crop",($H18*(SUM(DNSpringWheatAfterForageCrop!$E$9:$E$16)+DNSpringWheatAfterForageCrop!$G$14))/2000,0)</f>
        <v>0</v>
      </c>
      <c r="HJ18" s="5">
        <f>IF($D18="DN Spring Wheat after Winter Crop",($H18*(SUM(DNSpringWheatAfterWinterCrop!$E$9:$E$16)+DNSpringWheatAfterWinterCrop!$G$16))/2000,0)</f>
        <v>0</v>
      </c>
      <c r="HK18" s="5">
        <f>IF($D18="Chickpea after Forage Crop",($H18*(SUM(ChickpeaAfterForageCrop!$E$9:$E$16)+ChickpeaAfterForageCrop!$G$14))/2000,0)</f>
        <v>0</v>
      </c>
      <c r="HL18" s="5">
        <f>IF($D18="Chickpea after Cereal",($H18*(SUM(ChickpeaAfterCereal!$E$9:$E$16)+ChickpeaAfterCereal!$G$14))/2000,0)</f>
        <v>0</v>
      </c>
      <c r="HM18" s="5">
        <f>IF($D18="Spring Pea after Cereal",($H18*(SUM(SpringPeaAfterCereal!$E$9:$E$16)+SpringPeaAfterCereal!$G$14))/2000,0)</f>
        <v>0</v>
      </c>
      <c r="HN18" s="5">
        <f>IF($D18="Forage Crop-St. John Area",($H18*(SUM('ForageCrop-StJohn'!$E$9:$E$16)+'ForageCrop-StJohn'!$G$14))/2000,0)</f>
        <v>0</v>
      </c>
      <c r="HO18" s="5">
        <f>IF($D18="Forage Crop-Genesee Area",($H18*(SUM('ForageCrop-Genesee'!$E$9:$E$16)+'ForageCrop-Genesee'!$G$14))/2000,0)</f>
        <v>0</v>
      </c>
      <c r="HP18" s="5">
        <f>IF($D18="Livestock Grazing",($H18*(SUM(LivestockGrazing!$E$9:$E$16)+LivestockGrazing!$G$14))/2000,0)</f>
        <v>0</v>
      </c>
      <c r="HQ18" s="5">
        <f>IF($D18="SW Winter Wheat after Cereal",($H18*(SUM(SWWinterWheatafterCereal!$E$9:$E$16)+SWWinterWheatafterCereal!$G$16))/2000,0)</f>
        <v>0</v>
      </c>
      <c r="HR18" s="5">
        <f>IF($D18="SW Winter Wheat after Fallow",($H18*(SUM(SWWinterWheatAfterFallow!$E$9:$E$16)+SWWinterWheatAfterFallow!$G$14))/2000,0)</f>
        <v>0</v>
      </c>
      <c r="HS18" s="5">
        <f>IF($D18="Chem-Fallow",($H18*(SUM('Chem-Fallow'!$E$9:$E$16)+'Chem-Fallow'!$G$16))/2000,0)</f>
        <v>0</v>
      </c>
      <c r="HT18" s="5">
        <f>IF($D18="Flex-Fallow",($H18*(SUM('Flex-Fallow'!$E$9:$E$16)+'Flex-Fallow'!$G$16))/2000,0)</f>
        <v>0</v>
      </c>
      <c r="HU18" s="5">
        <f>IF($D18="Spring Barley",($H18*(SUM(SpringBarley!$E$9:$E$16)+SpringBarley!$G$16))/2000,0)</f>
        <v>0</v>
      </c>
      <c r="HV18" s="5">
        <f>IF($D18="Roundup Ready Spring Canola",($H18*(SUM('SpringCanola_R-Ready'!$E$9:$E$16)+'SpringCanola_R-Ready'!$G$14))/2000,0)</f>
        <v>0</v>
      </c>
      <c r="HW18" s="5">
        <f>IF($D18="Spring Canola",($H18*(SUM(SpringCanola!$E$9:$E$16)+SpringCanola!$G$14))/2000,0)</f>
        <v>0</v>
      </c>
      <c r="HX18" s="5">
        <f>IF($D18="Spriing Lentils",($H18*(SUM(SpringLentils!$E$9:$E$16)+SpringLentils!$G$14))/2000,0)</f>
        <v>0</v>
      </c>
      <c r="HY18" s="5">
        <f>IF($D18="SW Spring Wheat",($H18*(SUM(SWSpringWheat!$E$9:$E$16)+SWSpringWheat!$G$18))/2000,0)</f>
        <v>0</v>
      </c>
      <c r="HZ18" s="5">
        <f>IF($D18="HR Winter Wheat",($H18*(SUM(HRWinterWheat!$E$9:$E$16)+HRWinterWheat!$G$16))/2000,0)</f>
        <v>0</v>
      </c>
      <c r="IA18" s="5">
        <f>IF($D18="Winter Pea",($H18*(SUM(WinterPea!$E$9:$E$16)+WinterPea!$G$14))/2000,0)</f>
        <v>0</v>
      </c>
      <c r="IB18" s="5">
        <f>IF($D18="Winter Canola",($H18*(SUM(WinterCanola!$E$9:$E$16)+WinterCanola!$G$14))/2000,0)</f>
        <v>0</v>
      </c>
      <c r="IC18" s="377">
        <f>IF($D18="Forage Crop-Soil Builder Blend",($H18*(SUM(ForageCrop!$E$9:$E$16)+ForageCrop!$G$14))/2000,0)</f>
        <v>0</v>
      </c>
      <c r="ID18" s="5">
        <f>IF($D18="SW Winter Wheat after Spring Legume",$H18*SWWinterWheatAfterSpringLegume!$G$62,0)</f>
        <v>0</v>
      </c>
      <c r="IE18" s="5">
        <f>IF($D18="SW Winter Wheat after Forage Crop",$H18*SWWinterWheatAfterForageCrop!$G$62,0)</f>
        <v>0</v>
      </c>
      <c r="IF18" s="5">
        <f>IF($D18="DN Spring Wheat after Spring Legume",$H18*DNSpringWinterAfterSpringLegume!$G$62,0)</f>
        <v>0</v>
      </c>
      <c r="IG18" s="5">
        <f>IF($D18="DN Spring Wheat after Forage Crop",$H18*DNSpringWheatAfterForageCrop!$G$62,0)</f>
        <v>0</v>
      </c>
      <c r="IH18" s="5">
        <f>IF($D18="DN Spring Wheat after Winter Crop",$H18*DNSpringWheatAfterWinterCrop!$G$62,0)</f>
        <v>0</v>
      </c>
      <c r="II18" s="5">
        <f>IF($D18="Chickpea after Forage Crop",$H18*ChickpeaAfterForageCrop!$G$62,0)</f>
        <v>0</v>
      </c>
      <c r="IJ18" s="5">
        <f>IF($D18="Chickpea after Cereal",$H18*ChickpeaAfterCereal!$G$62,0)</f>
        <v>0</v>
      </c>
      <c r="IK18" s="5">
        <f>IF($D18="Spring Pea after Cereal",$H18*SpringPeaAfterCereal!$G$62,0)</f>
        <v>0</v>
      </c>
      <c r="IL18" s="5">
        <f>IF($D18="Forage Crop-St. John Area",$H18*'ForageCrop-StJohn'!$G$62,0)</f>
        <v>0</v>
      </c>
      <c r="IM18" s="5">
        <f>IF($D18="Forage Crop-Genesee Area",$H18*'ForageCrop-Genesee'!$G$62,0)</f>
        <v>0</v>
      </c>
      <c r="IN18" s="5">
        <f>IF($D18="Livestock Grazing",$H18*LivestockGrazing!$G$62,0)</f>
        <v>0</v>
      </c>
      <c r="IO18" s="5">
        <f>IF($D18="SW Winter Wheat after Cereal",$H18*SWWinterWheatafterCereal!$G$62,0)</f>
        <v>0</v>
      </c>
      <c r="IP18" s="5">
        <f>IF($D18="SW Winter Wheat after Fallow",$H18*SWWinterWheatAfterFallow!$G$62,0)</f>
        <v>0</v>
      </c>
      <c r="IQ18" s="5">
        <f>IF($D18="Chem-Fallow",$H18*'Chem-Fallow'!$G$62,0)</f>
        <v>0</v>
      </c>
      <c r="IR18" s="5">
        <f>IF($D18="Flex-Fallow",$H18*'Flex-Fallow'!$G$62,0)</f>
        <v>0</v>
      </c>
      <c r="IS18" s="5">
        <f>IF($D18="Spring Barley",$H18*SpringBarley!$G$62,0)</f>
        <v>0</v>
      </c>
      <c r="IT18" s="5">
        <f>IF($D18="Roundup Ready Spring Canola",$H18*'SpringCanola_R-Ready'!$G$62,0)</f>
        <v>0</v>
      </c>
      <c r="IU18" s="5">
        <f>IF($D18="Spring Canola",$H18*SpringCanola!$G$62,0)</f>
        <v>0</v>
      </c>
      <c r="IV18" s="5">
        <f>IF($D18="Spriing Lentils",$H18*SpringLentils!$G$62,0)</f>
        <v>0</v>
      </c>
      <c r="IW18" s="5">
        <f>IF($D18="SW Spring Wheat",$H18*SWSpringWheat!$G$62,0)</f>
        <v>0</v>
      </c>
      <c r="IX18" s="5">
        <f>IF($D18="HR Winter Wheat",$H18*HRWinterWheat!$G$62,0)</f>
        <v>0</v>
      </c>
      <c r="IY18" s="5">
        <f>IF($D18="Winter Pea",$H18*WinterPea!$G$62,0)</f>
        <v>0</v>
      </c>
      <c r="IZ18" s="5">
        <f>IF($D18="Winter Canola",$H18*+WinterCanola!$G$62,0)</f>
        <v>0</v>
      </c>
      <c r="JA18" s="5">
        <f>IF($D18="Forage Crop-Soil Builder Blend",$H18*ForageCrop!$G$62,0)</f>
        <v>0</v>
      </c>
      <c r="JB18" s="5">
        <f>IF($D18="SW Winter Wheat after Spring Legume",$H18*SWWinterWheatAfterSpringLegume!$E$4,0)</f>
        <v>0</v>
      </c>
      <c r="JC18" s="5">
        <f>IF($D18="SW Winter Wheat after Forage Crop",$H18*SWWinterWheatAfterForageCrop!$E$4,0)</f>
        <v>0</v>
      </c>
      <c r="JD18" s="5">
        <f>IF($D18="DN Spring Wheat after Spring Legume",$H18*DNSpringWinterAfterSpringLegume!$E$4,0)</f>
        <v>0</v>
      </c>
      <c r="JE18" s="5">
        <f>IF($D18="DN Spring Wheat after Forage Crop",$H18*DNSpringWheatAfterForageCrop!$E$4,0)</f>
        <v>0</v>
      </c>
      <c r="JF18" s="5">
        <f>IF($D18="DN Spring Wheat after Winter Crop",$H18*DNSpringWheatAfterWinterCrop!$E$4,0)</f>
        <v>0</v>
      </c>
      <c r="JG18" s="5">
        <f>IF($D18="Chickpea after Forage Crop",$H18*ChickpeaAfterForageCrop!$E$4,0)</f>
        <v>0</v>
      </c>
      <c r="JH18" s="5">
        <f>IF($D18="Chickpea after Cereal",$H18*ChickpeaAfterCereal!$E$4,0)</f>
        <v>0</v>
      </c>
      <c r="JI18" s="5">
        <f>IF($D18="Spring Pea after Cereal",$H18*SpringPeaAfterCereal!$E$4,0)</f>
        <v>0</v>
      </c>
      <c r="JJ18" s="5">
        <f>IF($D18="Forage Crop-St. John Area",$H18*'ForageCrop-StJohn'!$E$4,0)</f>
        <v>0</v>
      </c>
      <c r="JK18" s="5">
        <f>IF($D18="Forage Crop-Genesee Area",$H18*'ForageCrop-Genesee'!$E$4,0)</f>
        <v>0</v>
      </c>
      <c r="JL18" s="5">
        <f>IF($D18="Livestock Grazing",$H18*LivestockGrazing!$E$4,0)</f>
        <v>0</v>
      </c>
      <c r="JM18" s="5">
        <f>IF($D18="SW Winter Wheat after Cereal",$H18*SWWinterWheatafterCereal!$E$4,0)</f>
        <v>0</v>
      </c>
      <c r="JN18" s="5">
        <f>IF($D18="SW Winter Wheat after Fallow",$H18*SWWinterWheatAfterFallow!$E$4,0)</f>
        <v>0</v>
      </c>
      <c r="JO18" s="5">
        <f>IF($D18="Chem-Fallow",$H18*'Chem-Fallow'!$E$4,0)</f>
        <v>0</v>
      </c>
      <c r="JP18" s="5">
        <f>IF($D18="Flex-Fallow",$H18*'Flex-Fallow'!$E$4,0)</f>
        <v>0</v>
      </c>
      <c r="JQ18" s="5">
        <f>IF($D18="Spring Barley",$H18*SpringBarley!$E$4,0)</f>
        <v>0</v>
      </c>
      <c r="JR18" s="5">
        <f>IF($D18="Roundup Ready Spring Canola",$H18*'SpringCanola_R-Ready'!$E$4,0)</f>
        <v>0</v>
      </c>
      <c r="JS18" s="5">
        <f>IF($D18="Spring Canola",$H18*SpringCanola!$E$4,0)</f>
        <v>0</v>
      </c>
      <c r="JT18" s="5">
        <f>IF($D18="Spriing Lentils",$H18*SpringLentils!$E$4,0)</f>
        <v>0</v>
      </c>
      <c r="JU18" s="5">
        <f>IF($D18="SW Spring Wheat",$H18*SWSpringWheat!$E$4,0)</f>
        <v>0</v>
      </c>
      <c r="JV18" s="5">
        <f>IF($D18="HR Winter Wheat",$H18*HRWinterWheat!$E$4,0)</f>
        <v>0</v>
      </c>
      <c r="JW18" s="5">
        <f>IF($D18="Winter Pea",$H18*WinterPea!$E$4,0)</f>
        <v>0</v>
      </c>
      <c r="JX18" s="5">
        <f>IF($D18="Winter Canola",$H18*+WinterCanola!$E$4,0)</f>
        <v>0</v>
      </c>
      <c r="JY18" s="5">
        <f>IF($D18="Forage Crop-Soil Builder Blend",$H18*ForageCrop!$E$4,0)</f>
        <v>0</v>
      </c>
    </row>
    <row r="19" spans="1:297" s="1" customFormat="1" ht="20" customHeight="1">
      <c r="A19" s="8"/>
      <c r="B19" s="470"/>
      <c r="C19" s="642"/>
      <c r="D19" s="470"/>
      <c r="E19" s="643">
        <f>IF(F19&gt;1,"ERROR",SUM(F14:F18))</f>
        <v>1</v>
      </c>
      <c r="F19" s="644">
        <f>IF(SUM(F14:F18)&gt;1,"ERROR",SUM(F14:F18))</f>
        <v>1</v>
      </c>
      <c r="G19" s="645">
        <f>IF(SUM(G14:G18)&gt;$I$2,"ERROR",SUM(G14:G18))</f>
        <v>2500</v>
      </c>
      <c r="H19" s="646" t="s">
        <v>8</v>
      </c>
      <c r="I19" s="631"/>
      <c r="J19" s="8"/>
      <c r="M19" s="228"/>
      <c r="N19" s="16" t="s">
        <v>130</v>
      </c>
      <c r="O19" s="235">
        <v>2356.73828125</v>
      </c>
      <c r="P19" s="235">
        <f>SUM('Farm and Rotation Setup'!ID14:JA18)</f>
        <v>1412.5</v>
      </c>
      <c r="Q19" s="232">
        <f t="shared" si="1"/>
        <v>-0.40065470517548585</v>
      </c>
      <c r="R19" s="228"/>
      <c r="S19" s="228"/>
      <c r="T19" s="228"/>
      <c r="V19" s="5"/>
      <c r="W19" s="5"/>
      <c r="X19" s="5"/>
      <c r="Y19" s="5"/>
      <c r="Z19" s="5"/>
      <c r="AA19" s="5"/>
      <c r="AB19" s="5"/>
      <c r="AC19" s="5"/>
      <c r="AD19" s="5"/>
      <c r="AE19" s="5"/>
      <c r="AF19" s="5"/>
      <c r="AG19" s="5"/>
      <c r="AH19" s="5"/>
      <c r="AI19" s="5"/>
      <c r="AJ19" s="5"/>
      <c r="AK19" s="5"/>
      <c r="AL19" s="5"/>
      <c r="AM19" s="5"/>
      <c r="AN19" s="5"/>
      <c r="AO19" s="5"/>
      <c r="AP19" s="5"/>
      <c r="AQ19" s="5"/>
      <c r="AR19" s="5"/>
      <c r="AS19" s="377"/>
      <c r="AT19" s="2"/>
      <c r="AU19" s="5"/>
      <c r="AV19" s="5"/>
      <c r="AW19" s="5"/>
      <c r="AX19" s="5"/>
      <c r="AY19" s="5"/>
      <c r="AZ19" s="5"/>
      <c r="BA19" s="5"/>
      <c r="BB19" s="5"/>
      <c r="BC19" s="5"/>
      <c r="BD19" s="5"/>
      <c r="BE19" s="277" t="s">
        <v>8</v>
      </c>
      <c r="BF19" s="5"/>
      <c r="BG19" s="5"/>
      <c r="BH19" s="5"/>
      <c r="BI19" s="5"/>
      <c r="BJ19" s="5"/>
      <c r="BK19" s="5"/>
      <c r="BL19" s="5"/>
      <c r="BM19" s="5"/>
      <c r="BN19" s="5"/>
      <c r="BO19" s="5"/>
      <c r="BP19" s="5"/>
      <c r="BQ19" s="377"/>
      <c r="BR19" s="5"/>
      <c r="BS19" s="5"/>
      <c r="BT19" s="5"/>
      <c r="BU19" s="5"/>
      <c r="BV19" s="5"/>
      <c r="BW19" s="5"/>
      <c r="BX19" s="5"/>
      <c r="BY19" s="5"/>
      <c r="BZ19" s="5"/>
      <c r="CA19" s="5"/>
      <c r="CB19" s="5"/>
      <c r="CC19" s="5"/>
      <c r="CD19" s="5"/>
      <c r="CE19" s="5"/>
      <c r="CF19" s="5"/>
      <c r="CG19" s="5"/>
      <c r="CH19" s="5"/>
      <c r="CI19" s="5"/>
      <c r="CJ19" s="5"/>
      <c r="CK19" s="5"/>
      <c r="CL19" s="5"/>
      <c r="CM19" s="5"/>
      <c r="CN19" s="5"/>
      <c r="CO19" s="377"/>
      <c r="CP19" s="5"/>
      <c r="CQ19" s="5"/>
      <c r="CR19" s="5"/>
      <c r="CS19" s="5"/>
      <c r="CT19" s="5"/>
      <c r="CU19" s="5"/>
      <c r="CV19" s="5"/>
      <c r="CW19" s="5"/>
      <c r="CX19" s="5"/>
      <c r="CY19" s="5"/>
      <c r="CZ19" s="5"/>
      <c r="DA19" s="5"/>
      <c r="DB19" s="5"/>
      <c r="DC19" s="5"/>
      <c r="DD19" s="5"/>
      <c r="DE19" s="5"/>
      <c r="DF19" s="5"/>
      <c r="DG19" s="5"/>
      <c r="DH19" s="5"/>
      <c r="DI19" s="5"/>
      <c r="DJ19" s="5"/>
      <c r="DK19" s="5"/>
      <c r="DL19" s="5"/>
      <c r="DM19" s="377"/>
      <c r="DN19" s="5"/>
      <c r="DO19" s="5"/>
      <c r="DP19" s="5"/>
      <c r="DQ19" s="5"/>
      <c r="DR19" s="5"/>
      <c r="DS19" s="5"/>
      <c r="DT19" s="5"/>
      <c r="DU19" s="5"/>
      <c r="DV19" s="5"/>
      <c r="DW19" s="5"/>
      <c r="DX19" s="5"/>
      <c r="DY19" s="5"/>
      <c r="DZ19" s="5"/>
      <c r="EA19" s="5"/>
      <c r="EB19" s="5"/>
      <c r="EC19" s="5"/>
      <c r="ED19" s="5"/>
      <c r="EE19" s="5"/>
      <c r="EF19" s="5"/>
      <c r="EG19" s="5"/>
      <c r="EH19" s="5"/>
      <c r="EI19" s="5"/>
      <c r="EJ19" s="5"/>
      <c r="EK19" s="377"/>
      <c r="EL19" s="5"/>
      <c r="EM19" s="5"/>
      <c r="EN19" s="5"/>
      <c r="EO19" s="5"/>
      <c r="EP19" s="5"/>
      <c r="EQ19" s="5"/>
      <c r="ER19" s="5"/>
      <c r="ES19" s="5"/>
      <c r="ET19" s="5"/>
      <c r="EU19" s="5"/>
      <c r="EV19" s="5"/>
      <c r="EW19" s="5"/>
      <c r="EX19" s="5"/>
      <c r="EY19" s="5"/>
      <c r="EZ19" s="5"/>
      <c r="FA19" s="5"/>
      <c r="FB19" s="5"/>
      <c r="FC19" s="5"/>
      <c r="FD19" s="5"/>
      <c r="FE19" s="5"/>
      <c r="FF19" s="5"/>
      <c r="FG19" s="5"/>
      <c r="FH19" s="5"/>
      <c r="FI19" s="377"/>
      <c r="FJ19" s="5"/>
      <c r="FK19" s="5"/>
      <c r="FL19" s="5"/>
      <c r="FM19" s="5"/>
      <c r="FN19" s="5"/>
      <c r="FO19" s="5"/>
      <c r="FP19" s="5"/>
      <c r="FQ19" s="5"/>
      <c r="FR19" s="5"/>
      <c r="FS19" s="5"/>
      <c r="FT19" s="5"/>
      <c r="FU19" s="5"/>
      <c r="FV19" s="5"/>
      <c r="FW19" s="5"/>
      <c r="FX19" s="5"/>
      <c r="FY19" s="5"/>
      <c r="FZ19" s="5"/>
      <c r="GA19" s="5"/>
      <c r="GB19" s="5"/>
      <c r="GC19" s="5"/>
      <c r="GD19" s="5"/>
      <c r="GE19" s="5"/>
      <c r="GF19" s="5"/>
      <c r="GG19" s="377"/>
      <c r="GH19" s="5"/>
      <c r="GI19" s="5"/>
      <c r="GJ19" s="5"/>
      <c r="GK19" s="5"/>
      <c r="GL19" s="5"/>
      <c r="GM19" s="5"/>
      <c r="GN19" s="5"/>
      <c r="GO19" s="5"/>
      <c r="GP19" s="5"/>
      <c r="GQ19" s="5"/>
      <c r="GR19" s="5"/>
      <c r="GS19" s="5"/>
      <c r="GT19" s="5"/>
      <c r="GU19" s="5"/>
      <c r="GV19" s="5"/>
      <c r="GW19" s="5"/>
      <c r="GX19" s="5"/>
      <c r="GY19" s="5"/>
      <c r="GZ19" s="5"/>
      <c r="HA19" s="5"/>
      <c r="HB19" s="5"/>
      <c r="HC19" s="5"/>
      <c r="HD19" s="5"/>
      <c r="HE19" s="377"/>
      <c r="HF19" s="5"/>
      <c r="HG19" s="5"/>
      <c r="HH19" s="5"/>
      <c r="HI19" s="5"/>
      <c r="HJ19" s="5"/>
      <c r="HK19" s="5"/>
      <c r="HL19" s="5"/>
      <c r="HM19" s="5"/>
      <c r="HN19" s="5"/>
      <c r="HO19" s="5"/>
      <c r="HP19" s="5"/>
      <c r="HQ19" s="279"/>
      <c r="HR19" s="5"/>
      <c r="HS19" s="5"/>
      <c r="HT19" s="5"/>
      <c r="HU19" s="5"/>
      <c r="HV19" s="5"/>
      <c r="HW19" s="5"/>
      <c r="HX19" s="5"/>
      <c r="HY19" s="5"/>
      <c r="HZ19" s="5"/>
      <c r="IA19" s="5"/>
      <c r="IB19" s="5"/>
      <c r="IC19" s="377"/>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15"/>
      <c r="KA19" s="15"/>
      <c r="KB19" s="15"/>
      <c r="KC19" s="15"/>
      <c r="KD19" s="15"/>
      <c r="KE19" s="15"/>
      <c r="KF19" s="15"/>
      <c r="KG19" s="15"/>
      <c r="KH19" s="15"/>
      <c r="KI19" s="15"/>
      <c r="KJ19" s="15"/>
      <c r="KK19" s="15"/>
    </row>
    <row r="20" spans="1:297" s="1" customFormat="1" ht="20" customHeight="1">
      <c r="A20" s="8" t="s">
        <v>302</v>
      </c>
      <c r="B20" s="15"/>
      <c r="C20" s="8"/>
      <c r="D20" s="15"/>
      <c r="E20" s="226"/>
      <c r="F20" s="355"/>
      <c r="G20" s="280"/>
      <c r="H20" s="359"/>
      <c r="I20" s="228"/>
      <c r="J20" s="8"/>
      <c r="M20" s="228"/>
      <c r="N20" s="16" t="s">
        <v>113</v>
      </c>
      <c r="O20" s="235">
        <v>1111.7235331632655</v>
      </c>
      <c r="P20" s="235">
        <f>SUM('Farm and Rotation Setup'!EL14:FI18)/MachineAssumptions!$D$30</f>
        <v>2010.3561536107013</v>
      </c>
      <c r="Q20" s="232">
        <f t="shared" si="1"/>
        <v>0.80832382659966984</v>
      </c>
      <c r="R20" s="228"/>
      <c r="S20" s="228"/>
      <c r="T20" s="228"/>
      <c r="V20" s="5"/>
      <c r="W20" s="5"/>
      <c r="X20" s="5"/>
      <c r="Y20" s="5"/>
      <c r="Z20" s="5"/>
      <c r="AA20" s="5"/>
      <c r="AB20" s="5"/>
      <c r="AC20" s="5"/>
      <c r="AD20" s="5"/>
      <c r="AE20" s="5"/>
      <c r="AF20" s="5"/>
      <c r="AG20" s="5"/>
      <c r="AH20" s="5"/>
      <c r="AI20" s="5"/>
      <c r="AJ20" s="5"/>
      <c r="AK20" s="5"/>
      <c r="AL20" s="5"/>
      <c r="AM20" s="5"/>
      <c r="AN20" s="5"/>
      <c r="AO20" s="5"/>
      <c r="AP20" s="5"/>
      <c r="AQ20" s="5"/>
      <c r="AR20" s="5"/>
      <c r="AS20" s="377"/>
      <c r="AT20" s="2"/>
      <c r="AU20" s="5"/>
      <c r="AV20" s="5"/>
      <c r="AW20" s="5"/>
      <c r="AX20" s="5"/>
      <c r="AY20" s="5"/>
      <c r="AZ20" s="5"/>
      <c r="BA20" s="5"/>
      <c r="BB20" s="5"/>
      <c r="BC20" s="5"/>
      <c r="BD20" s="5"/>
      <c r="BE20" s="277" t="s">
        <v>8</v>
      </c>
      <c r="BF20" s="5"/>
      <c r="BG20" s="5"/>
      <c r="BH20" s="5"/>
      <c r="BI20" s="5"/>
      <c r="BJ20" s="5"/>
      <c r="BK20" s="5"/>
      <c r="BL20" s="5"/>
      <c r="BM20" s="5"/>
      <c r="BN20" s="5"/>
      <c r="BO20" s="5"/>
      <c r="BP20" s="5"/>
      <c r="BQ20" s="377"/>
      <c r="BR20" s="5"/>
      <c r="BS20" s="5"/>
      <c r="BT20" s="5"/>
      <c r="BU20" s="5"/>
      <c r="BV20" s="5"/>
      <c r="BW20" s="5"/>
      <c r="BX20" s="5"/>
      <c r="BY20" s="5"/>
      <c r="BZ20" s="5"/>
      <c r="CA20" s="5"/>
      <c r="CB20" s="5"/>
      <c r="CC20" s="5"/>
      <c r="CD20" s="5"/>
      <c r="CE20" s="5"/>
      <c r="CF20" s="5"/>
      <c r="CG20" s="5"/>
      <c r="CH20" s="5"/>
      <c r="CI20" s="5"/>
      <c r="CJ20" s="5"/>
      <c r="CK20" s="5"/>
      <c r="CL20" s="5"/>
      <c r="CM20" s="5"/>
      <c r="CN20" s="5"/>
      <c r="CO20" s="377"/>
      <c r="CP20" s="5"/>
      <c r="CQ20" s="5"/>
      <c r="CR20" s="5"/>
      <c r="CS20" s="5"/>
      <c r="CT20" s="5"/>
      <c r="CU20" s="5"/>
      <c r="CV20" s="5"/>
      <c r="CW20" s="5"/>
      <c r="CX20" s="5"/>
      <c r="CY20" s="5"/>
      <c r="CZ20" s="5"/>
      <c r="DA20" s="5"/>
      <c r="DB20" s="5"/>
      <c r="DC20" s="5"/>
      <c r="DD20" s="5"/>
      <c r="DE20" s="5"/>
      <c r="DF20" s="5"/>
      <c r="DG20" s="5"/>
      <c r="DH20" s="5"/>
      <c r="DI20" s="5"/>
      <c r="DJ20" s="5"/>
      <c r="DK20" s="5"/>
      <c r="DL20" s="5"/>
      <c r="DM20" s="377"/>
      <c r="DN20" s="5"/>
      <c r="DO20" s="5"/>
      <c r="DP20" s="5"/>
      <c r="DQ20" s="5"/>
      <c r="DR20" s="5"/>
      <c r="DS20" s="5"/>
      <c r="DT20" s="5"/>
      <c r="DU20" s="5"/>
      <c r="DV20" s="5"/>
      <c r="DW20" s="5"/>
      <c r="DX20" s="5"/>
      <c r="DY20" s="5"/>
      <c r="DZ20" s="5"/>
      <c r="EA20" s="5"/>
      <c r="EB20" s="5"/>
      <c r="EC20" s="5"/>
      <c r="ED20" s="5"/>
      <c r="EE20" s="5"/>
      <c r="EF20" s="5"/>
      <c r="EG20" s="5"/>
      <c r="EH20" s="5"/>
      <c r="EI20" s="5"/>
      <c r="EJ20" s="5"/>
      <c r="EK20" s="377"/>
      <c r="EL20" s="5"/>
      <c r="EM20" s="5"/>
      <c r="EN20" s="5"/>
      <c r="EO20" s="5"/>
      <c r="EP20" s="5"/>
      <c r="EQ20" s="5"/>
      <c r="ER20" s="5"/>
      <c r="ES20" s="5"/>
      <c r="ET20" s="5"/>
      <c r="EU20" s="5"/>
      <c r="EV20" s="5"/>
      <c r="EW20" s="5"/>
      <c r="EX20" s="5"/>
      <c r="EY20" s="5"/>
      <c r="EZ20" s="5"/>
      <c r="FA20" s="5"/>
      <c r="FB20" s="5"/>
      <c r="FC20" s="5"/>
      <c r="FD20" s="5"/>
      <c r="FE20" s="5"/>
      <c r="FF20" s="5"/>
      <c r="FG20" s="5"/>
      <c r="FH20" s="5"/>
      <c r="FI20" s="377"/>
      <c r="FJ20" s="5"/>
      <c r="FK20" s="5"/>
      <c r="FL20" s="5"/>
      <c r="FM20" s="5"/>
      <c r="FN20" s="5"/>
      <c r="FO20" s="5"/>
      <c r="FP20" s="5"/>
      <c r="FQ20" s="5"/>
      <c r="FR20" s="5"/>
      <c r="FS20" s="5"/>
      <c r="FT20" s="5"/>
      <c r="FU20" s="5"/>
      <c r="FV20" s="5"/>
      <c r="FW20" s="5"/>
      <c r="FX20" s="5"/>
      <c r="FY20" s="5"/>
      <c r="FZ20" s="5"/>
      <c r="GA20" s="5"/>
      <c r="GB20" s="5"/>
      <c r="GC20" s="5"/>
      <c r="GD20" s="5"/>
      <c r="GE20" s="5"/>
      <c r="GF20" s="5"/>
      <c r="GG20" s="377"/>
      <c r="GH20" s="5"/>
      <c r="GI20" s="5"/>
      <c r="GJ20" s="5"/>
      <c r="GK20" s="5"/>
      <c r="GL20" s="5"/>
      <c r="GM20" s="5"/>
      <c r="GN20" s="5"/>
      <c r="GO20" s="5"/>
      <c r="GP20" s="5"/>
      <c r="GQ20" s="5"/>
      <c r="GR20" s="5"/>
      <c r="GS20" s="5"/>
      <c r="GT20" s="5"/>
      <c r="GU20" s="5"/>
      <c r="GV20" s="5"/>
      <c r="GW20" s="5"/>
      <c r="GX20" s="5"/>
      <c r="GY20" s="5"/>
      <c r="GZ20" s="5"/>
      <c r="HA20" s="5"/>
      <c r="HB20" s="5"/>
      <c r="HC20" s="5"/>
      <c r="HD20" s="5"/>
      <c r="HE20" s="377"/>
      <c r="HF20" s="5"/>
      <c r="HG20" s="5"/>
      <c r="HH20" s="5"/>
      <c r="HI20" s="5"/>
      <c r="HJ20" s="5"/>
      <c r="HK20" s="5"/>
      <c r="HL20" s="5"/>
      <c r="HM20" s="5"/>
      <c r="HN20" s="5"/>
      <c r="HO20" s="5"/>
      <c r="HP20" s="5"/>
      <c r="HQ20" s="279"/>
      <c r="HR20" s="5"/>
      <c r="HS20" s="5"/>
      <c r="HT20" s="5"/>
      <c r="HU20" s="5"/>
      <c r="HV20" s="5"/>
      <c r="HW20" s="5"/>
      <c r="HX20" s="5"/>
      <c r="HY20" s="5"/>
      <c r="HZ20" s="5"/>
      <c r="IA20" s="5"/>
      <c r="IB20" s="5"/>
      <c r="IC20" s="377"/>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15"/>
      <c r="KA20" s="15"/>
      <c r="KB20" s="15"/>
      <c r="KC20" s="15"/>
      <c r="KD20" s="15"/>
      <c r="KE20" s="15"/>
      <c r="KF20" s="15"/>
      <c r="KG20" s="15"/>
      <c r="KH20" s="15"/>
      <c r="KI20" s="15"/>
      <c r="KJ20" s="15"/>
      <c r="KK20" s="15"/>
    </row>
    <row r="21" spans="1:297" s="1" customFormat="1" ht="20" customHeight="1">
      <c r="A21" s="8"/>
      <c r="B21" s="733" t="s">
        <v>103</v>
      </c>
      <c r="C21" s="735" t="s">
        <v>194</v>
      </c>
      <c r="D21" s="737" t="s">
        <v>195</v>
      </c>
      <c r="E21" s="735" t="s">
        <v>197</v>
      </c>
      <c r="F21" s="647"/>
      <c r="G21" s="739" t="s">
        <v>105</v>
      </c>
      <c r="H21" s="648"/>
      <c r="I21" s="739" t="s">
        <v>104</v>
      </c>
      <c r="J21" s="228"/>
      <c r="M21" s="228"/>
      <c r="N21" s="16" t="s">
        <v>100</v>
      </c>
      <c r="O21" s="235">
        <v>40977.450451334371</v>
      </c>
      <c r="P21" s="235">
        <f>SUM('Farm and Rotation Setup'!FJ14:GG18)</f>
        <v>94352.310093832188</v>
      </c>
      <c r="Q21" s="232">
        <f t="shared" si="1"/>
        <v>1.3025422288262383</v>
      </c>
      <c r="R21" s="228"/>
      <c r="S21" s="228"/>
      <c r="T21" s="228"/>
      <c r="V21" s="5"/>
      <c r="W21" s="5"/>
      <c r="X21" s="5"/>
      <c r="Y21" s="5"/>
      <c r="Z21" s="5"/>
      <c r="AA21" s="5"/>
      <c r="AB21" s="5"/>
      <c r="AC21" s="5"/>
      <c r="AD21" s="5"/>
      <c r="AE21" s="5"/>
      <c r="AF21" s="5"/>
      <c r="AG21" s="5"/>
      <c r="AH21" s="5"/>
      <c r="AI21" s="5"/>
      <c r="AJ21" s="5"/>
      <c r="AK21" s="5"/>
      <c r="AL21" s="5"/>
      <c r="AM21" s="5"/>
      <c r="AN21" s="5"/>
      <c r="AO21" s="5"/>
      <c r="AP21" s="5"/>
      <c r="AQ21" s="5"/>
      <c r="AR21" s="5"/>
      <c r="AS21" s="377"/>
      <c r="AT21" s="2"/>
      <c r="AU21" s="5"/>
      <c r="AV21" s="5"/>
      <c r="AW21" s="5"/>
      <c r="AX21" s="5"/>
      <c r="AY21" s="5"/>
      <c r="AZ21" s="5"/>
      <c r="BA21" s="5"/>
      <c r="BB21" s="5"/>
      <c r="BC21" s="5"/>
      <c r="BD21" s="5"/>
      <c r="BE21" s="277" t="s">
        <v>8</v>
      </c>
      <c r="BF21" s="5"/>
      <c r="BG21" s="5"/>
      <c r="BH21" s="5"/>
      <c r="BI21" s="5"/>
      <c r="BJ21" s="5"/>
      <c r="BK21" s="5"/>
      <c r="BL21" s="5"/>
      <c r="BM21" s="5"/>
      <c r="BN21" s="5"/>
      <c r="BO21" s="5"/>
      <c r="BP21" s="5"/>
      <c r="BQ21" s="377"/>
      <c r="BR21" s="5"/>
      <c r="BS21" s="5"/>
      <c r="BT21" s="5"/>
      <c r="BU21" s="5"/>
      <c r="BV21" s="5"/>
      <c r="BW21" s="5"/>
      <c r="BX21" s="5"/>
      <c r="BY21" s="5"/>
      <c r="BZ21" s="5"/>
      <c r="CA21" s="5"/>
      <c r="CB21" s="5"/>
      <c r="CC21" s="5"/>
      <c r="CD21" s="5"/>
      <c r="CE21" s="5"/>
      <c r="CF21" s="5"/>
      <c r="CG21" s="5"/>
      <c r="CH21" s="5"/>
      <c r="CI21" s="5"/>
      <c r="CJ21" s="5"/>
      <c r="CK21" s="5"/>
      <c r="CL21" s="5"/>
      <c r="CM21" s="5"/>
      <c r="CN21" s="5"/>
      <c r="CO21" s="377"/>
      <c r="CP21" s="5"/>
      <c r="CQ21" s="5"/>
      <c r="CR21" s="5"/>
      <c r="CS21" s="5"/>
      <c r="CT21" s="5"/>
      <c r="CU21" s="5"/>
      <c r="CV21" s="5"/>
      <c r="CW21" s="5"/>
      <c r="CX21" s="5"/>
      <c r="CY21" s="5"/>
      <c r="CZ21" s="5"/>
      <c r="DA21" s="5"/>
      <c r="DB21" s="5"/>
      <c r="DC21" s="5"/>
      <c r="DD21" s="5"/>
      <c r="DE21" s="5"/>
      <c r="DF21" s="5"/>
      <c r="DG21" s="5"/>
      <c r="DH21" s="5"/>
      <c r="DI21" s="5"/>
      <c r="DJ21" s="5"/>
      <c r="DK21" s="5"/>
      <c r="DL21" s="5"/>
      <c r="DM21" s="377"/>
      <c r="DN21" s="5"/>
      <c r="DO21" s="5"/>
      <c r="DP21" s="5"/>
      <c r="DQ21" s="5"/>
      <c r="DR21" s="5"/>
      <c r="DS21" s="5"/>
      <c r="DT21" s="5"/>
      <c r="DU21" s="5"/>
      <c r="DV21" s="5"/>
      <c r="DW21" s="5"/>
      <c r="DX21" s="5"/>
      <c r="DY21" s="5"/>
      <c r="DZ21" s="5"/>
      <c r="EA21" s="5"/>
      <c r="EB21" s="5"/>
      <c r="EC21" s="5"/>
      <c r="ED21" s="5"/>
      <c r="EE21" s="5"/>
      <c r="EF21" s="5"/>
      <c r="EG21" s="5"/>
      <c r="EH21" s="5"/>
      <c r="EI21" s="5"/>
      <c r="EJ21" s="5"/>
      <c r="EK21" s="377"/>
      <c r="EL21" s="5"/>
      <c r="EM21" s="5"/>
      <c r="EN21" s="5"/>
      <c r="EO21" s="5"/>
      <c r="EP21" s="5"/>
      <c r="EQ21" s="5"/>
      <c r="ER21" s="5"/>
      <c r="ES21" s="5"/>
      <c r="ET21" s="5"/>
      <c r="EU21" s="5"/>
      <c r="EV21" s="5"/>
      <c r="EW21" s="5"/>
      <c r="EX21" s="5"/>
      <c r="EY21" s="5"/>
      <c r="EZ21" s="5"/>
      <c r="FA21" s="5"/>
      <c r="FB21" s="5"/>
      <c r="FC21" s="5"/>
      <c r="FD21" s="5"/>
      <c r="FE21" s="5"/>
      <c r="FF21" s="5"/>
      <c r="FG21" s="5"/>
      <c r="FH21" s="5"/>
      <c r="FI21" s="377"/>
      <c r="FJ21" s="5"/>
      <c r="FK21" s="5"/>
      <c r="FL21" s="5"/>
      <c r="FM21" s="5"/>
      <c r="FN21" s="5"/>
      <c r="FO21" s="5"/>
      <c r="FP21" s="5"/>
      <c r="FQ21" s="5"/>
      <c r="FR21" s="5"/>
      <c r="FS21" s="5"/>
      <c r="FT21" s="5"/>
      <c r="FU21" s="5"/>
      <c r="FV21" s="5"/>
      <c r="FW21" s="5"/>
      <c r="FX21" s="5"/>
      <c r="FY21" s="5"/>
      <c r="FZ21" s="5"/>
      <c r="GA21" s="5"/>
      <c r="GB21" s="5"/>
      <c r="GC21" s="5"/>
      <c r="GD21" s="5"/>
      <c r="GE21" s="5"/>
      <c r="GF21" s="5"/>
      <c r="GG21" s="377"/>
      <c r="GH21" s="5"/>
      <c r="GI21" s="5"/>
      <c r="GJ21" s="5"/>
      <c r="GK21" s="5"/>
      <c r="GL21" s="5"/>
      <c r="GM21" s="5"/>
      <c r="GN21" s="5"/>
      <c r="GO21" s="5"/>
      <c r="GP21" s="5"/>
      <c r="GQ21" s="5"/>
      <c r="GR21" s="5"/>
      <c r="GS21" s="5"/>
      <c r="GT21" s="5"/>
      <c r="GU21" s="5"/>
      <c r="GV21" s="5"/>
      <c r="GW21" s="5"/>
      <c r="GX21" s="5"/>
      <c r="GY21" s="5"/>
      <c r="GZ21" s="5"/>
      <c r="HA21" s="5"/>
      <c r="HB21" s="5"/>
      <c r="HC21" s="5"/>
      <c r="HD21" s="5"/>
      <c r="HE21" s="377"/>
      <c r="HF21" s="5"/>
      <c r="HG21" s="5"/>
      <c r="HH21" s="5"/>
      <c r="HI21" s="5"/>
      <c r="HJ21" s="5"/>
      <c r="HK21" s="5"/>
      <c r="HL21" s="5"/>
      <c r="HM21" s="5"/>
      <c r="HN21" s="5"/>
      <c r="HO21" s="5"/>
      <c r="HP21" s="5"/>
      <c r="HQ21" s="279"/>
      <c r="HR21" s="5"/>
      <c r="HS21" s="5"/>
      <c r="HT21" s="5"/>
      <c r="HU21" s="5"/>
      <c r="HV21" s="5"/>
      <c r="HW21" s="5"/>
      <c r="HX21" s="5"/>
      <c r="HY21" s="5"/>
      <c r="HZ21" s="5"/>
      <c r="IA21" s="5"/>
      <c r="IB21" s="5"/>
      <c r="IC21" s="377"/>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15"/>
      <c r="KA21" s="15"/>
      <c r="KB21" s="15"/>
      <c r="KC21" s="15"/>
      <c r="KD21" s="15"/>
      <c r="KE21" s="15"/>
      <c r="KF21" s="15"/>
      <c r="KG21" s="15"/>
      <c r="KH21" s="15"/>
      <c r="KI21" s="15"/>
      <c r="KJ21" s="15"/>
      <c r="KK21" s="15"/>
    </row>
    <row r="22" spans="1:297" s="1" customFormat="1" ht="20" customHeight="1">
      <c r="A22" s="147"/>
      <c r="B22" s="734"/>
      <c r="C22" s="736"/>
      <c r="D22" s="738"/>
      <c r="E22" s="736"/>
      <c r="F22" s="649"/>
      <c r="G22" s="740"/>
      <c r="H22" s="650"/>
      <c r="I22" s="740"/>
      <c r="J22" s="228"/>
      <c r="M22" s="228"/>
      <c r="N22" s="16" t="s">
        <v>102</v>
      </c>
      <c r="O22" s="235">
        <v>16129.898273330997</v>
      </c>
      <c r="P22" s="235">
        <f>SUM('Farm and Rotation Setup'!GH14:HE18)</f>
        <v>39325.628501306041</v>
      </c>
      <c r="Q22" s="232">
        <f t="shared" si="1"/>
        <v>1.4380580605599118</v>
      </c>
      <c r="R22" s="228"/>
      <c r="S22" s="228"/>
      <c r="T22" s="228"/>
      <c r="V22" s="5"/>
      <c r="W22" s="5"/>
      <c r="X22" s="5"/>
      <c r="Y22" s="5"/>
      <c r="Z22" s="5"/>
      <c r="AA22" s="5"/>
      <c r="AB22" s="5"/>
      <c r="AC22" s="5"/>
      <c r="AD22" s="5"/>
      <c r="AE22" s="5"/>
      <c r="AF22" s="5"/>
      <c r="AG22" s="5"/>
      <c r="AH22" s="5"/>
      <c r="AI22" s="5"/>
      <c r="AJ22" s="5"/>
      <c r="AK22" s="5"/>
      <c r="AL22" s="5"/>
      <c r="AM22" s="5"/>
      <c r="AN22" s="5"/>
      <c r="AO22" s="5"/>
      <c r="AP22" s="5"/>
      <c r="AQ22" s="5"/>
      <c r="AR22" s="5"/>
      <c r="AS22" s="377"/>
      <c r="AT22" s="2"/>
      <c r="AU22" s="5"/>
      <c r="AV22" s="5"/>
      <c r="AW22" s="5"/>
      <c r="AX22" s="5"/>
      <c r="AY22" s="5"/>
      <c r="AZ22" s="5"/>
      <c r="BA22" s="5"/>
      <c r="BB22" s="5"/>
      <c r="BC22" s="5"/>
      <c r="BD22" s="5"/>
      <c r="BE22" s="277" t="s">
        <v>8</v>
      </c>
      <c r="BF22" s="5"/>
      <c r="BG22" s="5"/>
      <c r="BH22" s="5"/>
      <c r="BI22" s="5"/>
      <c r="BJ22" s="5"/>
      <c r="BK22" s="5"/>
      <c r="BL22" s="5"/>
      <c r="BM22" s="5"/>
      <c r="BN22" s="5"/>
      <c r="BO22" s="5"/>
      <c r="BP22" s="5"/>
      <c r="BQ22" s="377"/>
      <c r="BR22" s="5"/>
      <c r="BS22" s="5"/>
      <c r="BT22" s="5"/>
      <c r="BU22" s="5"/>
      <c r="BV22" s="5"/>
      <c r="BW22" s="5"/>
      <c r="BX22" s="5"/>
      <c r="BY22" s="5"/>
      <c r="BZ22" s="5"/>
      <c r="CA22" s="5"/>
      <c r="CB22" s="5"/>
      <c r="CC22" s="5"/>
      <c r="CD22" s="5"/>
      <c r="CE22" s="5"/>
      <c r="CF22" s="5"/>
      <c r="CG22" s="5"/>
      <c r="CH22" s="5"/>
      <c r="CI22" s="5"/>
      <c r="CJ22" s="5"/>
      <c r="CK22" s="5"/>
      <c r="CL22" s="5"/>
      <c r="CM22" s="5"/>
      <c r="CN22" s="5"/>
      <c r="CO22" s="377"/>
      <c r="CP22" s="5"/>
      <c r="CQ22" s="5"/>
      <c r="CR22" s="5"/>
      <c r="CS22" s="5"/>
      <c r="CT22" s="5"/>
      <c r="CU22" s="5"/>
      <c r="CV22" s="5"/>
      <c r="CW22" s="5"/>
      <c r="CX22" s="5"/>
      <c r="CY22" s="5"/>
      <c r="CZ22" s="5"/>
      <c r="DA22" s="5"/>
      <c r="DB22" s="5"/>
      <c r="DC22" s="5"/>
      <c r="DD22" s="5"/>
      <c r="DE22" s="5"/>
      <c r="DF22" s="5"/>
      <c r="DG22" s="5"/>
      <c r="DH22" s="5"/>
      <c r="DI22" s="5"/>
      <c r="DJ22" s="5"/>
      <c r="DK22" s="5"/>
      <c r="DL22" s="5"/>
      <c r="DM22" s="377"/>
      <c r="DN22" s="5"/>
      <c r="DO22" s="5"/>
      <c r="DP22" s="5"/>
      <c r="DQ22" s="5"/>
      <c r="DR22" s="5"/>
      <c r="DS22" s="5"/>
      <c r="DT22" s="5"/>
      <c r="DU22" s="5"/>
      <c r="DV22" s="5"/>
      <c r="DW22" s="5"/>
      <c r="DX22" s="5"/>
      <c r="DY22" s="5"/>
      <c r="DZ22" s="5"/>
      <c r="EA22" s="5"/>
      <c r="EB22" s="5"/>
      <c r="EC22" s="5"/>
      <c r="ED22" s="5"/>
      <c r="EE22" s="5"/>
      <c r="EF22" s="5"/>
      <c r="EG22" s="5"/>
      <c r="EH22" s="5"/>
      <c r="EI22" s="5"/>
      <c r="EJ22" s="5"/>
      <c r="EK22" s="377"/>
      <c r="EL22" s="5"/>
      <c r="EM22" s="5"/>
      <c r="EN22" s="5"/>
      <c r="EO22" s="5"/>
      <c r="EP22" s="5"/>
      <c r="EQ22" s="5"/>
      <c r="ER22" s="5"/>
      <c r="ES22" s="5"/>
      <c r="ET22" s="5"/>
      <c r="EU22" s="5"/>
      <c r="EV22" s="5"/>
      <c r="EW22" s="5"/>
      <c r="EX22" s="5"/>
      <c r="EY22" s="5"/>
      <c r="EZ22" s="5"/>
      <c r="FA22" s="5"/>
      <c r="FB22" s="5"/>
      <c r="FC22" s="5"/>
      <c r="FD22" s="5"/>
      <c r="FE22" s="5"/>
      <c r="FF22" s="5"/>
      <c r="FG22" s="5"/>
      <c r="FH22" s="5"/>
      <c r="FI22" s="377"/>
      <c r="FJ22" s="5"/>
      <c r="FK22" s="5"/>
      <c r="FL22" s="5"/>
      <c r="FM22" s="5"/>
      <c r="FN22" s="5"/>
      <c r="FO22" s="5"/>
      <c r="FP22" s="5"/>
      <c r="FQ22" s="5"/>
      <c r="FR22" s="5"/>
      <c r="FS22" s="5"/>
      <c r="FT22" s="5"/>
      <c r="FU22" s="5"/>
      <c r="FV22" s="5"/>
      <c r="FW22" s="5"/>
      <c r="FX22" s="5"/>
      <c r="FY22" s="5"/>
      <c r="FZ22" s="5"/>
      <c r="GA22" s="5"/>
      <c r="GB22" s="5"/>
      <c r="GC22" s="5"/>
      <c r="GD22" s="5"/>
      <c r="GE22" s="5"/>
      <c r="GF22" s="5"/>
      <c r="GG22" s="377"/>
      <c r="GH22" s="5"/>
      <c r="GI22" s="5"/>
      <c r="GJ22" s="5"/>
      <c r="GK22" s="5"/>
      <c r="GL22" s="5"/>
      <c r="GM22" s="5"/>
      <c r="GN22" s="5"/>
      <c r="GO22" s="5"/>
      <c r="GP22" s="5"/>
      <c r="GQ22" s="5"/>
      <c r="GR22" s="5"/>
      <c r="GS22" s="5"/>
      <c r="GT22" s="5"/>
      <c r="GU22" s="5"/>
      <c r="GV22" s="5"/>
      <c r="GW22" s="5"/>
      <c r="GX22" s="5"/>
      <c r="GY22" s="5"/>
      <c r="GZ22" s="5"/>
      <c r="HA22" s="5"/>
      <c r="HB22" s="5"/>
      <c r="HC22" s="5"/>
      <c r="HD22" s="5"/>
      <c r="HE22" s="377"/>
      <c r="HF22" s="5"/>
      <c r="HG22" s="5"/>
      <c r="HH22" s="5"/>
      <c r="HI22" s="5"/>
      <c r="HJ22" s="5"/>
      <c r="HK22" s="5"/>
      <c r="HL22" s="5"/>
      <c r="HM22" s="5"/>
      <c r="HN22" s="5"/>
      <c r="HO22" s="5"/>
      <c r="HP22" s="5"/>
      <c r="HQ22" s="279"/>
      <c r="HR22" s="5"/>
      <c r="HS22" s="5"/>
      <c r="HT22" s="5"/>
      <c r="HU22" s="5"/>
      <c r="HV22" s="5"/>
      <c r="HW22" s="5"/>
      <c r="HX22" s="5"/>
      <c r="HY22" s="5"/>
      <c r="HZ22" s="5"/>
      <c r="IA22" s="5"/>
      <c r="IB22" s="5"/>
      <c r="IC22" s="377"/>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15"/>
      <c r="KA22" s="15"/>
      <c r="KB22" s="15"/>
      <c r="KC22" s="15"/>
      <c r="KD22" s="15"/>
      <c r="KE22" s="15"/>
      <c r="KF22" s="15"/>
      <c r="KG22" s="15"/>
      <c r="KH22" s="15"/>
      <c r="KI22" s="15"/>
      <c r="KJ22" s="15"/>
      <c r="KK22" s="15"/>
    </row>
    <row r="23" spans="1:297" s="1" customFormat="1" ht="20" customHeight="1">
      <c r="A23" s="147"/>
      <c r="B23" s="730" t="s">
        <v>142</v>
      </c>
      <c r="C23" s="651">
        <v>1</v>
      </c>
      <c r="D23" s="652" t="s">
        <v>374</v>
      </c>
      <c r="E23" s="653">
        <v>0.4</v>
      </c>
      <c r="F23" s="654">
        <f>IF(D23="Livestock Grazing",0,E23)</f>
        <v>0.4</v>
      </c>
      <c r="G23" s="655">
        <f>IF(D23="Livestock Grazing",0,$I$2*E23)</f>
        <v>1000</v>
      </c>
      <c r="H23" s="656">
        <f>$I$2*E23</f>
        <v>1000</v>
      </c>
      <c r="I23" s="657">
        <f>SUM(AT23:BQ23)</f>
        <v>843.36690164070819</v>
      </c>
      <c r="J23" s="228"/>
      <c r="K23" s="228"/>
      <c r="L23" s="228"/>
      <c r="M23" s="228"/>
      <c r="N23" s="16" t="s">
        <v>101</v>
      </c>
      <c r="O23" s="231">
        <v>73474.997618596186</v>
      </c>
      <c r="P23" s="231">
        <f>SUM('Farm and Rotation Setup'!DN14:EK18)</f>
        <v>60293.511090268563</v>
      </c>
      <c r="Q23" s="232">
        <f t="shared" si="1"/>
        <v>-0.17940097932022864</v>
      </c>
      <c r="R23" s="228"/>
      <c r="S23" s="228"/>
      <c r="T23" s="228"/>
      <c r="V23" s="5">
        <f>IF($D23="SW Winter Wheat after Spring Legume",$H23,0)</f>
        <v>1000</v>
      </c>
      <c r="W23" s="5">
        <f>IF($D23="SW Winter Wheat after Forage Crop",$H23,0)</f>
        <v>0</v>
      </c>
      <c r="X23" s="5">
        <f>IF($D23="DN Spring Wheat after Spring Legume",$H23,0)</f>
        <v>0</v>
      </c>
      <c r="Y23" s="5">
        <f>IF($D23="DN Spring Wheat after Forage Crop",$H23,0)</f>
        <v>0</v>
      </c>
      <c r="Z23" s="5">
        <f>IF($D23="DN Spring Wheat after Winter Crop",$H23,0)</f>
        <v>0</v>
      </c>
      <c r="AA23" s="5">
        <f>IF($D23="Chickpea after Forage Crop",$H23,0)</f>
        <v>0</v>
      </c>
      <c r="AB23" s="5">
        <f>IF($D23="Chickpea after Cereal",$H23,0)</f>
        <v>0</v>
      </c>
      <c r="AC23" s="5">
        <f>IF($D23="Spring Pea after Cereal",$H23,0)</f>
        <v>0</v>
      </c>
      <c r="AD23" s="5">
        <f>IF($D23="Forage Crop-St. John Area",$H23,0)</f>
        <v>0</v>
      </c>
      <c r="AE23" s="5">
        <f>IF($D23="Forage Crop-Genesee Area",$H23,0)</f>
        <v>0</v>
      </c>
      <c r="AF23" s="5">
        <f>IF($D23="Livestock Grazing",$H23,0)</f>
        <v>0</v>
      </c>
      <c r="AG23" s="5">
        <f>IF($D23="SW Winter Wheat after Cereal",$H23,0)</f>
        <v>0</v>
      </c>
      <c r="AH23" s="5">
        <f>IF($D23="SW Winter Wheat after Fallow",$H23,0)</f>
        <v>0</v>
      </c>
      <c r="AI23" s="5">
        <f>IF($D23="Chem-Fallow",$H23,0)</f>
        <v>0</v>
      </c>
      <c r="AJ23" s="5">
        <f>IF($D23="Flex-Fallow",$H23,0)</f>
        <v>0</v>
      </c>
      <c r="AK23" s="5">
        <f>IF($D23="Spring Barley",$H23,0)</f>
        <v>0</v>
      </c>
      <c r="AL23" s="5">
        <f>IF($D23="Roundup Ready Spring Canola",$H23,0)</f>
        <v>0</v>
      </c>
      <c r="AM23" s="5">
        <f>IF($D23="Spring Canola",$H23,0)</f>
        <v>0</v>
      </c>
      <c r="AN23" s="5">
        <f>IF($D23="Spring Lentils",$H23,0)</f>
        <v>0</v>
      </c>
      <c r="AO23" s="5">
        <f>IF($D23="SW Spring Wheat",$H23,0)</f>
        <v>0</v>
      </c>
      <c r="AP23" s="5">
        <f>IF($D23="HR Winter Wheat",$H23,0)</f>
        <v>0</v>
      </c>
      <c r="AQ23" s="5">
        <f>IF($D23="Winter Pea",$H23,0)</f>
        <v>0</v>
      </c>
      <c r="AR23" s="5">
        <f>IF($D23="Winter Canola",$H23,0)</f>
        <v>0</v>
      </c>
      <c r="AS23" s="377">
        <f>IF($D23="Forage Crop-Soil Builder Blend",$H23,0)</f>
        <v>0</v>
      </c>
      <c r="AT23" s="5">
        <f>IF($D23="SW Winter Wheat after Spring Legume",SWWinterWheatAfterSpringLegume!$I$138,0)</f>
        <v>843.36690164070819</v>
      </c>
      <c r="AU23" s="5">
        <f>IF($D23="SW Winter Wheat after Forage Crop",SWWinterWheatAfterForageCrop!$I$138,0)</f>
        <v>0</v>
      </c>
      <c r="AV23" s="5">
        <f>IF($D23="DN Spring Wheat after Spring Legume",DNSpringWinterAfterSpringLegume!$I$138,0)</f>
        <v>0</v>
      </c>
      <c r="AW23" s="5">
        <f>IF($D23="DN Spring Wheat after Forage Crop",DNSpringWheatAfterForageCrop!$I$138,0)</f>
        <v>0</v>
      </c>
      <c r="AX23" s="5">
        <f>IF($D23="DN Spring Wheat after Winter Crop",DNSpringWheatAfterWinterCrop!$I$138,0)</f>
        <v>0</v>
      </c>
      <c r="AY23" s="5">
        <f>IF($D23="Chickpea after Forage Crop",ChickpeaAfterForageCrop!$I$138,0)</f>
        <v>0</v>
      </c>
      <c r="AZ23" s="5">
        <f>IF($D23="Chickpea after Cereal",ChickpeaAfterCereal!$I$138,0)</f>
        <v>0</v>
      </c>
      <c r="BA23" s="5">
        <f>IF($D23="Spring Pea after Cereal",SpringPeaAfterCereal!$I$138,0)</f>
        <v>0</v>
      </c>
      <c r="BB23" s="5">
        <f>IF($D23="Forage Crop-St. John Area",'ForageCrop-StJohn'!$I$138,0)</f>
        <v>0</v>
      </c>
      <c r="BC23" s="5">
        <f>IF($D23="Forage Crop-Genesee Area",'ForageCrop-Genesee'!$I$138,0)</f>
        <v>0</v>
      </c>
      <c r="BD23" s="5">
        <f>IF($D23="Livestock Grazing",LivestockGrazing!$I$138,0)</f>
        <v>0</v>
      </c>
      <c r="BE23" s="5">
        <f>IF($D23="SW Winter Wheat after Cereal",SWWinterWheatafterCereal!$I$138,0)</f>
        <v>0</v>
      </c>
      <c r="BF23" s="5">
        <f>IF($D23="SW Winter Wheat after Fallow",SWWinterWheatAfterFallow!$I$138,0)</f>
        <v>0</v>
      </c>
      <c r="BG23" s="5">
        <f>IF($D23="Chem-Fallow",'Chem-Fallow'!$I$138,0)</f>
        <v>0</v>
      </c>
      <c r="BH23" s="5">
        <f>IF($D23="Flex-Fallow",'Flex-Fallow'!$I$138,0)</f>
        <v>0</v>
      </c>
      <c r="BI23" s="5">
        <f>IF($D23="Spring Barley",SpringBarley!$I$138,0)</f>
        <v>0</v>
      </c>
      <c r="BJ23" s="5">
        <f>IF($D23="Roundup Ready Spring Canola",'SpringCanola_R-Ready'!$I$138,0)</f>
        <v>0</v>
      </c>
      <c r="BK23" s="5">
        <f>IF($D23="Spring Canola",SpringCanola!$I$138,0)</f>
        <v>0</v>
      </c>
      <c r="BL23" s="5">
        <f>IF($D23="Spring Lentils",SpringLentils!$I$138,0)</f>
        <v>0</v>
      </c>
      <c r="BM23" s="5">
        <f>IF($D23="SW Spring Wheat",SWSpringWheat!$I$138,0)</f>
        <v>0</v>
      </c>
      <c r="BN23" s="5">
        <f>IF($D23="HR Winter Wheat",HRWinterWheat!$I$138,0)</f>
        <v>0</v>
      </c>
      <c r="BO23" s="5">
        <f>IF($D23="Winter Pea",WinterPea!$I$138,0)</f>
        <v>0</v>
      </c>
      <c r="BP23" s="5">
        <f>IF($D23="Winter Canola",WinterCanola!$I$138,0)</f>
        <v>0</v>
      </c>
      <c r="BQ23" s="377">
        <f>IF($D23="Forage Crop-Soil Builder Blend",ForageCrop!$I$138,0)</f>
        <v>0</v>
      </c>
      <c r="BR23" s="5">
        <f>IF($D23="SW Winter Wheat after Spring Legume",H23*SWWinterWheatAfterSpringLegume!$I$138,0)</f>
        <v>843366.90164070821</v>
      </c>
      <c r="BS23" s="5">
        <f>IF($D23="SW Winter Wheat after Forage Crop",H23*SWWinterWheatAfterForageCrop!$I$138,0)</f>
        <v>0</v>
      </c>
      <c r="BT23" s="5">
        <f>IF($D23="DN Spring Wheat after Spring Legume",H23*DNSpringWinterAfterSpringLegume!$I$138,0)</f>
        <v>0</v>
      </c>
      <c r="BU23" s="5">
        <f>IF($D23="DN Spring Wheat after Forage Crop",H23*DNSpringWheatAfterForageCrop!$I$138,0)</f>
        <v>0</v>
      </c>
      <c r="BV23" s="5">
        <f>IF($D23="DN Spring Wheat after Winter Crop",H23*DNSpringWheatAfterWinterCrop!$I$138,0)</f>
        <v>0</v>
      </c>
      <c r="BW23" s="5">
        <f>IF($D23="Chickpea after Forage Crop",H23*ChickpeaAfterForageCrop!$I$138,0)</f>
        <v>0</v>
      </c>
      <c r="BX23" s="5">
        <f>IF($D23="Chickpea after Cereal",H23*ChickpeaAfterCereal!$I$138,0)</f>
        <v>0</v>
      </c>
      <c r="BY23" s="5">
        <f>IF($D23="Spring Pea after Cereal",H23*SpringPeaAfterCereal!$I$138,0)</f>
        <v>0</v>
      </c>
      <c r="BZ23" s="5">
        <f>IF($D23="Forage Crop-St. John Area",H23*'ForageCrop-StJohn'!$I$138,0)</f>
        <v>0</v>
      </c>
      <c r="CA23" s="5">
        <f>IF($D23="Forage Crop-Genesee Area",H23*'ForageCrop-Genesee'!$I$138,0)</f>
        <v>0</v>
      </c>
      <c r="CB23" s="5">
        <f>IF($D23="Livestock Grazing",H23*LivestockGrazing!$I$138,0)</f>
        <v>0</v>
      </c>
      <c r="CC23" s="5">
        <f>IF($D23="SW Winter Wheat after Cereal",H23*SWWinterWheatafterCereal!$I$138,0)</f>
        <v>0</v>
      </c>
      <c r="CD23" s="5">
        <f>IF($D23="SW Winter Wheat after Fallow",H23*SWWinterWheatAfterFallow!$I$138,0)</f>
        <v>0</v>
      </c>
      <c r="CE23" s="5">
        <f>IF($D23="Chem-Fallow",H23*'Chem-Fallow'!$I$138,0)</f>
        <v>0</v>
      </c>
      <c r="CF23" s="5">
        <f>IF($D23="Flex-Fallow",H23*'Flex-Fallow'!$I$138,0)</f>
        <v>0</v>
      </c>
      <c r="CG23" s="5">
        <f>IF($D23="Spring Barley",H23*SpringBarley!$I$138,0)</f>
        <v>0</v>
      </c>
      <c r="CH23" s="5">
        <f>IF($D23="Roundup Ready Spring Canola",H23*'SpringCanola_R-Ready'!$I$138,0)</f>
        <v>0</v>
      </c>
      <c r="CI23" s="5">
        <f>IF($D23="Spring Canola",H23*SpringCanola!$I$138,0)</f>
        <v>0</v>
      </c>
      <c r="CJ23" s="5">
        <f>IF($D23="Spring Lentils",H23*SpringLentils!$I$138,0)</f>
        <v>0</v>
      </c>
      <c r="CK23" s="5">
        <f>IF($D23="SW Spring Wheat",H23*SWSpringWheat!$I$138,0)</f>
        <v>0</v>
      </c>
      <c r="CL23" s="5">
        <f>IF($D23="HR Winter Wheat",H23*HRWinterWheat!$I$138,0)</f>
        <v>0</v>
      </c>
      <c r="CM23" s="5">
        <f>IF($D23="Winter Pea",H23*WinterPea!$I$138,0)</f>
        <v>0</v>
      </c>
      <c r="CN23" s="5">
        <f>IF($D23="Winter Canola",H23*WinterCanola!$I$138,0)</f>
        <v>0</v>
      </c>
      <c r="CO23" s="377">
        <f>IF($D23="Forage Crop-Soil Builder Blend",H23*ForageCrop!$I$138,0)</f>
        <v>0</v>
      </c>
      <c r="CP23" s="5">
        <f>IF($D23="SW Winter Wheat after Spring Legume",H23*'Prices_Yields&amp;SeedInputs'!J$5,0)</f>
        <v>90000</v>
      </c>
      <c r="CQ23" s="5">
        <f>IF($D23="SW Winter Wheat after Forage Crop",H23*'Prices_Yields&amp;SeedInputs'!J$6,0)</f>
        <v>0</v>
      </c>
      <c r="CR23" s="5">
        <f>IF($D23="DN Spring Wheat after Spring Legume",H23*'Prices_Yields&amp;SeedInputs'!J$7,0)</f>
        <v>0</v>
      </c>
      <c r="CS23" s="5">
        <f>IF($D23="DN Spring Wheat after Forage Crop",H23*'Prices_Yields&amp;SeedInputs'!J$8,0)</f>
        <v>0</v>
      </c>
      <c r="CT23" s="5">
        <f>IF($D23="DN Spring Wheat after Winter Crop",H23*'Prices_Yields&amp;SeedInputs'!J$9,0)</f>
        <v>0</v>
      </c>
      <c r="CU23" s="5">
        <f>IF($D23="Chickpea after Forage Crop",H23*'Prices_Yields&amp;SeedInputs'!J$10,0)</f>
        <v>0</v>
      </c>
      <c r="CV23" s="5">
        <f>IF($D23="Chickpea after Cereal",H23*'Prices_Yields&amp;SeedInputs'!J$11,0)</f>
        <v>0</v>
      </c>
      <c r="CW23" s="5">
        <f>IF($D23="Spring Pea after Cereal",H23*'Prices_Yields&amp;SeedInputs'!J$12,0)</f>
        <v>0</v>
      </c>
      <c r="CX23" s="5">
        <f>IF($D23="Forage Crop-St. John Area",H23*'Prices_Yields&amp;SeedInputs'!J$13,0)</f>
        <v>0</v>
      </c>
      <c r="CY23" s="5">
        <f>IF($D23="Forage Crop-Genesee Area",H23*'Prices_Yields&amp;SeedInputs'!J$14,0)</f>
        <v>0</v>
      </c>
      <c r="CZ23" s="5">
        <f>IF($D23="Livestock Grazing",H23*'Prices_Yields&amp;SeedInputs'!J$15,0)</f>
        <v>0</v>
      </c>
      <c r="DA23" s="5">
        <f>IF($D23="SW Winter Wheat after Cereal",H23*'Prices_Yields&amp;SeedInputs'!J$16,0)</f>
        <v>0</v>
      </c>
      <c r="DB23" s="5">
        <f>IF($D23="SW Winter Wheat after Fallow",H23*'Prices_Yields&amp;SeedInputs'!J$17,0)</f>
        <v>0</v>
      </c>
      <c r="DC23" s="5">
        <f>IF($D23="Chem-Fallow",H23*'Prices_Yields&amp;SeedInputs'!J$18,0)</f>
        <v>0</v>
      </c>
      <c r="DD23" s="5">
        <f>IF($D23="Flex-Fallow",H23*'Prices_Yields&amp;SeedInputs'!J$19,0)</f>
        <v>0</v>
      </c>
      <c r="DE23" s="5">
        <f>IF($D23="Spring Barley",H23*'Prices_Yields&amp;SeedInputs'!J$20,0)</f>
        <v>0</v>
      </c>
      <c r="DF23" s="5">
        <f>IF($D23="Roundup Ready Spring Canola",H23*'Prices_Yields&amp;SeedInputs'!J$21,0)</f>
        <v>0</v>
      </c>
      <c r="DG23" s="5">
        <f>IF($D23="Spring Canola",H23*'Prices_Yields&amp;SeedInputs'!J$22,0)</f>
        <v>0</v>
      </c>
      <c r="DH23" s="5">
        <f>IF($D23="Spring Lentils",H23*'Prices_Yields&amp;SeedInputs'!J$23,0)</f>
        <v>0</v>
      </c>
      <c r="DI23" s="5">
        <f>IF($D23="SW Spring Wheat",H23*'Prices_Yields&amp;SeedInputs'!J$24,0)</f>
        <v>0</v>
      </c>
      <c r="DJ23" s="5">
        <f>IF($D23="HR Winter Wheat",H23*'Prices_Yields&amp;SeedInputs'!J$25,0)</f>
        <v>0</v>
      </c>
      <c r="DK23" s="5">
        <f>IF($D23="Winter Pea",H23*'Prices_Yields&amp;SeedInputs'!J$26,0)</f>
        <v>0</v>
      </c>
      <c r="DL23" s="5">
        <f>IF($D23="Winter Canola",H23*'Prices_Yields&amp;SeedInputs'!J$27,0)</f>
        <v>0</v>
      </c>
      <c r="DM23" s="377">
        <f>IF($D23="Forage Crop-Soil Builder Blend",H23*'Prices_Yields&amp;SeedInputs'!J$28,0)</f>
        <v>0</v>
      </c>
      <c r="DN23" s="5">
        <f>IF($D23="SW Winter Wheat after Spring Legume",$H23*SWWinterWheatAfterSpringLegume!$I$135,0)</f>
        <v>24198.669476470601</v>
      </c>
      <c r="DO23" s="5">
        <f>IF($D23="SW Winter Wheat after Forage Crop",$H23*SWWinterWheatAfterForageCrop!$I$135,0)</f>
        <v>0</v>
      </c>
      <c r="DP23" s="5">
        <f>IF($D23="DN Spring Wheat after Spring Legume",$H23*DNSpringWinterAfterSpringLegume!$I$135,0)</f>
        <v>0</v>
      </c>
      <c r="DQ23" s="5">
        <f>IF($D23="DN Spring Wheat after Forage Crop",$H23*DNSpringWheatAfterForageCrop!$I$135,0)</f>
        <v>0</v>
      </c>
      <c r="DR23" s="5">
        <f>IF($D23="DN Spring Wheat after Winter Crop",$H23*DNSpringWheatAfterWinterCrop!$I$135,0)</f>
        <v>0</v>
      </c>
      <c r="DS23" s="5">
        <f>IF($D23="Chickpea after Forage Crop",$H23*ChickpeaAfterForageCrop!$I$135,0)</f>
        <v>0</v>
      </c>
      <c r="DT23" s="5">
        <f>IF($D23="Chickpea after Cereal",$H23*ChickpeaAfterCereal!$I$135,0)</f>
        <v>0</v>
      </c>
      <c r="DU23" s="5">
        <f>IF($D23="Spring Pea after Cereal",$H23*SpringPeaAfterCereal!$I$135,0)</f>
        <v>0</v>
      </c>
      <c r="DV23" s="5">
        <f>IF($D23="Forage Crop-St. John Area",$H23*'ForageCrop-StJohn'!$I$135,0)</f>
        <v>0</v>
      </c>
      <c r="DW23" s="5">
        <f>IF($D23="Forage Crop-Genesee Area",$H23*'ForageCrop-Genesee'!$I$135,0)</f>
        <v>0</v>
      </c>
      <c r="DX23" s="5">
        <f>IF($D23="Livestock Grazing",$H23*LivestockGrazing!$I$135,0)</f>
        <v>0</v>
      </c>
      <c r="DY23" s="5">
        <f>IF($D23="SW Winter Wheat after Cereal",$H23*SWWinterWheatafterCereal!$I$135,0)</f>
        <v>0</v>
      </c>
      <c r="DZ23" s="5">
        <f>IF($D23="SW Winter Wheat after Fallow",$H23*SWWinterWheatAfterFallow!$I$135,0)</f>
        <v>0</v>
      </c>
      <c r="EA23" s="5">
        <f>IF($D23="Chem-Fallow",$H23*'Chem-Fallow'!$I$135,0)</f>
        <v>0</v>
      </c>
      <c r="EB23" s="5">
        <f>IF($D23="Flex-Fallow",$H23*'Flex-Fallow'!$I$135,0)</f>
        <v>0</v>
      </c>
      <c r="EC23" s="5">
        <f>IF($D23="Spring Barley",$H23*SpringBarley!$I$135,0)</f>
        <v>0</v>
      </c>
      <c r="ED23" s="5">
        <f>IF($D23="Roundup Ready Spring Canola",$H23*'SpringCanola_R-Ready'!$I$135,0)</f>
        <v>0</v>
      </c>
      <c r="EE23" s="5">
        <f>IF($D23="Spring Canola",$H23*SpringCanola!$I$135,0)</f>
        <v>0</v>
      </c>
      <c r="EF23" s="5">
        <f>IF($D23="Spring Lentils",$H23*SpringLentils!$I$135,0)</f>
        <v>0</v>
      </c>
      <c r="EG23" s="5">
        <f>IF($D23="SW Spring Wheat",$H23*SWSpringWheat!$I$135,0)</f>
        <v>0</v>
      </c>
      <c r="EH23" s="5">
        <f>IF($D23="HR Winter Wheat",$H23*HRWinterWheat!$I$135,0)</f>
        <v>0</v>
      </c>
      <c r="EI23" s="5">
        <f>IF($D23="Winter Pea",$H23*WinterPea!$I$135,0)</f>
        <v>0</v>
      </c>
      <c r="EJ23" s="5">
        <f>IF($D23="Winter Canola",$H23*WinterCanola!$I$135,0)</f>
        <v>0</v>
      </c>
      <c r="EK23" s="377">
        <f>IF($D23="Forage Crop-Soil Builder Blend",$H23*ForageCrop!$I$135,0)</f>
        <v>0</v>
      </c>
      <c r="EL23" s="5">
        <f>IF($D23="SW Winter Wheat after Spring Legume",$H23*SWWinterWheatAfterSpringLegume!$J$116,0)</f>
        <v>16129.930432071913</v>
      </c>
      <c r="EM23" s="5">
        <f>IF($D23="SW Winter Wheat after Forage Crop",$H23*SWWinterWheatAfterForageCrop!$J$116,0)</f>
        <v>0</v>
      </c>
      <c r="EN23" s="5">
        <f>IF($D23="DN Spring Wheat after Spring Legume",$H23*DNSpringWinterAfterSpringLegume!$J$116,0)</f>
        <v>0</v>
      </c>
      <c r="EO23" s="5">
        <f>IF($D23="DN Spring Wheat after Forage Crop",$H23*DNSpringWheatAfterForageCrop!$J$116,0)</f>
        <v>0</v>
      </c>
      <c r="EP23" s="5">
        <f>IF($D23="DN Spring Wheat after Winter Crop",$H23*DNSpringWheatAfterWinterCrop!$J$116,0)</f>
        <v>0</v>
      </c>
      <c r="EQ23" s="5">
        <f>IF($D23="Chickpea after Forage Crop",$H23*ChickpeaAfterForageCrop!$J$116,0)</f>
        <v>0</v>
      </c>
      <c r="ER23" s="5">
        <f>IF($D23="Chickpea after Cereal",$H23*ChickpeaAfterCereal!$J$116,0)</f>
        <v>0</v>
      </c>
      <c r="ES23" s="5">
        <f>IF($D23="Spring Pea after Cereal",$H23*SpringPeaAfterCereal!$J$116,0)</f>
        <v>0</v>
      </c>
      <c r="ET23" s="5">
        <f>IF($D23="Forage Crop-St. John Area",$H23*'ForageCrop-StJohn'!$J$116,0)</f>
        <v>0</v>
      </c>
      <c r="EU23" s="5">
        <f>IF($D23="Forage Crop-Genesee Area",$H23*'ForageCrop-Genesee'!$J$116,0)</f>
        <v>0</v>
      </c>
      <c r="EV23" s="5">
        <f>IF($D23="Livestock Grazing",$H23*LivestockGrazing!$J$116,0)</f>
        <v>0</v>
      </c>
      <c r="EW23" s="5">
        <f>IF($D23="SW Winter Wheat after Cereal",$H23*SWWinterWheatafterCereal!$J$116,0)</f>
        <v>0</v>
      </c>
      <c r="EX23" s="5">
        <f>IF($D23="SW Winter Wheat after Fallow",$H23*SWWinterWheatAfterFallow!$J$116,0)</f>
        <v>0</v>
      </c>
      <c r="EY23" s="5">
        <f>IF($D23="Chem-Fallow",$H23*'Chem-Fallow'!$J$116,0)</f>
        <v>0</v>
      </c>
      <c r="EZ23" s="5">
        <f>IF($D23="Flex-Fallow",$H23*'Flex-Fallow'!$J$116,0)</f>
        <v>0</v>
      </c>
      <c r="FA23" s="5">
        <f>IF($D23="Spring Barley",$H23*SpringBarley!$J$116,0)</f>
        <v>0</v>
      </c>
      <c r="FB23" s="5">
        <f>IF($D23="Roundup Ready Spring Canola",$H23*'SpringCanola_R-Ready'!$J$116,0)</f>
        <v>0</v>
      </c>
      <c r="FC23" s="5">
        <f>IF($D23="Spring Canola",$H23*SpringCanola!$J$116,0)</f>
        <v>0</v>
      </c>
      <c r="FD23" s="5">
        <f>IF($D23="Spring Lentils",$H23*SpringLentils!$J$116,0)</f>
        <v>0</v>
      </c>
      <c r="FE23" s="5">
        <f>IF($D23="SW Spring Wheat",$H23*SWSpringWheat!$J$116,0)</f>
        <v>0</v>
      </c>
      <c r="FF23" s="5">
        <f>IF($D23="HR Winter Wheat",$H23*HRWinterWheat!$J$116,0)</f>
        <v>0</v>
      </c>
      <c r="FG23" s="5">
        <f>IF($D23="Winter Pea",$H23*WinterPea!$J$116,0)</f>
        <v>0</v>
      </c>
      <c r="FH23" s="5">
        <f>IF($D23="Winter Canola",$H23*WinterCanola!$J$116,0)</f>
        <v>0</v>
      </c>
      <c r="FI23" s="377">
        <f>IF($D23="Forage Crop-Soil Builder Blend",$H23*ForageCrop!$J$116,0)</f>
        <v>0</v>
      </c>
      <c r="FJ23" s="5">
        <f>IF($D23="SW Winter Wheat after Spring Legume",$H23*SWWinterWheatAfterSpringLegume!$J$117,0)</f>
        <v>37921.401983080374</v>
      </c>
      <c r="FK23" s="5">
        <f>IF($D23="SW Winter Wheat after Forage Crop",$H23*SWWinterWheatAfterForageCrop!$J$117,0)</f>
        <v>0</v>
      </c>
      <c r="FL23" s="5">
        <f>IF($D23="DN Spring Wheat after Spring Legume",$H23*DNSpringWinterAfterSpringLegume!$J$117,0)</f>
        <v>0</v>
      </c>
      <c r="FM23" s="5">
        <f>IF($D23="DN Spring Wheat after Forage Crop",$H23*DNSpringWheatAfterForageCrop!$J$117,0)</f>
        <v>0</v>
      </c>
      <c r="FN23" s="5">
        <f>IF($D23="DN Spring Wheat after Winter Crop",$H23*DNSpringWheatAfterWinterCrop!$J$117,0)</f>
        <v>0</v>
      </c>
      <c r="FO23" s="5">
        <f>IF($D23="Chickpea after Forage Crop",$H23*ChickpeaAfterForageCrop!$J$117,0)</f>
        <v>0</v>
      </c>
      <c r="FP23" s="5">
        <f>IF($D23="Chickpea after Cereal",$H23*ChickpeaAfterCereal!$J$117,0)</f>
        <v>0</v>
      </c>
      <c r="FQ23" s="5">
        <f>IF($D23="Spring Pea after Cereal",$H23*SpringPeaAfterCereal!$J$117,0)</f>
        <v>0</v>
      </c>
      <c r="FR23" s="5">
        <f>IF($D23="Forage Crop-St. John Area",$H23*'ForageCrop-StJohn'!$J$117,0)</f>
        <v>0</v>
      </c>
      <c r="FS23" s="5">
        <f>IF($D23="Forage Crop-Genesee Area",$H23*'ForageCrop-Genesee'!$J$117,0)</f>
        <v>0</v>
      </c>
      <c r="FT23" s="5">
        <f>IF($D23="Livestock Grazing",$H23*LivestockGrazing!$J$117,0)</f>
        <v>0</v>
      </c>
      <c r="FU23" s="5">
        <f>IF($D23="SW Winter Wheat after Cereal",$H23*SWWinterWheatafterCereal!$J$117,0)</f>
        <v>0</v>
      </c>
      <c r="FV23" s="5">
        <f>IF($D23="SW Winter Wheat after Fallow",$H23*SWWinterWheatAfterFallow!$J$117,0)</f>
        <v>0</v>
      </c>
      <c r="FW23" s="5">
        <f>IF($D23="Chem-Fallow",$H23*'Chem-Fallow'!$J$117,0)</f>
        <v>0</v>
      </c>
      <c r="FX23" s="5">
        <f>IF($D23="Flex-Fallow",$H23*'Flex-Fallow'!$J$117,0)</f>
        <v>0</v>
      </c>
      <c r="FY23" s="5">
        <f>IF($D23="Spring Barley",$H23*SpringBarley!$J$117,0)</f>
        <v>0</v>
      </c>
      <c r="FZ23" s="5">
        <f>IF($D23="Roundup Ready Spring Canola",$H23*'SpringCanola_R-Ready'!$J$117,0)</f>
        <v>0</v>
      </c>
      <c r="GA23" s="5">
        <f>IF($D23="Spring Canola",$H23*SpringCanola!$J$117,0)</f>
        <v>0</v>
      </c>
      <c r="GB23" s="5">
        <f>IF($D23="Spring Lentils",$H23*SpringLentils!$J$117,0)</f>
        <v>0</v>
      </c>
      <c r="GC23" s="5">
        <f>IF($D23="SW Spring Wheat",$H23*SWSpringWheat!$J$117,0)</f>
        <v>0</v>
      </c>
      <c r="GD23" s="5">
        <f>IF($D23="HR Winter Wheat",$H23*HRWinterWheat!$J$117,0)</f>
        <v>0</v>
      </c>
      <c r="GE23" s="5">
        <f>IF($D23="Winter Pea",$H23*WinterPea!$J$117,0)</f>
        <v>0</v>
      </c>
      <c r="GF23" s="5">
        <f>IF($D23="Winter Canola",$H23*WinterCanola!$J$117,0)</f>
        <v>0</v>
      </c>
      <c r="GG23" s="377">
        <f>IF($D23="Forage Crop-Soil Builder Blend",$H23*ForageCrop!$J$117,0)</f>
        <v>0</v>
      </c>
      <c r="GH23" s="5">
        <f>IF($D23="SW Winter Wheat after Spring Legume",$H23*SWWinterWheatAfterSpringLegume!$M$118,0)</f>
        <v>13170.5418386408</v>
      </c>
      <c r="GI23" s="5">
        <f>IF($D23="SW Winter Wheat after Forage Crop",$H23*SWWinterWheatAfterForageCrop!$M$118,0)</f>
        <v>0</v>
      </c>
      <c r="GJ23" s="5">
        <f>IF($D23="DN Spring Wheat after Spring Legume",$H23*DNSpringWinterAfterSpringLegume!$M$118,0)</f>
        <v>0</v>
      </c>
      <c r="GK23" s="5">
        <f>IF($D23="DN Spring Wheat after Forage Crop",$H23*DNSpringWheatAfterForageCrop!$M$118,0)</f>
        <v>0</v>
      </c>
      <c r="GL23" s="5">
        <f>IF($D23="DN Spring Wheat after Winter Crop",$H23*DNSpringWheatAfterWinterCrop!$M$118,0)</f>
        <v>0</v>
      </c>
      <c r="GM23" s="5">
        <f>IF($D23="Chickpea after Forage Crop",$H23*ChickpeaAfterForageCrop!$M$118,0)</f>
        <v>0</v>
      </c>
      <c r="GN23" s="5">
        <f>IF($D23="Chickpea after Cereal",$H23*ChickpeaAfterCereal!$M$118,0)</f>
        <v>0</v>
      </c>
      <c r="GO23" s="5">
        <f>IF($D23="Spring Pea after Cereal",$H23*SpringPeaAfterCereal!$M$118,0)</f>
        <v>0</v>
      </c>
      <c r="GP23" s="5">
        <f>IF($D23="Forage Crop-St. John Area",$H23*'ForageCrop-StJohn'!$M$118,0)</f>
        <v>0</v>
      </c>
      <c r="GQ23" s="5">
        <f>IF($D23="Forage Crop-Genesee Area",$H23*'ForageCrop-Genesee'!$M$118,0)</f>
        <v>0</v>
      </c>
      <c r="GR23" s="5">
        <f>IF($D23="Livestock Grazing",$H23*LivestockGrazing!$M$118,0)</f>
        <v>0</v>
      </c>
      <c r="GS23" s="5">
        <f>IF($D23="SW Winter Wheat after Cereal",$H23*SWWinterWheatafterCereal!$M$118,0)</f>
        <v>0</v>
      </c>
      <c r="GT23" s="5">
        <f>IF($D23="SW Winter Wheat after Fallow",$H23*SWWinterWheatAfterFallow!$M$118,0)</f>
        <v>0</v>
      </c>
      <c r="GU23" s="5">
        <f>IF($D23="Chem-Fallow",$H23*'Chem-Fallow'!$M$118,0)</f>
        <v>0</v>
      </c>
      <c r="GV23" s="5">
        <f>IF($D23="Flex-Fallow",$H23*'Flex-Fallow'!$M$118,0)</f>
        <v>0</v>
      </c>
      <c r="GW23" s="5">
        <f>IF($D23="Spring Barley",$H23*SpringBarley!$M$118,0)</f>
        <v>0</v>
      </c>
      <c r="GX23" s="5">
        <f>IF($D23="Roundup Ready Spring Canola",$H23*'SpringCanola_R-Ready'!$M$118,0)</f>
        <v>0</v>
      </c>
      <c r="GY23" s="5">
        <f>IF($D23="Spring Canola",$H23*SpringCanola!$M$118,0)</f>
        <v>0</v>
      </c>
      <c r="GZ23" s="5">
        <f>IF($D23="Spring Lentils",$H23*SpringLentils!$M$118,0)</f>
        <v>0</v>
      </c>
      <c r="HA23" s="5">
        <f>IF($D23="SW Spring Wheat",$H23*SWSpringWheat!$M$118,0)</f>
        <v>0</v>
      </c>
      <c r="HB23" s="5">
        <f>IF($D23="HR Winter Wheat",$H23*HRWinterWheat!$M$118,0)</f>
        <v>0</v>
      </c>
      <c r="HC23" s="5">
        <f>IF($D23="Winter Pea",$H23*WinterPea!$M$118,0)</f>
        <v>0</v>
      </c>
      <c r="HD23" s="5">
        <f>IF($D23="Winter Canola",$H23*WinterCanola!$M$118,0)</f>
        <v>0</v>
      </c>
      <c r="HE23" s="377">
        <f>IF($D23="Forage Crop-Soil Builder Blend",$H23*ForageCrop!$M$118,0)</f>
        <v>0</v>
      </c>
      <c r="HF23" s="5">
        <f>IF($D23="SW Winter Wheat after Spring Legume",($H23*(SUM(SWWinterWheatAfterSpringLegume!$E$9:$E$16)+SWWinterWheatAfterSpringLegume!$G$16))/2000,0)</f>
        <v>79.2</v>
      </c>
      <c r="HG23" s="5">
        <f>IF($D23="SW Winter Wheat after Forage Crop",($H23*(SUM(SWWinterWheatAfterForageCrop!$E$9:$E$16)+SWWinterWheatAfterForageCrop!$G$17))/2000,0)</f>
        <v>0</v>
      </c>
      <c r="HH23" s="5">
        <f>IF($D23="DN Spring Wheat after Spring Legume",($H23*(SUM(DNSpringWinterAfterSpringLegume!$E$9:$E$16)+DNSpringWinterAfterSpringLegume!$G$16))/2000,0)</f>
        <v>0</v>
      </c>
      <c r="HI23" s="5">
        <f>IF($D23="DN Spring Wheat after Forage Crop",($H23*(SUM(DNSpringWheatAfterForageCrop!$E$9:$E$16)+DNSpringWheatAfterForageCrop!$G$14))/2000,0)</f>
        <v>0</v>
      </c>
      <c r="HJ23" s="5">
        <f>IF($D23="DN Spring Wheat after Winter Crop",($H23*(SUM(DNSpringWheatAfterWinterCrop!$E$9:$E$16)+DNSpringWheatAfterWinterCrop!$G$16))/2000,0)</f>
        <v>0</v>
      </c>
      <c r="HK23" s="5">
        <f>IF($D23="Chickpea after Forage Crop",($H23*(SUM(ChickpeaAfterForageCrop!$E$9:$E$16)+ChickpeaAfterForageCrop!$G$14))/2000,0)</f>
        <v>0</v>
      </c>
      <c r="HL23" s="5">
        <f>IF($D23="Chickpea after Cereal",($H23*(SUM(ChickpeaAfterCereal!$E$9:$E$16)+ChickpeaAfterCereal!$G$14))/2000,0)</f>
        <v>0</v>
      </c>
      <c r="HM23" s="5">
        <f>IF($D23="Spring Pea after Cereal",($H23*(SUM(SpringPeaAfterCereal!$E$9:$E$16)+SpringPeaAfterCereal!$G$14))/2000,0)</f>
        <v>0</v>
      </c>
      <c r="HN23" s="5">
        <f>IF($D23="Forage Crop-St. John Area",($H23*(SUM('ForageCrop-StJohn'!$E$9:$E$16)+'ForageCrop-StJohn'!$G$14))/2000,0)</f>
        <v>0</v>
      </c>
      <c r="HO23" s="5">
        <f>IF($D23="Forage Crop-Genesee Area",($H23*(SUM('ForageCrop-Genesee'!$E$9:$E$16)+'ForageCrop-Genesee'!$G$14))/2000,0)</f>
        <v>0</v>
      </c>
      <c r="HP23" s="5">
        <f>IF($D23="Livestock Grazing",($H23*(SUM(LivestockGrazing!$E$9:$E$16)+LivestockGrazing!$G$14))/2000,0)</f>
        <v>0</v>
      </c>
      <c r="HQ23" s="5">
        <f>IF($D23="SW Winter Wheat after Cereal",($H23*(SUM(SWWinterWheatafterCereal!$E$9:$E$16)+SWWinterWheatafterCereal!$G$16))/2000,0)</f>
        <v>0</v>
      </c>
      <c r="HR23" s="5">
        <f>IF($D23="SW Winter Wheat after Fallow",($H23*(SUM(SWWinterWheatAfterFallow!$E$9:$E$16)+SWWinterWheatAfterFallow!$G$14))/2000,0)</f>
        <v>0</v>
      </c>
      <c r="HS23" s="5">
        <f>IF($D23="Chem-Fallow",($H23*(SUM('Chem-Fallow'!$E$9:$E$16)+'Chem-Fallow'!$G$16))/2000,0)</f>
        <v>0</v>
      </c>
      <c r="HT23" s="5">
        <f>IF($D23="Flex-Fallow",($H23*(SUM('Flex-Fallow'!$E$9:$E$16)+'Flex-Fallow'!$G$16))/2000,0)</f>
        <v>0</v>
      </c>
      <c r="HU23" s="5">
        <f>IF($D23="Spring Barley",($H23*(SUM(SpringBarley!$E$9:$E$16)+SpringBarley!$G$16))/2000,0)</f>
        <v>0</v>
      </c>
      <c r="HV23" s="5">
        <f>IF($D23="Roundup Ready Spring Canola",($H23*(SUM('SpringCanola_R-Ready'!$E$9:$E$16)+'SpringCanola_R-Ready'!$G$14))/2000,0)</f>
        <v>0</v>
      </c>
      <c r="HW23" s="5">
        <f>IF($D23="Spring Canola",($H23*(SUM(SpringCanola!$E$9:$E$16)+SpringCanola!$G$14))/2000,0)</f>
        <v>0</v>
      </c>
      <c r="HX23" s="5">
        <f>IF($D23="Spriing Lentils",($H23*(SUM(SpringLentils!$E$9:$E$16)+SpringLentils!$G$14))/2000,0)</f>
        <v>0</v>
      </c>
      <c r="HY23" s="5">
        <f>IF($D23="SW Spring Wheat",($H23*(SUM(SWSpringWheat!$E$9:$E$16)+SWSpringWheat!$G$18))/2000,0)</f>
        <v>0</v>
      </c>
      <c r="HZ23" s="5">
        <f>IF($D23="HR Winter Wheat",($H23*(SUM(HRWinterWheat!$E$9:$E$16)+HRWinterWheat!$G$16))/2000,0)</f>
        <v>0</v>
      </c>
      <c r="IA23" s="5">
        <f>IF($D23="Winter Pea",($H23*(SUM(WinterPea!$E$9:$E$16)+WinterPea!$G$14))/2000,0)</f>
        <v>0</v>
      </c>
      <c r="IB23" s="5">
        <f>IF($D23="Winter Canola",($H23*(SUM(WinterCanola!$E$9:$E$16)+WinterCanola!$G$14))/2000,0)</f>
        <v>0</v>
      </c>
      <c r="IC23" s="377">
        <f>IF($D23="Forage Crop-Soil Builder Blend",($H23*(SUM(ForageCrop!$E$9:$E$16)+ForageCrop!$G$14))/2000,0)</f>
        <v>0</v>
      </c>
      <c r="ID23" s="5">
        <f>IF($D23="SW Winter Wheat after Spring Legume",$H23*SWWinterWheatAfterSpringLegume!$G$62,0)</f>
        <v>592.578125</v>
      </c>
      <c r="IE23" s="5">
        <f>IF($D23="SW Winter Wheat after Forage Crop",$H23*SWWinterWheatAfterForageCrop!$G$62,0)</f>
        <v>0</v>
      </c>
      <c r="IF23" s="5">
        <f>IF($D23="DN Spring Wheat after Spring Legume",$H23*DNSpringWinterAfterSpringLegume!$G$62,0)</f>
        <v>0</v>
      </c>
      <c r="IG23" s="5">
        <f>IF($D23="DN Spring Wheat after Forage Crop",$H23*DNSpringWheatAfterForageCrop!$G$62,0)</f>
        <v>0</v>
      </c>
      <c r="IH23" s="5">
        <f>IF($D23="DN Spring Wheat after Winter Crop",$H23*DNSpringWheatAfterWinterCrop!$G$62,0)</f>
        <v>0</v>
      </c>
      <c r="II23" s="5">
        <f>IF($D23="Chickpea after Forage Crop",$H23*ChickpeaAfterForageCrop!$G$62,0)</f>
        <v>0</v>
      </c>
      <c r="IJ23" s="5">
        <f>IF($D23="Chickpea after Cereal",$H23*ChickpeaAfterCereal!$G$62,0)</f>
        <v>0</v>
      </c>
      <c r="IK23" s="5">
        <f>IF($D23="Spring Pea after Cereal",$H23*SpringPeaAfterCereal!$G$62,0)</f>
        <v>0</v>
      </c>
      <c r="IL23" s="5">
        <f>IF($D23="Forage Crop-St. John Area",$H23*'ForageCrop-StJohn'!$G$62,0)</f>
        <v>0</v>
      </c>
      <c r="IM23" s="5">
        <f>IF($D23="Forage Crop-Genesee Area",$H23*'ForageCrop-Genesee'!$G$62,0)</f>
        <v>0</v>
      </c>
      <c r="IN23" s="5">
        <f>IF($D23="Livestock Grazing",$H23*LivestockGrazing!$G$62,0)</f>
        <v>0</v>
      </c>
      <c r="IO23" s="5">
        <f>IF($D23="SW Winter Wheat after Cereal",$H23*SWWinterWheatafterCereal!$G$62,0)</f>
        <v>0</v>
      </c>
      <c r="IP23" s="5">
        <f>IF($D23="SW Winter Wheat after Fallow",$H23*SWWinterWheatAfterFallow!$G$62,0)</f>
        <v>0</v>
      </c>
      <c r="IQ23" s="5">
        <f>IF($D23="Chem-Fallow",$H23*'Chem-Fallow'!$G$62,0)</f>
        <v>0</v>
      </c>
      <c r="IR23" s="5">
        <f>IF($D23="Flex-Fallow",$H23*'Flex-Fallow'!$G$62,0)</f>
        <v>0</v>
      </c>
      <c r="IS23" s="5">
        <f>IF($D23="Spring Barley",$H23*SpringBarley!$G$62,0)</f>
        <v>0</v>
      </c>
      <c r="IT23" s="5">
        <f>IF($D23="Roundup Ready Spring Canola",$H23*'SpringCanola_R-Ready'!$G$62,0)</f>
        <v>0</v>
      </c>
      <c r="IU23" s="5">
        <f>IF($D23="Spring Canola",$H23*SpringCanola!$G$62,0)</f>
        <v>0</v>
      </c>
      <c r="IV23" s="5">
        <f>IF($D23="Spriing Lentils",$H23*SpringLentils!$G$62,0)</f>
        <v>0</v>
      </c>
      <c r="IW23" s="5">
        <f>IF($D23="SW Spring Wheat",$H23*SWSpringWheat!$G$62,0)</f>
        <v>0</v>
      </c>
      <c r="IX23" s="5">
        <f>IF($D23="HR Winter Wheat",$H23*HRWinterWheat!$G$62,0)</f>
        <v>0</v>
      </c>
      <c r="IY23" s="5">
        <f>IF($D23="Winter Pea",$H23*WinterPea!$G$62,0)</f>
        <v>0</v>
      </c>
      <c r="IZ23" s="5">
        <f>IF($D23="Winter Canola",$H23*+WinterCanola!$G$62,0)</f>
        <v>0</v>
      </c>
      <c r="JA23" s="5">
        <f>IF($D23="Forage Crop-Soil Builder Blend",$H23*ForageCrop!$G$62,0)</f>
        <v>0</v>
      </c>
      <c r="JB23" s="5">
        <f>IF($D23="SW Winter Wheat after Spring Legume",$H23*SWWinterWheatAfterSpringLegume!$E$4,0)</f>
        <v>90000</v>
      </c>
      <c r="JC23" s="5">
        <f>IF($D23="SW Winter Wheat after Forage Crop",$H23*SWWinterWheatAfterForageCrop!$E$4,0)</f>
        <v>0</v>
      </c>
      <c r="JD23" s="5">
        <f>IF($D23="DN Spring Wheat after Spring Legume",$H23*DNSpringWinterAfterSpringLegume!$E$4,0)</f>
        <v>0</v>
      </c>
      <c r="JE23" s="5">
        <f>IF($D23="DN Spring Wheat after Forage Crop",$H23*DNSpringWheatAfterForageCrop!$E$4,0)</f>
        <v>0</v>
      </c>
      <c r="JF23" s="5">
        <f>IF($D23="DN Spring Wheat after Winter Crop",$H23*DNSpringWheatAfterWinterCrop!$E$4,0)</f>
        <v>0</v>
      </c>
      <c r="JG23" s="5">
        <f>IF($D23="Chickpea after Forage Crop",$H23*ChickpeaAfterForageCrop!$E$4,0)</f>
        <v>0</v>
      </c>
      <c r="JH23" s="5">
        <f>IF($D23="Chickpea after Cereal",$H23*ChickpeaAfterCereal!$E$4,0)</f>
        <v>0</v>
      </c>
      <c r="JI23" s="5">
        <f>IF($D23="Spring Pea after Cereal",$H23*SpringPeaAfterCereal!$E$4,0)</f>
        <v>0</v>
      </c>
      <c r="JJ23" s="5">
        <f>IF($D23="Forage Crop-St. John Area",$H23*'ForageCrop-StJohn'!$E$4,0)</f>
        <v>0</v>
      </c>
      <c r="JK23" s="5">
        <f>IF($D23="Forage Crop-Genesee Area",$H23*'ForageCrop-Genesee'!$E$4,0)</f>
        <v>0</v>
      </c>
      <c r="JL23" s="5">
        <f>IF($D23="Livestock Grazing",$H23*LivestockGrazing!$E$4,0)</f>
        <v>0</v>
      </c>
      <c r="JM23" s="5">
        <f>IF($D23="SW Winter Wheat after Cereal",$H23*SWWinterWheatafterCereal!$E$4,0)</f>
        <v>0</v>
      </c>
      <c r="JN23" s="5">
        <f>IF($D23="SW Winter Wheat after Fallow",$H23*SWWinterWheatAfterFallow!$E$4,0)</f>
        <v>0</v>
      </c>
      <c r="JO23" s="5">
        <f>IF($D23="Chem-Fallow",$H23*'Chem-Fallow'!$E$4,0)</f>
        <v>0</v>
      </c>
      <c r="JP23" s="5">
        <f>IF($D23="Flex-Fallow",$H23*'Flex-Fallow'!$E$4,0)</f>
        <v>0</v>
      </c>
      <c r="JQ23" s="5">
        <f>IF($D23="Spring Barley",$H23*SpringBarley!$E$4,0)</f>
        <v>0</v>
      </c>
      <c r="JR23" s="5">
        <f>IF($D23="Roundup Ready Spring Canola",$H23*'SpringCanola_R-Ready'!$E$4,0)</f>
        <v>0</v>
      </c>
      <c r="JS23" s="5">
        <f>IF($D23="Spring Canola",$H23*SpringCanola!$E$4,0)</f>
        <v>0</v>
      </c>
      <c r="JT23" s="5">
        <f>IF($D23="Spriing Lentils",$H23*SpringLentils!$E$4,0)</f>
        <v>0</v>
      </c>
      <c r="JU23" s="5">
        <f>IF($D23="SW Spring Wheat",$H23*SWSpringWheat!$E$4,0)</f>
        <v>0</v>
      </c>
      <c r="JV23" s="5">
        <f>IF($D23="HR Winter Wheat",$H23*HRWinterWheat!$E$4,0)</f>
        <v>0</v>
      </c>
      <c r="JW23" s="5">
        <f>IF($D23="Winter Pea",$H23*WinterPea!$E$4,0)</f>
        <v>0</v>
      </c>
      <c r="JX23" s="5">
        <f>IF($D23="Winter Canola",$H23*+WinterCanola!$E$4,0)</f>
        <v>0</v>
      </c>
      <c r="JY23" s="5">
        <f>IF($D23="Forage Crop-Soil Builder Blend",$H23*ForageCrop!$E$4,0)</f>
        <v>0</v>
      </c>
      <c r="JZ23" s="15"/>
      <c r="KA23" s="15"/>
      <c r="KB23" s="15"/>
      <c r="KC23" s="15"/>
      <c r="KD23" s="15"/>
      <c r="KE23" s="15"/>
      <c r="KF23" s="15"/>
      <c r="KG23" s="15"/>
      <c r="KH23" s="15"/>
      <c r="KI23" s="15"/>
      <c r="KJ23" s="15"/>
      <c r="KK23" s="15"/>
    </row>
    <row r="24" spans="1:297" s="1" customFormat="1" ht="20" customHeight="1">
      <c r="A24" s="8"/>
      <c r="B24" s="731"/>
      <c r="C24" s="658">
        <v>2</v>
      </c>
      <c r="D24" s="659" t="s">
        <v>383</v>
      </c>
      <c r="E24" s="653">
        <v>0.3</v>
      </c>
      <c r="F24" s="654">
        <f>IF(D24="Livestock Grazing",0,E24)</f>
        <v>0.3</v>
      </c>
      <c r="G24" s="655">
        <f>IF(D24="Livestock Grazing",0,$I$2*E24)</f>
        <v>750</v>
      </c>
      <c r="H24" s="656">
        <f>$I$2*E24</f>
        <v>750</v>
      </c>
      <c r="I24" s="657">
        <f>SUM(AT24:BQ24)</f>
        <v>-64.216326239555428</v>
      </c>
      <c r="J24" s="228"/>
      <c r="K24" s="228"/>
      <c r="L24" s="228"/>
      <c r="M24" s="228"/>
      <c r="N24" s="16"/>
      <c r="O24" s="232"/>
      <c r="Q24" s="232"/>
      <c r="R24" s="228"/>
      <c r="S24" s="228"/>
      <c r="T24" s="228"/>
      <c r="V24" s="5">
        <f>IF($D24="SW Winter Wheat after Spring Legume",$H24,0)</f>
        <v>0</v>
      </c>
      <c r="W24" s="5">
        <f>IF($D24="SW Winter Wheat after Forage Crop",$H24,0)</f>
        <v>0</v>
      </c>
      <c r="X24" s="5">
        <f>IF($D24="DN Spring Wheat after Spring Legume",$H24,0)</f>
        <v>0</v>
      </c>
      <c r="Y24" s="5">
        <f>IF($D24="DN Spring Wheat after Forage Crop",$H24,0)</f>
        <v>0</v>
      </c>
      <c r="Z24" s="5">
        <f>IF($D24="DN Spring Wheat after Winter Crop",$H24,0)</f>
        <v>0</v>
      </c>
      <c r="AA24" s="5">
        <f>IF($D24="Chickpea after Forage Crop",$H24,0)</f>
        <v>0</v>
      </c>
      <c r="AB24" s="5">
        <f>IF($D24="Chickpea after Cereal",$H24,0)</f>
        <v>0</v>
      </c>
      <c r="AC24" s="5">
        <f>IF($D24="Spring Pea after Cereal",$H24,0)</f>
        <v>0</v>
      </c>
      <c r="AD24" s="5">
        <f>IF($D24="Forage Crop-St. John Area",$H24,0)</f>
        <v>0</v>
      </c>
      <c r="AE24" s="5">
        <f>IF($D24="Forage Crop-Genesee Area",$H24,0)</f>
        <v>750</v>
      </c>
      <c r="AF24" s="5">
        <f>IF($D24="Livestock Grazing",$H24,0)</f>
        <v>0</v>
      </c>
      <c r="AG24" s="5">
        <f>IF($D24="SW Winter Wheat after Cereal",$H24,0)</f>
        <v>0</v>
      </c>
      <c r="AH24" s="5">
        <f>IF($D24="SW Winter Wheat after Fallow",$H24,0)</f>
        <v>0</v>
      </c>
      <c r="AI24" s="5">
        <f>IF($D24="Chem-Fallow",$H24,0)</f>
        <v>0</v>
      </c>
      <c r="AJ24" s="5">
        <f>IF($D24="Flex-Fallow",$H24,0)</f>
        <v>0</v>
      </c>
      <c r="AK24" s="5">
        <f>IF($D24="Spring Barley",$H24,0)</f>
        <v>0</v>
      </c>
      <c r="AL24" s="5">
        <f>IF($D24="Roundup Ready Spring Canola",$H24,0)</f>
        <v>0</v>
      </c>
      <c r="AM24" s="5">
        <f>IF($D24="Spring Canola",$H24,0)</f>
        <v>0</v>
      </c>
      <c r="AN24" s="5">
        <f>IF($D24="Spring Lentils",$H24,0)</f>
        <v>0</v>
      </c>
      <c r="AO24" s="5">
        <f>IF($D24="SW Spring Wheat",$H24,0)</f>
        <v>0</v>
      </c>
      <c r="AP24" s="5">
        <f>IF($D24="HR Winter Wheat",$H24,0)</f>
        <v>0</v>
      </c>
      <c r="AQ24" s="5">
        <f>IF($D24="Winter Pea",$H24,0)</f>
        <v>0</v>
      </c>
      <c r="AR24" s="5">
        <f>IF($D24="Winter Canola",$H24,0)</f>
        <v>0</v>
      </c>
      <c r="AS24" s="377">
        <f>IF($D24="Forage Crop-Soil Builder Blend",$H24,0)</f>
        <v>0</v>
      </c>
      <c r="AT24" s="5">
        <f>IF($D24="SW Winter Wheat after Spring Legume",SWWinterWheatAfterSpringLegume!$I$138,0)</f>
        <v>0</v>
      </c>
      <c r="AU24" s="5">
        <f>IF($D24="SW Winter Wheat after Forage Crop",SWWinterWheatAfterForageCrop!$I$138,0)</f>
        <v>0</v>
      </c>
      <c r="AV24" s="5">
        <f>IF($D24="DN Spring Wheat after Spring Legume",DNSpringWinterAfterSpringLegume!$I$138,0)</f>
        <v>0</v>
      </c>
      <c r="AW24" s="5">
        <f>IF($D24="DN Spring Wheat after Forage Crop",DNSpringWheatAfterForageCrop!$I$138,0)</f>
        <v>0</v>
      </c>
      <c r="AX24" s="5">
        <f>IF($D24="DN Spring Wheat after Winter Crop",DNSpringWheatAfterWinterCrop!$I$138,0)</f>
        <v>0</v>
      </c>
      <c r="AY24" s="5">
        <f>IF($D24="Chickpea after Forage Crop",ChickpeaAfterForageCrop!$I$138,0)</f>
        <v>0</v>
      </c>
      <c r="AZ24" s="5">
        <f>IF($D24="Chickpea after Cereal",ChickpeaAfterCereal!$I$138,0)</f>
        <v>0</v>
      </c>
      <c r="BA24" s="5">
        <f>IF($D24="Spring Pea after Cereal",SpringPeaAfterCereal!$I$138,0)</f>
        <v>0</v>
      </c>
      <c r="BB24" s="5">
        <f>IF($D24="Forage Crop-St. John Area",'ForageCrop-StJohn'!$I$138,0)</f>
        <v>0</v>
      </c>
      <c r="BC24" s="5">
        <f>IF($D24="Forage Crop-Genesee Area",'ForageCrop-Genesee'!$I$138,0)</f>
        <v>-64.216326239555428</v>
      </c>
      <c r="BD24" s="5">
        <f>IF($D24="Livestock Grazing",LivestockGrazing!$I$138,0)</f>
        <v>0</v>
      </c>
      <c r="BE24" s="5">
        <f>IF($D24="SW Winter Wheat after Cereal",SWWinterWheatafterCereal!$I$138,0)</f>
        <v>0</v>
      </c>
      <c r="BF24" s="5">
        <f>IF($D24="SW Winter Wheat after Fallow",SWWinterWheatAfterFallow!$I$138,0)</f>
        <v>0</v>
      </c>
      <c r="BG24" s="5">
        <f>IF($D24="Chem-Fallow",'Chem-Fallow'!$I$138,0)</f>
        <v>0</v>
      </c>
      <c r="BH24" s="5">
        <f>IF($D24="Flex-Fallow",'Flex-Fallow'!$I$138,0)</f>
        <v>0</v>
      </c>
      <c r="BI24" s="5">
        <f>IF($D24="Spring Barley",SpringBarley!$I$138,0)</f>
        <v>0</v>
      </c>
      <c r="BJ24" s="5">
        <f>IF($D24="Roundup Ready Spring Canola",'SpringCanola_R-Ready'!$I$138,0)</f>
        <v>0</v>
      </c>
      <c r="BK24" s="5">
        <f>IF($D24="Spring Canola",SpringCanola!$I$138,0)</f>
        <v>0</v>
      </c>
      <c r="BL24" s="5">
        <f>IF($D24="Spring Lentils",SpringLentils!$I$138,0)</f>
        <v>0</v>
      </c>
      <c r="BM24" s="5">
        <f>IF($D24="SW Spring Wheat",SWSpringWheat!$I$138,0)</f>
        <v>0</v>
      </c>
      <c r="BN24" s="5">
        <f>IF($D24="HR Winter Wheat",HRWinterWheat!$I$138,0)</f>
        <v>0</v>
      </c>
      <c r="BO24" s="5">
        <f>IF($D24="Winter Pea",WinterPea!$I$138,0)</f>
        <v>0</v>
      </c>
      <c r="BP24" s="5">
        <f>IF($D24="Winter Canola",WinterCanola!$I$138,0)</f>
        <v>0</v>
      </c>
      <c r="BQ24" s="377">
        <f>IF($D24="Forage Crop-Soil Builder Blend",ForageCrop!$I$138,0)</f>
        <v>0</v>
      </c>
      <c r="BR24" s="5">
        <f>IF($D24="SW Winter Wheat after Spring Legume",H24*SWWinterWheatAfterSpringLegume!$I$138,0)</f>
        <v>0</v>
      </c>
      <c r="BS24" s="5">
        <f>IF($D24="SW Winter Wheat after Forage Crop",H24*SWWinterWheatAfterForageCrop!$I$138,0)</f>
        <v>0</v>
      </c>
      <c r="BT24" s="5">
        <f>IF($D24="DN Spring Wheat after Spring Legume",H24*DNSpringWinterAfterSpringLegume!$I$138,0)</f>
        <v>0</v>
      </c>
      <c r="BU24" s="5">
        <f>IF($D24="DN Spring Wheat after Forage Crop",H24*DNSpringWheatAfterForageCrop!$I$138,0)</f>
        <v>0</v>
      </c>
      <c r="BV24" s="5">
        <f>IF($D24="DN Spring Wheat after Winter Crop",H24*DNSpringWheatAfterWinterCrop!$I$138,0)</f>
        <v>0</v>
      </c>
      <c r="BW24" s="5">
        <f>IF($D24="Chickpea after Forage Crop",H24*ChickpeaAfterForageCrop!$I$138,0)</f>
        <v>0</v>
      </c>
      <c r="BX24" s="5">
        <f>IF($D24="Chickpea after Cereal",H24*ChickpeaAfterCereal!$I$138,0)</f>
        <v>0</v>
      </c>
      <c r="BY24" s="5">
        <f>IF($D24="Spring Pea after Cereal",H24*SpringPeaAfterCereal!$I$138,0)</f>
        <v>0</v>
      </c>
      <c r="BZ24" s="5">
        <f>IF($D24="Forage Crop-St. John Area",H24*'ForageCrop-StJohn'!$I$138,0)</f>
        <v>0</v>
      </c>
      <c r="CA24" s="5">
        <f>IF($D24="Forage Crop-Genesee Area",H24*'ForageCrop-Genesee'!$I$138,0)</f>
        <v>-48162.244679666568</v>
      </c>
      <c r="CB24" s="5">
        <f>IF($D24="Livestock Grazing",H24*LivestockGrazing!$I$138,0)</f>
        <v>0</v>
      </c>
      <c r="CC24" s="5">
        <f>IF($D24="SW Winter Wheat after Cereal",H24*SWWinterWheatafterCereal!$I$138,0)</f>
        <v>0</v>
      </c>
      <c r="CD24" s="5">
        <f>IF($D24="SW Winter Wheat after Fallow",H24*SWWinterWheatAfterFallow!$I$138,0)</f>
        <v>0</v>
      </c>
      <c r="CE24" s="5">
        <f>IF($D24="Chem-Fallow",H24*'Chem-Fallow'!$I$138,0)</f>
        <v>0</v>
      </c>
      <c r="CF24" s="5">
        <f>IF($D24="Flex-Fallow",H24*'Flex-Fallow'!$I$138,0)</f>
        <v>0</v>
      </c>
      <c r="CG24" s="5">
        <f>IF($D24="Spring Barley",H24*SpringBarley!$I$138,0)</f>
        <v>0</v>
      </c>
      <c r="CH24" s="5">
        <f>IF($D24="Roundup Ready Spring Canola",H24*'SpringCanola_R-Ready'!$I$138,0)</f>
        <v>0</v>
      </c>
      <c r="CI24" s="5">
        <f>IF($D24="Spring Canola",H24*SpringCanola!$I$138,0)</f>
        <v>0</v>
      </c>
      <c r="CJ24" s="5">
        <f>IF($D24="Spring Lentils",H24*SpringLentils!$I$138,0)</f>
        <v>0</v>
      </c>
      <c r="CK24" s="5">
        <f>IF($D24="SW Spring Wheat",H24*SWSpringWheat!$I$138,0)</f>
        <v>0</v>
      </c>
      <c r="CL24" s="5">
        <f>IF($D24="HR Winter Wheat",H24*HRWinterWheat!$I$138,0)</f>
        <v>0</v>
      </c>
      <c r="CM24" s="5">
        <f>IF($D24="Winter Pea",H24*WinterPea!$I$138,0)</f>
        <v>0</v>
      </c>
      <c r="CN24" s="5">
        <f>IF($D24="Winter Canola",H24*WinterCanola!$I$138,0)</f>
        <v>0</v>
      </c>
      <c r="CO24" s="377">
        <f>IF($D24="Forage Crop-Soil Builder Blend",H24*ForageCrop!$I$138,0)</f>
        <v>0</v>
      </c>
      <c r="CP24" s="5">
        <f>IF($D24="SW Winter Wheat after Spring Legume",H24*'Prices_Yields&amp;SeedInputs'!J$5,0)</f>
        <v>0</v>
      </c>
      <c r="CQ24" s="5">
        <f>IF($D24="SW Winter Wheat after Forage Crop",H24*'Prices_Yields&amp;SeedInputs'!J$6,0)</f>
        <v>0</v>
      </c>
      <c r="CR24" s="5">
        <f>IF($D24="DN Spring Wheat after Spring Legume",H24*'Prices_Yields&amp;SeedInputs'!J$7,0)</f>
        <v>0</v>
      </c>
      <c r="CS24" s="5">
        <f>IF($D24="DN Spring Wheat after Forage Crop",H24*'Prices_Yields&amp;SeedInputs'!J$8,0)</f>
        <v>0</v>
      </c>
      <c r="CT24" s="5">
        <f>IF($D24="DN Spring Wheat after Winter Crop",H24*'Prices_Yields&amp;SeedInputs'!J$9,0)</f>
        <v>0</v>
      </c>
      <c r="CU24" s="5">
        <f>IF($D24="Chickpea after Forage Crop",H24*'Prices_Yields&amp;SeedInputs'!J$10,0)</f>
        <v>0</v>
      </c>
      <c r="CV24" s="5">
        <f>IF($D24="Chickpea after Cereal",H24*'Prices_Yields&amp;SeedInputs'!J$11,0)</f>
        <v>0</v>
      </c>
      <c r="CW24" s="5">
        <f>IF($D24="Spring Pea after Cereal",H24*'Prices_Yields&amp;SeedInputs'!J$12,0)</f>
        <v>0</v>
      </c>
      <c r="CX24" s="5">
        <f>IF($D24="Forage Crop-St. John Area",H24*'Prices_Yields&amp;SeedInputs'!J$13,0)</f>
        <v>0</v>
      </c>
      <c r="CY24" s="5">
        <f>IF($D24="Forage Crop-Genesee Area",H24*'Prices_Yields&amp;SeedInputs'!J$14,0)</f>
        <v>750</v>
      </c>
      <c r="CZ24" s="5">
        <f>IF($D24="Livestock Grazing",H24*'Prices_Yields&amp;SeedInputs'!J$15,0)</f>
        <v>0</v>
      </c>
      <c r="DA24" s="5">
        <f>IF($D24="SW Winter Wheat after Cereal",H24*'Prices_Yields&amp;SeedInputs'!J$16,0)</f>
        <v>0</v>
      </c>
      <c r="DB24" s="5">
        <f>IF($D24="SW Winter Wheat after Fallow",H24*'Prices_Yields&amp;SeedInputs'!J$17,0)</f>
        <v>0</v>
      </c>
      <c r="DC24" s="5">
        <f>IF($D24="Chem-Fallow",H24*'Prices_Yields&amp;SeedInputs'!J$18,0)</f>
        <v>0</v>
      </c>
      <c r="DD24" s="5">
        <f>IF($D24="Flex-Fallow",H24*'Prices_Yields&amp;SeedInputs'!J$19,0)</f>
        <v>0</v>
      </c>
      <c r="DE24" s="5">
        <f>IF($D24="Spring Barley",H24*'Prices_Yields&amp;SeedInputs'!J$20,0)</f>
        <v>0</v>
      </c>
      <c r="DF24" s="5">
        <f>IF($D24="Roundup Ready Spring Canola",H24*'Prices_Yields&amp;SeedInputs'!J$21,0)</f>
        <v>0</v>
      </c>
      <c r="DG24" s="5">
        <f>IF($D24="Spring Canola",H24*'Prices_Yields&amp;SeedInputs'!J$22,0)</f>
        <v>0</v>
      </c>
      <c r="DH24" s="5">
        <f>IF($D24="Spring Lentils",H24*'Prices_Yields&amp;SeedInputs'!J$23,0)</f>
        <v>0</v>
      </c>
      <c r="DI24" s="5">
        <f>IF($D24="SW Spring Wheat",H24*'Prices_Yields&amp;SeedInputs'!J$24,0)</f>
        <v>0</v>
      </c>
      <c r="DJ24" s="5">
        <f>IF($D24="HR Winter Wheat",H24*'Prices_Yields&amp;SeedInputs'!J$25,0)</f>
        <v>0</v>
      </c>
      <c r="DK24" s="5">
        <f>IF($D24="Winter Pea",H24*'Prices_Yields&amp;SeedInputs'!J$26,0)</f>
        <v>0</v>
      </c>
      <c r="DL24" s="5">
        <f>IF($D24="Winter Canola",H24*'Prices_Yields&amp;SeedInputs'!J$27,0)</f>
        <v>0</v>
      </c>
      <c r="DM24" s="377">
        <f>IF($D24="Forage Crop-Soil Builder Blend",H24*'Prices_Yields&amp;SeedInputs'!J$28,0)</f>
        <v>0</v>
      </c>
      <c r="DN24" s="5">
        <f>IF($D24="SW Winter Wheat after Spring Legume",$H24*SWWinterWheatAfterSpringLegume!$I$135,0)</f>
        <v>0</v>
      </c>
      <c r="DO24" s="5">
        <f>IF($D24="SW Winter Wheat after Forage Crop",$H24*SWWinterWheatAfterForageCrop!$I$135,0)</f>
        <v>0</v>
      </c>
      <c r="DP24" s="5">
        <f>IF($D24="DN Spring Wheat after Spring Legume",$H24*DNSpringWinterAfterSpringLegume!$I$135,0)</f>
        <v>0</v>
      </c>
      <c r="DQ24" s="5">
        <f>IF($D24="DN Spring Wheat after Forage Crop",$H24*DNSpringWheatAfterForageCrop!$I$135,0)</f>
        <v>0</v>
      </c>
      <c r="DR24" s="5">
        <f>IF($D24="DN Spring Wheat after Winter Crop",$H24*DNSpringWheatAfterWinterCrop!$I$135,0)</f>
        <v>0</v>
      </c>
      <c r="DS24" s="5">
        <f>IF($D24="Chickpea after Forage Crop",$H24*ChickpeaAfterForageCrop!$I$135,0)</f>
        <v>0</v>
      </c>
      <c r="DT24" s="5">
        <f>IF($D24="Chickpea after Cereal",$H24*ChickpeaAfterCereal!$I$135,0)</f>
        <v>0</v>
      </c>
      <c r="DU24" s="5">
        <f>IF($D24="Spring Pea after Cereal",$H24*SpringPeaAfterCereal!$I$135,0)</f>
        <v>0</v>
      </c>
      <c r="DV24" s="5">
        <f>IF($D24="Forage Crop-St. John Area",$H24*'ForageCrop-StJohn'!$I$135,0)</f>
        <v>0</v>
      </c>
      <c r="DW24" s="5">
        <f>IF($D24="Forage Crop-Genesee Area",$H24*'ForageCrop-Genesee'!$I$135,0)</f>
        <v>6038.2947633195636</v>
      </c>
      <c r="DX24" s="5">
        <f>IF($D24="Livestock Grazing",$H24*LivestockGrazing!$I$135,0)</f>
        <v>0</v>
      </c>
      <c r="DY24" s="5">
        <f>IF($D24="SW Winter Wheat after Cereal",$H24*SWWinterWheatafterCereal!$I$135,0)</f>
        <v>0</v>
      </c>
      <c r="DZ24" s="5">
        <f>IF($D24="SW Winter Wheat after Fallow",$H24*SWWinterWheatAfterFallow!$I$135,0)</f>
        <v>0</v>
      </c>
      <c r="EA24" s="5">
        <f>IF($D24="Chem-Fallow",$H24*'Chem-Fallow'!$I$135,0)</f>
        <v>0</v>
      </c>
      <c r="EB24" s="5">
        <f>IF($D24="Flex-Fallow",$H24*'Flex-Fallow'!$I$135,0)</f>
        <v>0</v>
      </c>
      <c r="EC24" s="5">
        <f>IF($D24="Spring Barley",$H24*SpringBarley!$I$135,0)</f>
        <v>0</v>
      </c>
      <c r="ED24" s="5">
        <f>IF($D24="Roundup Ready Spring Canola",$H24*'SpringCanola_R-Ready'!$I$135,0)</f>
        <v>0</v>
      </c>
      <c r="EE24" s="5">
        <f>IF($D24="Spring Canola",$H24*SpringCanola!$I$135,0)</f>
        <v>0</v>
      </c>
      <c r="EF24" s="5">
        <f>IF($D24="Spring Lentils",$H24*SpringLentils!$I$135,0)</f>
        <v>0</v>
      </c>
      <c r="EG24" s="5">
        <f>IF($D24="SW Spring Wheat",$H24*SWSpringWheat!$I$135,0)</f>
        <v>0</v>
      </c>
      <c r="EH24" s="5">
        <f>IF($D24="HR Winter Wheat",$H24*HRWinterWheat!$I$135,0)</f>
        <v>0</v>
      </c>
      <c r="EI24" s="5">
        <f>IF($D24="Winter Pea",$H24*WinterPea!$I$135,0)</f>
        <v>0</v>
      </c>
      <c r="EJ24" s="5">
        <f>IF($D24="Winter Canola",$H24*WinterCanola!$I$135,0)</f>
        <v>0</v>
      </c>
      <c r="EK24" s="377">
        <f>IF($D24="Forage Crop-Soil Builder Blend",$H24*ForageCrop!$I$135,0)</f>
        <v>0</v>
      </c>
      <c r="EL24" s="5">
        <f>IF($D24="SW Winter Wheat after Spring Legume",$H24*SWWinterWheatAfterSpringLegume!$J$116,0)</f>
        <v>0</v>
      </c>
      <c r="EM24" s="5">
        <f>IF($D24="SW Winter Wheat after Forage Crop",$H24*SWWinterWheatAfterForageCrop!$J$116,0)</f>
        <v>0</v>
      </c>
      <c r="EN24" s="5">
        <f>IF($D24="DN Spring Wheat after Spring Legume",$H24*DNSpringWinterAfterSpringLegume!$J$116,0)</f>
        <v>0</v>
      </c>
      <c r="EO24" s="5">
        <f>IF($D24="DN Spring Wheat after Forage Crop",$H24*DNSpringWheatAfterForageCrop!$J$116,0)</f>
        <v>0</v>
      </c>
      <c r="EP24" s="5">
        <f>IF($D24="DN Spring Wheat after Winter Crop",$H24*DNSpringWheatAfterWinterCrop!$J$116,0)</f>
        <v>0</v>
      </c>
      <c r="EQ24" s="5">
        <f>IF($D24="Chickpea after Forage Crop",$H24*ChickpeaAfterForageCrop!$J$116,0)</f>
        <v>0</v>
      </c>
      <c r="ER24" s="5">
        <f>IF($D24="Chickpea after Cereal",$H24*ChickpeaAfterCereal!$J$116,0)</f>
        <v>0</v>
      </c>
      <c r="ES24" s="5">
        <f>IF($D24="Spring Pea after Cereal",$H24*SpringPeaAfterCereal!$J$116,0)</f>
        <v>0</v>
      </c>
      <c r="ET24" s="5">
        <f>IF($D24="Forage Crop-St. John Area",$H24*'ForageCrop-StJohn'!$J$116,0)</f>
        <v>0</v>
      </c>
      <c r="EU24" s="5">
        <f>IF($D24="Forage Crop-Genesee Area",$H24*'ForageCrop-Genesee'!$J$116,0)</f>
        <v>1605.8422600488809</v>
      </c>
      <c r="EV24" s="5">
        <f>IF($D24="Livestock Grazing",$H24*LivestockGrazing!$J$116,0)</f>
        <v>0</v>
      </c>
      <c r="EW24" s="5">
        <f>IF($D24="SW Winter Wheat after Cereal",$H24*SWWinterWheatafterCereal!$J$116,0)</f>
        <v>0</v>
      </c>
      <c r="EX24" s="5">
        <f>IF($D24="SW Winter Wheat after Fallow",$H24*SWWinterWheatAfterFallow!$J$116,0)</f>
        <v>0</v>
      </c>
      <c r="EY24" s="5">
        <f>IF($D24="Chem-Fallow",$H24*'Chem-Fallow'!$J$116,0)</f>
        <v>0</v>
      </c>
      <c r="EZ24" s="5">
        <f>IF($D24="Flex-Fallow",$H24*'Flex-Fallow'!$J$116,0)</f>
        <v>0</v>
      </c>
      <c r="FA24" s="5">
        <f>IF($D24="Spring Barley",$H24*SpringBarley!$J$116,0)</f>
        <v>0</v>
      </c>
      <c r="FB24" s="5">
        <f>IF($D24="Roundup Ready Spring Canola",$H24*'SpringCanola_R-Ready'!$J$116,0)</f>
        <v>0</v>
      </c>
      <c r="FC24" s="5">
        <f>IF($D24="Spring Canola",$H24*SpringCanola!$J$116,0)</f>
        <v>0</v>
      </c>
      <c r="FD24" s="5">
        <f>IF($D24="Spring Lentils",$H24*SpringLentils!$J$116,0)</f>
        <v>0</v>
      </c>
      <c r="FE24" s="5">
        <f>IF($D24="SW Spring Wheat",$H24*SWSpringWheat!$J$116,0)</f>
        <v>0</v>
      </c>
      <c r="FF24" s="5">
        <f>IF($D24="HR Winter Wheat",$H24*HRWinterWheat!$J$116,0)</f>
        <v>0</v>
      </c>
      <c r="FG24" s="5">
        <f>IF($D24="Winter Pea",$H24*WinterPea!$J$116,0)</f>
        <v>0</v>
      </c>
      <c r="FH24" s="5">
        <f>IF($D24="Winter Canola",$H24*WinterCanola!$J$116,0)</f>
        <v>0</v>
      </c>
      <c r="FI24" s="377">
        <f>IF($D24="Forage Crop-Soil Builder Blend",$H24*ForageCrop!$J$116,0)</f>
        <v>0</v>
      </c>
      <c r="FJ24" s="5">
        <f>IF($D24="SW Winter Wheat after Spring Legume",$H24*SWWinterWheatAfterSpringLegume!$J$117,0)</f>
        <v>0</v>
      </c>
      <c r="FK24" s="5">
        <f>IF($D24="SW Winter Wheat after Forage Crop",$H24*SWWinterWheatAfterForageCrop!$J$117,0)</f>
        <v>0</v>
      </c>
      <c r="FL24" s="5">
        <f>IF($D24="DN Spring Wheat after Spring Legume",$H24*DNSpringWinterAfterSpringLegume!$J$117,0)</f>
        <v>0</v>
      </c>
      <c r="FM24" s="5">
        <f>IF($D24="DN Spring Wheat after Forage Crop",$H24*DNSpringWheatAfterForageCrop!$J$117,0)</f>
        <v>0</v>
      </c>
      <c r="FN24" s="5">
        <f>IF($D24="DN Spring Wheat after Winter Crop",$H24*DNSpringWheatAfterWinterCrop!$J$117,0)</f>
        <v>0</v>
      </c>
      <c r="FO24" s="5">
        <f>IF($D24="Chickpea after Forage Crop",$H24*ChickpeaAfterForageCrop!$J$117,0)</f>
        <v>0</v>
      </c>
      <c r="FP24" s="5">
        <f>IF($D24="Chickpea after Cereal",$H24*ChickpeaAfterCereal!$J$117,0)</f>
        <v>0</v>
      </c>
      <c r="FQ24" s="5">
        <f>IF($D24="Spring Pea after Cereal",$H24*SpringPeaAfterCereal!$J$117,0)</f>
        <v>0</v>
      </c>
      <c r="FR24" s="5">
        <f>IF($D24="Forage Crop-St. John Area",$H24*'ForageCrop-StJohn'!$J$117,0)</f>
        <v>0</v>
      </c>
      <c r="FS24" s="5">
        <f>IF($D24="Forage Crop-Genesee Area",$H24*'ForageCrop-Genesee'!$J$117,0)</f>
        <v>5963.6429006441313</v>
      </c>
      <c r="FT24" s="5">
        <f>IF($D24="Livestock Grazing",$H24*LivestockGrazing!$J$117,0)</f>
        <v>0</v>
      </c>
      <c r="FU24" s="5">
        <f>IF($D24="SW Winter Wheat after Cereal",$H24*SWWinterWheatafterCereal!$J$117,0)</f>
        <v>0</v>
      </c>
      <c r="FV24" s="5">
        <f>IF($D24="SW Winter Wheat after Fallow",$H24*SWWinterWheatAfterFallow!$J$117,0)</f>
        <v>0</v>
      </c>
      <c r="FW24" s="5">
        <f>IF($D24="Chem-Fallow",$H24*'Chem-Fallow'!$J$117,0)</f>
        <v>0</v>
      </c>
      <c r="FX24" s="5">
        <f>IF($D24="Flex-Fallow",$H24*'Flex-Fallow'!$J$117,0)</f>
        <v>0</v>
      </c>
      <c r="FY24" s="5">
        <f>IF($D24="Spring Barley",$H24*SpringBarley!$J$117,0)</f>
        <v>0</v>
      </c>
      <c r="FZ24" s="5">
        <f>IF($D24="Roundup Ready Spring Canola",$H24*'SpringCanola_R-Ready'!$J$117,0)</f>
        <v>0</v>
      </c>
      <c r="GA24" s="5">
        <f>IF($D24="Spring Canola",$H24*SpringCanola!$J$117,0)</f>
        <v>0</v>
      </c>
      <c r="GB24" s="5">
        <f>IF($D24="Spring Lentils",$H24*SpringLentils!$J$117,0)</f>
        <v>0</v>
      </c>
      <c r="GC24" s="5">
        <f>IF($D24="SW Spring Wheat",$H24*SWSpringWheat!$J$117,0)</f>
        <v>0</v>
      </c>
      <c r="GD24" s="5">
        <f>IF($D24="HR Winter Wheat",$H24*HRWinterWheat!$J$117,0)</f>
        <v>0</v>
      </c>
      <c r="GE24" s="5">
        <f>IF($D24="Winter Pea",$H24*WinterPea!$J$117,0)</f>
        <v>0</v>
      </c>
      <c r="GF24" s="5">
        <f>IF($D24="Winter Canola",$H24*WinterCanola!$J$117,0)</f>
        <v>0</v>
      </c>
      <c r="GG24" s="377">
        <f>IF($D24="Forage Crop-Soil Builder Blend",$H24*ForageCrop!$J$117,0)</f>
        <v>0</v>
      </c>
      <c r="GH24" s="5">
        <f>IF($D24="SW Winter Wheat after Spring Legume",$H24*SWWinterWheatAfterSpringLegume!$M$118,0)</f>
        <v>0</v>
      </c>
      <c r="GI24" s="5">
        <f>IF($D24="SW Winter Wheat after Forage Crop",$H24*SWWinterWheatAfterForageCrop!$M$118,0)</f>
        <v>0</v>
      </c>
      <c r="GJ24" s="5">
        <f>IF($D24="DN Spring Wheat after Spring Legume",$H24*DNSpringWinterAfterSpringLegume!$M$118,0)</f>
        <v>0</v>
      </c>
      <c r="GK24" s="5">
        <f>IF($D24="DN Spring Wheat after Forage Crop",$H24*DNSpringWheatAfterForageCrop!$M$118,0)</f>
        <v>0</v>
      </c>
      <c r="GL24" s="5">
        <f>IF($D24="DN Spring Wheat after Winter Crop",$H24*DNSpringWheatAfterWinterCrop!$M$118,0)</f>
        <v>0</v>
      </c>
      <c r="GM24" s="5">
        <f>IF($D24="Chickpea after Forage Crop",$H24*ChickpeaAfterForageCrop!$M$118,0)</f>
        <v>0</v>
      </c>
      <c r="GN24" s="5">
        <f>IF($D24="Chickpea after Cereal",$H24*ChickpeaAfterCereal!$M$118,0)</f>
        <v>0</v>
      </c>
      <c r="GO24" s="5">
        <f>IF($D24="Spring Pea after Cereal",$H24*SpringPeaAfterCereal!$M$118,0)</f>
        <v>0</v>
      </c>
      <c r="GP24" s="5">
        <f>IF($D24="Forage Crop-St. John Area",$H24*'ForageCrop-StJohn'!$M$118,0)</f>
        <v>0</v>
      </c>
      <c r="GQ24" s="5">
        <f>IF($D24="Forage Crop-Genesee Area",$H24*'ForageCrop-Genesee'!$M$118,0)</f>
        <v>4643.6193637081569</v>
      </c>
      <c r="GR24" s="5">
        <f>IF($D24="Livestock Grazing",$H24*LivestockGrazing!$M$118,0)</f>
        <v>0</v>
      </c>
      <c r="GS24" s="5">
        <f>IF($D24="SW Winter Wheat after Cereal",$H24*SWWinterWheatafterCereal!$M$118,0)</f>
        <v>0</v>
      </c>
      <c r="GT24" s="5">
        <f>IF($D24="SW Winter Wheat after Fallow",$H24*SWWinterWheatAfterFallow!$M$118,0)</f>
        <v>0</v>
      </c>
      <c r="GU24" s="5">
        <f>IF($D24="Chem-Fallow",$H24*'Chem-Fallow'!$M$118,0)</f>
        <v>0</v>
      </c>
      <c r="GV24" s="5">
        <f>IF($D24="Flex-Fallow",$H24*'Flex-Fallow'!$M$118,0)</f>
        <v>0</v>
      </c>
      <c r="GW24" s="5">
        <f>IF($D24="Spring Barley",$H24*SpringBarley!$M$118,0)</f>
        <v>0</v>
      </c>
      <c r="GX24" s="5">
        <f>IF($D24="Roundup Ready Spring Canola",$H24*'SpringCanola_R-Ready'!$M$118,0)</f>
        <v>0</v>
      </c>
      <c r="GY24" s="5">
        <f>IF($D24="Spring Canola",$H24*SpringCanola!$M$118,0)</f>
        <v>0</v>
      </c>
      <c r="GZ24" s="5">
        <f>IF($D24="Spring Lentils",$H24*SpringLentils!$M$118,0)</f>
        <v>0</v>
      </c>
      <c r="HA24" s="5">
        <f>IF($D24="SW Spring Wheat",$H24*SWSpringWheat!$M$118,0)</f>
        <v>0</v>
      </c>
      <c r="HB24" s="5">
        <f>IF($D24="HR Winter Wheat",$H24*HRWinterWheat!$M$118,0)</f>
        <v>0</v>
      </c>
      <c r="HC24" s="5">
        <f>IF($D24="Winter Pea",$H24*WinterPea!$M$118,0)</f>
        <v>0</v>
      </c>
      <c r="HD24" s="5">
        <f>IF($D24="Winter Canola",$H24*WinterCanola!$M$118,0)</f>
        <v>0</v>
      </c>
      <c r="HE24" s="377">
        <f>IF($D24="Forage Crop-Soil Builder Blend",$H24*ForageCrop!$M$118,0)</f>
        <v>0</v>
      </c>
      <c r="HF24" s="5">
        <f>IF($D24="SW Winter Wheat after Spring Legume",($H24*(SUM(SWWinterWheatAfterSpringLegume!$E$9:$E$16)+SWWinterWheatAfterSpringLegume!$G$16))/2000,0)</f>
        <v>0</v>
      </c>
      <c r="HG24" s="5">
        <f>IF($D24="SW Winter Wheat after Forage Crop",($H24*(SUM(SWWinterWheatAfterForageCrop!$E$9:$E$16)+SWWinterWheatAfterForageCrop!$G$17))/2000,0)</f>
        <v>0</v>
      </c>
      <c r="HH24" s="5">
        <f>IF($D24="DN Spring Wheat after Spring Legume",($H24*(SUM(DNSpringWinterAfterSpringLegume!$E$9:$E$16)+DNSpringWinterAfterSpringLegume!$G$16))/2000,0)</f>
        <v>0</v>
      </c>
      <c r="HI24" s="5">
        <f>IF($D24="DN Spring Wheat after Forage Crop",($H24*(SUM(DNSpringWheatAfterForageCrop!$E$9:$E$16)+DNSpringWheatAfterForageCrop!$G$14))/2000,0)</f>
        <v>0</v>
      </c>
      <c r="HJ24" s="5">
        <f>IF($D24="DN Spring Wheat after Winter Crop",($H24*(SUM(DNSpringWheatAfterWinterCrop!$E$9:$E$16)+DNSpringWheatAfterWinterCrop!$G$16))/2000,0)</f>
        <v>0</v>
      </c>
      <c r="HK24" s="5">
        <f>IF($D24="Chickpea after Forage Crop",($H24*(SUM(ChickpeaAfterForageCrop!$E$9:$E$16)+ChickpeaAfterForageCrop!$G$14))/2000,0)</f>
        <v>0</v>
      </c>
      <c r="HL24" s="5">
        <f>IF($D24="Chickpea after Cereal",($H24*(SUM(ChickpeaAfterCereal!$E$9:$E$16)+ChickpeaAfterCereal!$G$14))/2000,0)</f>
        <v>0</v>
      </c>
      <c r="HM24" s="5">
        <f>IF($D24="Spring Pea after Cereal",($H24*(SUM(SpringPeaAfterCereal!$E$9:$E$16)+SpringPeaAfterCereal!$G$14))/2000,0)</f>
        <v>0</v>
      </c>
      <c r="HN24" s="5">
        <f>IF($D24="Forage Crop-St. John Area",($H24*(SUM('ForageCrop-StJohn'!$E$9:$E$16)+'ForageCrop-StJohn'!$G$14))/2000,0)</f>
        <v>0</v>
      </c>
      <c r="HO24" s="5">
        <f>IF($D24="Forage Crop-Genesee Area",($H24*(SUM('ForageCrop-Genesee'!$E$9:$E$16)+'ForageCrop-Genesee'!$G$14))/2000,0)</f>
        <v>0</v>
      </c>
      <c r="HP24" s="5">
        <f>IF($D24="Livestock Grazing",($H24*(SUM(LivestockGrazing!$E$9:$E$16)+LivestockGrazing!$G$14))/2000,0)</f>
        <v>0</v>
      </c>
      <c r="HQ24" s="5">
        <f>IF($D24="SW Winter Wheat after Cereal",($H24*(SUM(SWWinterWheatafterCereal!$E$9:$E$16)+SWWinterWheatafterCereal!$G$16))/2000,0)</f>
        <v>0</v>
      </c>
      <c r="HR24" s="5">
        <f>IF($D24="SW Winter Wheat after Fallow",($H24*(SUM(SWWinterWheatAfterFallow!$E$9:$E$16)+SWWinterWheatAfterFallow!$G$14))/2000,0)</f>
        <v>0</v>
      </c>
      <c r="HS24" s="5">
        <f>IF($D24="Chem-Fallow",($H24*(SUM('Chem-Fallow'!$E$9:$E$16)+'Chem-Fallow'!$G$16))/2000,0)</f>
        <v>0</v>
      </c>
      <c r="HT24" s="5">
        <f>IF($D24="Flex-Fallow",($H24*(SUM('Flex-Fallow'!$E$9:$E$16)+'Flex-Fallow'!$G$16))/2000,0)</f>
        <v>0</v>
      </c>
      <c r="HU24" s="5">
        <f>IF($D24="Spring Barley",($H24*(SUM(SpringBarley!$E$9:$E$16)+SpringBarley!$G$16))/2000,0)</f>
        <v>0</v>
      </c>
      <c r="HV24" s="5">
        <f>IF($D24="Roundup Ready Spring Canola",($H24*(SUM('SpringCanola_R-Ready'!$E$9:$E$16)+'SpringCanola_R-Ready'!$G$14))/2000,0)</f>
        <v>0</v>
      </c>
      <c r="HW24" s="5">
        <f>IF($D24="Spring Canola",($H24*(SUM(SpringCanola!$E$9:$E$16)+SpringCanola!$G$14))/2000,0)</f>
        <v>0</v>
      </c>
      <c r="HX24" s="5">
        <f>IF($D24="Spriing Lentils",($H24*(SUM(SpringLentils!$E$9:$E$16)+SpringLentils!$G$14))/2000,0)</f>
        <v>0</v>
      </c>
      <c r="HY24" s="5">
        <f>IF($D24="SW Spring Wheat",($H24*(SUM(SWSpringWheat!$E$9:$E$16)+SWSpringWheat!$G$18))/2000,0)</f>
        <v>0</v>
      </c>
      <c r="HZ24" s="5">
        <f>IF($D24="HR Winter Wheat",($H24*(SUM(HRWinterWheat!$E$9:$E$16)+HRWinterWheat!$G$16))/2000,0)</f>
        <v>0</v>
      </c>
      <c r="IA24" s="5">
        <f>IF($D24="Winter Pea",($H24*(SUM(WinterPea!$E$9:$E$16)+WinterPea!$G$14))/2000,0)</f>
        <v>0</v>
      </c>
      <c r="IB24" s="5">
        <f>IF($D24="Winter Canola",($H24*(SUM(WinterCanola!$E$9:$E$16)+WinterCanola!$G$14))/2000,0)</f>
        <v>0</v>
      </c>
      <c r="IC24" s="377">
        <f>IF($D24="Forage Crop-Soil Builder Blend",($H24*(SUM(ForageCrop!$E$9:$E$16)+ForageCrop!$G$14))/2000,0)</f>
        <v>0</v>
      </c>
      <c r="ID24" s="5">
        <f>IF($D24="SW Winter Wheat after Spring Legume",$H24*SWWinterWheatAfterSpringLegume!$G$62,0)</f>
        <v>0</v>
      </c>
      <c r="IE24" s="5">
        <f>IF($D24="SW Winter Wheat after Forage Crop",$H24*SWWinterWheatAfterForageCrop!$G$62,0)</f>
        <v>0</v>
      </c>
      <c r="IF24" s="5">
        <f>IF($D24="DN Spring Wheat after Spring Legume",$H24*DNSpringWinterAfterSpringLegume!$G$62,0)</f>
        <v>0</v>
      </c>
      <c r="IG24" s="5">
        <f>IF($D24="DN Spring Wheat after Forage Crop",$H24*DNSpringWheatAfterForageCrop!$G$62,0)</f>
        <v>0</v>
      </c>
      <c r="IH24" s="5">
        <f>IF($D24="DN Spring Wheat after Winter Crop",$H24*DNSpringWheatAfterWinterCrop!$G$62,0)</f>
        <v>0</v>
      </c>
      <c r="II24" s="5">
        <f>IF($D24="Chickpea after Forage Crop",$H24*ChickpeaAfterForageCrop!$G$62,0)</f>
        <v>0</v>
      </c>
      <c r="IJ24" s="5">
        <f>IF($D24="Chickpea after Cereal",$H24*ChickpeaAfterCereal!$G$62,0)</f>
        <v>0</v>
      </c>
      <c r="IK24" s="5">
        <f>IF($D24="Spring Pea after Cereal",$H24*SpringPeaAfterCereal!$G$62,0)</f>
        <v>0</v>
      </c>
      <c r="IL24" s="5">
        <f>IF($D24="Forage Crop-St. John Area",$H24*'ForageCrop-StJohn'!$G$62,0)</f>
        <v>0</v>
      </c>
      <c r="IM24" s="5">
        <f>IF($D24="Forage Crop-Genesee Area",$H24*'ForageCrop-Genesee'!$G$62,0)</f>
        <v>304.6875</v>
      </c>
      <c r="IN24" s="5">
        <f>IF($D24="Livestock Grazing",$H24*LivestockGrazing!$G$62,0)</f>
        <v>0</v>
      </c>
      <c r="IO24" s="5">
        <f>IF($D24="SW Winter Wheat after Cereal",$H24*SWWinterWheatafterCereal!$G$62,0)</f>
        <v>0</v>
      </c>
      <c r="IP24" s="5">
        <f>IF($D24="SW Winter Wheat after Fallow",$H24*SWWinterWheatAfterFallow!$G$62,0)</f>
        <v>0</v>
      </c>
      <c r="IQ24" s="5">
        <f>IF($D24="Chem-Fallow",$H24*'Chem-Fallow'!$G$62,0)</f>
        <v>0</v>
      </c>
      <c r="IR24" s="5">
        <f>IF($D24="Flex-Fallow",$H24*'Flex-Fallow'!$G$62,0)</f>
        <v>0</v>
      </c>
      <c r="IS24" s="5">
        <f>IF($D24="Spring Barley",$H24*SpringBarley!$G$62,0)</f>
        <v>0</v>
      </c>
      <c r="IT24" s="5">
        <f>IF($D24="Roundup Ready Spring Canola",$H24*'SpringCanola_R-Ready'!$G$62,0)</f>
        <v>0</v>
      </c>
      <c r="IU24" s="5">
        <f>IF($D24="Spring Canola",$H24*SpringCanola!$G$62,0)</f>
        <v>0</v>
      </c>
      <c r="IV24" s="5">
        <f>IF($D24="Spriing Lentils",$H24*SpringLentils!$G$62,0)</f>
        <v>0</v>
      </c>
      <c r="IW24" s="5">
        <f>IF($D24="SW Spring Wheat",$H24*SWSpringWheat!$G$62,0)</f>
        <v>0</v>
      </c>
      <c r="IX24" s="5">
        <f>IF($D24="HR Winter Wheat",$H24*HRWinterWheat!$G$62,0)</f>
        <v>0</v>
      </c>
      <c r="IY24" s="5">
        <f>IF($D24="Winter Pea",$H24*WinterPea!$G$62,0)</f>
        <v>0</v>
      </c>
      <c r="IZ24" s="5">
        <f>IF($D24="Winter Canola",$H24*+WinterCanola!$G$62,0)</f>
        <v>0</v>
      </c>
      <c r="JA24" s="5">
        <f>IF($D24="Forage Crop-Soil Builder Blend",$H24*ForageCrop!$G$62,0)</f>
        <v>0</v>
      </c>
      <c r="JB24" s="5">
        <f>IF($D24="SW Winter Wheat after Spring Legume",$H24*SWWinterWheatAfterSpringLegume!$E$4,0)</f>
        <v>0</v>
      </c>
      <c r="JC24" s="5">
        <f>IF($D24="SW Winter Wheat after Forage Crop",$H24*SWWinterWheatAfterForageCrop!$E$4,0)</f>
        <v>0</v>
      </c>
      <c r="JD24" s="5">
        <f>IF($D24="DN Spring Wheat after Spring Legume",$H24*DNSpringWinterAfterSpringLegume!$E$4,0)</f>
        <v>0</v>
      </c>
      <c r="JE24" s="5">
        <f>IF($D24="DN Spring Wheat after Forage Crop",$H24*DNSpringWheatAfterForageCrop!$E$4,0)</f>
        <v>0</v>
      </c>
      <c r="JF24" s="5">
        <f>IF($D24="DN Spring Wheat after Winter Crop",$H24*DNSpringWheatAfterWinterCrop!$E$4,0)</f>
        <v>0</v>
      </c>
      <c r="JG24" s="5">
        <f>IF($D24="Chickpea after Forage Crop",$H24*ChickpeaAfterForageCrop!$E$4,0)</f>
        <v>0</v>
      </c>
      <c r="JH24" s="5">
        <f>IF($D24="Chickpea after Cereal",$H24*ChickpeaAfterCereal!$E$4,0)</f>
        <v>0</v>
      </c>
      <c r="JI24" s="5">
        <f>IF($D24="Spring Pea after Cereal",$H24*SpringPeaAfterCereal!$E$4,0)</f>
        <v>0</v>
      </c>
      <c r="JJ24" s="5">
        <f>IF($D24="Forage Crop-St. John Area",$H24*'ForageCrop-StJohn'!$E$4,0)</f>
        <v>0</v>
      </c>
      <c r="JK24" s="5">
        <f>IF($D24="Forage Crop-Genesee Area",$H24*'ForageCrop-Genesee'!$E$4,0)</f>
        <v>0</v>
      </c>
      <c r="JL24" s="5">
        <f>IF($D24="Livestock Grazing",$H24*LivestockGrazing!$E$4,0)</f>
        <v>0</v>
      </c>
      <c r="JM24" s="5">
        <f>IF($D24="SW Winter Wheat after Cereal",$H24*SWWinterWheatafterCereal!$E$4,0)</f>
        <v>0</v>
      </c>
      <c r="JN24" s="5">
        <f>IF($D24="SW Winter Wheat after Fallow",$H24*SWWinterWheatAfterFallow!$E$4,0)</f>
        <v>0</v>
      </c>
      <c r="JO24" s="5">
        <f>IF($D24="Chem-Fallow",$H24*'Chem-Fallow'!$E$4,0)</f>
        <v>0</v>
      </c>
      <c r="JP24" s="5">
        <f>IF($D24="Flex-Fallow",$H24*'Flex-Fallow'!$E$4,0)</f>
        <v>0</v>
      </c>
      <c r="JQ24" s="5">
        <f>IF($D24="Spring Barley",$H24*SpringBarley!$E$4,0)</f>
        <v>0</v>
      </c>
      <c r="JR24" s="5">
        <f>IF($D24="Roundup Ready Spring Canola",$H24*'SpringCanola_R-Ready'!$E$4,0)</f>
        <v>0</v>
      </c>
      <c r="JS24" s="5">
        <f>IF($D24="Spring Canola",$H24*SpringCanola!$E$4,0)</f>
        <v>0</v>
      </c>
      <c r="JT24" s="5">
        <f>IF($D24="Spriing Lentils",$H24*SpringLentils!$E$4,0)</f>
        <v>0</v>
      </c>
      <c r="JU24" s="5">
        <f>IF($D24="SW Spring Wheat",$H24*SWSpringWheat!$E$4,0)</f>
        <v>0</v>
      </c>
      <c r="JV24" s="5">
        <f>IF($D24="HR Winter Wheat",$H24*HRWinterWheat!$E$4,0)</f>
        <v>0</v>
      </c>
      <c r="JW24" s="5">
        <f>IF($D24="Winter Pea",$H24*WinterPea!$E$4,0)</f>
        <v>0</v>
      </c>
      <c r="JX24" s="5">
        <f>IF($D24="Winter Canola",$H24*+WinterCanola!$E$4,0)</f>
        <v>0</v>
      </c>
      <c r="JY24" s="5">
        <f>IF($D24="Forage Crop-Soil Builder Blend",$H24*ForageCrop!$E$4,0)</f>
        <v>0</v>
      </c>
      <c r="JZ24" s="15"/>
      <c r="KA24" s="15"/>
      <c r="KB24" s="15"/>
      <c r="KC24" s="15"/>
      <c r="KD24" s="15"/>
      <c r="KE24" s="15"/>
      <c r="KF24" s="15"/>
      <c r="KG24" s="15"/>
      <c r="KH24" s="15"/>
      <c r="KI24" s="15"/>
      <c r="KJ24" s="15"/>
      <c r="KK24" s="15"/>
    </row>
    <row r="25" spans="1:297" ht="20" customHeight="1">
      <c r="A25" s="8"/>
      <c r="B25" s="731"/>
      <c r="C25" s="658">
        <v>3</v>
      </c>
      <c r="D25" s="659" t="s">
        <v>384</v>
      </c>
      <c r="E25" s="653">
        <v>0.3</v>
      </c>
      <c r="F25" s="654">
        <f>IF(D25="Livestock Grazing",0,E25)</f>
        <v>0</v>
      </c>
      <c r="G25" s="655">
        <f>IF(D25="Livestock Grazing",0,$I$2*E25)</f>
        <v>0</v>
      </c>
      <c r="H25" s="656">
        <f>$I$2*E25</f>
        <v>750</v>
      </c>
      <c r="I25" s="657">
        <f>SUM(AT25:BQ25)</f>
        <v>87.539474599038471</v>
      </c>
      <c r="J25" s="228"/>
      <c r="K25" s="228"/>
      <c r="L25" s="228"/>
      <c r="M25" s="228"/>
      <c r="N25" s="16"/>
      <c r="O25" s="236"/>
      <c r="P25" s="231"/>
      <c r="Q25" s="232"/>
      <c r="R25" s="228"/>
      <c r="S25" s="228"/>
      <c r="T25" s="228"/>
      <c r="V25" s="5">
        <f>IF($D25="SW Winter Wheat after Spring Legume",$H25,0)</f>
        <v>0</v>
      </c>
      <c r="W25" s="5">
        <f>IF($D25="SW Winter Wheat after Forage Crop",$H25,0)</f>
        <v>0</v>
      </c>
      <c r="X25" s="5">
        <f>IF($D25="DN Spring Wheat after Spring Legume",$H25,0)</f>
        <v>0</v>
      </c>
      <c r="Y25" s="5">
        <f>IF($D25="DN Spring Wheat after Forage Crop",$H25,0)</f>
        <v>0</v>
      </c>
      <c r="Z25" s="5">
        <f>IF($D25="DN Spring Wheat after Winter Crop",$H25,0)</f>
        <v>0</v>
      </c>
      <c r="AA25" s="5">
        <f>IF($D25="Chickpea after Forage Crop",$H25,0)</f>
        <v>0</v>
      </c>
      <c r="AB25" s="5">
        <f>IF($D25="Chickpea after Cereal",$H25,0)</f>
        <v>0</v>
      </c>
      <c r="AC25" s="5">
        <f>IF($D25="Spring Pea after Cereal",$H25,0)</f>
        <v>0</v>
      </c>
      <c r="AD25" s="5">
        <f>IF($D25="Forage Crop-St. John Area",$H25,0)</f>
        <v>0</v>
      </c>
      <c r="AE25" s="5">
        <f>IF($D25="Forage Crop-Genesee Area",$H25,0)</f>
        <v>0</v>
      </c>
      <c r="AF25" s="5">
        <f>IF($D25="Livestock Grazing",$H25,0)</f>
        <v>750</v>
      </c>
      <c r="AG25" s="5">
        <f>IF($D25="SW Winter Wheat after Cereal",$H25,0)</f>
        <v>0</v>
      </c>
      <c r="AH25" s="5">
        <f>IF($D25="SW Winter Wheat after Fallow",$H25,0)</f>
        <v>0</v>
      </c>
      <c r="AI25" s="5">
        <f>IF($D25="Chem-Fallow",$H25,0)</f>
        <v>0</v>
      </c>
      <c r="AJ25" s="5">
        <f>IF($D25="Flex-Fallow",$H25,0)</f>
        <v>0</v>
      </c>
      <c r="AK25" s="5">
        <f>IF($D25="Spring Barley",$H25,0)</f>
        <v>0</v>
      </c>
      <c r="AL25" s="5">
        <f>IF($D25="Roundup Ready Spring Canola",$H25,0)</f>
        <v>0</v>
      </c>
      <c r="AM25" s="5">
        <f>IF($D25="Spring Canola",$H25,0)</f>
        <v>0</v>
      </c>
      <c r="AN25" s="5">
        <f>IF($D25="Spring Lentils",$H25,0)</f>
        <v>0</v>
      </c>
      <c r="AO25" s="5">
        <f>IF($D25="SW Spring Wheat",$H25,0)</f>
        <v>0</v>
      </c>
      <c r="AP25" s="5">
        <f>IF($D25="HR Winter Wheat",$H25,0)</f>
        <v>0</v>
      </c>
      <c r="AQ25" s="5">
        <f>IF($D25="Winter Pea",$H25,0)</f>
        <v>0</v>
      </c>
      <c r="AR25" s="5">
        <f>IF($D25="Winter Canola",$H25,0)</f>
        <v>0</v>
      </c>
      <c r="AS25" s="377">
        <f>IF($D25="Forage Crop-Soil Builder Blend",$H25,0)</f>
        <v>0</v>
      </c>
      <c r="AT25" s="5">
        <f>IF($D25="SW Winter Wheat after Spring Legume",SWWinterWheatAfterSpringLegume!$I$138,0)</f>
        <v>0</v>
      </c>
      <c r="AU25" s="5">
        <f>IF($D25="SW Winter Wheat after Forage Crop",SWWinterWheatAfterForageCrop!$I$138,0)</f>
        <v>0</v>
      </c>
      <c r="AV25" s="5">
        <f>IF($D25="DN Spring Wheat after Spring Legume",DNSpringWinterAfterSpringLegume!$I$138,0)</f>
        <v>0</v>
      </c>
      <c r="AW25" s="5">
        <f>IF($D25="DN Spring Wheat after Forage Crop",DNSpringWheatAfterForageCrop!$I$138,0)</f>
        <v>0</v>
      </c>
      <c r="AX25" s="5">
        <f>IF($D25="DN Spring Wheat after Winter Crop",DNSpringWheatAfterWinterCrop!$I$138,0)</f>
        <v>0</v>
      </c>
      <c r="AY25" s="5">
        <f>IF($D25="Chickpea after Forage Crop",ChickpeaAfterForageCrop!$I$138,0)</f>
        <v>0</v>
      </c>
      <c r="AZ25" s="5">
        <f>IF($D25="Chickpea after Cereal",ChickpeaAfterCereal!$I$138,0)</f>
        <v>0</v>
      </c>
      <c r="BA25" s="5">
        <f>IF($D25="Spring Pea after Cereal",SpringPeaAfterCereal!$I$138,0)</f>
        <v>0</v>
      </c>
      <c r="BB25" s="5">
        <f>IF($D25="Forage Crop-St. John Area",'ForageCrop-StJohn'!$I$138,0)</f>
        <v>0</v>
      </c>
      <c r="BC25" s="5">
        <f>IF($D25="Forage Crop-Genesee Area",'ForageCrop-Genesee'!$I$138,0)</f>
        <v>0</v>
      </c>
      <c r="BD25" s="5">
        <f>IF($D25="Livestock Grazing",LivestockGrazing!$I$138,0)</f>
        <v>87.539474599038471</v>
      </c>
      <c r="BE25" s="5">
        <f>IF($D25="SW Winter Wheat after Cereal",SWWinterWheatafterCereal!$I$138,0)</f>
        <v>0</v>
      </c>
      <c r="BF25" s="5">
        <f>IF($D25="SW Winter Wheat after Fallow",SWWinterWheatAfterFallow!$I$138,0)</f>
        <v>0</v>
      </c>
      <c r="BG25" s="5">
        <f>IF($D25="Chem-Fallow",'Chem-Fallow'!$I$138,0)</f>
        <v>0</v>
      </c>
      <c r="BH25" s="5">
        <f>IF($D25="Flex-Fallow",'Flex-Fallow'!$I$138,0)</f>
        <v>0</v>
      </c>
      <c r="BI25" s="5">
        <f>IF($D25="Spring Barley",SpringBarley!$I$138,0)</f>
        <v>0</v>
      </c>
      <c r="BJ25" s="5">
        <f>IF($D25="Roundup Ready Spring Canola",'SpringCanola_R-Ready'!$I$138,0)</f>
        <v>0</v>
      </c>
      <c r="BK25" s="5">
        <f>IF($D25="Spring Canola",SpringCanola!$I$138,0)</f>
        <v>0</v>
      </c>
      <c r="BL25" s="5">
        <f>IF($D25="Spring Lentils",SpringLentils!$I$138,0)</f>
        <v>0</v>
      </c>
      <c r="BM25" s="5">
        <f>IF($D25="SW Spring Wheat",SWSpringWheat!$I$138,0)</f>
        <v>0</v>
      </c>
      <c r="BN25" s="5">
        <f>IF($D25="HR Winter Wheat",HRWinterWheat!$I$138,0)</f>
        <v>0</v>
      </c>
      <c r="BO25" s="5">
        <f>IF($D25="Winter Pea",WinterPea!$I$138,0)</f>
        <v>0</v>
      </c>
      <c r="BP25" s="5">
        <f>IF($D25="Winter Canola",WinterCanola!$I$138,0)</f>
        <v>0</v>
      </c>
      <c r="BQ25" s="377">
        <f>IF($D25="Forage Crop-Soil Builder Blend",ForageCrop!$I$138,0)</f>
        <v>0</v>
      </c>
      <c r="BR25" s="5">
        <f>IF($D25="SW Winter Wheat after Spring Legume",H25*SWWinterWheatAfterSpringLegume!$I$138,0)</f>
        <v>0</v>
      </c>
      <c r="BS25" s="5">
        <f>IF($D25="SW Winter Wheat after Forage Crop",H25*SWWinterWheatAfterForageCrop!$I$138,0)</f>
        <v>0</v>
      </c>
      <c r="BT25" s="5">
        <f>IF($D25="DN Spring Wheat after Spring Legume",H25*DNSpringWinterAfterSpringLegume!$I$138,0)</f>
        <v>0</v>
      </c>
      <c r="BU25" s="5">
        <f>IF($D25="DN Spring Wheat after Forage Crop",H25*DNSpringWheatAfterForageCrop!$I$138,0)</f>
        <v>0</v>
      </c>
      <c r="BV25" s="5">
        <f>IF($D25="DN Spring Wheat after Winter Crop",H25*DNSpringWheatAfterWinterCrop!$I$138,0)</f>
        <v>0</v>
      </c>
      <c r="BW25" s="5">
        <f>IF($D25="Chickpea after Forage Crop",H25*ChickpeaAfterForageCrop!$I$138,0)</f>
        <v>0</v>
      </c>
      <c r="BX25" s="5">
        <f>IF($D25="Chickpea after Cereal",H25*ChickpeaAfterCereal!$I$138,0)</f>
        <v>0</v>
      </c>
      <c r="BY25" s="5">
        <f>IF($D25="Spring Pea after Cereal",H25*SpringPeaAfterCereal!$I$138,0)</f>
        <v>0</v>
      </c>
      <c r="BZ25" s="5">
        <f>IF($D25="Forage Crop-St. John Area",H25*'ForageCrop-StJohn'!$I$138,0)</f>
        <v>0</v>
      </c>
      <c r="CA25" s="5">
        <f>IF($D25="Forage Crop-Genesee Area",H25*'ForageCrop-Genesee'!$I$138,0)</f>
        <v>0</v>
      </c>
      <c r="CB25" s="5">
        <f>IF($D25="Livestock Grazing",H25*LivestockGrazing!$I$138,0)</f>
        <v>65654.605949278848</v>
      </c>
      <c r="CC25" s="5">
        <f>IF($D25="SW Winter Wheat after Cereal",H25*SWWinterWheatafterCereal!$I$138,0)</f>
        <v>0</v>
      </c>
      <c r="CD25" s="5">
        <f>IF($D25="SW Winter Wheat after Fallow",H25*SWWinterWheatAfterFallow!$I$138,0)</f>
        <v>0</v>
      </c>
      <c r="CE25" s="5">
        <f>IF($D25="Chem-Fallow",H25*'Chem-Fallow'!$I$138,0)</f>
        <v>0</v>
      </c>
      <c r="CF25" s="5">
        <f>IF($D25="Flex-Fallow",H25*'Flex-Fallow'!$I$138,0)</f>
        <v>0</v>
      </c>
      <c r="CG25" s="5">
        <f>IF($D25="Spring Barley",H25*SpringBarley!$I$138,0)</f>
        <v>0</v>
      </c>
      <c r="CH25" s="5">
        <f>IF($D25="Roundup Ready Spring Canola",H25*'SpringCanola_R-Ready'!$I$138,0)</f>
        <v>0</v>
      </c>
      <c r="CI25" s="5">
        <f>IF($D25="Spring Canola",H25*SpringCanola!$I$138,0)</f>
        <v>0</v>
      </c>
      <c r="CJ25" s="5">
        <f>IF($D25="Spring Lentils",H25*SpringLentils!$I$138,0)</f>
        <v>0</v>
      </c>
      <c r="CK25" s="5">
        <f>IF($D25="SW Spring Wheat",H25*SWSpringWheat!$I$138,0)</f>
        <v>0</v>
      </c>
      <c r="CL25" s="5">
        <f>IF($D25="HR Winter Wheat",H25*HRWinterWheat!$I$138,0)</f>
        <v>0</v>
      </c>
      <c r="CM25" s="5">
        <f>IF($D25="Winter Pea",H25*WinterPea!$I$138,0)</f>
        <v>0</v>
      </c>
      <c r="CN25" s="5">
        <f>IF($D25="Winter Canola",H25*WinterCanola!$I$138,0)</f>
        <v>0</v>
      </c>
      <c r="CO25" s="377">
        <f>IF($D25="Forage Crop-Soil Builder Blend",H25*ForageCrop!$I$138,0)</f>
        <v>0</v>
      </c>
      <c r="CP25" s="5">
        <f>IF($D25="SW Winter Wheat after Spring Legume",H25*'Prices_Yields&amp;SeedInputs'!J$5,0)</f>
        <v>0</v>
      </c>
      <c r="CQ25" s="5">
        <f>IF($D25="SW Winter Wheat after Forage Crop",H25*'Prices_Yields&amp;SeedInputs'!J$6,0)</f>
        <v>0</v>
      </c>
      <c r="CR25" s="5">
        <f>IF($D25="DN Spring Wheat after Spring Legume",H25*'Prices_Yields&amp;SeedInputs'!J$7,0)</f>
        <v>0</v>
      </c>
      <c r="CS25" s="5">
        <f>IF($D25="DN Spring Wheat after Forage Crop",H25*'Prices_Yields&amp;SeedInputs'!J$8,0)</f>
        <v>0</v>
      </c>
      <c r="CT25" s="5">
        <f>IF($D25="DN Spring Wheat after Winter Crop",H25*'Prices_Yields&amp;SeedInputs'!J$9,0)</f>
        <v>0</v>
      </c>
      <c r="CU25" s="5">
        <f>IF($D25="Chickpea after Forage Crop",H25*'Prices_Yields&amp;SeedInputs'!J$10,0)</f>
        <v>0</v>
      </c>
      <c r="CV25" s="5">
        <f>IF($D25="Chickpea after Cereal",H25*'Prices_Yields&amp;SeedInputs'!J$11,0)</f>
        <v>0</v>
      </c>
      <c r="CW25" s="5">
        <f>IF($D25="Spring Pea after Cereal",H25*'Prices_Yields&amp;SeedInputs'!J$12,0)</f>
        <v>0</v>
      </c>
      <c r="CX25" s="5">
        <f>IF($D25="Forage Crop-St. John Area",H25*'Prices_Yields&amp;SeedInputs'!J$13,0)</f>
        <v>0</v>
      </c>
      <c r="CY25" s="5">
        <f>IF($D25="Forage Crop-Genesee Area",H25*'Prices_Yields&amp;SeedInputs'!J$14,0)</f>
        <v>0</v>
      </c>
      <c r="CZ25" s="5">
        <f>IF($D25="Livestock Grazing",H25*'Prices_Yields&amp;SeedInputs'!J$15,0)</f>
        <v>0</v>
      </c>
      <c r="DA25" s="5">
        <f>IF($D25="SW Winter Wheat after Cereal",H25*'Prices_Yields&amp;SeedInputs'!J$16,0)</f>
        <v>0</v>
      </c>
      <c r="DB25" s="5">
        <f>IF($D25="SW Winter Wheat after Fallow",H25*'Prices_Yields&amp;SeedInputs'!J$17,0)</f>
        <v>0</v>
      </c>
      <c r="DC25" s="5">
        <f>IF($D25="Chem-Fallow",H25*'Prices_Yields&amp;SeedInputs'!J$18,0)</f>
        <v>0</v>
      </c>
      <c r="DD25" s="5">
        <f>IF($D25="Flex-Fallow",H25*'Prices_Yields&amp;SeedInputs'!J$19,0)</f>
        <v>0</v>
      </c>
      <c r="DE25" s="5">
        <f>IF($D25="Spring Barley",H25*'Prices_Yields&amp;SeedInputs'!J$20,0)</f>
        <v>0</v>
      </c>
      <c r="DF25" s="5">
        <f>IF($D25="Roundup Ready Spring Canola",H25*'Prices_Yields&amp;SeedInputs'!J$21,0)</f>
        <v>0</v>
      </c>
      <c r="DG25" s="5">
        <f>IF($D25="Spring Canola",H25*'Prices_Yields&amp;SeedInputs'!J$22,0)</f>
        <v>0</v>
      </c>
      <c r="DH25" s="5">
        <f>IF($D25="Spring Lentils",H25*'Prices_Yields&amp;SeedInputs'!J$23,0)</f>
        <v>0</v>
      </c>
      <c r="DI25" s="5">
        <f>IF($D25="SW Spring Wheat",H25*'Prices_Yields&amp;SeedInputs'!J$24,0)</f>
        <v>0</v>
      </c>
      <c r="DJ25" s="5">
        <f>IF($D25="HR Winter Wheat",H25*'Prices_Yields&amp;SeedInputs'!J$25,0)</f>
        <v>0</v>
      </c>
      <c r="DK25" s="5">
        <f>IF($D25="Winter Pea",H25*'Prices_Yields&amp;SeedInputs'!J$26,0)</f>
        <v>0</v>
      </c>
      <c r="DL25" s="5">
        <f>IF($D25="Winter Canola",H25*'Prices_Yields&amp;SeedInputs'!J$27,0)</f>
        <v>0</v>
      </c>
      <c r="DM25" s="377">
        <f>IF($D25="Forage Crop-Soil Builder Blend",H25*'Prices_Yields&amp;SeedInputs'!J$28,0)</f>
        <v>0</v>
      </c>
      <c r="DN25" s="5">
        <f>IF($D25="SW Winter Wheat after Spring Legume",$H25*SWWinterWheatAfterSpringLegume!$I$135,0)</f>
        <v>0</v>
      </c>
      <c r="DO25" s="5">
        <f>IF($D25="SW Winter Wheat after Forage Crop",$H25*SWWinterWheatAfterForageCrop!$I$135,0)</f>
        <v>0</v>
      </c>
      <c r="DP25" s="5">
        <f>IF($D25="DN Spring Wheat after Spring Legume",$H25*DNSpringWinterAfterSpringLegume!$I$135,0)</f>
        <v>0</v>
      </c>
      <c r="DQ25" s="5">
        <f>IF($D25="DN Spring Wheat after Forage Crop",$H25*DNSpringWheatAfterForageCrop!$I$135,0)</f>
        <v>0</v>
      </c>
      <c r="DR25" s="5">
        <f>IF($D25="DN Spring Wheat after Winter Crop",$H25*DNSpringWheatAfterWinterCrop!$I$135,0)</f>
        <v>0</v>
      </c>
      <c r="DS25" s="5">
        <f>IF($D25="Chickpea after Forage Crop",$H25*ChickpeaAfterForageCrop!$I$135,0)</f>
        <v>0</v>
      </c>
      <c r="DT25" s="5">
        <f>IF($D25="Chickpea after Cereal",$H25*ChickpeaAfterCereal!$I$135,0)</f>
        <v>0</v>
      </c>
      <c r="DU25" s="5">
        <f>IF($D25="Spring Pea after Cereal",$H25*SpringPeaAfterCereal!$I$135,0)</f>
        <v>0</v>
      </c>
      <c r="DV25" s="5">
        <f>IF($D25="Forage Crop-St. John Area",$H25*'ForageCrop-StJohn'!$I$135,0)</f>
        <v>0</v>
      </c>
      <c r="DW25" s="5">
        <f>IF($D25="Forage Crop-Genesee Area",$H25*'ForageCrop-Genesee'!$I$135,0)</f>
        <v>0</v>
      </c>
      <c r="DX25" s="5">
        <f>IF($D25="Livestock Grazing",$H25*LivestockGrazing!$I$135,0)</f>
        <v>0</v>
      </c>
      <c r="DY25" s="5">
        <f>IF($D25="SW Winter Wheat after Cereal",$H25*SWWinterWheatafterCereal!$I$135,0)</f>
        <v>0</v>
      </c>
      <c r="DZ25" s="5">
        <f>IF($D25="SW Winter Wheat after Fallow",$H25*SWWinterWheatAfterFallow!$I$135,0)</f>
        <v>0</v>
      </c>
      <c r="EA25" s="5">
        <f>IF($D25="Chem-Fallow",$H25*'Chem-Fallow'!$I$135,0)</f>
        <v>0</v>
      </c>
      <c r="EB25" s="5">
        <f>IF($D25="Flex-Fallow",$H25*'Flex-Fallow'!$I$135,0)</f>
        <v>0</v>
      </c>
      <c r="EC25" s="5">
        <f>IF($D25="Spring Barley",$H25*SpringBarley!$I$135,0)</f>
        <v>0</v>
      </c>
      <c r="ED25" s="5">
        <f>IF($D25="Roundup Ready Spring Canola",$H25*'SpringCanola_R-Ready'!$I$135,0)</f>
        <v>0</v>
      </c>
      <c r="EE25" s="5">
        <f>IF($D25="Spring Canola",$H25*SpringCanola!$I$135,0)</f>
        <v>0</v>
      </c>
      <c r="EF25" s="5">
        <f>IF($D25="Spring Lentils",$H25*SpringLentils!$I$135,0)</f>
        <v>0</v>
      </c>
      <c r="EG25" s="5">
        <f>IF($D25="SW Spring Wheat",$H25*SWSpringWheat!$I$135,0)</f>
        <v>0</v>
      </c>
      <c r="EH25" s="5">
        <f>IF($D25="HR Winter Wheat",$H25*HRWinterWheat!$I$135,0)</f>
        <v>0</v>
      </c>
      <c r="EI25" s="5">
        <f>IF($D25="Winter Pea",$H25*WinterPea!$I$135,0)</f>
        <v>0</v>
      </c>
      <c r="EJ25" s="5">
        <f>IF($D25="Winter Canola",$H25*WinterCanola!$I$135,0)</f>
        <v>0</v>
      </c>
      <c r="EK25" s="377">
        <f>IF($D25="Forage Crop-Soil Builder Blend",$H25*ForageCrop!$I$135,0)</f>
        <v>0</v>
      </c>
      <c r="EL25" s="5">
        <f>IF($D25="SW Winter Wheat after Spring Legume",$H25*SWWinterWheatAfterSpringLegume!$J$116,0)</f>
        <v>0</v>
      </c>
      <c r="EM25" s="5">
        <f>IF($D25="SW Winter Wheat after Forage Crop",$H25*SWWinterWheatAfterForageCrop!$J$116,0)</f>
        <v>0</v>
      </c>
      <c r="EN25" s="5">
        <f>IF($D25="DN Spring Wheat after Spring Legume",$H25*DNSpringWinterAfterSpringLegume!$J$116,0)</f>
        <v>0</v>
      </c>
      <c r="EO25" s="5">
        <f>IF($D25="DN Spring Wheat after Forage Crop",$H25*DNSpringWheatAfterForageCrop!$J$116,0)</f>
        <v>0</v>
      </c>
      <c r="EP25" s="5">
        <f>IF($D25="DN Spring Wheat after Winter Crop",$H25*DNSpringWheatAfterWinterCrop!$J$116,0)</f>
        <v>0</v>
      </c>
      <c r="EQ25" s="5">
        <f>IF($D25="Chickpea after Forage Crop",$H25*ChickpeaAfterForageCrop!$J$116,0)</f>
        <v>0</v>
      </c>
      <c r="ER25" s="5">
        <f>IF($D25="Chickpea after Cereal",$H25*ChickpeaAfterCereal!$J$116,0)</f>
        <v>0</v>
      </c>
      <c r="ES25" s="5">
        <f>IF($D25="Spring Pea after Cereal",$H25*SpringPeaAfterCereal!$J$116,0)</f>
        <v>0</v>
      </c>
      <c r="ET25" s="5">
        <f>IF($D25="Forage Crop-St. John Area",$H25*'ForageCrop-StJohn'!$J$116,0)</f>
        <v>0</v>
      </c>
      <c r="EU25" s="5">
        <f>IF($D25="Forage Crop-Genesee Area",$H25*'ForageCrop-Genesee'!$J$116,0)</f>
        <v>0</v>
      </c>
      <c r="EV25" s="5">
        <f>IF($D25="Livestock Grazing",$H25*LivestockGrazing!$J$116,0)</f>
        <v>0</v>
      </c>
      <c r="EW25" s="5">
        <f>IF($D25="SW Winter Wheat after Cereal",$H25*SWWinterWheatafterCereal!$J$116,0)</f>
        <v>0</v>
      </c>
      <c r="EX25" s="5">
        <f>IF($D25="SW Winter Wheat after Fallow",$H25*SWWinterWheatAfterFallow!$J$116,0)</f>
        <v>0</v>
      </c>
      <c r="EY25" s="5">
        <f>IF($D25="Chem-Fallow",$H25*'Chem-Fallow'!$J$116,0)</f>
        <v>0</v>
      </c>
      <c r="EZ25" s="5">
        <f>IF($D25="Flex-Fallow",$H25*'Flex-Fallow'!$J$116,0)</f>
        <v>0</v>
      </c>
      <c r="FA25" s="5">
        <f>IF($D25="Spring Barley",$H25*SpringBarley!$J$116,0)</f>
        <v>0</v>
      </c>
      <c r="FB25" s="5">
        <f>IF($D25="Roundup Ready Spring Canola",$H25*'SpringCanola_R-Ready'!$J$116,0)</f>
        <v>0</v>
      </c>
      <c r="FC25" s="5">
        <f>IF($D25="Spring Canola",$H25*SpringCanola!$J$116,0)</f>
        <v>0</v>
      </c>
      <c r="FD25" s="5">
        <f>IF($D25="Spring Lentils",$H25*SpringLentils!$J$116,0)</f>
        <v>0</v>
      </c>
      <c r="FE25" s="5">
        <f>IF($D25="SW Spring Wheat",$H25*SWSpringWheat!$J$116,0)</f>
        <v>0</v>
      </c>
      <c r="FF25" s="5">
        <f>IF($D25="HR Winter Wheat",$H25*HRWinterWheat!$J$116,0)</f>
        <v>0</v>
      </c>
      <c r="FG25" s="5">
        <f>IF($D25="Winter Pea",$H25*WinterPea!$J$116,0)</f>
        <v>0</v>
      </c>
      <c r="FH25" s="5">
        <f>IF($D25="Winter Canola",$H25*WinterCanola!$J$116,0)</f>
        <v>0</v>
      </c>
      <c r="FI25" s="377">
        <f>IF($D25="Forage Crop-Soil Builder Blend",$H25*ForageCrop!$J$116,0)</f>
        <v>0</v>
      </c>
      <c r="FJ25" s="5">
        <f>IF($D25="SW Winter Wheat after Spring Legume",$H25*SWWinterWheatAfterSpringLegume!$J$117,0)</f>
        <v>0</v>
      </c>
      <c r="FK25" s="5">
        <f>IF($D25="SW Winter Wheat after Forage Crop",$H25*SWWinterWheatAfterForageCrop!$J$117,0)</f>
        <v>0</v>
      </c>
      <c r="FL25" s="5">
        <f>IF($D25="DN Spring Wheat after Spring Legume",$H25*DNSpringWinterAfterSpringLegume!$J$117,0)</f>
        <v>0</v>
      </c>
      <c r="FM25" s="5">
        <f>IF($D25="DN Spring Wheat after Forage Crop",$H25*DNSpringWheatAfterForageCrop!$J$117,0)</f>
        <v>0</v>
      </c>
      <c r="FN25" s="5">
        <f>IF($D25="DN Spring Wheat after Winter Crop",$H25*DNSpringWheatAfterWinterCrop!$J$117,0)</f>
        <v>0</v>
      </c>
      <c r="FO25" s="5">
        <f>IF($D25="Chickpea after Forage Crop",$H25*ChickpeaAfterForageCrop!$J$117,0)</f>
        <v>0</v>
      </c>
      <c r="FP25" s="5">
        <f>IF($D25="Chickpea after Cereal",$H25*ChickpeaAfterCereal!$J$117,0)</f>
        <v>0</v>
      </c>
      <c r="FQ25" s="5">
        <f>IF($D25="Spring Pea after Cereal",$H25*SpringPeaAfterCereal!$J$117,0)</f>
        <v>0</v>
      </c>
      <c r="FR25" s="5">
        <f>IF($D25="Forage Crop-St. John Area",$H25*'ForageCrop-StJohn'!$J$117,0)</f>
        <v>0</v>
      </c>
      <c r="FS25" s="5">
        <f>IF($D25="Forage Crop-Genesee Area",$H25*'ForageCrop-Genesee'!$J$117,0)</f>
        <v>0</v>
      </c>
      <c r="FT25" s="5">
        <f>IF($D25="Livestock Grazing",$H25*LivestockGrazing!$J$117,0)</f>
        <v>0</v>
      </c>
      <c r="FU25" s="5">
        <f>IF($D25="SW Winter Wheat after Cereal",$H25*SWWinterWheatafterCereal!$J$117,0)</f>
        <v>0</v>
      </c>
      <c r="FV25" s="5">
        <f>IF($D25="SW Winter Wheat after Fallow",$H25*SWWinterWheatAfterFallow!$J$117,0)</f>
        <v>0</v>
      </c>
      <c r="FW25" s="5">
        <f>IF($D25="Chem-Fallow",$H25*'Chem-Fallow'!$J$117,0)</f>
        <v>0</v>
      </c>
      <c r="FX25" s="5">
        <f>IF($D25="Flex-Fallow",$H25*'Flex-Fallow'!$J$117,0)</f>
        <v>0</v>
      </c>
      <c r="FY25" s="5">
        <f>IF($D25="Spring Barley",$H25*SpringBarley!$J$117,0)</f>
        <v>0</v>
      </c>
      <c r="FZ25" s="5">
        <f>IF($D25="Roundup Ready Spring Canola",$H25*'SpringCanola_R-Ready'!$J$117,0)</f>
        <v>0</v>
      </c>
      <c r="GA25" s="5">
        <f>IF($D25="Spring Canola",$H25*SpringCanola!$J$117,0)</f>
        <v>0</v>
      </c>
      <c r="GB25" s="5">
        <f>IF($D25="Spring Lentils",$H25*SpringLentils!$J$117,0)</f>
        <v>0</v>
      </c>
      <c r="GC25" s="5">
        <f>IF($D25="SW Spring Wheat",$H25*SWSpringWheat!$J$117,0)</f>
        <v>0</v>
      </c>
      <c r="GD25" s="5">
        <f>IF($D25="HR Winter Wheat",$H25*HRWinterWheat!$J$117,0)</f>
        <v>0</v>
      </c>
      <c r="GE25" s="5">
        <f>IF($D25="Winter Pea",$H25*WinterPea!$J$117,0)</f>
        <v>0</v>
      </c>
      <c r="GF25" s="5">
        <f>IF($D25="Winter Canola",$H25*WinterCanola!$J$117,0)</f>
        <v>0</v>
      </c>
      <c r="GG25" s="377">
        <f>IF($D25="Forage Crop-Soil Builder Blend",$H25*ForageCrop!$J$117,0)</f>
        <v>0</v>
      </c>
      <c r="GH25" s="5">
        <f>IF($D25="SW Winter Wheat after Spring Legume",$H25*SWWinterWheatAfterSpringLegume!$M$118,0)</f>
        <v>0</v>
      </c>
      <c r="GI25" s="5">
        <f>IF($D25="SW Winter Wheat after Forage Crop",$H25*SWWinterWheatAfterForageCrop!$M$118,0)</f>
        <v>0</v>
      </c>
      <c r="GJ25" s="5">
        <f>IF($D25="DN Spring Wheat after Spring Legume",$H25*DNSpringWinterAfterSpringLegume!$M$118,0)</f>
        <v>0</v>
      </c>
      <c r="GK25" s="5">
        <f>IF($D25="DN Spring Wheat after Forage Crop",$H25*DNSpringWheatAfterForageCrop!$M$118,0)</f>
        <v>0</v>
      </c>
      <c r="GL25" s="5">
        <f>IF($D25="DN Spring Wheat after Winter Crop",$H25*DNSpringWheatAfterWinterCrop!$M$118,0)</f>
        <v>0</v>
      </c>
      <c r="GM25" s="5">
        <f>IF($D25="Chickpea after Forage Crop",$H25*ChickpeaAfterForageCrop!$M$118,0)</f>
        <v>0</v>
      </c>
      <c r="GN25" s="5">
        <f>IF($D25="Chickpea after Cereal",$H25*ChickpeaAfterCereal!$M$118,0)</f>
        <v>0</v>
      </c>
      <c r="GO25" s="5">
        <f>IF($D25="Spring Pea after Cereal",$H25*SpringPeaAfterCereal!$M$118,0)</f>
        <v>0</v>
      </c>
      <c r="GP25" s="5">
        <f>IF($D25="Forage Crop-St. John Area",$H25*'ForageCrop-StJohn'!$M$118,0)</f>
        <v>0</v>
      </c>
      <c r="GQ25" s="5">
        <f>IF($D25="Forage Crop-Genesee Area",$H25*'ForageCrop-Genesee'!$M$118,0)</f>
        <v>0</v>
      </c>
      <c r="GR25" s="5">
        <f>IF($D25="Livestock Grazing",$H25*LivestockGrazing!$M$118,0)</f>
        <v>0</v>
      </c>
      <c r="GS25" s="5">
        <f>IF($D25="SW Winter Wheat after Cereal",$H25*SWWinterWheatafterCereal!$M$118,0)</f>
        <v>0</v>
      </c>
      <c r="GT25" s="5">
        <f>IF($D25="SW Winter Wheat after Fallow",$H25*SWWinterWheatAfterFallow!$M$118,0)</f>
        <v>0</v>
      </c>
      <c r="GU25" s="5">
        <f>IF($D25="Chem-Fallow",$H25*'Chem-Fallow'!$M$118,0)</f>
        <v>0</v>
      </c>
      <c r="GV25" s="5">
        <f>IF($D25="Flex-Fallow",$H25*'Flex-Fallow'!$M$118,0)</f>
        <v>0</v>
      </c>
      <c r="GW25" s="5">
        <f>IF($D25="Spring Barley",$H25*SpringBarley!$M$118,0)</f>
        <v>0</v>
      </c>
      <c r="GX25" s="5">
        <f>IF($D25="Roundup Ready Spring Canola",$H25*'SpringCanola_R-Ready'!$M$118,0)</f>
        <v>0</v>
      </c>
      <c r="GY25" s="5">
        <f>IF($D25="Spring Canola",$H25*SpringCanola!$M$118,0)</f>
        <v>0</v>
      </c>
      <c r="GZ25" s="5">
        <f>IF($D25="Spring Lentils",$H25*SpringLentils!$M$118,0)</f>
        <v>0</v>
      </c>
      <c r="HA25" s="5">
        <f>IF($D25="SW Spring Wheat",$H25*SWSpringWheat!$M$118,0)</f>
        <v>0</v>
      </c>
      <c r="HB25" s="5">
        <f>IF($D25="HR Winter Wheat",$H25*HRWinterWheat!$M$118,0)</f>
        <v>0</v>
      </c>
      <c r="HC25" s="5">
        <f>IF($D25="Winter Pea",$H25*WinterPea!$M$118,0)</f>
        <v>0</v>
      </c>
      <c r="HD25" s="5">
        <f>IF($D25="Winter Canola",$H25*WinterCanola!$M$118,0)</f>
        <v>0</v>
      </c>
      <c r="HE25" s="377">
        <f>IF($D25="Forage Crop-Soil Builder Blend",$H25*ForageCrop!$M$118,0)</f>
        <v>0</v>
      </c>
      <c r="HF25" s="5">
        <f>IF($D25="SW Winter Wheat after Spring Legume",($H25*(SUM(SWWinterWheatAfterSpringLegume!$E$9:$E$16)+SWWinterWheatAfterSpringLegume!$G$16))/2000,0)</f>
        <v>0</v>
      </c>
      <c r="HG25" s="5">
        <f>IF($D25="SW Winter Wheat after Forage Crop",($H25*(SUM(SWWinterWheatAfterForageCrop!$E$9:$E$16)+SWWinterWheatAfterForageCrop!$G$17))/2000,0)</f>
        <v>0</v>
      </c>
      <c r="HH25" s="5">
        <f>IF($D25="DN Spring Wheat after Spring Legume",($H25*(SUM(DNSpringWinterAfterSpringLegume!$E$9:$E$16)+DNSpringWinterAfterSpringLegume!$G$16))/2000,0)</f>
        <v>0</v>
      </c>
      <c r="HI25" s="5">
        <f>IF($D25="DN Spring Wheat after Forage Crop",($H25*(SUM(DNSpringWheatAfterForageCrop!$E$9:$E$16)+DNSpringWheatAfterForageCrop!$G$14))/2000,0)</f>
        <v>0</v>
      </c>
      <c r="HJ25" s="5">
        <f>IF($D25="DN Spring Wheat after Winter Crop",($H25*(SUM(DNSpringWheatAfterWinterCrop!$E$9:$E$16)+DNSpringWheatAfterWinterCrop!$G$16))/2000,0)</f>
        <v>0</v>
      </c>
      <c r="HK25" s="5">
        <f>IF($D25="Chickpea after Forage Crop",($H25*(SUM(ChickpeaAfterForageCrop!$E$9:$E$16)+ChickpeaAfterForageCrop!$G$14))/2000,0)</f>
        <v>0</v>
      </c>
      <c r="HL25" s="5">
        <f>IF($D25="Chickpea after Cereal",($H25*(SUM(ChickpeaAfterCereal!$E$9:$E$16)+ChickpeaAfterCereal!$G$14))/2000,0)</f>
        <v>0</v>
      </c>
      <c r="HM25" s="5">
        <f>IF($D25="Spring Pea after Cereal",($H25*(SUM(SpringPeaAfterCereal!$E$9:$E$16)+SpringPeaAfterCereal!$G$14))/2000,0)</f>
        <v>0</v>
      </c>
      <c r="HN25" s="5">
        <f>IF($D25="Forage Crop-St. John Area",($H25*(SUM('ForageCrop-StJohn'!$E$9:$E$16)+'ForageCrop-StJohn'!$G$14))/2000,0)</f>
        <v>0</v>
      </c>
      <c r="HO25" s="5">
        <f>IF($D25="Forage Crop-Genesee Area",($H25*(SUM('ForageCrop-Genesee'!$E$9:$E$16)+'ForageCrop-Genesee'!$G$14))/2000,0)</f>
        <v>0</v>
      </c>
      <c r="HP25" s="5">
        <f>IF($D25="Livestock Grazing",($H25*(SUM(LivestockGrazing!$E$9:$E$16)+LivestockGrazing!$G$14))/2000,0)</f>
        <v>0</v>
      </c>
      <c r="HQ25" s="5">
        <f>IF($D25="SW Winter Wheat after Cereal",($H25*(SUM(SWWinterWheatafterCereal!$E$9:$E$16)+SWWinterWheatafterCereal!$G$16))/2000,0)</f>
        <v>0</v>
      </c>
      <c r="HR25" s="5">
        <f>IF($D25="SW Winter Wheat after Fallow",($H25*(SUM(SWWinterWheatAfterFallow!$E$9:$E$16)+SWWinterWheatAfterFallow!$G$14))/2000,0)</f>
        <v>0</v>
      </c>
      <c r="HS25" s="5">
        <f>IF($D25="Chem-Fallow",($H25*(SUM('Chem-Fallow'!$E$9:$E$16)+'Chem-Fallow'!$G$16))/2000,0)</f>
        <v>0</v>
      </c>
      <c r="HT25" s="5">
        <f>IF($D25="Flex-Fallow",($H25*(SUM('Flex-Fallow'!$E$9:$E$16)+'Flex-Fallow'!$G$16))/2000,0)</f>
        <v>0</v>
      </c>
      <c r="HU25" s="5">
        <f>IF($D25="Spring Barley",($H25*(SUM(SpringBarley!$E$9:$E$16)+SpringBarley!$G$16))/2000,0)</f>
        <v>0</v>
      </c>
      <c r="HV25" s="5">
        <f>IF($D25="Roundup Ready Spring Canola",($H25*(SUM('SpringCanola_R-Ready'!$E$9:$E$16)+'SpringCanola_R-Ready'!$G$14))/2000,0)</f>
        <v>0</v>
      </c>
      <c r="HW25" s="5">
        <f>IF($D25="Spring Canola",($H25*(SUM(SpringCanola!$E$9:$E$16)+SpringCanola!$G$14))/2000,0)</f>
        <v>0</v>
      </c>
      <c r="HX25" s="5">
        <f>IF($D25="Spriing Lentils",($H25*(SUM(SpringLentils!$E$9:$E$16)+SpringLentils!$G$14))/2000,0)</f>
        <v>0</v>
      </c>
      <c r="HY25" s="5">
        <f>IF($D25="SW Spring Wheat",($H25*(SUM(SWSpringWheat!$E$9:$E$16)+SWSpringWheat!$G$18))/2000,0)</f>
        <v>0</v>
      </c>
      <c r="HZ25" s="5">
        <f>IF($D25="HR Winter Wheat",($H25*(SUM(HRWinterWheat!$E$9:$E$16)+HRWinterWheat!$G$16))/2000,0)</f>
        <v>0</v>
      </c>
      <c r="IA25" s="5">
        <f>IF($D25="Winter Pea",($H25*(SUM(WinterPea!$E$9:$E$16)+WinterPea!$G$14))/2000,0)</f>
        <v>0</v>
      </c>
      <c r="IB25" s="5">
        <f>IF($D25="Winter Canola",($H25*(SUM(WinterCanola!$E$9:$E$16)+WinterCanola!$G$14))/2000,0)</f>
        <v>0</v>
      </c>
      <c r="IC25" s="377">
        <f>IF($D25="Forage Crop-Soil Builder Blend",($H25*(SUM(ForageCrop!$E$9:$E$16)+ForageCrop!$G$14))/2000,0)</f>
        <v>0</v>
      </c>
      <c r="ID25" s="5">
        <f>IF($D25="SW Winter Wheat after Spring Legume",$H25*SWWinterWheatAfterSpringLegume!$G$62,0)</f>
        <v>0</v>
      </c>
      <c r="IE25" s="5">
        <f>IF($D25="SW Winter Wheat after Forage Crop",$H25*SWWinterWheatAfterForageCrop!$G$62,0)</f>
        <v>0</v>
      </c>
      <c r="IF25" s="5">
        <f>IF($D25="DN Spring Wheat after Spring Legume",$H25*DNSpringWinterAfterSpringLegume!$G$62,0)</f>
        <v>0</v>
      </c>
      <c r="IG25" s="5">
        <f>IF($D25="DN Spring Wheat after Forage Crop",$H25*DNSpringWheatAfterForageCrop!$G$62,0)</f>
        <v>0</v>
      </c>
      <c r="IH25" s="5">
        <f>IF($D25="DN Spring Wheat after Winter Crop",$H25*DNSpringWheatAfterWinterCrop!$G$62,0)</f>
        <v>0</v>
      </c>
      <c r="II25" s="5">
        <f>IF($D25="Chickpea after Forage Crop",$H25*ChickpeaAfterForageCrop!$G$62,0)</f>
        <v>0</v>
      </c>
      <c r="IJ25" s="5">
        <f>IF($D25="Chickpea after Cereal",$H25*ChickpeaAfterCereal!$G$62,0)</f>
        <v>0</v>
      </c>
      <c r="IK25" s="5">
        <f>IF($D25="Spring Pea after Cereal",$H25*SpringPeaAfterCereal!$G$62,0)</f>
        <v>0</v>
      </c>
      <c r="IL25" s="5">
        <f>IF($D25="Forage Crop-St. John Area",$H25*'ForageCrop-StJohn'!$G$62,0)</f>
        <v>0</v>
      </c>
      <c r="IM25" s="5">
        <f>IF($D25="Forage Crop-Genesee Area",$H25*'ForageCrop-Genesee'!$G$62,0)</f>
        <v>0</v>
      </c>
      <c r="IN25" s="5">
        <f>IF($D25="Livestock Grazing",$H25*LivestockGrazing!$G$62,0)</f>
        <v>0</v>
      </c>
      <c r="IO25" s="5">
        <f>IF($D25="SW Winter Wheat after Cereal",$H25*SWWinterWheatafterCereal!$G$62,0)</f>
        <v>0</v>
      </c>
      <c r="IP25" s="5">
        <f>IF($D25="SW Winter Wheat after Fallow",$H25*SWWinterWheatAfterFallow!$G$62,0)</f>
        <v>0</v>
      </c>
      <c r="IQ25" s="5">
        <f>IF($D25="Chem-Fallow",$H25*'Chem-Fallow'!$G$62,0)</f>
        <v>0</v>
      </c>
      <c r="IR25" s="5">
        <f>IF($D25="Flex-Fallow",$H25*'Flex-Fallow'!$G$62,0)</f>
        <v>0</v>
      </c>
      <c r="IS25" s="5">
        <f>IF($D25="Spring Barley",$H25*SpringBarley!$G$62,0)</f>
        <v>0</v>
      </c>
      <c r="IT25" s="5">
        <f>IF($D25="Roundup Ready Spring Canola",$H25*'SpringCanola_R-Ready'!$G$62,0)</f>
        <v>0</v>
      </c>
      <c r="IU25" s="5">
        <f>IF($D25="Spring Canola",$H25*SpringCanola!$G$62,0)</f>
        <v>0</v>
      </c>
      <c r="IV25" s="5">
        <f>IF($D25="Spriing Lentils",$H25*SpringLentils!$G$62,0)</f>
        <v>0</v>
      </c>
      <c r="IW25" s="5">
        <f>IF($D25="SW Spring Wheat",$H25*SWSpringWheat!$G$62,0)</f>
        <v>0</v>
      </c>
      <c r="IX25" s="5">
        <f>IF($D25="HR Winter Wheat",$H25*HRWinterWheat!$G$62,0)</f>
        <v>0</v>
      </c>
      <c r="IY25" s="5">
        <f>IF($D25="Winter Pea",$H25*WinterPea!$G$62,0)</f>
        <v>0</v>
      </c>
      <c r="IZ25" s="5">
        <f>IF($D25="Winter Canola",$H25*+WinterCanola!$G$62,0)</f>
        <v>0</v>
      </c>
      <c r="JA25" s="5">
        <f>IF($D25="Forage Crop-Soil Builder Blend",$H25*ForageCrop!$G$62,0)</f>
        <v>0</v>
      </c>
      <c r="JB25" s="5">
        <f>IF($D25="SW Winter Wheat after Spring Legume",$H25*SWWinterWheatAfterSpringLegume!$E$4,0)</f>
        <v>0</v>
      </c>
      <c r="JC25" s="5">
        <f>IF($D25="SW Winter Wheat after Forage Crop",$H25*SWWinterWheatAfterForageCrop!$E$4,0)</f>
        <v>0</v>
      </c>
      <c r="JD25" s="5">
        <f>IF($D25="DN Spring Wheat after Spring Legume",$H25*DNSpringWinterAfterSpringLegume!$E$4,0)</f>
        <v>0</v>
      </c>
      <c r="JE25" s="5">
        <f>IF($D25="DN Spring Wheat after Forage Crop",$H25*DNSpringWheatAfterForageCrop!$E$4,0)</f>
        <v>0</v>
      </c>
      <c r="JF25" s="5">
        <f>IF($D25="DN Spring Wheat after Winter Crop",$H25*DNSpringWheatAfterWinterCrop!$E$4,0)</f>
        <v>0</v>
      </c>
      <c r="JG25" s="5">
        <f>IF($D25="Chickpea after Forage Crop",$H25*ChickpeaAfterForageCrop!$E$4,0)</f>
        <v>0</v>
      </c>
      <c r="JH25" s="5">
        <f>IF($D25="Chickpea after Cereal",$H25*ChickpeaAfterCereal!$E$4,0)</f>
        <v>0</v>
      </c>
      <c r="JI25" s="5">
        <f>IF($D25="Spring Pea after Cereal",$H25*SpringPeaAfterCereal!$E$4,0)</f>
        <v>0</v>
      </c>
      <c r="JJ25" s="5">
        <f>IF($D25="Forage Crop-St. John Area",$H25*'ForageCrop-StJohn'!$E$4,0)</f>
        <v>0</v>
      </c>
      <c r="JK25" s="5">
        <f>IF($D25="Forage Crop-Genesee Area",$H25*'ForageCrop-Genesee'!$E$4,0)</f>
        <v>0</v>
      </c>
      <c r="JL25" s="5">
        <f>IF($D25="Livestock Grazing",$H25*LivestockGrazing!$E$4,0)</f>
        <v>750</v>
      </c>
      <c r="JM25" s="5">
        <f>IF($D25="SW Winter Wheat after Cereal",$H25*SWWinterWheatafterCereal!$E$4,0)</f>
        <v>0</v>
      </c>
      <c r="JN25" s="5">
        <f>IF($D25="SW Winter Wheat after Fallow",$H25*SWWinterWheatAfterFallow!$E$4,0)</f>
        <v>0</v>
      </c>
      <c r="JO25" s="5">
        <f>IF($D25="Chem-Fallow",$H25*'Chem-Fallow'!$E$4,0)</f>
        <v>0</v>
      </c>
      <c r="JP25" s="5">
        <f>IF($D25="Flex-Fallow",$H25*'Flex-Fallow'!$E$4,0)</f>
        <v>0</v>
      </c>
      <c r="JQ25" s="5">
        <f>IF($D25="Spring Barley",$H25*SpringBarley!$E$4,0)</f>
        <v>0</v>
      </c>
      <c r="JR25" s="5">
        <f>IF($D25="Roundup Ready Spring Canola",$H25*'SpringCanola_R-Ready'!$E$4,0)</f>
        <v>0</v>
      </c>
      <c r="JS25" s="5">
        <f>IF($D25="Spring Canola",$H25*SpringCanola!$E$4,0)</f>
        <v>0</v>
      </c>
      <c r="JT25" s="5">
        <f>IF($D25="Spriing Lentils",$H25*SpringLentils!$E$4,0)</f>
        <v>0</v>
      </c>
      <c r="JU25" s="5">
        <f>IF($D25="SW Spring Wheat",$H25*SWSpringWheat!$E$4,0)</f>
        <v>0</v>
      </c>
      <c r="JV25" s="5">
        <f>IF($D25="HR Winter Wheat",$H25*HRWinterWheat!$E$4,0)</f>
        <v>0</v>
      </c>
      <c r="JW25" s="5">
        <f>IF($D25="Winter Pea",$H25*WinterPea!$E$4,0)</f>
        <v>0</v>
      </c>
      <c r="JX25" s="5">
        <f>IF($D25="Winter Canola",$H25*+WinterCanola!$E$4,0)</f>
        <v>0</v>
      </c>
      <c r="JY25" s="5">
        <f>IF($D25="Forage Crop-Soil Builder Blend",$H25*ForageCrop!$E$4,0)</f>
        <v>0</v>
      </c>
    </row>
    <row r="26" spans="1:297" ht="20" customHeight="1">
      <c r="A26" s="8"/>
      <c r="B26" s="731"/>
      <c r="C26" s="658">
        <v>4</v>
      </c>
      <c r="D26" s="659" t="s">
        <v>379</v>
      </c>
      <c r="E26" s="653">
        <v>0.3</v>
      </c>
      <c r="F26" s="654">
        <f>IF(D26="Livestock Grazing",0,E26)</f>
        <v>0.3</v>
      </c>
      <c r="G26" s="655">
        <f>IF(D26="Livestock Grazing",0,$I$2*E26)</f>
        <v>750</v>
      </c>
      <c r="H26" s="656">
        <f>$I$2*E26</f>
        <v>750</v>
      </c>
      <c r="I26" s="657">
        <f>SUM(AT26:BQ26)</f>
        <v>-11.612582122457781</v>
      </c>
      <c r="J26" s="228"/>
      <c r="K26" s="228"/>
      <c r="L26" s="228"/>
      <c r="M26" s="228"/>
      <c r="N26" s="16"/>
      <c r="O26" s="236"/>
      <c r="P26" s="231"/>
      <c r="Q26" s="232"/>
      <c r="R26" s="228"/>
      <c r="S26" s="228"/>
      <c r="T26" s="228"/>
      <c r="V26" s="5">
        <f>IF($D26="SW Winter Wheat after Spring Legume",$H26,0)</f>
        <v>0</v>
      </c>
      <c r="W26" s="5">
        <f>IF($D26="SW Winter Wheat after Forage Crop",$H26,0)</f>
        <v>0</v>
      </c>
      <c r="X26" s="5">
        <f>IF($D26="DN Spring Wheat after Spring Legume",$H26,0)</f>
        <v>0</v>
      </c>
      <c r="Y26" s="5">
        <f>IF($D26="DN Spring Wheat after Forage Crop",$H26,0)</f>
        <v>0</v>
      </c>
      <c r="Z26" s="5">
        <f>IF($D26="DN Spring Wheat after Winter Crop",$H26,0)</f>
        <v>0</v>
      </c>
      <c r="AA26" s="5">
        <f>IF($D26="Chickpea after Forage Crop",$H26,0)</f>
        <v>750</v>
      </c>
      <c r="AB26" s="5">
        <f>IF($D26="Chickpea after Cereal",$H26,0)</f>
        <v>0</v>
      </c>
      <c r="AC26" s="5">
        <f>IF($D26="Spring Pea after Cereal",$H26,0)</f>
        <v>0</v>
      </c>
      <c r="AD26" s="5">
        <f>IF($D26="Forage Crop-St. John Area",$H26,0)</f>
        <v>0</v>
      </c>
      <c r="AE26" s="5">
        <f>IF($D26="Forage Crop-Genesee Area",$H26,0)</f>
        <v>0</v>
      </c>
      <c r="AF26" s="5">
        <f>IF($D26="Livestock Grazing",$H26,0)</f>
        <v>0</v>
      </c>
      <c r="AG26" s="5">
        <f>IF($D26="SW Winter Wheat after Cereal",$H26,0)</f>
        <v>0</v>
      </c>
      <c r="AH26" s="5">
        <f>IF($D26="SW Winter Wheat after Fallow",$H26,0)</f>
        <v>0</v>
      </c>
      <c r="AI26" s="5">
        <f>IF($D26="Chem-Fallow",$H26,0)</f>
        <v>0</v>
      </c>
      <c r="AJ26" s="5">
        <f>IF($D26="Flex-Fallow",$H26,0)</f>
        <v>0</v>
      </c>
      <c r="AK26" s="5">
        <f>IF($D26="Spring Barley",$H26,0)</f>
        <v>0</v>
      </c>
      <c r="AL26" s="5">
        <f>IF($D26="Roundup Ready Spring Canola",$H26,0)</f>
        <v>0</v>
      </c>
      <c r="AM26" s="5">
        <f>IF($D26="Spring Canola",$H26,0)</f>
        <v>0</v>
      </c>
      <c r="AN26" s="5">
        <f>IF($D26="Spring Lentils",$H26,0)</f>
        <v>0</v>
      </c>
      <c r="AO26" s="5">
        <f>IF($D26="SW Spring Wheat",$H26,0)</f>
        <v>0</v>
      </c>
      <c r="AP26" s="5">
        <f>IF($D26="HR Winter Wheat",$H26,0)</f>
        <v>0</v>
      </c>
      <c r="AQ26" s="5">
        <f>IF($D26="Winter Pea",$H26,0)</f>
        <v>0</v>
      </c>
      <c r="AR26" s="5">
        <f>IF($D26="Winter Canola",$H26,0)</f>
        <v>0</v>
      </c>
      <c r="AS26" s="377">
        <f>IF($D26="Forage Crop-Soil Builder Blend",$H26,0)</f>
        <v>0</v>
      </c>
      <c r="AT26" s="5">
        <f>IF($D26="SW Winter Wheat after Spring Legume",SWWinterWheatAfterSpringLegume!$I$138,0)</f>
        <v>0</v>
      </c>
      <c r="AU26" s="5">
        <f>IF($D26="SW Winter Wheat after Forage Crop",SWWinterWheatAfterForageCrop!$I$138,0)</f>
        <v>0</v>
      </c>
      <c r="AV26" s="5">
        <f>IF($D26="DN Spring Wheat after Spring Legume",DNSpringWinterAfterSpringLegume!$I$138,0)</f>
        <v>0</v>
      </c>
      <c r="AW26" s="5">
        <f>IF($D26="DN Spring Wheat after Forage Crop",DNSpringWheatAfterForageCrop!$I$138,0)</f>
        <v>0</v>
      </c>
      <c r="AX26" s="5">
        <f>IF($D26="DN Spring Wheat after Winter Crop",DNSpringWheatAfterWinterCrop!$I$138,0)</f>
        <v>0</v>
      </c>
      <c r="AY26" s="5">
        <f>IF($D26="Chickpea after Forage Crop",ChickpeaAfterForageCrop!$I$138,0)</f>
        <v>-11.612582122457781</v>
      </c>
      <c r="AZ26" s="5">
        <f>IF($D26="Chickpea after Cereal",ChickpeaAfterCereal!$I$138,0)</f>
        <v>0</v>
      </c>
      <c r="BA26" s="5">
        <f>IF($D26="Spring Pea after Cereal",SpringPeaAfterCereal!$I$138,0)</f>
        <v>0</v>
      </c>
      <c r="BB26" s="5">
        <f>IF($D26="Forage Crop-St. John Area",'ForageCrop-StJohn'!$I$138,0)</f>
        <v>0</v>
      </c>
      <c r="BC26" s="5">
        <f>IF($D26="Forage Crop-Genesee Area",'ForageCrop-Genesee'!$I$138,0)</f>
        <v>0</v>
      </c>
      <c r="BD26" s="5">
        <f>IF($D26="Livestock Grazing",LivestockGrazing!$I$138,0)</f>
        <v>0</v>
      </c>
      <c r="BE26" s="5">
        <f>IF($D26="SW Winter Wheat after Cereal",SWWinterWheatafterCereal!$I$138,0)</f>
        <v>0</v>
      </c>
      <c r="BF26" s="5">
        <f>IF($D26="SW Winter Wheat after Fallow",SWWinterWheatAfterFallow!$I$138,0)</f>
        <v>0</v>
      </c>
      <c r="BG26" s="5">
        <f>IF($D26="Chem-Fallow",'Chem-Fallow'!$I$138,0)</f>
        <v>0</v>
      </c>
      <c r="BH26" s="5">
        <f>IF($D26="Flex-Fallow",'Flex-Fallow'!$I$138,0)</f>
        <v>0</v>
      </c>
      <c r="BI26" s="5">
        <f>IF($D26="Spring Barley",SpringBarley!$I$138,0)</f>
        <v>0</v>
      </c>
      <c r="BJ26" s="5">
        <f>IF($D26="Roundup Ready Spring Canola",'SpringCanola_R-Ready'!$I$138,0)</f>
        <v>0</v>
      </c>
      <c r="BK26" s="5">
        <f>IF($D26="Spring Canola",SpringCanola!$I$138,0)</f>
        <v>0</v>
      </c>
      <c r="BL26" s="5">
        <f>IF($D26="Spring Lentils",SpringLentils!$I$138,0)</f>
        <v>0</v>
      </c>
      <c r="BM26" s="5">
        <f>IF($D26="SW Spring Wheat",SWSpringWheat!$I$138,0)</f>
        <v>0</v>
      </c>
      <c r="BN26" s="5">
        <f>IF($D26="HR Winter Wheat",HRWinterWheat!$I$138,0)</f>
        <v>0</v>
      </c>
      <c r="BO26" s="5">
        <f>IF($D26="Winter Pea",WinterPea!$I$138,0)</f>
        <v>0</v>
      </c>
      <c r="BP26" s="5">
        <f>IF($D26="Winter Canola",WinterCanola!$I$138,0)</f>
        <v>0</v>
      </c>
      <c r="BQ26" s="377">
        <f>IF($D26="Forage Crop-Soil Builder Blend",ForageCrop!$I$138,0)</f>
        <v>0</v>
      </c>
      <c r="BR26" s="5">
        <f>IF($D26="SW Winter Wheat after Spring Legume",H26*SWWinterWheatAfterSpringLegume!$I$138,0)</f>
        <v>0</v>
      </c>
      <c r="BS26" s="5">
        <f>IF($D26="SW Winter Wheat after Forage Crop",H26*SWWinterWheatAfterForageCrop!$I$138,0)</f>
        <v>0</v>
      </c>
      <c r="BT26" s="5">
        <f>IF($D26="DN Spring Wheat after Spring Legume",H26*DNSpringWinterAfterSpringLegume!$I$138,0)</f>
        <v>0</v>
      </c>
      <c r="BU26" s="5">
        <f>IF($D26="DN Spring Wheat after Forage Crop",H26*DNSpringWheatAfterForageCrop!$I$138,0)</f>
        <v>0</v>
      </c>
      <c r="BV26" s="5">
        <f>IF($D26="DN Spring Wheat after Winter Crop",H26*DNSpringWheatAfterWinterCrop!$I$138,0)</f>
        <v>0</v>
      </c>
      <c r="BW26" s="5">
        <f>IF($D26="Chickpea after Forage Crop",H26*ChickpeaAfterForageCrop!$I$138,0)</f>
        <v>-8709.4365918433359</v>
      </c>
      <c r="BX26" s="5">
        <f>IF($D26="Chickpea after Cereal",H26*ChickpeaAfterCereal!$I$138,0)</f>
        <v>0</v>
      </c>
      <c r="BY26" s="5">
        <f>IF($D26="Spring Pea after Cereal",H26*SpringPeaAfterCereal!$I$138,0)</f>
        <v>0</v>
      </c>
      <c r="BZ26" s="5">
        <f>IF($D26="Forage Crop-St. John Area",H26*'ForageCrop-StJohn'!$I$138,0)</f>
        <v>0</v>
      </c>
      <c r="CA26" s="5">
        <f>IF($D26="Forage Crop-Genesee Area",H26*'ForageCrop-Genesee'!$I$138,0)</f>
        <v>0</v>
      </c>
      <c r="CB26" s="5">
        <f>IF($D26="Livestock Grazing",H26*LivestockGrazing!$I$138,0)</f>
        <v>0</v>
      </c>
      <c r="CC26" s="5">
        <f>IF($D26="SW Winter Wheat after Cereal",H26*SWWinterWheatafterCereal!$I$138,0)</f>
        <v>0</v>
      </c>
      <c r="CD26" s="5">
        <f>IF($D26="SW Winter Wheat after Fallow",H26*SWWinterWheatAfterFallow!$I$138,0)</f>
        <v>0</v>
      </c>
      <c r="CE26" s="5">
        <f>IF($D26="Chem-Fallow",H26*'Chem-Fallow'!$I$138,0)</f>
        <v>0</v>
      </c>
      <c r="CF26" s="5">
        <f>IF($D26="Flex-Fallow",H26*'Flex-Fallow'!$I$138,0)</f>
        <v>0</v>
      </c>
      <c r="CG26" s="5">
        <f>IF($D26="Spring Barley",H26*SpringBarley!$I$138,0)</f>
        <v>0</v>
      </c>
      <c r="CH26" s="5">
        <f>IF($D26="Roundup Ready Spring Canola",H26*'SpringCanola_R-Ready'!$I$138,0)</f>
        <v>0</v>
      </c>
      <c r="CI26" s="5">
        <f>IF($D26="Spring Canola",H26*SpringCanola!$I$138,0)</f>
        <v>0</v>
      </c>
      <c r="CJ26" s="5">
        <f>IF($D26="Spring Lentils",H26*SpringLentils!$I$138,0)</f>
        <v>0</v>
      </c>
      <c r="CK26" s="5">
        <f>IF($D26="SW Spring Wheat",H26*SWSpringWheat!$I$138,0)</f>
        <v>0</v>
      </c>
      <c r="CL26" s="5">
        <f>IF($D26="HR Winter Wheat",H26*HRWinterWheat!$I$138,0)</f>
        <v>0</v>
      </c>
      <c r="CM26" s="5">
        <f>IF($D26="Winter Pea",H26*WinterPea!$I$138,0)</f>
        <v>0</v>
      </c>
      <c r="CN26" s="5">
        <f>IF($D26="Winter Canola",H26*WinterCanola!$I$138,0)</f>
        <v>0</v>
      </c>
      <c r="CO26" s="377">
        <f>IF($D26="Forage Crop-Soil Builder Blend",H26*ForageCrop!$I$138,0)</f>
        <v>0</v>
      </c>
      <c r="CP26" s="5">
        <f>IF($D26="SW Winter Wheat after Spring Legume",H26*'Prices_Yields&amp;SeedInputs'!J$5,0)</f>
        <v>0</v>
      </c>
      <c r="CQ26" s="5">
        <f>IF($D26="SW Winter Wheat after Forage Crop",H26*'Prices_Yields&amp;SeedInputs'!J$6,0)</f>
        <v>0</v>
      </c>
      <c r="CR26" s="5">
        <f>IF($D26="DN Spring Wheat after Spring Legume",H26*'Prices_Yields&amp;SeedInputs'!J$7,0)</f>
        <v>0</v>
      </c>
      <c r="CS26" s="5">
        <f>IF($D26="DN Spring Wheat after Forage Crop",H26*'Prices_Yields&amp;SeedInputs'!J$8,0)</f>
        <v>0</v>
      </c>
      <c r="CT26" s="5">
        <f>IF($D26="DN Spring Wheat after Winter Crop",H26*'Prices_Yields&amp;SeedInputs'!J$9,0)</f>
        <v>0</v>
      </c>
      <c r="CU26" s="5">
        <f>IF($D26="Chickpea after Forage Crop",H26*'Prices_Yields&amp;SeedInputs'!J$10,0)</f>
        <v>97500</v>
      </c>
      <c r="CV26" s="5">
        <f>IF($D26="Chickpea after Cereal",H26*'Prices_Yields&amp;SeedInputs'!J$11,0)</f>
        <v>0</v>
      </c>
      <c r="CW26" s="5">
        <f>IF($D26="Spring Pea after Cereal",H26*'Prices_Yields&amp;SeedInputs'!J$12,0)</f>
        <v>0</v>
      </c>
      <c r="CX26" s="5">
        <f>IF($D26="Forage Crop-St. John Area",H26*'Prices_Yields&amp;SeedInputs'!J$13,0)</f>
        <v>0</v>
      </c>
      <c r="CY26" s="5">
        <f>IF($D26="Forage Crop-Genesee Area",H26*'Prices_Yields&amp;SeedInputs'!J$14,0)</f>
        <v>0</v>
      </c>
      <c r="CZ26" s="5">
        <f>IF($D26="Livestock Grazing",H26*'Prices_Yields&amp;SeedInputs'!J$15,0)</f>
        <v>0</v>
      </c>
      <c r="DA26" s="5">
        <f>IF($D26="SW Winter Wheat after Cereal",H26*'Prices_Yields&amp;SeedInputs'!J$16,0)</f>
        <v>0</v>
      </c>
      <c r="DB26" s="5">
        <f>IF($D26="SW Winter Wheat after Fallow",H26*'Prices_Yields&amp;SeedInputs'!J$17,0)</f>
        <v>0</v>
      </c>
      <c r="DC26" s="5">
        <f>IF($D26="Chem-Fallow",H26*'Prices_Yields&amp;SeedInputs'!J$18,0)</f>
        <v>0</v>
      </c>
      <c r="DD26" s="5">
        <f>IF($D26="Flex-Fallow",H26*'Prices_Yields&amp;SeedInputs'!J$19,0)</f>
        <v>0</v>
      </c>
      <c r="DE26" s="5">
        <f>IF($D26="Spring Barley",H26*'Prices_Yields&amp;SeedInputs'!J$20,0)</f>
        <v>0</v>
      </c>
      <c r="DF26" s="5">
        <f>IF($D26="Roundup Ready Spring Canola",H26*'Prices_Yields&amp;SeedInputs'!J$21,0)</f>
        <v>0</v>
      </c>
      <c r="DG26" s="5">
        <f>IF($D26="Spring Canola",H26*'Prices_Yields&amp;SeedInputs'!J$22,0)</f>
        <v>0</v>
      </c>
      <c r="DH26" s="5">
        <f>IF($D26="Spring Lentils",H26*'Prices_Yields&amp;SeedInputs'!J$23,0)</f>
        <v>0</v>
      </c>
      <c r="DI26" s="5">
        <f>IF($D26="SW Spring Wheat",H26*'Prices_Yields&amp;SeedInputs'!J$24,0)</f>
        <v>0</v>
      </c>
      <c r="DJ26" s="5">
        <f>IF($D26="HR Winter Wheat",H26*'Prices_Yields&amp;SeedInputs'!J$25,0)</f>
        <v>0</v>
      </c>
      <c r="DK26" s="5">
        <f>IF($D26="Winter Pea",H26*'Prices_Yields&amp;SeedInputs'!J$26,0)</f>
        <v>0</v>
      </c>
      <c r="DL26" s="5">
        <f>IF($D26="Winter Canola",H26*'Prices_Yields&amp;SeedInputs'!J$27,0)</f>
        <v>0</v>
      </c>
      <c r="DM26" s="377">
        <f>IF($D26="Forage Crop-Soil Builder Blend",H26*'Prices_Yields&amp;SeedInputs'!J$28,0)</f>
        <v>0</v>
      </c>
      <c r="DN26" s="5">
        <f>IF($D26="SW Winter Wheat after Spring Legume",$H26*SWWinterWheatAfterSpringLegume!$I$135,0)</f>
        <v>0</v>
      </c>
      <c r="DO26" s="5">
        <f>IF($D26="SW Winter Wheat after Forage Crop",$H26*SWWinterWheatAfterForageCrop!$I$135,0)</f>
        <v>0</v>
      </c>
      <c r="DP26" s="5">
        <f>IF($D26="DN Spring Wheat after Spring Legume",$H26*DNSpringWinterAfterSpringLegume!$I$135,0)</f>
        <v>0</v>
      </c>
      <c r="DQ26" s="5">
        <f>IF($D26="DN Spring Wheat after Forage Crop",$H26*DNSpringWheatAfterForageCrop!$I$135,0)</f>
        <v>0</v>
      </c>
      <c r="DR26" s="5">
        <f>IF($D26="DN Spring Wheat after Winter Crop",$H26*DNSpringWheatAfterWinterCrop!$I$135,0)</f>
        <v>0</v>
      </c>
      <c r="DS26" s="5">
        <f>IF($D26="Chickpea after Forage Crop",$H26*ChickpeaAfterForageCrop!$I$135,0)</f>
        <v>17542.152235663587</v>
      </c>
      <c r="DT26" s="5">
        <f>IF($D26="Chickpea after Cereal",$H26*ChickpeaAfterCereal!$I$135,0)</f>
        <v>0</v>
      </c>
      <c r="DU26" s="5">
        <f>IF($D26="Spring Pea after Cereal",$H26*SpringPeaAfterCereal!$I$135,0)</f>
        <v>0</v>
      </c>
      <c r="DV26" s="5">
        <f>IF($D26="Forage Crop-St. John Area",$H26*'ForageCrop-StJohn'!$I$135,0)</f>
        <v>0</v>
      </c>
      <c r="DW26" s="5">
        <f>IF($D26="Forage Crop-Genesee Area",$H26*'ForageCrop-Genesee'!$I$135,0)</f>
        <v>0</v>
      </c>
      <c r="DX26" s="5">
        <f>IF($D26="Livestock Grazing",$H26*LivestockGrazing!$I$135,0)</f>
        <v>0</v>
      </c>
      <c r="DY26" s="5">
        <f>IF($D26="SW Winter Wheat after Cereal",$H26*SWWinterWheatafterCereal!$I$135,0)</f>
        <v>0</v>
      </c>
      <c r="DZ26" s="5">
        <f>IF($D26="SW Winter Wheat after Fallow",$H26*SWWinterWheatAfterFallow!$I$135,0)</f>
        <v>0</v>
      </c>
      <c r="EA26" s="5">
        <f>IF($D26="Chem-Fallow",$H26*'Chem-Fallow'!$I$135,0)</f>
        <v>0</v>
      </c>
      <c r="EB26" s="5">
        <f>IF($D26="Flex-Fallow",$H26*'Flex-Fallow'!$I$135,0)</f>
        <v>0</v>
      </c>
      <c r="EC26" s="5">
        <f>IF($D26="Spring Barley",$H26*SpringBarley!$I$135,0)</f>
        <v>0</v>
      </c>
      <c r="ED26" s="5">
        <f>IF($D26="Roundup Ready Spring Canola",$H26*'SpringCanola_R-Ready'!$I$135,0)</f>
        <v>0</v>
      </c>
      <c r="EE26" s="5">
        <f>IF($D26="Spring Canola",$H26*SpringCanola!$I$135,0)</f>
        <v>0</v>
      </c>
      <c r="EF26" s="5">
        <f>IF($D26="Spring Lentils",$H26*SpringLentils!$I$135,0)</f>
        <v>0</v>
      </c>
      <c r="EG26" s="5">
        <f>IF($D26="SW Spring Wheat",$H26*SWSpringWheat!$I$135,0)</f>
        <v>0</v>
      </c>
      <c r="EH26" s="5">
        <f>IF($D26="HR Winter Wheat",$H26*HRWinterWheat!$I$135,0)</f>
        <v>0</v>
      </c>
      <c r="EI26" s="5">
        <f>IF($D26="Winter Pea",$H26*WinterPea!$I$135,0)</f>
        <v>0</v>
      </c>
      <c r="EJ26" s="5">
        <f>IF($D26="Winter Canola",$H26*WinterCanola!$I$135,0)</f>
        <v>0</v>
      </c>
      <c r="EK26" s="377">
        <f>IF($D26="Forage Crop-Soil Builder Blend",$H26*ForageCrop!$I$135,0)</f>
        <v>0</v>
      </c>
      <c r="EL26" s="5">
        <f>IF($D26="SW Winter Wheat after Spring Legume",$H26*SWWinterWheatAfterSpringLegume!$J$116,0)</f>
        <v>0</v>
      </c>
      <c r="EM26" s="5">
        <f>IF($D26="SW Winter Wheat after Forage Crop",$H26*SWWinterWheatAfterForageCrop!$J$116,0)</f>
        <v>0</v>
      </c>
      <c r="EN26" s="5">
        <f>IF($D26="DN Spring Wheat after Spring Legume",$H26*DNSpringWinterAfterSpringLegume!$J$116,0)</f>
        <v>0</v>
      </c>
      <c r="EO26" s="5">
        <f>IF($D26="DN Spring Wheat after Forage Crop",$H26*DNSpringWheatAfterForageCrop!$J$116,0)</f>
        <v>0</v>
      </c>
      <c r="EP26" s="5">
        <f>IF($D26="DN Spring Wheat after Winter Crop",$H26*DNSpringWheatAfterWinterCrop!$J$116,0)</f>
        <v>0</v>
      </c>
      <c r="EQ26" s="5">
        <f>IF($D26="Chickpea after Forage Crop",$H26*ChickpeaAfterForageCrop!$J$116,0)</f>
        <v>11744.338800156656</v>
      </c>
      <c r="ER26" s="5">
        <f>IF($D26="Chickpea after Cereal",$H26*ChickpeaAfterCereal!$J$116,0)</f>
        <v>0</v>
      </c>
      <c r="ES26" s="5">
        <f>IF($D26="Spring Pea after Cereal",$H26*SpringPeaAfterCereal!$J$116,0)</f>
        <v>0</v>
      </c>
      <c r="ET26" s="5">
        <f>IF($D26="Forage Crop-St. John Area",$H26*'ForageCrop-StJohn'!$J$116,0)</f>
        <v>0</v>
      </c>
      <c r="EU26" s="5">
        <f>IF($D26="Forage Crop-Genesee Area",$H26*'ForageCrop-Genesee'!$J$116,0)</f>
        <v>0</v>
      </c>
      <c r="EV26" s="5">
        <f>IF($D26="Livestock Grazing",$H26*LivestockGrazing!$J$116,0)</f>
        <v>0</v>
      </c>
      <c r="EW26" s="5">
        <f>IF($D26="SW Winter Wheat after Cereal",$H26*SWWinterWheatafterCereal!$J$116,0)</f>
        <v>0</v>
      </c>
      <c r="EX26" s="5">
        <f>IF($D26="SW Winter Wheat after Fallow",$H26*SWWinterWheatAfterFallow!$J$116,0)</f>
        <v>0</v>
      </c>
      <c r="EY26" s="5">
        <f>IF($D26="Chem-Fallow",$H26*'Chem-Fallow'!$J$116,0)</f>
        <v>0</v>
      </c>
      <c r="EZ26" s="5">
        <f>IF($D26="Flex-Fallow",$H26*'Flex-Fallow'!$J$116,0)</f>
        <v>0</v>
      </c>
      <c r="FA26" s="5">
        <f>IF($D26="Spring Barley",$H26*SpringBarley!$J$116,0)</f>
        <v>0</v>
      </c>
      <c r="FB26" s="5">
        <f>IF($D26="Roundup Ready Spring Canola",$H26*'SpringCanola_R-Ready'!$J$116,0)</f>
        <v>0</v>
      </c>
      <c r="FC26" s="5">
        <f>IF($D26="Spring Canola",$H26*SpringCanola!$J$116,0)</f>
        <v>0</v>
      </c>
      <c r="FD26" s="5">
        <f>IF($D26="Spring Lentils",$H26*SpringLentils!$J$116,0)</f>
        <v>0</v>
      </c>
      <c r="FE26" s="5">
        <f>IF($D26="SW Spring Wheat",$H26*SWSpringWheat!$J$116,0)</f>
        <v>0</v>
      </c>
      <c r="FF26" s="5">
        <f>IF($D26="HR Winter Wheat",$H26*HRWinterWheat!$J$116,0)</f>
        <v>0</v>
      </c>
      <c r="FG26" s="5">
        <f>IF($D26="Winter Pea",$H26*WinterPea!$J$116,0)</f>
        <v>0</v>
      </c>
      <c r="FH26" s="5">
        <f>IF($D26="Winter Canola",$H26*WinterCanola!$J$116,0)</f>
        <v>0</v>
      </c>
      <c r="FI26" s="377">
        <f>IF($D26="Forage Crop-Soil Builder Blend",$H26*ForageCrop!$J$116,0)</f>
        <v>0</v>
      </c>
      <c r="FJ26" s="5">
        <f>IF($D26="SW Winter Wheat after Spring Legume",$H26*SWWinterWheatAfterSpringLegume!$J$117,0)</f>
        <v>0</v>
      </c>
      <c r="FK26" s="5">
        <f>IF($D26="SW Winter Wheat after Forage Crop",$H26*SWWinterWheatAfterForageCrop!$J$117,0)</f>
        <v>0</v>
      </c>
      <c r="FL26" s="5">
        <f>IF($D26="DN Spring Wheat after Spring Legume",$H26*DNSpringWinterAfterSpringLegume!$J$117,0)</f>
        <v>0</v>
      </c>
      <c r="FM26" s="5">
        <f>IF($D26="DN Spring Wheat after Forage Crop",$H26*DNSpringWheatAfterForageCrop!$J$117,0)</f>
        <v>0</v>
      </c>
      <c r="FN26" s="5">
        <f>IF($D26="DN Spring Wheat after Winter Crop",$H26*DNSpringWheatAfterWinterCrop!$J$117,0)</f>
        <v>0</v>
      </c>
      <c r="FO26" s="5">
        <f>IF($D26="Chickpea after Forage Crop",$H26*ChickpeaAfterForageCrop!$J$117,0)</f>
        <v>27087.466895704045</v>
      </c>
      <c r="FP26" s="5">
        <f>IF($D26="Chickpea after Cereal",$H26*ChickpeaAfterCereal!$J$117,0)</f>
        <v>0</v>
      </c>
      <c r="FQ26" s="5">
        <f>IF($D26="Spring Pea after Cereal",$H26*SpringPeaAfterCereal!$J$117,0)</f>
        <v>0</v>
      </c>
      <c r="FR26" s="5">
        <f>IF($D26="Forage Crop-St. John Area",$H26*'ForageCrop-StJohn'!$J$117,0)</f>
        <v>0</v>
      </c>
      <c r="FS26" s="5">
        <f>IF($D26="Forage Crop-Genesee Area",$H26*'ForageCrop-Genesee'!$J$117,0)</f>
        <v>0</v>
      </c>
      <c r="FT26" s="5">
        <f>IF($D26="Livestock Grazing",$H26*LivestockGrazing!$J$117,0)</f>
        <v>0</v>
      </c>
      <c r="FU26" s="5">
        <f>IF($D26="SW Winter Wheat after Cereal",$H26*SWWinterWheatafterCereal!$J$117,0)</f>
        <v>0</v>
      </c>
      <c r="FV26" s="5">
        <f>IF($D26="SW Winter Wheat after Fallow",$H26*SWWinterWheatAfterFallow!$J$117,0)</f>
        <v>0</v>
      </c>
      <c r="FW26" s="5">
        <f>IF($D26="Chem-Fallow",$H26*'Chem-Fallow'!$J$117,0)</f>
        <v>0</v>
      </c>
      <c r="FX26" s="5">
        <f>IF($D26="Flex-Fallow",$H26*'Flex-Fallow'!$J$117,0)</f>
        <v>0</v>
      </c>
      <c r="FY26" s="5">
        <f>IF($D26="Spring Barley",$H26*SpringBarley!$J$117,0)</f>
        <v>0</v>
      </c>
      <c r="FZ26" s="5">
        <f>IF($D26="Roundup Ready Spring Canola",$H26*'SpringCanola_R-Ready'!$J$117,0)</f>
        <v>0</v>
      </c>
      <c r="GA26" s="5">
        <f>IF($D26="Spring Canola",$H26*SpringCanola!$J$117,0)</f>
        <v>0</v>
      </c>
      <c r="GB26" s="5">
        <f>IF($D26="Spring Lentils",$H26*SpringLentils!$J$117,0)</f>
        <v>0</v>
      </c>
      <c r="GC26" s="5">
        <f>IF($D26="SW Spring Wheat",$H26*SWSpringWheat!$J$117,0)</f>
        <v>0</v>
      </c>
      <c r="GD26" s="5">
        <f>IF($D26="HR Winter Wheat",$H26*HRWinterWheat!$J$117,0)</f>
        <v>0</v>
      </c>
      <c r="GE26" s="5">
        <f>IF($D26="Winter Pea",$H26*WinterPea!$J$117,0)</f>
        <v>0</v>
      </c>
      <c r="GF26" s="5">
        <f>IF($D26="Winter Canola",$H26*WinterCanola!$J$117,0)</f>
        <v>0</v>
      </c>
      <c r="GG26" s="377">
        <f>IF($D26="Forage Crop-Soil Builder Blend",$H26*ForageCrop!$J$117,0)</f>
        <v>0</v>
      </c>
      <c r="GH26" s="5">
        <f>IF($D26="SW Winter Wheat after Spring Legume",$H26*SWWinterWheatAfterSpringLegume!$M$118,0)</f>
        <v>0</v>
      </c>
      <c r="GI26" s="5">
        <f>IF($D26="SW Winter Wheat after Forage Crop",$H26*SWWinterWheatAfterForageCrop!$M$118,0)</f>
        <v>0</v>
      </c>
      <c r="GJ26" s="5">
        <f>IF($D26="DN Spring Wheat after Spring Legume",$H26*DNSpringWinterAfterSpringLegume!$M$118,0)</f>
        <v>0</v>
      </c>
      <c r="GK26" s="5">
        <f>IF($D26="DN Spring Wheat after Forage Crop",$H26*DNSpringWheatAfterForageCrop!$M$118,0)</f>
        <v>0</v>
      </c>
      <c r="GL26" s="5">
        <f>IF($D26="DN Spring Wheat after Winter Crop",$H26*DNSpringWheatAfterWinterCrop!$M$118,0)</f>
        <v>0</v>
      </c>
      <c r="GM26" s="5">
        <f>IF($D26="Chickpea after Forage Crop",$H26*ChickpeaAfterForageCrop!$M$118,0)</f>
        <v>9539.5942575293811</v>
      </c>
      <c r="GN26" s="5">
        <f>IF($D26="Chickpea after Cereal",$H26*ChickpeaAfterCereal!$M$118,0)</f>
        <v>0</v>
      </c>
      <c r="GO26" s="5">
        <f>IF($D26="Spring Pea after Cereal",$H26*SpringPeaAfterCereal!$M$118,0)</f>
        <v>0</v>
      </c>
      <c r="GP26" s="5">
        <f>IF($D26="Forage Crop-St. John Area",$H26*'ForageCrop-StJohn'!$M$118,0)</f>
        <v>0</v>
      </c>
      <c r="GQ26" s="5">
        <f>IF($D26="Forage Crop-Genesee Area",$H26*'ForageCrop-Genesee'!$M$118,0)</f>
        <v>0</v>
      </c>
      <c r="GR26" s="5">
        <f>IF($D26="Livestock Grazing",$H26*LivestockGrazing!$M$118,0)</f>
        <v>0</v>
      </c>
      <c r="GS26" s="5">
        <f>IF($D26="SW Winter Wheat after Cereal",$H26*SWWinterWheatafterCereal!$M$118,0)</f>
        <v>0</v>
      </c>
      <c r="GT26" s="5">
        <f>IF($D26="SW Winter Wheat after Fallow",$H26*SWWinterWheatAfterFallow!$M$118,0)</f>
        <v>0</v>
      </c>
      <c r="GU26" s="5">
        <f>IF($D26="Chem-Fallow",$H26*'Chem-Fallow'!$M$118,0)</f>
        <v>0</v>
      </c>
      <c r="GV26" s="5">
        <f>IF($D26="Flex-Fallow",$H26*'Flex-Fallow'!$M$118,0)</f>
        <v>0</v>
      </c>
      <c r="GW26" s="5">
        <f>IF($D26="Spring Barley",$H26*SpringBarley!$M$118,0)</f>
        <v>0</v>
      </c>
      <c r="GX26" s="5">
        <f>IF($D26="Roundup Ready Spring Canola",$H26*'SpringCanola_R-Ready'!$M$118,0)</f>
        <v>0</v>
      </c>
      <c r="GY26" s="5">
        <f>IF($D26="Spring Canola",$H26*SpringCanola!$M$118,0)</f>
        <v>0</v>
      </c>
      <c r="GZ26" s="5">
        <f>IF($D26="Spring Lentils",$H26*SpringLentils!$M$118,0)</f>
        <v>0</v>
      </c>
      <c r="HA26" s="5">
        <f>IF($D26="SW Spring Wheat",$H26*SWSpringWheat!$M$118,0)</f>
        <v>0</v>
      </c>
      <c r="HB26" s="5">
        <f>IF($D26="HR Winter Wheat",$H26*HRWinterWheat!$M$118,0)</f>
        <v>0</v>
      </c>
      <c r="HC26" s="5">
        <f>IF($D26="Winter Pea",$H26*WinterPea!$M$118,0)</f>
        <v>0</v>
      </c>
      <c r="HD26" s="5">
        <f>IF($D26="Winter Canola",$H26*WinterCanola!$M$118,0)</f>
        <v>0</v>
      </c>
      <c r="HE26" s="377">
        <f>IF($D26="Forage Crop-Soil Builder Blend",$H26*ForageCrop!$M$118,0)</f>
        <v>0</v>
      </c>
      <c r="HF26" s="5">
        <f>IF($D26="SW Winter Wheat after Spring Legume",($H26*(SUM(SWWinterWheatAfterSpringLegume!$E$9:$E$16)+SWWinterWheatAfterSpringLegume!$G$16))/2000,0)</f>
        <v>0</v>
      </c>
      <c r="HG26" s="5">
        <f>IF($D26="SW Winter Wheat after Forage Crop",($H26*(SUM(SWWinterWheatAfterForageCrop!$E$9:$E$16)+SWWinterWheatAfterForageCrop!$G$17))/2000,0)</f>
        <v>0</v>
      </c>
      <c r="HH26" s="5">
        <f>IF($D26="DN Spring Wheat after Spring Legume",($H26*(SUM(DNSpringWinterAfterSpringLegume!$E$9:$E$16)+DNSpringWinterAfterSpringLegume!$G$16))/2000,0)</f>
        <v>0</v>
      </c>
      <c r="HI26" s="5">
        <f>IF($D26="DN Spring Wheat after Forage Crop",($H26*(SUM(DNSpringWheatAfterForageCrop!$E$9:$E$16)+DNSpringWheatAfterForageCrop!$G$14))/2000,0)</f>
        <v>0</v>
      </c>
      <c r="HJ26" s="5">
        <f>IF($D26="DN Spring Wheat after Winter Crop",($H26*(SUM(DNSpringWheatAfterWinterCrop!$E$9:$E$16)+DNSpringWheatAfterWinterCrop!$G$16))/2000,0)</f>
        <v>0</v>
      </c>
      <c r="HK26" s="5">
        <f>IF($D26="Chickpea after Forage Crop",($H26*(SUM(ChickpeaAfterForageCrop!$E$9:$E$16)+ChickpeaAfterForageCrop!$G$14))/2000,0)</f>
        <v>0.64248046874999998</v>
      </c>
      <c r="HL26" s="5">
        <f>IF($D26="Chickpea after Cereal",($H26*(SUM(ChickpeaAfterCereal!$E$9:$E$16)+ChickpeaAfterCereal!$G$14))/2000,0)</f>
        <v>0</v>
      </c>
      <c r="HM26" s="5">
        <f>IF($D26="Spring Pea after Cereal",($H26*(SUM(SpringPeaAfterCereal!$E$9:$E$16)+SpringPeaAfterCereal!$G$14))/2000,0)</f>
        <v>0</v>
      </c>
      <c r="HN26" s="5">
        <f>IF($D26="Forage Crop-St. John Area",($H26*(SUM('ForageCrop-StJohn'!$E$9:$E$16)+'ForageCrop-StJohn'!$G$14))/2000,0)</f>
        <v>0</v>
      </c>
      <c r="HO26" s="5">
        <f>IF($D26="Forage Crop-Genesee Area",($H26*(SUM('ForageCrop-Genesee'!$E$9:$E$16)+'ForageCrop-Genesee'!$G$14))/2000,0)</f>
        <v>0</v>
      </c>
      <c r="HP26" s="5">
        <f>IF($D26="Livestock Grazing",($H26*(SUM(LivestockGrazing!$E$9:$E$16)+LivestockGrazing!$G$14))/2000,0)</f>
        <v>0</v>
      </c>
      <c r="HQ26" s="5">
        <f>IF($D26="SW Winter Wheat after Cereal",($H26*(SUM(SWWinterWheatafterCereal!$E$9:$E$16)+SWWinterWheatafterCereal!$G$16))/2000,0)</f>
        <v>0</v>
      </c>
      <c r="HR26" s="5">
        <f>IF($D26="SW Winter Wheat after Fallow",($H26*(SUM(SWWinterWheatAfterFallow!$E$9:$E$16)+SWWinterWheatAfterFallow!$G$14))/2000,0)</f>
        <v>0</v>
      </c>
      <c r="HS26" s="5">
        <f>IF($D26="Chem-Fallow",($H26*(SUM('Chem-Fallow'!$E$9:$E$16)+'Chem-Fallow'!$G$16))/2000,0)</f>
        <v>0</v>
      </c>
      <c r="HT26" s="5">
        <f>IF($D26="Flex-Fallow",($H26*(SUM('Flex-Fallow'!$E$9:$E$16)+'Flex-Fallow'!$G$16))/2000,0)</f>
        <v>0</v>
      </c>
      <c r="HU26" s="5">
        <f>IF($D26="Spring Barley",($H26*(SUM(SpringBarley!$E$9:$E$16)+SpringBarley!$G$16))/2000,0)</f>
        <v>0</v>
      </c>
      <c r="HV26" s="5">
        <f>IF($D26="Roundup Ready Spring Canola",($H26*(SUM('SpringCanola_R-Ready'!$E$9:$E$16)+'SpringCanola_R-Ready'!$G$14))/2000,0)</f>
        <v>0</v>
      </c>
      <c r="HW26" s="5">
        <f>IF($D26="Spring Canola",($H26*(SUM(SpringCanola!$E$9:$E$16)+SpringCanola!$G$14))/2000,0)</f>
        <v>0</v>
      </c>
      <c r="HX26" s="5">
        <f>IF($D26="Spriing Lentils",($H26*(SUM(SpringLentils!$E$9:$E$16)+SpringLentils!$G$14))/2000,0)</f>
        <v>0</v>
      </c>
      <c r="HY26" s="5">
        <f>IF($D26="SW Spring Wheat",($H26*(SUM(SWSpringWheat!$E$9:$E$16)+SWSpringWheat!$G$18))/2000,0)</f>
        <v>0</v>
      </c>
      <c r="HZ26" s="5">
        <f>IF($D26="HR Winter Wheat",($H26*(SUM(HRWinterWheat!$E$9:$E$16)+HRWinterWheat!$G$16))/2000,0)</f>
        <v>0</v>
      </c>
      <c r="IA26" s="5">
        <f>IF($D26="Winter Pea",($H26*(SUM(WinterPea!$E$9:$E$16)+WinterPea!$G$14))/2000,0)</f>
        <v>0</v>
      </c>
      <c r="IB26" s="5">
        <f>IF($D26="Winter Canola",($H26*(SUM(WinterCanola!$E$9:$E$16)+WinterCanola!$G$14))/2000,0)</f>
        <v>0</v>
      </c>
      <c r="IC26" s="377">
        <f>IF($D26="Forage Crop-Soil Builder Blend",($H26*(SUM(ForageCrop!$E$9:$E$16)+ForageCrop!$G$14))/2000,0)</f>
        <v>0</v>
      </c>
      <c r="ID26" s="5">
        <f>IF($D26="SW Winter Wheat after Spring Legume",$H26*SWWinterWheatAfterSpringLegume!$G$62,0)</f>
        <v>0</v>
      </c>
      <c r="IE26" s="5">
        <f>IF($D26="SW Winter Wheat after Forage Crop",$H26*SWWinterWheatAfterForageCrop!$G$62,0)</f>
        <v>0</v>
      </c>
      <c r="IF26" s="5">
        <f>IF($D26="DN Spring Wheat after Spring Legume",$H26*DNSpringWinterAfterSpringLegume!$G$62,0)</f>
        <v>0</v>
      </c>
      <c r="IG26" s="5">
        <f>IF($D26="DN Spring Wheat after Forage Crop",$H26*DNSpringWheatAfterForageCrop!$G$62,0)</f>
        <v>0</v>
      </c>
      <c r="IH26" s="5">
        <f>IF($D26="DN Spring Wheat after Winter Crop",$H26*DNSpringWheatAfterWinterCrop!$G$62,0)</f>
        <v>0</v>
      </c>
      <c r="II26" s="5">
        <f>IF($D26="Chickpea after Forage Crop",$H26*ChickpeaAfterForageCrop!$G$62,0)</f>
        <v>282.421875</v>
      </c>
      <c r="IJ26" s="5">
        <f>IF($D26="Chickpea after Cereal",$H26*ChickpeaAfterCereal!$G$62,0)</f>
        <v>0</v>
      </c>
      <c r="IK26" s="5">
        <f>IF($D26="Spring Pea after Cereal",$H26*SpringPeaAfterCereal!$G$62,0)</f>
        <v>0</v>
      </c>
      <c r="IL26" s="5">
        <f>IF($D26="Forage Crop-St. John Area",$H26*'ForageCrop-StJohn'!$G$62,0)</f>
        <v>0</v>
      </c>
      <c r="IM26" s="5">
        <f>IF($D26="Forage Crop-Genesee Area",$H26*'ForageCrop-Genesee'!$G$62,0)</f>
        <v>0</v>
      </c>
      <c r="IN26" s="5">
        <f>IF($D26="Livestock Grazing",$H26*LivestockGrazing!$G$62,0)</f>
        <v>0</v>
      </c>
      <c r="IO26" s="5">
        <f>IF($D26="SW Winter Wheat after Cereal",$H26*SWWinterWheatafterCereal!$G$62,0)</f>
        <v>0</v>
      </c>
      <c r="IP26" s="5">
        <f>IF($D26="SW Winter Wheat after Fallow",$H26*SWWinterWheatAfterFallow!$G$62,0)</f>
        <v>0</v>
      </c>
      <c r="IQ26" s="5">
        <f>IF($D26="Chem-Fallow",$H26*'Chem-Fallow'!$G$62,0)</f>
        <v>0</v>
      </c>
      <c r="IR26" s="5">
        <f>IF($D26="Flex-Fallow",$H26*'Flex-Fallow'!$G$62,0)</f>
        <v>0</v>
      </c>
      <c r="IS26" s="5">
        <f>IF($D26="Spring Barley",$H26*SpringBarley!$G$62,0)</f>
        <v>0</v>
      </c>
      <c r="IT26" s="5">
        <f>IF($D26="Roundup Ready Spring Canola",$H26*'SpringCanola_R-Ready'!$G$62,0)</f>
        <v>0</v>
      </c>
      <c r="IU26" s="5">
        <f>IF($D26="Spring Canola",$H26*SpringCanola!$G$62,0)</f>
        <v>0</v>
      </c>
      <c r="IV26" s="5">
        <f>IF($D26="Spriing Lentils",$H26*SpringLentils!$G$62,0)</f>
        <v>0</v>
      </c>
      <c r="IW26" s="5">
        <f>IF($D26="SW Spring Wheat",$H26*SWSpringWheat!$G$62,0)</f>
        <v>0</v>
      </c>
      <c r="IX26" s="5">
        <f>IF($D26="HR Winter Wheat",$H26*HRWinterWheat!$G$62,0)</f>
        <v>0</v>
      </c>
      <c r="IY26" s="5">
        <f>IF($D26="Winter Pea",$H26*WinterPea!$G$62,0)</f>
        <v>0</v>
      </c>
      <c r="IZ26" s="5">
        <f>IF($D26="Winter Canola",$H26*+WinterCanola!$G$62,0)</f>
        <v>0</v>
      </c>
      <c r="JA26" s="5">
        <f>IF($D26="Forage Crop-Soil Builder Blend",$H26*ForageCrop!$G$62,0)</f>
        <v>0</v>
      </c>
      <c r="JB26" s="5">
        <f>IF($D26="SW Winter Wheat after Spring Legume",$H26*SWWinterWheatAfterSpringLegume!$E$4,0)</f>
        <v>0</v>
      </c>
      <c r="JC26" s="5">
        <f>IF($D26="SW Winter Wheat after Forage Crop",$H26*SWWinterWheatAfterForageCrop!$E$4,0)</f>
        <v>0</v>
      </c>
      <c r="JD26" s="5">
        <f>IF($D26="DN Spring Wheat after Spring Legume",$H26*DNSpringWinterAfterSpringLegume!$E$4,0)</f>
        <v>0</v>
      </c>
      <c r="JE26" s="5">
        <f>IF($D26="DN Spring Wheat after Forage Crop",$H26*DNSpringWheatAfterForageCrop!$E$4,0)</f>
        <v>0</v>
      </c>
      <c r="JF26" s="5">
        <f>IF($D26="DN Spring Wheat after Winter Crop",$H26*DNSpringWheatAfterWinterCrop!$E$4,0)</f>
        <v>0</v>
      </c>
      <c r="JG26" s="5">
        <f>IF($D26="Chickpea after Forage Crop",$H26*ChickpeaAfterForageCrop!$E$4,0)</f>
        <v>1050000</v>
      </c>
      <c r="JH26" s="5">
        <f>IF($D26="Chickpea after Cereal",$H26*ChickpeaAfterCereal!$E$4,0)</f>
        <v>0</v>
      </c>
      <c r="JI26" s="5">
        <f>IF($D26="Spring Pea after Cereal",$H26*SpringPeaAfterCereal!$E$4,0)</f>
        <v>0</v>
      </c>
      <c r="JJ26" s="5">
        <f>IF($D26="Forage Crop-St. John Area",$H26*'ForageCrop-StJohn'!$E$4,0)</f>
        <v>0</v>
      </c>
      <c r="JK26" s="5">
        <f>IF($D26="Forage Crop-Genesee Area",$H26*'ForageCrop-Genesee'!$E$4,0)</f>
        <v>0</v>
      </c>
      <c r="JL26" s="5">
        <f>IF($D26="Livestock Grazing",$H26*LivestockGrazing!$E$4,0)</f>
        <v>0</v>
      </c>
      <c r="JM26" s="5">
        <f>IF($D26="SW Winter Wheat after Cereal",$H26*SWWinterWheatafterCereal!$E$4,0)</f>
        <v>0</v>
      </c>
      <c r="JN26" s="5">
        <f>IF($D26="SW Winter Wheat after Fallow",$H26*SWWinterWheatAfterFallow!$E$4,0)</f>
        <v>0</v>
      </c>
      <c r="JO26" s="5">
        <f>IF($D26="Chem-Fallow",$H26*'Chem-Fallow'!$E$4,0)</f>
        <v>0</v>
      </c>
      <c r="JP26" s="5">
        <f>IF($D26="Flex-Fallow",$H26*'Flex-Fallow'!$E$4,0)</f>
        <v>0</v>
      </c>
      <c r="JQ26" s="5">
        <f>IF($D26="Spring Barley",$H26*SpringBarley!$E$4,0)</f>
        <v>0</v>
      </c>
      <c r="JR26" s="5">
        <f>IF($D26="Roundup Ready Spring Canola",$H26*'SpringCanola_R-Ready'!$E$4,0)</f>
        <v>0</v>
      </c>
      <c r="JS26" s="5">
        <f>IF($D26="Spring Canola",$H26*SpringCanola!$E$4,0)</f>
        <v>0</v>
      </c>
      <c r="JT26" s="5">
        <f>IF($D26="Spriing Lentils",$H26*SpringLentils!$E$4,0)</f>
        <v>0</v>
      </c>
      <c r="JU26" s="5">
        <f>IF($D26="SW Spring Wheat",$H26*SWSpringWheat!$E$4,0)</f>
        <v>0</v>
      </c>
      <c r="JV26" s="5">
        <f>IF($D26="HR Winter Wheat",$H26*HRWinterWheat!$E$4,0)</f>
        <v>0</v>
      </c>
      <c r="JW26" s="5">
        <f>IF($D26="Winter Pea",$H26*WinterPea!$E$4,0)</f>
        <v>0</v>
      </c>
      <c r="JX26" s="5">
        <f>IF($D26="Winter Canola",$H26*+WinterCanola!$E$4,0)</f>
        <v>0</v>
      </c>
      <c r="JY26" s="5">
        <f>IF($D26="Forage Crop-Soil Builder Blend",$H26*ForageCrop!$E$4,0)</f>
        <v>0</v>
      </c>
    </row>
    <row r="27" spans="1:297" ht="20" customHeight="1">
      <c r="A27" s="8" t="s">
        <v>196</v>
      </c>
      <c r="B27" s="732"/>
      <c r="C27" s="660">
        <v>5</v>
      </c>
      <c r="D27" s="661"/>
      <c r="E27" s="662">
        <v>0</v>
      </c>
      <c r="F27" s="649">
        <f>IF(D27="Livestock Grazing",0,E27)</f>
        <v>0</v>
      </c>
      <c r="G27" s="663">
        <f>IF(D27="Livestock Grazing",0,$I$2*E27)</f>
        <v>0</v>
      </c>
      <c r="H27" s="650">
        <f>$I$2*E27</f>
        <v>0</v>
      </c>
      <c r="I27" s="664">
        <f>SUM(AT27:BQ27)</f>
        <v>0</v>
      </c>
      <c r="J27" s="228"/>
      <c r="K27" s="228"/>
      <c r="L27" s="228"/>
      <c r="M27" s="228"/>
      <c r="N27" s="229"/>
      <c r="O27" s="229"/>
      <c r="P27" s="229"/>
      <c r="Q27" s="229"/>
      <c r="R27" s="228"/>
      <c r="S27" s="228"/>
      <c r="T27" s="228"/>
      <c r="V27" s="5">
        <f>IF($D27="SW Winter Wheat after Spring Legume",$H27,0)</f>
        <v>0</v>
      </c>
      <c r="W27" s="5">
        <f>IF($D27="SW Winter Wheat after Forage Crop",$H27,0)</f>
        <v>0</v>
      </c>
      <c r="X27" s="5">
        <f>IF($D27="DN Spring Wheat after Spring Legume",$H27,0)</f>
        <v>0</v>
      </c>
      <c r="Y27" s="5">
        <f>IF($D27="DN Spring Wheat after Forage Crop",$H27,0)</f>
        <v>0</v>
      </c>
      <c r="Z27" s="5">
        <f>IF($D27="DN Spring Wheat after Winter Crop",$H27,0)</f>
        <v>0</v>
      </c>
      <c r="AA27" s="5">
        <f>IF($D27="Chickpea after Forage Crop",$H27,0)</f>
        <v>0</v>
      </c>
      <c r="AB27" s="5">
        <f>IF($D27="Chickpea after Cereal",$H27,0)</f>
        <v>0</v>
      </c>
      <c r="AC27" s="5">
        <f>IF($D27="Spring Pea after Cereal",$H27,0)</f>
        <v>0</v>
      </c>
      <c r="AD27" s="5">
        <f>IF($D27="Forage Crop-St. John Area",$H27,0)</f>
        <v>0</v>
      </c>
      <c r="AE27" s="5">
        <f>IF($D27="Forage Crop-Genesee Area",$H27,0)</f>
        <v>0</v>
      </c>
      <c r="AF27" s="5">
        <f>IF($D27="Livestock Grazing",$H27,0)</f>
        <v>0</v>
      </c>
      <c r="AG27" s="5">
        <f>IF($D27="SW Winter Wheat after Cereal",$H27,0)</f>
        <v>0</v>
      </c>
      <c r="AH27" s="5">
        <f>IF($D27="SW Winter Wheat after Fallow",$H27,0)</f>
        <v>0</v>
      </c>
      <c r="AI27" s="5">
        <f>IF($D27="Chem-Fallow",$H27,0)</f>
        <v>0</v>
      </c>
      <c r="AJ27" s="5">
        <f>IF($D27="Flex-Fallow",$H27,0)</f>
        <v>0</v>
      </c>
      <c r="AK27" s="5">
        <f>IF($D27="Spring Barley",$H27,0)</f>
        <v>0</v>
      </c>
      <c r="AL27" s="5">
        <f>IF($D27="Roundup Ready Spring Canola",$H27,0)</f>
        <v>0</v>
      </c>
      <c r="AM27" s="5">
        <f>IF($D27="Spring Canola",$H27,0)</f>
        <v>0</v>
      </c>
      <c r="AN27" s="5">
        <f>IF($D27="Spring Lentils",$H27,0)</f>
        <v>0</v>
      </c>
      <c r="AO27" s="5">
        <f>IF($D27="SW Spring Wheat",$H27,0)</f>
        <v>0</v>
      </c>
      <c r="AP27" s="5">
        <f>IF($D27="HR Winter Wheat",$H27,0)</f>
        <v>0</v>
      </c>
      <c r="AQ27" s="5">
        <f>IF($D27="Winter Pea",$H27,0)</f>
        <v>0</v>
      </c>
      <c r="AR27" s="5">
        <f>IF($D27="Winter Canola",$H27,0)</f>
        <v>0</v>
      </c>
      <c r="AS27" s="377">
        <f>IF($D27="Forage Crop-Soil Builder Blend",$H27,0)</f>
        <v>0</v>
      </c>
      <c r="AT27" s="5">
        <f>IF($D27="SW Winter Wheat after Spring Legume",SWWinterWheatAfterSpringLegume!$I$138,0)</f>
        <v>0</v>
      </c>
      <c r="AU27" s="5">
        <f>IF($D27="SW Winter Wheat after Forage Crop",SWWinterWheatAfterForageCrop!$I$138,0)</f>
        <v>0</v>
      </c>
      <c r="AV27" s="5">
        <f>IF($D27="DN Spring Wheat after Spring Legume",DNSpringWinterAfterSpringLegume!$I$138,0)</f>
        <v>0</v>
      </c>
      <c r="AW27" s="5">
        <f>IF($D27="DN Spring Wheat after Forage Crop",DNSpringWheatAfterForageCrop!$I$138,0)</f>
        <v>0</v>
      </c>
      <c r="AX27" s="5">
        <f>IF($D27="DN Spring Wheat after Winter Crop",DNSpringWheatAfterWinterCrop!$I$138,0)</f>
        <v>0</v>
      </c>
      <c r="AY27" s="5">
        <f>IF($D27="Chickpea after Forage Crop",ChickpeaAfterForageCrop!$I$138,0)</f>
        <v>0</v>
      </c>
      <c r="AZ27" s="5">
        <f>IF($D27="Chickpea after Cereal",ChickpeaAfterCereal!$I$138,0)</f>
        <v>0</v>
      </c>
      <c r="BA27" s="5">
        <f>IF($D27="Spring Pea after Cereal",SpringPeaAfterCereal!$I$138,0)</f>
        <v>0</v>
      </c>
      <c r="BB27" s="5">
        <f>IF($D27="Forage Crop-St. John Area",'ForageCrop-StJohn'!$I$138,0)</f>
        <v>0</v>
      </c>
      <c r="BC27" s="5">
        <f>IF($D27="Forage Crop-Genesee Area",'ForageCrop-Genesee'!$I$138,0)</f>
        <v>0</v>
      </c>
      <c r="BD27" s="5">
        <f>IF($D27="Livestock Grazing",LivestockGrazing!$I$138,0)</f>
        <v>0</v>
      </c>
      <c r="BE27" s="5">
        <f>IF($D27="SW Winter Wheat after Cereal",SWWinterWheatafterCereal!$I$138,0)</f>
        <v>0</v>
      </c>
      <c r="BF27" s="5">
        <f>IF($D27="SW Winter Wheat after Fallow",SWWinterWheatAfterFallow!$I$138,0)</f>
        <v>0</v>
      </c>
      <c r="BG27" s="5">
        <f>IF($D27="Chem-Fallow",'Chem-Fallow'!$I$138,0)</f>
        <v>0</v>
      </c>
      <c r="BH27" s="5">
        <f>IF($D27="Flex-Fallow",'Flex-Fallow'!$I$138,0)</f>
        <v>0</v>
      </c>
      <c r="BI27" s="5">
        <f>IF($D27="Spring Barley",SpringBarley!$I$138,0)</f>
        <v>0</v>
      </c>
      <c r="BJ27" s="5">
        <f>IF($D27="Roundup Ready Spring Canola",'SpringCanola_R-Ready'!$I$138,0)</f>
        <v>0</v>
      </c>
      <c r="BK27" s="5">
        <f>IF($D27="Spring Canola",SpringCanola!$I$138,0)</f>
        <v>0</v>
      </c>
      <c r="BL27" s="5">
        <f>IF($D27="Spring Lentils",SpringLentils!$I$138,0)</f>
        <v>0</v>
      </c>
      <c r="BM27" s="5">
        <f>IF($D27="SW Spring Wheat",SWSpringWheat!$I$138,0)</f>
        <v>0</v>
      </c>
      <c r="BN27" s="5">
        <f>IF($D27="HR Winter Wheat",HRWinterWheat!$I$138,0)</f>
        <v>0</v>
      </c>
      <c r="BO27" s="5">
        <f>IF($D27="Winter Pea",WinterPea!$I$138,0)</f>
        <v>0</v>
      </c>
      <c r="BP27" s="5">
        <f>IF($D27="Winter Canola",WinterCanola!$I$138,0)</f>
        <v>0</v>
      </c>
      <c r="BQ27" s="377">
        <f>IF($D27="Forage Crop-Soil Builder Blend",ForageCrop!$I$138,0)</f>
        <v>0</v>
      </c>
      <c r="BR27" s="5">
        <f>IF($D27="SW Winter Wheat after Spring Legume",H27*SWWinterWheatAfterSpringLegume!$I$138,0)</f>
        <v>0</v>
      </c>
      <c r="BS27" s="5">
        <f>IF($D27="SW Winter Wheat after Forage Crop",H27*SWWinterWheatAfterForageCrop!$I$138,0)</f>
        <v>0</v>
      </c>
      <c r="BT27" s="5">
        <f>IF($D27="DN Spring Wheat after Spring Legume",H27*DNSpringWinterAfterSpringLegume!$I$138,0)</f>
        <v>0</v>
      </c>
      <c r="BU27" s="5">
        <f>IF($D27="DN Spring Wheat after Forage Crop",H27*DNSpringWheatAfterForageCrop!$I$138,0)</f>
        <v>0</v>
      </c>
      <c r="BV27" s="5">
        <f>IF($D27="DN Spring Wheat after Winter Crop",H27*DNSpringWheatAfterWinterCrop!$I$138,0)</f>
        <v>0</v>
      </c>
      <c r="BW27" s="5">
        <f>IF($D27="Chickpea after Forage Crop",H27*ChickpeaAfterForageCrop!$I$138,0)</f>
        <v>0</v>
      </c>
      <c r="BX27" s="5">
        <f>IF($D27="Chickpea after Cereal",H27*ChickpeaAfterCereal!$I$138,0)</f>
        <v>0</v>
      </c>
      <c r="BY27" s="5">
        <f>IF($D27="Spring Pea after Cereal",H27*SpringPeaAfterCereal!$I$138,0)</f>
        <v>0</v>
      </c>
      <c r="BZ27" s="5">
        <f>IF($D27="Forage Crop-St. John Area",H27*'ForageCrop-StJohn'!$I$138,0)</f>
        <v>0</v>
      </c>
      <c r="CA27" s="5">
        <f>IF($D27="Forage Crop-Genesee Area",H27*'ForageCrop-Genesee'!$I$138,0)</f>
        <v>0</v>
      </c>
      <c r="CB27" s="5">
        <f>IF($D27="Livestock Grazing",H27*LivestockGrazing!$I$138,0)</f>
        <v>0</v>
      </c>
      <c r="CC27" s="5">
        <f>IF($D27="SW Winter Wheat after Cereal",H27*SWWinterWheatafterCereal!$I$138,0)</f>
        <v>0</v>
      </c>
      <c r="CD27" s="5">
        <f>IF($D27="SW Winter Wheat after Fallow",H27*SWWinterWheatAfterFallow!$I$138,0)</f>
        <v>0</v>
      </c>
      <c r="CE27" s="5">
        <f>IF($D27="Chem-Fallow",H27*'Chem-Fallow'!$I$138,0)</f>
        <v>0</v>
      </c>
      <c r="CF27" s="5">
        <f>IF($D27="Flex-Fallow",H27*'Flex-Fallow'!$I$138,0)</f>
        <v>0</v>
      </c>
      <c r="CG27" s="5">
        <f>IF($D27="Spring Barley",H27*SpringBarley!$I$138,0)</f>
        <v>0</v>
      </c>
      <c r="CH27" s="5">
        <f>IF($D27="Roundup Ready Spring Canola",H27*'SpringCanola_R-Ready'!$I$138,0)</f>
        <v>0</v>
      </c>
      <c r="CI27" s="5">
        <f>IF($D27="Spring Canola",H27*SpringCanola!$I$138,0)</f>
        <v>0</v>
      </c>
      <c r="CJ27" s="5">
        <f>IF($D27="Spring Lentils",H27*SpringLentils!$I$138,0)</f>
        <v>0</v>
      </c>
      <c r="CK27" s="5">
        <f>IF($D27="SW Spring Wheat",H27*SWSpringWheat!$I$138,0)</f>
        <v>0</v>
      </c>
      <c r="CL27" s="5">
        <f>IF($D27="HR Winter Wheat",H27*HRWinterWheat!$I$138,0)</f>
        <v>0</v>
      </c>
      <c r="CM27" s="5">
        <f>IF($D27="Winter Pea",H27*WinterPea!$I$138,0)</f>
        <v>0</v>
      </c>
      <c r="CN27" s="5">
        <f>IF($D27="Winter Canola",H27*WinterCanola!$I$138,0)</f>
        <v>0</v>
      </c>
      <c r="CO27" s="377">
        <f>IF($D27="Forage Crop-Soil Builder Blend",H27*ForageCrop!$I$138,0)</f>
        <v>0</v>
      </c>
      <c r="CP27" s="5">
        <f>IF($D27="SW Winter Wheat after Spring Legume",H27*'Prices_Yields&amp;SeedInputs'!J$5,0)</f>
        <v>0</v>
      </c>
      <c r="CQ27" s="5">
        <f>IF($D27="SW Winter Wheat after Forage Crop",H27*'Prices_Yields&amp;SeedInputs'!J$6,0)</f>
        <v>0</v>
      </c>
      <c r="CR27" s="5">
        <f>IF($D27="DN Spring Wheat after Spring Legume",H27*'Prices_Yields&amp;SeedInputs'!J$7,0)</f>
        <v>0</v>
      </c>
      <c r="CS27" s="5">
        <f>IF($D27="DN Spring Wheat after Forage Crop",H27*'Prices_Yields&amp;SeedInputs'!J$8,0)</f>
        <v>0</v>
      </c>
      <c r="CT27" s="5">
        <f>IF($D27="DN Spring Wheat after Winter Crop",H27*'Prices_Yields&amp;SeedInputs'!J$9,0)</f>
        <v>0</v>
      </c>
      <c r="CU27" s="5">
        <f>IF($D27="Chickpea after Forage Crop",H27*'Prices_Yields&amp;SeedInputs'!J$10,0)</f>
        <v>0</v>
      </c>
      <c r="CV27" s="5">
        <f>IF($D27="Chickpea after Cereal",H27*'Prices_Yields&amp;SeedInputs'!J$11,0)</f>
        <v>0</v>
      </c>
      <c r="CW27" s="5">
        <f>IF($D27="Spring Pea after Cereal",H27*'Prices_Yields&amp;SeedInputs'!J$12,0)</f>
        <v>0</v>
      </c>
      <c r="CX27" s="5">
        <f>IF($D27="Forage Crop-St. John Area",H27*'Prices_Yields&amp;SeedInputs'!J$13,0)</f>
        <v>0</v>
      </c>
      <c r="CY27" s="5">
        <f>IF($D27="Forage Crop-Genesee Area",H27*'Prices_Yields&amp;SeedInputs'!J$14,0)</f>
        <v>0</v>
      </c>
      <c r="CZ27" s="5">
        <f>IF($D27="Livestock Grazing",H27*'Prices_Yields&amp;SeedInputs'!J$15,0)</f>
        <v>0</v>
      </c>
      <c r="DA27" s="5">
        <f>IF($D27="SW Winter Wheat after Cereal",H27*'Prices_Yields&amp;SeedInputs'!J$16,0)</f>
        <v>0</v>
      </c>
      <c r="DB27" s="5">
        <f>IF($D27="SW Winter Wheat after Fallow",H27*'Prices_Yields&amp;SeedInputs'!J$17,0)</f>
        <v>0</v>
      </c>
      <c r="DC27" s="5">
        <f>IF($D27="Chem-Fallow",H27*'Prices_Yields&amp;SeedInputs'!J$18,0)</f>
        <v>0</v>
      </c>
      <c r="DD27" s="5">
        <f>IF($D27="Flex-Fallow",H27*'Prices_Yields&amp;SeedInputs'!J$19,0)</f>
        <v>0</v>
      </c>
      <c r="DE27" s="5">
        <f>IF($D27="Spring Barley",H27*'Prices_Yields&amp;SeedInputs'!J$20,0)</f>
        <v>0</v>
      </c>
      <c r="DF27" s="5">
        <f>IF($D27="Roundup Ready Spring Canola",H27*'Prices_Yields&amp;SeedInputs'!J$21,0)</f>
        <v>0</v>
      </c>
      <c r="DG27" s="5">
        <f>IF($D27="Spring Canola",H27*'Prices_Yields&amp;SeedInputs'!J$22,0)</f>
        <v>0</v>
      </c>
      <c r="DH27" s="5">
        <f>IF($D27="Spring Lentils",H27*'Prices_Yields&amp;SeedInputs'!J$23,0)</f>
        <v>0</v>
      </c>
      <c r="DI27" s="5">
        <f>IF($D27="SW Spring Wheat",H27*'Prices_Yields&amp;SeedInputs'!J$24,0)</f>
        <v>0</v>
      </c>
      <c r="DJ27" s="5">
        <f>IF($D27="HR Winter Wheat",H27*'Prices_Yields&amp;SeedInputs'!J$25,0)</f>
        <v>0</v>
      </c>
      <c r="DK27" s="5">
        <f>IF($D27="Winter Pea",H27*'Prices_Yields&amp;SeedInputs'!J$26,0)</f>
        <v>0</v>
      </c>
      <c r="DL27" s="5">
        <f>IF($D27="Winter Canola",H27*'Prices_Yields&amp;SeedInputs'!J$27,0)</f>
        <v>0</v>
      </c>
      <c r="DM27" s="377">
        <f>IF($D27="Forage Crop-Soil Builder Blend",H27*'Prices_Yields&amp;SeedInputs'!J$28,0)</f>
        <v>0</v>
      </c>
      <c r="DN27" s="5">
        <f>IF($D27="SW Winter Wheat after Spring Legume",$H27*SWWinterWheatAfterSpringLegume!$I$135,0)</f>
        <v>0</v>
      </c>
      <c r="DO27" s="5">
        <f>IF($D27="SW Winter Wheat after Forage Crop",$H27*SWWinterWheatAfterForageCrop!$I$135,0)</f>
        <v>0</v>
      </c>
      <c r="DP27" s="5">
        <f>IF($D27="DN Spring Wheat after Spring Legume",$H27*DNSpringWinterAfterSpringLegume!$I$135,0)</f>
        <v>0</v>
      </c>
      <c r="DQ27" s="5">
        <f>IF($D27="DN Spring Wheat after Forage Crop",$H27*DNSpringWheatAfterForageCrop!$I$135,0)</f>
        <v>0</v>
      </c>
      <c r="DR27" s="5">
        <f>IF($D27="DN Spring Wheat after Winter Crop",$H27*DNSpringWheatAfterWinterCrop!$I$135,0)</f>
        <v>0</v>
      </c>
      <c r="DS27" s="5">
        <f>IF($D27="Chickpea after Forage Crop",$H27*ChickpeaAfterForageCrop!$I$135,0)</f>
        <v>0</v>
      </c>
      <c r="DT27" s="5">
        <f>IF($D27="Chickpea after Cereal",$H27*ChickpeaAfterCereal!$I$135,0)</f>
        <v>0</v>
      </c>
      <c r="DU27" s="5">
        <f>IF($D27="Spring Pea after Cereal",$H27*SpringPeaAfterCereal!$I$135,0)</f>
        <v>0</v>
      </c>
      <c r="DV27" s="5">
        <f>IF($D27="Forage Crop-St. John Area",$H27*'ForageCrop-StJohn'!$I$135,0)</f>
        <v>0</v>
      </c>
      <c r="DW27" s="5">
        <f>IF($D27="Forage Crop-Genesee Area",$H27*'ForageCrop-Genesee'!$I$135,0)</f>
        <v>0</v>
      </c>
      <c r="DX27" s="5">
        <f>IF($D27="Livestock Grazing",$H27*LivestockGrazing!$I$135,0)</f>
        <v>0</v>
      </c>
      <c r="DY27" s="5">
        <f>IF($D27="SW Winter Wheat after Cereal",$H27*SWWinterWheatafterCereal!$I$135,0)</f>
        <v>0</v>
      </c>
      <c r="DZ27" s="5">
        <f>IF($D27="SW Winter Wheat after Fallow",$H27*SWWinterWheatAfterFallow!$I$135,0)</f>
        <v>0</v>
      </c>
      <c r="EA27" s="5">
        <f>IF($D27="Chem-Fallow",$H27*'Chem-Fallow'!$I$135,0)</f>
        <v>0</v>
      </c>
      <c r="EB27" s="5">
        <f>IF($D27="Flex-Fallow",$H27*'Flex-Fallow'!$I$135,0)</f>
        <v>0</v>
      </c>
      <c r="EC27" s="5">
        <f>IF($D27="Spring Barley",$H27*SpringBarley!$I$135,0)</f>
        <v>0</v>
      </c>
      <c r="ED27" s="5">
        <f>IF($D27="Roundup Ready Spring Canola",$H27*'SpringCanola_R-Ready'!$I$135,0)</f>
        <v>0</v>
      </c>
      <c r="EE27" s="5">
        <f>IF($D27="Spring Canola",$H27*SpringCanola!$I$135,0)</f>
        <v>0</v>
      </c>
      <c r="EF27" s="5">
        <f>IF($D27="Spring Lentils",$H27*SpringLentils!$I$135,0)</f>
        <v>0</v>
      </c>
      <c r="EG27" s="5">
        <f>IF($D27="SW Spring Wheat",$H27*SWSpringWheat!$I$135,0)</f>
        <v>0</v>
      </c>
      <c r="EH27" s="5">
        <f>IF($D27="HR Winter Wheat",$H27*HRWinterWheat!$I$135,0)</f>
        <v>0</v>
      </c>
      <c r="EI27" s="5">
        <f>IF($D27="Winter Pea",$H27*WinterPea!$I$135,0)</f>
        <v>0</v>
      </c>
      <c r="EJ27" s="5">
        <f>IF($D27="Winter Canola",$H27*WinterCanola!$I$135,0)</f>
        <v>0</v>
      </c>
      <c r="EK27" s="377">
        <f>IF($D27="Forage Crop-Soil Builder Blend",$H27*ForageCrop!$I$135,0)</f>
        <v>0</v>
      </c>
      <c r="EL27" s="5">
        <f>IF($D27="SW Winter Wheat after Spring Legume",$H27*SWWinterWheatAfterSpringLegume!$J$116,0)</f>
        <v>0</v>
      </c>
      <c r="EM27" s="5">
        <f>IF($D27="SW Winter Wheat after Forage Crop",$H27*SWWinterWheatAfterForageCrop!$J$116,0)</f>
        <v>0</v>
      </c>
      <c r="EN27" s="5">
        <f>IF($D27="DN Spring Wheat after Spring Legume",$H27*DNSpringWinterAfterSpringLegume!$J$116,0)</f>
        <v>0</v>
      </c>
      <c r="EO27" s="5">
        <f>IF($D27="DN Spring Wheat after Forage Crop",$H27*DNSpringWheatAfterForageCrop!$J$116,0)</f>
        <v>0</v>
      </c>
      <c r="EP27" s="5">
        <f>IF($D27="DN Spring Wheat after Winter Crop",$H27*DNSpringWheatAfterWinterCrop!$J$116,0)</f>
        <v>0</v>
      </c>
      <c r="EQ27" s="5">
        <f>IF($D27="Chickpea after Forage Crop",$H27*ChickpeaAfterForageCrop!$J$116,0)</f>
        <v>0</v>
      </c>
      <c r="ER27" s="5">
        <f>IF($D27="Chickpea after Cereal",$H27*ChickpeaAfterCereal!$J$116,0)</f>
        <v>0</v>
      </c>
      <c r="ES27" s="5">
        <f>IF($D27="Spring Pea after Cereal",$H27*SpringPeaAfterCereal!$J$116,0)</f>
        <v>0</v>
      </c>
      <c r="ET27" s="5">
        <f>IF($D27="Forage Crop-St. John Area",$H27*'ForageCrop-StJohn'!$J$116,0)</f>
        <v>0</v>
      </c>
      <c r="EU27" s="5">
        <f>IF($D27="Forage Crop-Genesee Area",$H27*'ForageCrop-Genesee'!$J$116,0)</f>
        <v>0</v>
      </c>
      <c r="EV27" s="5">
        <f>IF($D27="Livestock Grazing",$H27*LivestockGrazing!$J$116,0)</f>
        <v>0</v>
      </c>
      <c r="EW27" s="5">
        <f>IF($D27="SW Winter Wheat after Cereal",$H27*SWWinterWheatafterCereal!$J$116,0)</f>
        <v>0</v>
      </c>
      <c r="EX27" s="5">
        <f>IF($D27="SW Winter Wheat after Fallow",$H27*SWWinterWheatAfterFallow!$J$116,0)</f>
        <v>0</v>
      </c>
      <c r="EY27" s="5">
        <f>IF($D27="Chem-Fallow",$H27*'Chem-Fallow'!$J$116,0)</f>
        <v>0</v>
      </c>
      <c r="EZ27" s="5">
        <f>IF($D27="Flex-Fallow",$H27*'Flex-Fallow'!$J$116,0)</f>
        <v>0</v>
      </c>
      <c r="FA27" s="5">
        <f>IF($D27="Spring Barley",$H27*SpringBarley!$J$116,0)</f>
        <v>0</v>
      </c>
      <c r="FB27" s="5">
        <f>IF($D27="Roundup Ready Spring Canola",$H27*'SpringCanola_R-Ready'!$J$116,0)</f>
        <v>0</v>
      </c>
      <c r="FC27" s="5">
        <f>IF($D27="Spring Canola",$H27*SpringCanola!$J$116,0)</f>
        <v>0</v>
      </c>
      <c r="FD27" s="5">
        <f>IF($D27="Spring Lentils",$H27*SpringLentils!$J$116,0)</f>
        <v>0</v>
      </c>
      <c r="FE27" s="5">
        <f>IF($D27="SW Spring Wheat",$H27*SWSpringWheat!$J$116,0)</f>
        <v>0</v>
      </c>
      <c r="FF27" s="5">
        <f>IF($D27="HR Winter Wheat",$H27*HRWinterWheat!$J$116,0)</f>
        <v>0</v>
      </c>
      <c r="FG27" s="5">
        <f>IF($D27="Winter Pea",$H27*WinterPea!$J$116,0)</f>
        <v>0</v>
      </c>
      <c r="FH27" s="5">
        <f>IF($D27="Winter Canola",$H27*WinterCanola!$J$116,0)</f>
        <v>0</v>
      </c>
      <c r="FI27" s="377">
        <f>IF($D27="Forage Crop-Soil Builder Blend",$H27*ForageCrop!$J$116,0)</f>
        <v>0</v>
      </c>
      <c r="FJ27" s="5">
        <f>IF($D27="SW Winter Wheat after Spring Legume",$H27*SWWinterWheatAfterSpringLegume!$J$117,0)</f>
        <v>0</v>
      </c>
      <c r="FK27" s="5">
        <f>IF($D27="SW Winter Wheat after Forage Crop",$H27*SWWinterWheatAfterForageCrop!$J$117,0)</f>
        <v>0</v>
      </c>
      <c r="FL27" s="5">
        <f>IF($D27="DN Spring Wheat after Spring Legume",$H27*DNSpringWinterAfterSpringLegume!$J$117,0)</f>
        <v>0</v>
      </c>
      <c r="FM27" s="5">
        <f>IF($D27="DN Spring Wheat after Forage Crop",$H27*DNSpringWheatAfterForageCrop!$J$117,0)</f>
        <v>0</v>
      </c>
      <c r="FN27" s="5">
        <f>IF($D27="DN Spring Wheat after Winter Crop",$H27*DNSpringWheatAfterWinterCrop!$J$117,0)</f>
        <v>0</v>
      </c>
      <c r="FO27" s="5">
        <f>IF($D27="Chickpea after Forage Crop",$H27*ChickpeaAfterForageCrop!$J$117,0)</f>
        <v>0</v>
      </c>
      <c r="FP27" s="5">
        <f>IF($D27="Chickpea after Cereal",$H27*ChickpeaAfterCereal!$J$117,0)</f>
        <v>0</v>
      </c>
      <c r="FQ27" s="5">
        <f>IF($D27="Spring Pea after Cereal",$H27*SpringPeaAfterCereal!$J$117,0)</f>
        <v>0</v>
      </c>
      <c r="FR27" s="5">
        <f>IF($D27="Forage Crop-St. John Area",$H27*'ForageCrop-StJohn'!$J$117,0)</f>
        <v>0</v>
      </c>
      <c r="FS27" s="5">
        <f>IF($D27="Forage Crop-Genesee Area",$H27*'ForageCrop-Genesee'!$J$117,0)</f>
        <v>0</v>
      </c>
      <c r="FT27" s="5">
        <f>IF($D27="Livestock Grazing",$H27*LivestockGrazing!$J$117,0)</f>
        <v>0</v>
      </c>
      <c r="FU27" s="5">
        <f>IF($D27="SW Winter Wheat after Cereal",$H27*SWWinterWheatafterCereal!$J$117,0)</f>
        <v>0</v>
      </c>
      <c r="FV27" s="5">
        <f>IF($D27="SW Winter Wheat after Fallow",$H27*SWWinterWheatAfterFallow!$J$117,0)</f>
        <v>0</v>
      </c>
      <c r="FW27" s="5">
        <f>IF($D27="Chem-Fallow",$H27*'Chem-Fallow'!$J$117,0)</f>
        <v>0</v>
      </c>
      <c r="FX27" s="5">
        <f>IF($D27="Flex-Fallow",$H27*'Flex-Fallow'!$J$117,0)</f>
        <v>0</v>
      </c>
      <c r="FY27" s="5">
        <f>IF($D27="Spring Barley",$H27*SpringBarley!$J$117,0)</f>
        <v>0</v>
      </c>
      <c r="FZ27" s="5">
        <f>IF($D27="Roundup Ready Spring Canola",$H27*'SpringCanola_R-Ready'!$J$117,0)</f>
        <v>0</v>
      </c>
      <c r="GA27" s="5">
        <f>IF($D27="Spring Canola",$H27*SpringCanola!$J$117,0)</f>
        <v>0</v>
      </c>
      <c r="GB27" s="5">
        <f>IF($D27="Spring Lentils",$H27*SpringLentils!$J$117,0)</f>
        <v>0</v>
      </c>
      <c r="GC27" s="5">
        <f>IF($D27="SW Spring Wheat",$H27*SWSpringWheat!$J$117,0)</f>
        <v>0</v>
      </c>
      <c r="GD27" s="5">
        <f>IF($D27="HR Winter Wheat",$H27*HRWinterWheat!$J$117,0)</f>
        <v>0</v>
      </c>
      <c r="GE27" s="5">
        <f>IF($D27="Winter Pea",$H27*WinterPea!$J$117,0)</f>
        <v>0</v>
      </c>
      <c r="GF27" s="5">
        <f>IF($D27="Winter Canola",$H27*WinterCanola!$J$117,0)</f>
        <v>0</v>
      </c>
      <c r="GG27" s="377">
        <f>IF($D27="Forage Crop-Soil Builder Blend",$H27*ForageCrop!$J$117,0)</f>
        <v>0</v>
      </c>
      <c r="GH27" s="5">
        <f>IF($D27="SW Winter Wheat after Spring Legume",$H27*SWWinterWheatAfterSpringLegume!$M$118,0)</f>
        <v>0</v>
      </c>
      <c r="GI27" s="5">
        <f>IF($D27="SW Winter Wheat after Forage Crop",$H27*SWWinterWheatAfterForageCrop!$M$118,0)</f>
        <v>0</v>
      </c>
      <c r="GJ27" s="5">
        <f>IF($D27="DN Spring Wheat after Spring Legume",$H27*DNSpringWinterAfterSpringLegume!$M$118,0)</f>
        <v>0</v>
      </c>
      <c r="GK27" s="5">
        <f>IF($D27="DN Spring Wheat after Forage Crop",$H27*DNSpringWheatAfterForageCrop!$M$118,0)</f>
        <v>0</v>
      </c>
      <c r="GL27" s="5">
        <f>IF($D27="DN Spring Wheat after Winter Crop",$H27*DNSpringWheatAfterWinterCrop!$M$118,0)</f>
        <v>0</v>
      </c>
      <c r="GM27" s="5">
        <f>IF($D27="Chickpea after Forage Crop",$H27*ChickpeaAfterForageCrop!$M$118,0)</f>
        <v>0</v>
      </c>
      <c r="GN27" s="5">
        <f>IF($D27="Chickpea after Cereal",$H27*ChickpeaAfterCereal!$M$118,0)</f>
        <v>0</v>
      </c>
      <c r="GO27" s="5">
        <f>IF($D27="Spring Pea after Cereal",$H27*SpringPeaAfterCereal!$M$118,0)</f>
        <v>0</v>
      </c>
      <c r="GP27" s="5">
        <f>IF($D27="Forage Crop-St. John Area",$H27*'ForageCrop-StJohn'!$M$118,0)</f>
        <v>0</v>
      </c>
      <c r="GQ27" s="5">
        <f>IF($D27="Forage Crop-Genesee Area",$H27*'ForageCrop-Genesee'!$M$118,0)</f>
        <v>0</v>
      </c>
      <c r="GR27" s="5">
        <f>IF($D27="Livestock Grazing",$H27*LivestockGrazing!$M$118,0)</f>
        <v>0</v>
      </c>
      <c r="GS27" s="5">
        <f>IF($D27="SW Winter Wheat after Cereal",$H27*SWWinterWheatafterCereal!$M$118,0)</f>
        <v>0</v>
      </c>
      <c r="GT27" s="5">
        <f>IF($D27="SW Winter Wheat after Fallow",$H27*SWWinterWheatAfterFallow!$M$118,0)</f>
        <v>0</v>
      </c>
      <c r="GU27" s="5">
        <f>IF($D27="Chem-Fallow",$H27*'Chem-Fallow'!$M$118,0)</f>
        <v>0</v>
      </c>
      <c r="GV27" s="5">
        <f>IF($D27="Flex-Fallow",$H27*'Flex-Fallow'!$M$118,0)</f>
        <v>0</v>
      </c>
      <c r="GW27" s="5">
        <f>IF($D27="Spring Barley",$H27*SpringBarley!$M$118,0)</f>
        <v>0</v>
      </c>
      <c r="GX27" s="5">
        <f>IF($D27="Roundup Ready Spring Canola",$H27*'SpringCanola_R-Ready'!$M$118,0)</f>
        <v>0</v>
      </c>
      <c r="GY27" s="5">
        <f>IF($D27="Spring Canola",$H27*SpringCanola!$M$118,0)</f>
        <v>0</v>
      </c>
      <c r="GZ27" s="5">
        <f>IF($D27="Spring Lentils",$H27*SpringLentils!$M$118,0)</f>
        <v>0</v>
      </c>
      <c r="HA27" s="5">
        <f>IF($D27="SW Spring Wheat",$H27*SWSpringWheat!$M$118,0)</f>
        <v>0</v>
      </c>
      <c r="HB27" s="5">
        <f>IF($D27="HR Winter Wheat",$H27*HRWinterWheat!$M$118,0)</f>
        <v>0</v>
      </c>
      <c r="HC27" s="5">
        <f>IF($D27="Winter Pea",$H27*WinterPea!$M$118,0)</f>
        <v>0</v>
      </c>
      <c r="HD27" s="5">
        <f>IF($D27="Winter Canola",$H27*WinterCanola!$M$118,0)</f>
        <v>0</v>
      </c>
      <c r="HE27" s="377">
        <f>IF($D27="Forage Crop-Soil Builder Blend",$H27*ForageCrop!$M$118,0)</f>
        <v>0</v>
      </c>
      <c r="HF27" s="5">
        <f>IF($D27="SW Winter Wheat after Spring Legume",($H27*(SUM(SWWinterWheatAfterSpringLegume!$E$9:$E$16)+SWWinterWheatAfterSpringLegume!$G$16))/2000,0)</f>
        <v>0</v>
      </c>
      <c r="HG27" s="5">
        <f>IF($D27="SW Winter Wheat after Forage Crop",($H27*(SUM(SWWinterWheatAfterForageCrop!$E$9:$E$16)+SWWinterWheatAfterForageCrop!$G$17))/2000,0)</f>
        <v>0</v>
      </c>
      <c r="HH27" s="5">
        <f>IF($D27="DN Spring Wheat after Spring Legume",($H27*(SUM(DNSpringWinterAfterSpringLegume!$E$9:$E$16)+DNSpringWinterAfterSpringLegume!$G$16))/2000,0)</f>
        <v>0</v>
      </c>
      <c r="HI27" s="5">
        <f>IF($D27="DN Spring Wheat after Forage Crop",($H27*(SUM(DNSpringWheatAfterForageCrop!$E$9:$E$16)+DNSpringWheatAfterForageCrop!$G$14))/2000,0)</f>
        <v>0</v>
      </c>
      <c r="HJ27" s="5">
        <f>IF($D27="DN Spring Wheat after Winter Crop",($H27*(SUM(DNSpringWheatAfterWinterCrop!$E$9:$E$16)+DNSpringWheatAfterWinterCrop!$G$16))/2000,0)</f>
        <v>0</v>
      </c>
      <c r="HK27" s="5">
        <f>IF($D27="Chickpea after Forage Crop",($H27*(SUM(ChickpeaAfterForageCrop!$E$9:$E$16)+ChickpeaAfterForageCrop!$G$14))/2000,0)</f>
        <v>0</v>
      </c>
      <c r="HL27" s="5">
        <f>IF($D27="Chickpea after Cereal",($H27*(SUM(ChickpeaAfterCereal!$E$9:$E$16)+ChickpeaAfterCereal!$G$14))/2000,0)</f>
        <v>0</v>
      </c>
      <c r="HM27" s="5">
        <f>IF($D27="Spring Pea after Cereal",($H27*(SUM(SpringPeaAfterCereal!$E$9:$E$16)+SpringPeaAfterCereal!$G$14))/2000,0)</f>
        <v>0</v>
      </c>
      <c r="HN27" s="5">
        <f>IF($D27="Forage Crop-St. John Area",($H27*(SUM('ForageCrop-StJohn'!$E$9:$E$16)+'ForageCrop-StJohn'!$G$14))/2000,0)</f>
        <v>0</v>
      </c>
      <c r="HO27" s="5">
        <f>IF($D27="Forage Crop-Genesee Area",($H27*(SUM('ForageCrop-Genesee'!$E$9:$E$16)+'ForageCrop-Genesee'!$G$14))/2000,0)</f>
        <v>0</v>
      </c>
      <c r="HP27" s="5">
        <f>IF($D27="Livestock Grazing",($H27*(SUM(LivestockGrazing!$E$9:$E$16)+LivestockGrazing!$G$14))/2000,0)</f>
        <v>0</v>
      </c>
      <c r="HQ27" s="5">
        <f>IF($D27="SW Winter Wheat after Cereal",($H27*(SUM(SWWinterWheatafterCereal!$E$9:$E$16)+SWWinterWheatafterCereal!$G$16))/2000,0)</f>
        <v>0</v>
      </c>
      <c r="HR27" s="5">
        <f>IF($D27="SW Winter Wheat after Fallow",($H27*(SUM(SWWinterWheatAfterFallow!$E$9:$E$16)+SWWinterWheatAfterFallow!$G$14))/2000,0)</f>
        <v>0</v>
      </c>
      <c r="HS27" s="5">
        <f>IF($D27="Chem-Fallow",($H27*(SUM('Chem-Fallow'!$E$9:$E$16)+'Chem-Fallow'!$G$16))/2000,0)</f>
        <v>0</v>
      </c>
      <c r="HT27" s="5">
        <f>IF($D27="Flex-Fallow",($H27*(SUM('Flex-Fallow'!$E$9:$E$16)+'Flex-Fallow'!$G$16))/2000,0)</f>
        <v>0</v>
      </c>
      <c r="HU27" s="5">
        <f>IF($D27="Spring Barley",($H27*(SUM(SpringBarley!$E$9:$E$16)+SpringBarley!$G$16))/2000,0)</f>
        <v>0</v>
      </c>
      <c r="HV27" s="5">
        <f>IF($D27="Roundup Ready Spring Canola",($H27*(SUM('SpringCanola_R-Ready'!$E$9:$E$16)+'SpringCanola_R-Ready'!$G$14))/2000,0)</f>
        <v>0</v>
      </c>
      <c r="HW27" s="5">
        <f>IF($D27="Spring Canola",($H27*(SUM(SpringCanola!$E$9:$E$16)+SpringCanola!$G$14))/2000,0)</f>
        <v>0</v>
      </c>
      <c r="HX27" s="5">
        <f>IF($D27="Spriing Lentils",($H27*(SUM(SpringLentils!$E$9:$E$16)+SpringLentils!$G$14))/2000,0)</f>
        <v>0</v>
      </c>
      <c r="HY27" s="5">
        <f>IF($D27="SW Spring Wheat",($H27*(SUM(SWSpringWheat!$E$9:$E$16)+SWSpringWheat!$G$18))/2000,0)</f>
        <v>0</v>
      </c>
      <c r="HZ27" s="5">
        <f>IF($D27="HR Winter Wheat",($H27*(SUM(HRWinterWheat!$E$9:$E$16)+HRWinterWheat!$G$16))/2000,0)</f>
        <v>0</v>
      </c>
      <c r="IA27" s="5">
        <f>IF($D27="Winter Pea",($H27*(SUM(WinterPea!$E$9:$E$16)+WinterPea!$G$14))/2000,0)</f>
        <v>0</v>
      </c>
      <c r="IB27" s="5">
        <f>IF($D27="Winter Canola",($H27*(SUM(WinterCanola!$E$9:$E$16)+WinterCanola!$G$14))/2000,0)</f>
        <v>0</v>
      </c>
      <c r="IC27" s="377">
        <f>IF($D27="Forage Crop-Soil Builder Blend",($H27*(SUM(ForageCrop!$E$9:$E$16)+ForageCrop!$G$14))/2000,0)</f>
        <v>0</v>
      </c>
      <c r="ID27" s="5">
        <f>IF($D27="SW Winter Wheat after Spring Legume",$H27*SWWinterWheatAfterSpringLegume!$G$62,0)</f>
        <v>0</v>
      </c>
      <c r="IE27" s="5">
        <f>IF($D27="SW Winter Wheat after Forage Crop",$H27*SWWinterWheatAfterForageCrop!$G$62,0)</f>
        <v>0</v>
      </c>
      <c r="IF27" s="5">
        <f>IF($D27="DN Spring Wheat after Spring Legume",$H27*DNSpringWinterAfterSpringLegume!$G$62,0)</f>
        <v>0</v>
      </c>
      <c r="IG27" s="5">
        <f>IF($D27="DN Spring Wheat after Forage Crop",$H27*DNSpringWheatAfterForageCrop!$G$62,0)</f>
        <v>0</v>
      </c>
      <c r="IH27" s="5">
        <f>IF($D27="DN Spring Wheat after Winter Crop",$H27*DNSpringWheatAfterWinterCrop!$G$62,0)</f>
        <v>0</v>
      </c>
      <c r="II27" s="5">
        <f>IF($D27="Chickpea after Forage Crop",$H27*ChickpeaAfterForageCrop!$G$62,0)</f>
        <v>0</v>
      </c>
      <c r="IJ27" s="5">
        <f>IF($D27="Chickpea after Cereal",$H27*ChickpeaAfterCereal!$G$62,0)</f>
        <v>0</v>
      </c>
      <c r="IK27" s="5">
        <f>IF($D27="Spring Pea after Cereal",$H27*SpringPeaAfterCereal!$G$62,0)</f>
        <v>0</v>
      </c>
      <c r="IL27" s="5">
        <f>IF($D27="Forage Crop-St. John Area",$H27*'ForageCrop-StJohn'!$G$62,0)</f>
        <v>0</v>
      </c>
      <c r="IM27" s="5">
        <f>IF($D27="Forage Crop-Genesee Area",$H27*'ForageCrop-Genesee'!$G$62,0)</f>
        <v>0</v>
      </c>
      <c r="IN27" s="5">
        <f>IF($D27="Livestock Grazing",$H27*LivestockGrazing!$G$62,0)</f>
        <v>0</v>
      </c>
      <c r="IO27" s="5">
        <f>IF($D27="SW Winter Wheat after Cereal",$H27*SWWinterWheatafterCereal!$G$62,0)</f>
        <v>0</v>
      </c>
      <c r="IP27" s="5">
        <f>IF($D27="SW Winter Wheat after Fallow",$H27*SWWinterWheatAfterFallow!$G$62,0)</f>
        <v>0</v>
      </c>
      <c r="IQ27" s="5">
        <f>IF($D27="Chem-Fallow",$H27*'Chem-Fallow'!$G$62,0)</f>
        <v>0</v>
      </c>
      <c r="IR27" s="5">
        <f>IF($D27="Flex-Fallow",$H27*'Flex-Fallow'!$G$62,0)</f>
        <v>0</v>
      </c>
      <c r="IS27" s="5">
        <f>IF($D27="Spring Barley",$H27*SpringBarley!$G$62,0)</f>
        <v>0</v>
      </c>
      <c r="IT27" s="5">
        <f>IF($D27="Roundup Ready Spring Canola",$H27*'SpringCanola_R-Ready'!$G$62,0)</f>
        <v>0</v>
      </c>
      <c r="IU27" s="5">
        <f>IF($D27="Spring Canola",$H27*SpringCanola!$G$62,0)</f>
        <v>0</v>
      </c>
      <c r="IV27" s="5">
        <f>IF($D27="Spriing Lentils",$H27*SpringLentils!$G$62,0)</f>
        <v>0</v>
      </c>
      <c r="IW27" s="5">
        <f>IF($D27="SW Spring Wheat",$H27*SWSpringWheat!$G$62,0)</f>
        <v>0</v>
      </c>
      <c r="IX27" s="5">
        <f>IF($D27="HR Winter Wheat",$H27*HRWinterWheat!$G$62,0)</f>
        <v>0</v>
      </c>
      <c r="IY27" s="5">
        <f>IF($D27="Winter Pea",$H27*WinterPea!$G$62,0)</f>
        <v>0</v>
      </c>
      <c r="IZ27" s="5">
        <f>IF($D27="Winter Canola",$H27*+WinterCanola!$G$62,0)</f>
        <v>0</v>
      </c>
      <c r="JA27" s="5">
        <f>IF($D27="Forage Crop-Soil Builder Blend",$H27*ForageCrop!$G$62,0)</f>
        <v>0</v>
      </c>
      <c r="JB27" s="5">
        <f>IF($D27="SW Winter Wheat after Spring Legume",$H27*SWWinterWheatAfterSpringLegume!$E$4,0)</f>
        <v>0</v>
      </c>
      <c r="JC27" s="5">
        <f>IF($D27="SW Winter Wheat after Forage Crop",$H27*SWWinterWheatAfterForageCrop!$E$4,0)</f>
        <v>0</v>
      </c>
      <c r="JD27" s="5">
        <f>IF($D27="DN Spring Wheat after Spring Legume",$H27*DNSpringWinterAfterSpringLegume!$E$4,0)</f>
        <v>0</v>
      </c>
      <c r="JE27" s="5">
        <f>IF($D27="DN Spring Wheat after Forage Crop",$H27*DNSpringWheatAfterForageCrop!$E$4,0)</f>
        <v>0</v>
      </c>
      <c r="JF27" s="5">
        <f>IF($D27="DN Spring Wheat after Winter Crop",$H27*DNSpringWheatAfterWinterCrop!$E$4,0)</f>
        <v>0</v>
      </c>
      <c r="JG27" s="5">
        <f>IF($D27="Chickpea after Forage Crop",$H27*ChickpeaAfterForageCrop!$E$4,0)</f>
        <v>0</v>
      </c>
      <c r="JH27" s="5">
        <f>IF($D27="Chickpea after Cereal",$H27*ChickpeaAfterCereal!$E$4,0)</f>
        <v>0</v>
      </c>
      <c r="JI27" s="5">
        <f>IF($D27="Spring Pea after Cereal",$H27*SpringPeaAfterCereal!$E$4,0)</f>
        <v>0</v>
      </c>
      <c r="JJ27" s="5">
        <f>IF($D27="Forage Crop-St. John Area",$H27*'ForageCrop-StJohn'!$E$4,0)</f>
        <v>0</v>
      </c>
      <c r="JK27" s="5">
        <f>IF($D27="Forage Crop-Genesee Area",$H27*'ForageCrop-Genesee'!$E$4,0)</f>
        <v>0</v>
      </c>
      <c r="JL27" s="5">
        <f>IF($D27="Livestock Grazing",$H27*LivestockGrazing!$E$4,0)</f>
        <v>0</v>
      </c>
      <c r="JM27" s="5">
        <f>IF($D27="SW Winter Wheat after Cereal",$H27*SWWinterWheatafterCereal!$E$4,0)</f>
        <v>0</v>
      </c>
      <c r="JN27" s="5">
        <f>IF($D27="SW Winter Wheat after Fallow",$H27*SWWinterWheatAfterFallow!$E$4,0)</f>
        <v>0</v>
      </c>
      <c r="JO27" s="5">
        <f>IF($D27="Chem-Fallow",$H27*'Chem-Fallow'!$E$4,0)</f>
        <v>0</v>
      </c>
      <c r="JP27" s="5">
        <f>IF($D27="Flex-Fallow",$H27*'Flex-Fallow'!$E$4,0)</f>
        <v>0</v>
      </c>
      <c r="JQ27" s="5">
        <f>IF($D27="Spring Barley",$H27*SpringBarley!$E$4,0)</f>
        <v>0</v>
      </c>
      <c r="JR27" s="5">
        <f>IF($D27="Roundup Ready Spring Canola",$H27*'SpringCanola_R-Ready'!$E$4,0)</f>
        <v>0</v>
      </c>
      <c r="JS27" s="5">
        <f>IF($D27="Spring Canola",$H27*SpringCanola!$E$4,0)</f>
        <v>0</v>
      </c>
      <c r="JT27" s="5">
        <f>IF($D27="Spriing Lentils",$H27*SpringLentils!$E$4,0)</f>
        <v>0</v>
      </c>
      <c r="JU27" s="5">
        <f>IF($D27="SW Spring Wheat",$H27*SWSpringWheat!$E$4,0)</f>
        <v>0</v>
      </c>
      <c r="JV27" s="5">
        <f>IF($D27="HR Winter Wheat",$H27*HRWinterWheat!$E$4,0)</f>
        <v>0</v>
      </c>
      <c r="JW27" s="5">
        <f>IF($D27="Winter Pea",$H27*WinterPea!$E$4,0)</f>
        <v>0</v>
      </c>
      <c r="JX27" s="5">
        <f>IF($D27="Winter Canola",$H27*+WinterCanola!$E$4,0)</f>
        <v>0</v>
      </c>
      <c r="JY27" s="5">
        <f>IF($D27="Forage Crop-Soil Builder Blend",$H27*ForageCrop!$E$4,0)</f>
        <v>0</v>
      </c>
    </row>
    <row r="28" spans="1:297" ht="20" customHeight="1">
      <c r="A28" s="8"/>
      <c r="B28" s="665" t="s">
        <v>8</v>
      </c>
      <c r="C28" s="666"/>
      <c r="D28" s="666"/>
      <c r="E28" s="667">
        <f>IF(F28&gt;1,"ERROR",SUM(F23:F27))</f>
        <v>1</v>
      </c>
      <c r="F28" s="668">
        <f>IF(SUM(F23:F27)&gt;1,"ERROR",SUM(F23:F27))</f>
        <v>1</v>
      </c>
      <c r="G28" s="669">
        <f>IF(SUM(G23:G27)&gt;$I$2,"ERROR",SUM(G23:G27))</f>
        <v>2500</v>
      </c>
      <c r="H28" s="670" t="s">
        <v>8</v>
      </c>
      <c r="I28" s="671"/>
      <c r="J28" s="164"/>
      <c r="K28" s="164"/>
      <c r="L28" s="164"/>
      <c r="M28" s="164"/>
      <c r="N28" s="229"/>
      <c r="O28" s="229"/>
      <c r="P28" s="229"/>
      <c r="Q28" s="229"/>
      <c r="R28" s="164"/>
      <c r="S28" s="164"/>
      <c r="T28" s="164"/>
    </row>
    <row r="29" spans="1:297" s="15" customFormat="1" ht="20" hidden="1" customHeight="1">
      <c r="A29" s="8"/>
      <c r="B29" s="725" t="s">
        <v>8</v>
      </c>
      <c r="C29" s="726"/>
      <c r="D29" s="726"/>
      <c r="I29" s="164"/>
      <c r="J29" s="164"/>
      <c r="K29" s="164"/>
      <c r="L29" s="164"/>
      <c r="M29" s="164"/>
      <c r="N29" s="241" t="s">
        <v>129</v>
      </c>
      <c r="O29" s="242">
        <v>19025.161209340673</v>
      </c>
      <c r="P29" s="242">
        <f>SUM('Farm and Rotation Setup'!BR23:CO27)</f>
        <v>852149.82631847705</v>
      </c>
      <c r="Q29" s="243">
        <f t="shared" ref="Q29:Q36" si="2">IF(P29=0,"",((P29-O29)/O29))</f>
        <v>43.790675723688587</v>
      </c>
      <c r="R29" s="164"/>
      <c r="S29" s="164"/>
      <c r="T29" s="164"/>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c r="BM29" s="148"/>
      <c r="BN29" s="148"/>
      <c r="BO29" s="148"/>
      <c r="BP29" s="148"/>
      <c r="BQ29" s="148"/>
      <c r="BR29" s="148"/>
      <c r="BS29" s="148"/>
      <c r="BT29" s="148"/>
      <c r="BU29" s="148"/>
      <c r="BV29" s="148"/>
      <c r="BW29" s="148"/>
      <c r="BX29" s="148"/>
      <c r="BY29" s="148"/>
      <c r="BZ29" s="148"/>
      <c r="CA29" s="148"/>
      <c r="CB29" s="148"/>
      <c r="CC29" s="148"/>
      <c r="CD29" s="148"/>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c r="EE29" s="148"/>
      <c r="EF29" s="148"/>
      <c r="EG29" s="148"/>
      <c r="EH29" s="148"/>
      <c r="EI29" s="148"/>
      <c r="EJ29" s="148"/>
      <c r="EK29" s="148"/>
      <c r="EL29" s="148"/>
      <c r="EM29" s="148"/>
      <c r="EN29" s="148"/>
      <c r="EO29" s="148"/>
      <c r="EP29" s="148"/>
      <c r="EQ29" s="148"/>
      <c r="ER29" s="148"/>
      <c r="ES29" s="148"/>
      <c r="ET29" s="148"/>
      <c r="EU29" s="148"/>
      <c r="EV29" s="148"/>
      <c r="EW29" s="148"/>
      <c r="EX29" s="148"/>
      <c r="EY29" s="148"/>
      <c r="EZ29" s="148"/>
      <c r="FA29" s="148"/>
      <c r="FB29" s="148"/>
      <c r="FC29" s="148"/>
      <c r="FD29" s="148"/>
      <c r="FE29" s="148"/>
      <c r="FF29" s="148"/>
      <c r="FG29" s="148"/>
      <c r="FH29" s="148"/>
      <c r="FI29" s="148"/>
      <c r="FJ29" s="148"/>
      <c r="FK29" s="148"/>
      <c r="FL29" s="148"/>
      <c r="FM29" s="148"/>
      <c r="FN29" s="148"/>
      <c r="FO29" s="148"/>
      <c r="FP29" s="148"/>
      <c r="FQ29" s="148"/>
      <c r="FR29" s="148"/>
      <c r="FS29" s="148"/>
      <c r="FT29" s="148"/>
      <c r="FU29" s="148"/>
      <c r="FV29" s="148"/>
      <c r="FW29" s="148"/>
      <c r="FX29" s="148"/>
      <c r="FY29" s="148"/>
      <c r="FZ29" s="148"/>
      <c r="GA29" s="148"/>
      <c r="GB29" s="148"/>
      <c r="GC29" s="148"/>
      <c r="GD29" s="148"/>
      <c r="GE29" s="148"/>
      <c r="GF29" s="148"/>
      <c r="GG29" s="148"/>
      <c r="GH29" s="148"/>
      <c r="GI29" s="148"/>
      <c r="GJ29" s="148"/>
      <c r="GK29" s="148"/>
      <c r="GL29" s="148"/>
      <c r="GM29" s="148"/>
      <c r="GN29" s="148"/>
      <c r="GO29" s="148"/>
      <c r="GP29" s="148"/>
      <c r="GQ29" s="148"/>
      <c r="GR29" s="148"/>
      <c r="GS29" s="148"/>
      <c r="GT29" s="148"/>
      <c r="GU29" s="148"/>
      <c r="GV29" s="148"/>
      <c r="GW29" s="148"/>
      <c r="GX29" s="148"/>
      <c r="GY29" s="148"/>
      <c r="GZ29" s="148"/>
      <c r="HA29" s="148"/>
      <c r="HB29" s="148"/>
      <c r="HC29" s="148"/>
      <c r="HD29" s="148"/>
      <c r="HE29" s="148"/>
      <c r="HF29" s="148"/>
      <c r="HG29" s="148"/>
      <c r="HH29" s="148"/>
      <c r="HI29" s="148"/>
      <c r="HJ29" s="148"/>
      <c r="HK29" s="148"/>
      <c r="HL29" s="148"/>
      <c r="HM29" s="148"/>
      <c r="HN29" s="148"/>
      <c r="HO29" s="148"/>
      <c r="HP29" s="148"/>
      <c r="HQ29" s="148"/>
      <c r="HR29" s="148"/>
      <c r="HS29" s="148"/>
      <c r="HT29" s="148"/>
      <c r="HU29" s="148"/>
      <c r="HV29" s="148"/>
      <c r="HW29" s="148"/>
      <c r="HX29" s="148"/>
      <c r="HY29" s="148"/>
      <c r="HZ29" s="148"/>
      <c r="IA29" s="148"/>
      <c r="IB29" s="148"/>
      <c r="IC29" s="148"/>
      <c r="ID29" s="148"/>
      <c r="IE29" s="148"/>
      <c r="IF29" s="148"/>
      <c r="IG29" s="148"/>
      <c r="IH29" s="148"/>
      <c r="II29" s="148"/>
      <c r="IJ29" s="148"/>
      <c r="IK29" s="148"/>
      <c r="IL29" s="148"/>
      <c r="IM29" s="148"/>
      <c r="IN29" s="148"/>
      <c r="IO29" s="148"/>
      <c r="IP29" s="148"/>
      <c r="IQ29" s="148"/>
      <c r="IR29" s="148"/>
      <c r="IS29" s="148"/>
      <c r="IT29" s="148"/>
      <c r="IU29" s="148"/>
      <c r="IV29" s="148"/>
      <c r="IW29" s="148"/>
      <c r="IX29" s="148"/>
      <c r="IY29" s="148"/>
      <c r="IZ29" s="148"/>
      <c r="JA29" s="148"/>
      <c r="JB29" s="148"/>
    </row>
    <row r="30" spans="1:297" s="15" customFormat="1" ht="20" hidden="1" customHeight="1">
      <c r="C30" s="429"/>
      <c r="D30" s="429"/>
      <c r="E30" s="163"/>
      <c r="F30" s="163"/>
      <c r="G30" s="163"/>
      <c r="N30" s="431" t="s">
        <v>128</v>
      </c>
      <c r="O30" s="234">
        <v>112500</v>
      </c>
      <c r="P30" s="234">
        <f>SUM('Farm and Rotation Setup'!CP23:DM27)</f>
        <v>188250</v>
      </c>
      <c r="Q30" s="232">
        <f t="shared" si="2"/>
        <v>0.67333333333333334</v>
      </c>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c r="BM30" s="148"/>
      <c r="BN30" s="148"/>
      <c r="BO30" s="148"/>
      <c r="BP30" s="148"/>
      <c r="BQ30" s="148"/>
      <c r="BR30" s="148"/>
      <c r="BS30" s="148"/>
      <c r="BT30" s="148"/>
      <c r="BU30" s="148"/>
      <c r="BV30" s="148"/>
      <c r="BW30" s="148"/>
      <c r="BX30" s="148"/>
      <c r="BY30" s="148"/>
      <c r="BZ30" s="148"/>
      <c r="CA30" s="148"/>
      <c r="CB30" s="148"/>
      <c r="CC30" s="148"/>
      <c r="CD30" s="148"/>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c r="EE30" s="148"/>
      <c r="EF30" s="148"/>
      <c r="EG30" s="148"/>
      <c r="EH30" s="148"/>
      <c r="EI30" s="148"/>
      <c r="EJ30" s="148"/>
      <c r="EK30" s="148"/>
      <c r="EL30" s="148"/>
      <c r="EM30" s="148"/>
      <c r="EN30" s="148"/>
      <c r="EO30" s="148"/>
      <c r="EP30" s="148"/>
      <c r="EQ30" s="148"/>
      <c r="ER30" s="148"/>
      <c r="ES30" s="148"/>
      <c r="ET30" s="148"/>
      <c r="EU30" s="148"/>
      <c r="EV30" s="148"/>
      <c r="EW30" s="148"/>
      <c r="EX30" s="148"/>
      <c r="EY30" s="148"/>
      <c r="EZ30" s="148"/>
      <c r="FA30" s="148"/>
      <c r="FB30" s="148"/>
      <c r="FC30" s="148"/>
      <c r="FD30" s="148"/>
      <c r="FE30" s="148"/>
      <c r="FF30" s="148"/>
      <c r="FG30" s="148"/>
      <c r="FH30" s="148"/>
      <c r="FI30" s="148"/>
      <c r="FJ30" s="148"/>
      <c r="FK30" s="148"/>
      <c r="FL30" s="148"/>
      <c r="FM30" s="148"/>
      <c r="FN30" s="148"/>
      <c r="FO30" s="148"/>
      <c r="FP30" s="148"/>
      <c r="FQ30" s="148"/>
      <c r="FR30" s="148"/>
      <c r="FS30" s="148"/>
      <c r="FT30" s="148"/>
      <c r="FU30" s="148"/>
      <c r="FV30" s="148"/>
      <c r="FW30" s="148"/>
      <c r="FX30" s="148"/>
      <c r="FY30" s="148"/>
      <c r="FZ30" s="148"/>
      <c r="GA30" s="148"/>
      <c r="GB30" s="148"/>
      <c r="GC30" s="148"/>
      <c r="GD30" s="148"/>
      <c r="GE30" s="148"/>
      <c r="GF30" s="148"/>
      <c r="GG30" s="148"/>
      <c r="GH30" s="148"/>
      <c r="GI30" s="148"/>
      <c r="GJ30" s="148"/>
      <c r="GK30" s="148"/>
      <c r="GL30" s="148"/>
      <c r="GM30" s="148"/>
      <c r="GN30" s="148"/>
      <c r="GO30" s="148"/>
      <c r="GP30" s="148"/>
      <c r="GQ30" s="148"/>
      <c r="GR30" s="148"/>
      <c r="GS30" s="148"/>
      <c r="GT30" s="148"/>
      <c r="GU30" s="148"/>
      <c r="GV30" s="148"/>
      <c r="GW30" s="148"/>
      <c r="GX30" s="148"/>
      <c r="GY30" s="148"/>
      <c r="GZ30" s="148"/>
      <c r="HA30" s="148"/>
      <c r="HB30" s="148"/>
      <c r="HC30" s="148"/>
      <c r="HD30" s="148"/>
      <c r="HE30" s="148"/>
      <c r="HF30" s="148"/>
      <c r="HG30" s="148"/>
      <c r="HH30" s="148"/>
      <c r="HI30" s="148"/>
      <c r="HJ30" s="148"/>
      <c r="HK30" s="148"/>
      <c r="HL30" s="148"/>
      <c r="HM30" s="148"/>
      <c r="HN30" s="148"/>
      <c r="HO30" s="148"/>
      <c r="HP30" s="148"/>
      <c r="HQ30" s="148"/>
      <c r="HR30" s="148"/>
      <c r="HS30" s="148"/>
      <c r="HT30" s="148"/>
      <c r="HU30" s="148"/>
      <c r="HV30" s="148"/>
      <c r="HW30" s="148"/>
      <c r="HX30" s="148"/>
      <c r="HY30" s="148"/>
      <c r="HZ30" s="148"/>
      <c r="IA30" s="148"/>
      <c r="IB30" s="148"/>
      <c r="IC30" s="148"/>
      <c r="ID30" s="148"/>
      <c r="IE30" s="148"/>
      <c r="IF30" s="148"/>
      <c r="IG30" s="148"/>
      <c r="IH30" s="148"/>
      <c r="II30" s="148"/>
      <c r="IJ30" s="148"/>
      <c r="IK30" s="148"/>
      <c r="IL30" s="148"/>
      <c r="IM30" s="148"/>
      <c r="IN30" s="148"/>
      <c r="IO30" s="148"/>
      <c r="IP30" s="148"/>
      <c r="IQ30" s="148"/>
      <c r="IR30" s="148"/>
      <c r="IS30" s="148"/>
      <c r="IT30" s="148"/>
      <c r="IU30" s="148"/>
      <c r="IV30" s="148"/>
      <c r="IW30" s="148"/>
      <c r="IX30" s="148"/>
      <c r="IY30" s="148"/>
      <c r="IZ30" s="148"/>
      <c r="JA30" s="148"/>
      <c r="JB30" s="148"/>
    </row>
    <row r="31" spans="1:297" s="15" customFormat="1" ht="20" hidden="1" customHeight="1">
      <c r="C31" s="429"/>
      <c r="D31" s="429"/>
      <c r="E31" s="163"/>
      <c r="F31" s="163"/>
      <c r="G31" s="163"/>
      <c r="N31" s="16" t="s">
        <v>127</v>
      </c>
      <c r="O31" s="235">
        <v>103.90625</v>
      </c>
      <c r="P31" s="235">
        <f>SUM('Farm and Rotation Setup'!HF23:IC27)</f>
        <v>79.842480468749997</v>
      </c>
      <c r="Q31" s="232">
        <f t="shared" si="2"/>
        <v>-0.23159116541353386</v>
      </c>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c r="BM31" s="148"/>
      <c r="BN31" s="148"/>
      <c r="BO31" s="148"/>
      <c r="BP31" s="148"/>
      <c r="BQ31" s="148"/>
      <c r="BR31" s="148"/>
      <c r="BS31" s="148"/>
      <c r="BT31" s="148"/>
      <c r="BU31" s="148"/>
      <c r="BV31" s="148"/>
      <c r="BW31" s="148"/>
      <c r="BX31" s="148"/>
      <c r="BY31" s="148"/>
      <c r="BZ31" s="148"/>
      <c r="CA31" s="148"/>
      <c r="CB31" s="148"/>
      <c r="CC31" s="148"/>
      <c r="CD31" s="148"/>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c r="EE31" s="148"/>
      <c r="EF31" s="148"/>
      <c r="EG31" s="148"/>
      <c r="EH31" s="148"/>
      <c r="EI31" s="148"/>
      <c r="EJ31" s="148"/>
      <c r="EK31" s="148"/>
      <c r="EL31" s="148"/>
      <c r="EM31" s="148"/>
      <c r="EN31" s="148"/>
      <c r="EO31" s="148"/>
      <c r="EP31" s="148"/>
      <c r="EQ31" s="148"/>
      <c r="ER31" s="148"/>
      <c r="ES31" s="148"/>
      <c r="ET31" s="148"/>
      <c r="EU31" s="148"/>
      <c r="EV31" s="148"/>
      <c r="EW31" s="148"/>
      <c r="EX31" s="148"/>
      <c r="EY31" s="148"/>
      <c r="EZ31" s="148"/>
      <c r="FA31" s="148"/>
      <c r="FB31" s="148"/>
      <c r="FC31" s="148"/>
      <c r="FD31" s="148"/>
      <c r="FE31" s="148"/>
      <c r="FF31" s="148"/>
      <c r="FG31" s="148"/>
      <c r="FH31" s="148"/>
      <c r="FI31" s="148"/>
      <c r="FJ31" s="148"/>
      <c r="FK31" s="148"/>
      <c r="FL31" s="148"/>
      <c r="FM31" s="148"/>
      <c r="FN31" s="148"/>
      <c r="FO31" s="148"/>
      <c r="FP31" s="148"/>
      <c r="FQ31" s="148"/>
      <c r="FR31" s="148"/>
      <c r="FS31" s="148"/>
      <c r="FT31" s="148"/>
      <c r="FU31" s="148"/>
      <c r="FV31" s="148"/>
      <c r="FW31" s="148"/>
      <c r="FX31" s="148"/>
      <c r="FY31" s="148"/>
      <c r="FZ31" s="148"/>
      <c r="GA31" s="148"/>
      <c r="GB31" s="148"/>
      <c r="GC31" s="148"/>
      <c r="GD31" s="148"/>
      <c r="GE31" s="148"/>
      <c r="GF31" s="148"/>
      <c r="GG31" s="148"/>
      <c r="GH31" s="148"/>
      <c r="GI31" s="148"/>
      <c r="GJ31" s="148"/>
      <c r="GK31" s="148"/>
      <c r="GL31" s="148"/>
      <c r="GM31" s="148"/>
      <c r="GN31" s="148"/>
      <c r="GO31" s="148"/>
      <c r="GP31" s="148"/>
      <c r="GQ31" s="148"/>
      <c r="GR31" s="148"/>
      <c r="GS31" s="148"/>
      <c r="GT31" s="148"/>
      <c r="GU31" s="148"/>
      <c r="GV31" s="148"/>
      <c r="GW31" s="148"/>
      <c r="GX31" s="148"/>
      <c r="GY31" s="148"/>
      <c r="GZ31" s="148"/>
      <c r="HA31" s="148"/>
      <c r="HB31" s="148"/>
      <c r="HC31" s="148"/>
      <c r="HD31" s="148"/>
      <c r="HE31" s="148"/>
      <c r="HF31" s="148"/>
      <c r="HG31" s="148"/>
      <c r="HH31" s="148"/>
      <c r="HI31" s="148"/>
      <c r="HJ31" s="148"/>
      <c r="HK31" s="148"/>
      <c r="HL31" s="148"/>
      <c r="HM31" s="148"/>
      <c r="HN31" s="148"/>
      <c r="HO31" s="148"/>
      <c r="HP31" s="148"/>
      <c r="HQ31" s="148"/>
      <c r="HR31" s="148"/>
      <c r="HS31" s="148"/>
      <c r="HT31" s="148"/>
      <c r="HU31" s="148"/>
      <c r="HV31" s="148"/>
      <c r="HW31" s="148"/>
      <c r="HX31" s="148"/>
      <c r="HY31" s="148"/>
      <c r="HZ31" s="148"/>
      <c r="IA31" s="148"/>
      <c r="IB31" s="148"/>
      <c r="IC31" s="148"/>
      <c r="ID31" s="148"/>
      <c r="IE31" s="148"/>
      <c r="IF31" s="148"/>
      <c r="IG31" s="148"/>
      <c r="IH31" s="148"/>
      <c r="II31" s="148"/>
      <c r="IJ31" s="148"/>
      <c r="IK31" s="148"/>
      <c r="IL31" s="148"/>
      <c r="IM31" s="148"/>
      <c r="IN31" s="148"/>
      <c r="IO31" s="148"/>
      <c r="IP31" s="148"/>
      <c r="IQ31" s="148"/>
      <c r="IR31" s="148"/>
      <c r="IS31" s="148"/>
      <c r="IT31" s="148"/>
      <c r="IU31" s="148"/>
      <c r="IV31" s="148"/>
      <c r="IW31" s="148"/>
      <c r="IX31" s="148"/>
      <c r="IY31" s="148"/>
      <c r="IZ31" s="148"/>
      <c r="JA31" s="148"/>
      <c r="JB31" s="148"/>
    </row>
    <row r="32" spans="1:297" s="15" customFormat="1" ht="20" hidden="1">
      <c r="E32" s="163"/>
      <c r="F32" s="163"/>
      <c r="G32" s="163"/>
      <c r="N32" s="16" t="s">
        <v>130</v>
      </c>
      <c r="O32" s="235">
        <v>2356.73828125</v>
      </c>
      <c r="P32" s="235">
        <f>SUM('Farm and Rotation Setup'!ID23:JA27)</f>
        <v>1179.6875</v>
      </c>
      <c r="Q32" s="232">
        <f t="shared" si="2"/>
        <v>-0.49944060000828738</v>
      </c>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c r="BM32" s="148"/>
      <c r="BN32" s="148"/>
      <c r="BO32" s="148"/>
      <c r="BP32" s="148"/>
      <c r="BQ32" s="148"/>
      <c r="BR32" s="148"/>
      <c r="BS32" s="148"/>
      <c r="BT32" s="148"/>
      <c r="BU32" s="148"/>
      <c r="BV32" s="148"/>
      <c r="BW32" s="148"/>
      <c r="BX32" s="148"/>
      <c r="BY32" s="148"/>
      <c r="BZ32" s="148"/>
      <c r="CA32" s="148"/>
      <c r="CB32" s="148"/>
      <c r="CC32" s="148"/>
      <c r="CD32" s="148"/>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c r="EE32" s="148"/>
      <c r="EF32" s="148"/>
      <c r="EG32" s="148"/>
      <c r="EH32" s="148"/>
      <c r="EI32" s="148"/>
      <c r="EJ32" s="148"/>
      <c r="EK32" s="148"/>
      <c r="EL32" s="148"/>
      <c r="EM32" s="148"/>
      <c r="EN32" s="148"/>
      <c r="EO32" s="148"/>
      <c r="EP32" s="148"/>
      <c r="EQ32" s="148"/>
      <c r="ER32" s="148"/>
      <c r="ES32" s="148"/>
      <c r="ET32" s="148"/>
      <c r="EU32" s="148"/>
      <c r="EV32" s="148"/>
      <c r="EW32" s="148"/>
      <c r="EX32" s="148"/>
      <c r="EY32" s="148"/>
      <c r="EZ32" s="148"/>
      <c r="FA32" s="148"/>
      <c r="FB32" s="148"/>
      <c r="FC32" s="148"/>
      <c r="FD32" s="148"/>
      <c r="FE32" s="148"/>
      <c r="FF32" s="148"/>
      <c r="FG32" s="148"/>
      <c r="FH32" s="148"/>
      <c r="FI32" s="148"/>
      <c r="FJ32" s="148"/>
      <c r="FK32" s="148"/>
      <c r="FL32" s="148"/>
      <c r="FM32" s="148"/>
      <c r="FN32" s="148"/>
      <c r="FO32" s="148"/>
      <c r="FP32" s="148"/>
      <c r="FQ32" s="148"/>
      <c r="FR32" s="148"/>
      <c r="FS32" s="148"/>
      <c r="FT32" s="148"/>
      <c r="FU32" s="148"/>
      <c r="FV32" s="148"/>
      <c r="FW32" s="148"/>
      <c r="FX32" s="148"/>
      <c r="FY32" s="148"/>
      <c r="FZ32" s="148"/>
      <c r="GA32" s="148"/>
      <c r="GB32" s="148"/>
      <c r="GC32" s="148"/>
      <c r="GD32" s="148"/>
      <c r="GE32" s="148"/>
      <c r="GF32" s="148"/>
      <c r="GG32" s="148"/>
      <c r="GH32" s="148"/>
      <c r="GI32" s="148"/>
      <c r="GJ32" s="148"/>
      <c r="GK32" s="148"/>
      <c r="GL32" s="148"/>
      <c r="GM32" s="148"/>
      <c r="GN32" s="148"/>
      <c r="GO32" s="148"/>
      <c r="GP32" s="148"/>
      <c r="GQ32" s="148"/>
      <c r="GR32" s="148"/>
      <c r="GS32" s="148"/>
      <c r="GT32" s="148"/>
      <c r="GU32" s="148"/>
      <c r="GV32" s="148"/>
      <c r="GW32" s="148"/>
      <c r="GX32" s="148"/>
      <c r="GY32" s="148"/>
      <c r="GZ32" s="148"/>
      <c r="HA32" s="148"/>
      <c r="HB32" s="148"/>
      <c r="HC32" s="148"/>
      <c r="HD32" s="148"/>
      <c r="HE32" s="148"/>
      <c r="HF32" s="148"/>
      <c r="HG32" s="148"/>
      <c r="HH32" s="148"/>
      <c r="HI32" s="148"/>
      <c r="HJ32" s="148"/>
      <c r="HK32" s="148"/>
      <c r="HL32" s="148"/>
      <c r="HM32" s="148"/>
      <c r="HN32" s="148"/>
      <c r="HO32" s="148"/>
      <c r="HP32" s="148"/>
      <c r="HQ32" s="148"/>
      <c r="HR32" s="148"/>
      <c r="HS32" s="148"/>
      <c r="HT32" s="148"/>
      <c r="HU32" s="148"/>
      <c r="HV32" s="148"/>
      <c r="HW32" s="148"/>
      <c r="HX32" s="148"/>
      <c r="HY32" s="148"/>
      <c r="HZ32" s="148"/>
      <c r="IA32" s="148"/>
      <c r="IB32" s="148"/>
      <c r="IC32" s="148"/>
      <c r="ID32" s="148"/>
      <c r="IE32" s="148"/>
      <c r="IF32" s="148"/>
      <c r="IG32" s="148"/>
      <c r="IH32" s="148"/>
      <c r="II32" s="148"/>
      <c r="IJ32" s="148"/>
      <c r="IK32" s="148"/>
      <c r="IL32" s="148"/>
      <c r="IM32" s="148"/>
      <c r="IN32" s="148"/>
      <c r="IO32" s="148"/>
      <c r="IP32" s="148"/>
      <c r="IQ32" s="148"/>
      <c r="IR32" s="148"/>
      <c r="IS32" s="148"/>
      <c r="IT32" s="148"/>
      <c r="IU32" s="148"/>
      <c r="IV32" s="148"/>
      <c r="IW32" s="148"/>
      <c r="IX32" s="148"/>
      <c r="IY32" s="148"/>
      <c r="IZ32" s="148"/>
      <c r="JA32" s="148"/>
      <c r="JB32" s="148"/>
    </row>
    <row r="33" spans="2:262" s="15" customFormat="1" ht="20" hidden="1">
      <c r="E33" s="696" t="s">
        <v>253</v>
      </c>
      <c r="F33" s="696"/>
      <c r="G33" s="696"/>
      <c r="H33" s="696"/>
      <c r="I33" s="696"/>
      <c r="N33" s="16" t="s">
        <v>113</v>
      </c>
      <c r="O33" s="235">
        <v>1111.7235331632655</v>
      </c>
      <c r="P33" s="235">
        <f>SUM('Farm and Rotation Setup'!EL23:FI27)/MachineAssumptions!$D$30</f>
        <v>1474.0055746138726</v>
      </c>
      <c r="Q33" s="232">
        <f t="shared" si="2"/>
        <v>0.32587422200174204</v>
      </c>
      <c r="S33" s="15" t="s">
        <v>274</v>
      </c>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c r="BM33" s="148"/>
      <c r="BN33" s="148"/>
      <c r="BO33" s="148"/>
      <c r="BP33" s="148"/>
      <c r="BQ33" s="148"/>
      <c r="BR33" s="148"/>
      <c r="BS33" s="148"/>
      <c r="BT33" s="148"/>
      <c r="BU33" s="148"/>
      <c r="BV33" s="148"/>
      <c r="BW33" s="148"/>
      <c r="BX33" s="148"/>
      <c r="BY33" s="148"/>
      <c r="BZ33" s="148"/>
      <c r="CA33" s="148"/>
      <c r="CB33" s="148"/>
      <c r="CC33" s="148"/>
      <c r="CD33" s="148"/>
      <c r="CE33" s="148"/>
      <c r="CF33" s="148"/>
      <c r="CG33" s="148"/>
      <c r="CH33" s="148"/>
      <c r="CI33" s="148"/>
      <c r="CJ33" s="148"/>
      <c r="CK33" s="148"/>
      <c r="CL33" s="148"/>
      <c r="CM33" s="148"/>
      <c r="CN33" s="148"/>
      <c r="CO33" s="148"/>
      <c r="CP33" s="148"/>
      <c r="CQ33" s="148"/>
      <c r="CR33" s="148"/>
      <c r="CS33" s="148"/>
      <c r="CT33" s="148"/>
      <c r="CU33" s="148"/>
      <c r="CV33" s="148"/>
      <c r="CW33" s="148"/>
      <c r="CX33" s="148"/>
      <c r="CY33" s="148"/>
      <c r="CZ33" s="148"/>
      <c r="DA33" s="148"/>
      <c r="DB33" s="148"/>
      <c r="DC33" s="148"/>
      <c r="DD33" s="148"/>
      <c r="DE33" s="148"/>
      <c r="DF33" s="148"/>
      <c r="DG33" s="148"/>
      <c r="DH33" s="148"/>
      <c r="DI33" s="148"/>
      <c r="DJ33" s="148"/>
      <c r="DK33" s="148"/>
      <c r="DL33" s="148"/>
      <c r="DM33" s="148"/>
      <c r="DN33" s="148"/>
      <c r="DO33" s="148"/>
      <c r="DP33" s="148"/>
      <c r="DQ33" s="148"/>
      <c r="DR33" s="148"/>
      <c r="DS33" s="148"/>
      <c r="DT33" s="148"/>
      <c r="DU33" s="148"/>
      <c r="DV33" s="148"/>
      <c r="DW33" s="148"/>
      <c r="DX33" s="148"/>
      <c r="DY33" s="148"/>
      <c r="DZ33" s="148"/>
      <c r="EA33" s="148"/>
      <c r="EB33" s="148"/>
      <c r="EC33" s="148"/>
      <c r="ED33" s="148"/>
      <c r="EE33" s="148"/>
      <c r="EF33" s="148"/>
      <c r="EG33" s="148"/>
      <c r="EH33" s="148"/>
      <c r="EI33" s="148"/>
      <c r="EJ33" s="148"/>
      <c r="EK33" s="148"/>
      <c r="EL33" s="148"/>
      <c r="EM33" s="148"/>
      <c r="EN33" s="148"/>
      <c r="EO33" s="148"/>
      <c r="EP33" s="148"/>
      <c r="EQ33" s="148"/>
      <c r="ER33" s="148"/>
      <c r="ES33" s="148"/>
      <c r="ET33" s="148"/>
      <c r="EU33" s="148"/>
      <c r="EV33" s="148"/>
      <c r="EW33" s="148"/>
      <c r="EX33" s="148"/>
      <c r="EY33" s="148"/>
      <c r="EZ33" s="148"/>
      <c r="FA33" s="148"/>
      <c r="FB33" s="148"/>
      <c r="FC33" s="148"/>
      <c r="FD33" s="148"/>
      <c r="FE33" s="148"/>
      <c r="FF33" s="148"/>
      <c r="FG33" s="148"/>
      <c r="FH33" s="148"/>
      <c r="FI33" s="148"/>
      <c r="FJ33" s="148"/>
      <c r="FK33" s="148"/>
      <c r="FL33" s="148"/>
      <c r="FM33" s="148"/>
      <c r="FN33" s="148"/>
      <c r="FO33" s="148"/>
      <c r="FP33" s="148"/>
      <c r="FQ33" s="148"/>
      <c r="FR33" s="148"/>
      <c r="FS33" s="148"/>
      <c r="FT33" s="148"/>
      <c r="FU33" s="148"/>
      <c r="FV33" s="148"/>
      <c r="FW33" s="148"/>
      <c r="FX33" s="148"/>
      <c r="FY33" s="148"/>
      <c r="FZ33" s="148"/>
      <c r="GA33" s="148"/>
      <c r="GB33" s="148"/>
      <c r="GC33" s="148"/>
      <c r="GD33" s="148"/>
      <c r="GE33" s="148"/>
      <c r="GF33" s="148"/>
      <c r="GG33" s="148"/>
      <c r="GH33" s="148"/>
      <c r="GI33" s="148"/>
      <c r="GJ33" s="148"/>
      <c r="GK33" s="148"/>
      <c r="GL33" s="148"/>
      <c r="GM33" s="148"/>
      <c r="GN33" s="148"/>
      <c r="GO33" s="148"/>
      <c r="GP33" s="148"/>
      <c r="GQ33" s="148"/>
      <c r="GR33" s="148"/>
      <c r="GS33" s="148"/>
      <c r="GT33" s="148"/>
      <c r="GU33" s="148"/>
      <c r="GV33" s="148"/>
      <c r="GW33" s="148"/>
      <c r="GX33" s="148"/>
      <c r="GY33" s="148"/>
      <c r="GZ33" s="148"/>
      <c r="HA33" s="148"/>
      <c r="HB33" s="148"/>
      <c r="HC33" s="148"/>
      <c r="HD33" s="148"/>
      <c r="HE33" s="148"/>
      <c r="HF33" s="148"/>
      <c r="HG33" s="148"/>
      <c r="HH33" s="148"/>
      <c r="HI33" s="148"/>
      <c r="HJ33" s="148"/>
      <c r="HK33" s="148"/>
      <c r="HL33" s="148"/>
      <c r="HM33" s="148"/>
      <c r="HN33" s="148"/>
      <c r="HO33" s="148"/>
      <c r="HP33" s="148"/>
      <c r="HQ33" s="148"/>
      <c r="HR33" s="148"/>
      <c r="HS33" s="148"/>
      <c r="HT33" s="148"/>
      <c r="HU33" s="148"/>
      <c r="HV33" s="148"/>
      <c r="HW33" s="148"/>
      <c r="HX33" s="148"/>
      <c r="HY33" s="148"/>
      <c r="HZ33" s="148"/>
      <c r="IA33" s="148"/>
      <c r="IB33" s="148"/>
      <c r="IC33" s="148"/>
      <c r="ID33" s="148"/>
      <c r="IE33" s="148"/>
      <c r="IF33" s="148"/>
      <c r="IG33" s="148"/>
      <c r="IH33" s="148"/>
      <c r="II33" s="148"/>
      <c r="IJ33" s="148"/>
      <c r="IK33" s="148"/>
      <c r="IL33" s="148"/>
      <c r="IM33" s="148"/>
      <c r="IN33" s="148"/>
      <c r="IO33" s="148"/>
      <c r="IP33" s="148"/>
      <c r="IQ33" s="148"/>
      <c r="IR33" s="148"/>
      <c r="IS33" s="148"/>
      <c r="IT33" s="148"/>
      <c r="IU33" s="148"/>
      <c r="IV33" s="148"/>
      <c r="IW33" s="148"/>
      <c r="IX33" s="148"/>
      <c r="IY33" s="148"/>
      <c r="IZ33" s="148"/>
      <c r="JA33" s="148"/>
      <c r="JB33" s="148"/>
    </row>
    <row r="34" spans="2:262" s="15" customFormat="1" ht="20" hidden="1">
      <c r="C34" s="158"/>
      <c r="D34" s="158"/>
      <c r="E34" s="371" t="s">
        <v>138</v>
      </c>
      <c r="F34" s="163"/>
      <c r="N34" s="16" t="s">
        <v>100</v>
      </c>
      <c r="O34" s="235">
        <v>40977.450451334371</v>
      </c>
      <c r="P34" s="235">
        <f>SUM('Farm and Rotation Setup'!FJ23:GG27)</f>
        <v>70972.511779428547</v>
      </c>
      <c r="Q34" s="232">
        <f t="shared" si="2"/>
        <v>0.73198944779926955</v>
      </c>
      <c r="S34" s="15" t="s">
        <v>275</v>
      </c>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8"/>
      <c r="BM34" s="148"/>
      <c r="BN34" s="148"/>
      <c r="BO34" s="148"/>
      <c r="BP34" s="148"/>
      <c r="BQ34" s="148"/>
      <c r="BR34" s="148"/>
      <c r="BS34" s="148"/>
      <c r="BT34" s="148"/>
      <c r="BU34" s="148"/>
      <c r="BV34" s="148"/>
      <c r="BW34" s="148"/>
      <c r="BX34" s="148"/>
      <c r="BY34" s="148"/>
      <c r="BZ34" s="148"/>
      <c r="CA34" s="148"/>
      <c r="CB34" s="148"/>
      <c r="CC34" s="148"/>
      <c r="CD34" s="148"/>
      <c r="CE34" s="148"/>
      <c r="CF34" s="148"/>
      <c r="CG34" s="148"/>
      <c r="CH34" s="148"/>
      <c r="CI34" s="148"/>
      <c r="CJ34" s="148"/>
      <c r="CK34" s="148"/>
      <c r="CL34" s="148"/>
      <c r="CM34" s="148"/>
      <c r="CN34" s="148"/>
      <c r="CO34" s="148"/>
      <c r="CP34" s="148"/>
      <c r="CQ34" s="148"/>
      <c r="CR34" s="148"/>
      <c r="CS34" s="148"/>
      <c r="CT34" s="148"/>
      <c r="CU34" s="148"/>
      <c r="CV34" s="148"/>
      <c r="CW34" s="148"/>
      <c r="CX34" s="148"/>
      <c r="CY34" s="148"/>
      <c r="CZ34" s="148"/>
      <c r="DA34" s="148"/>
      <c r="DB34" s="148"/>
      <c r="DC34" s="148"/>
      <c r="DD34" s="148"/>
      <c r="DE34" s="148"/>
      <c r="DF34" s="148"/>
      <c r="DG34" s="148"/>
      <c r="DH34" s="148"/>
      <c r="DI34" s="148"/>
      <c r="DJ34" s="148"/>
      <c r="DK34" s="148"/>
      <c r="DL34" s="148"/>
      <c r="DM34" s="148"/>
      <c r="DN34" s="148"/>
      <c r="DO34" s="148"/>
      <c r="DP34" s="148"/>
      <c r="DQ34" s="148"/>
      <c r="DR34" s="148"/>
      <c r="DS34" s="148"/>
      <c r="DT34" s="148"/>
      <c r="DU34" s="148"/>
      <c r="DV34" s="148"/>
      <c r="DW34" s="148"/>
      <c r="DX34" s="148"/>
      <c r="DY34" s="148"/>
      <c r="DZ34" s="148"/>
      <c r="EA34" s="148"/>
      <c r="EB34" s="148"/>
      <c r="EC34" s="148"/>
      <c r="ED34" s="148"/>
      <c r="EE34" s="148"/>
      <c r="EF34" s="148"/>
      <c r="EG34" s="148"/>
      <c r="EH34" s="148"/>
      <c r="EI34" s="148"/>
      <c r="EJ34" s="148"/>
      <c r="EK34" s="148"/>
      <c r="EL34" s="148"/>
      <c r="EM34" s="148"/>
      <c r="EN34" s="148"/>
      <c r="EO34" s="148"/>
      <c r="EP34" s="148"/>
      <c r="EQ34" s="148"/>
      <c r="ER34" s="148"/>
      <c r="ES34" s="148"/>
      <c r="ET34" s="148"/>
      <c r="EU34" s="148"/>
      <c r="EV34" s="148"/>
      <c r="EW34" s="148"/>
      <c r="EX34" s="148"/>
      <c r="EY34" s="148"/>
      <c r="EZ34" s="148"/>
      <c r="FA34" s="148"/>
      <c r="FB34" s="148"/>
      <c r="FC34" s="148"/>
      <c r="FD34" s="148"/>
      <c r="FE34" s="148"/>
      <c r="FF34" s="148"/>
      <c r="FG34" s="148"/>
      <c r="FH34" s="148"/>
      <c r="FI34" s="148"/>
      <c r="FJ34" s="148"/>
      <c r="FK34" s="148"/>
      <c r="FL34" s="148"/>
      <c r="FM34" s="148"/>
      <c r="FN34" s="148"/>
      <c r="FO34" s="148"/>
      <c r="FP34" s="148"/>
      <c r="FQ34" s="148"/>
      <c r="FR34" s="148"/>
      <c r="FS34" s="148"/>
      <c r="FT34" s="148"/>
      <c r="FU34" s="148"/>
      <c r="FV34" s="148"/>
      <c r="FW34" s="148"/>
      <c r="FX34" s="148"/>
      <c r="FY34" s="148"/>
      <c r="FZ34" s="148"/>
      <c r="GA34" s="148"/>
      <c r="GB34" s="148"/>
      <c r="GC34" s="148"/>
      <c r="GD34" s="148"/>
      <c r="GE34" s="148"/>
      <c r="GF34" s="148"/>
      <c r="GG34" s="148"/>
      <c r="GH34" s="148"/>
      <c r="GI34" s="148"/>
      <c r="GJ34" s="148"/>
      <c r="GK34" s="148"/>
      <c r="GL34" s="148"/>
      <c r="GM34" s="148"/>
      <c r="GN34" s="148"/>
      <c r="GO34" s="148"/>
      <c r="GP34" s="148"/>
      <c r="GQ34" s="148"/>
      <c r="GR34" s="148"/>
      <c r="GS34" s="148"/>
      <c r="GT34" s="148"/>
      <c r="GU34" s="148"/>
      <c r="GV34" s="148"/>
      <c r="GW34" s="148"/>
      <c r="GX34" s="148"/>
      <c r="GY34" s="148"/>
      <c r="GZ34" s="148"/>
      <c r="HA34" s="148"/>
      <c r="HB34" s="148"/>
      <c r="HC34" s="148"/>
      <c r="HD34" s="148"/>
      <c r="HE34" s="148"/>
      <c r="HF34" s="148"/>
      <c r="HG34" s="148"/>
      <c r="HH34" s="148"/>
      <c r="HI34" s="148"/>
      <c r="HJ34" s="148"/>
      <c r="HK34" s="148"/>
      <c r="HL34" s="148"/>
      <c r="HM34" s="148"/>
      <c r="HN34" s="148"/>
      <c r="HO34" s="148"/>
      <c r="HP34" s="148"/>
      <c r="HQ34" s="148"/>
      <c r="HR34" s="148"/>
      <c r="HS34" s="148"/>
      <c r="HT34" s="148"/>
      <c r="HU34" s="148"/>
      <c r="HV34" s="148"/>
      <c r="HW34" s="148"/>
      <c r="HX34" s="148"/>
      <c r="HY34" s="148"/>
      <c r="HZ34" s="148"/>
      <c r="IA34" s="148"/>
      <c r="IB34" s="148"/>
      <c r="IC34" s="148"/>
      <c r="ID34" s="148"/>
      <c r="IE34" s="148"/>
      <c r="IF34" s="148"/>
      <c r="IG34" s="148"/>
      <c r="IH34" s="148"/>
      <c r="II34" s="148"/>
      <c r="IJ34" s="148"/>
      <c r="IK34" s="148"/>
      <c r="IL34" s="148"/>
      <c r="IM34" s="148"/>
      <c r="IN34" s="148"/>
      <c r="IO34" s="148"/>
      <c r="IP34" s="148"/>
      <c r="IQ34" s="148"/>
      <c r="IR34" s="148"/>
      <c r="IS34" s="148"/>
      <c r="IT34" s="148"/>
      <c r="IU34" s="148"/>
      <c r="IV34" s="148"/>
      <c r="IW34" s="148"/>
      <c r="IX34" s="148"/>
      <c r="IY34" s="148"/>
      <c r="IZ34" s="148"/>
      <c r="JA34" s="148"/>
      <c r="JB34" s="148"/>
    </row>
    <row r="35" spans="2:262" s="15" customFormat="1" ht="20" hidden="1">
      <c r="B35" s="237" t="s">
        <v>374</v>
      </c>
      <c r="D35" s="158"/>
      <c r="E35" s="372">
        <f>IF(D5="Soft White Winter Wheat after Fallow",G5,0)</f>
        <v>0</v>
      </c>
      <c r="G35" s="15">
        <f>IF(D6="soft white wheat after fallow", G6,0)</f>
        <v>0</v>
      </c>
      <c r="N35" s="16" t="s">
        <v>102</v>
      </c>
      <c r="O35" s="235">
        <v>16129.898273330997</v>
      </c>
      <c r="P35" s="235">
        <f>SUM('Farm and Rotation Setup'!GH23:HE27)</f>
        <v>27353.755459878339</v>
      </c>
      <c r="Q35" s="232">
        <f t="shared" si="2"/>
        <v>0.69584178377025163</v>
      </c>
      <c r="S35" s="352" t="s">
        <v>8</v>
      </c>
      <c r="V35" s="148"/>
      <c r="W35" s="148"/>
      <c r="X35" s="148"/>
      <c r="Y35" s="148"/>
      <c r="Z35" s="148"/>
      <c r="AA35" s="148"/>
      <c r="AB35" s="148"/>
      <c r="AC35" s="148"/>
      <c r="AD35" s="148"/>
      <c r="AE35" s="148"/>
      <c r="AF35" s="148"/>
      <c r="AG35" s="148"/>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48"/>
      <c r="BM35" s="148"/>
      <c r="BN35" s="148"/>
      <c r="BO35" s="148"/>
      <c r="BP35" s="148"/>
      <c r="BQ35" s="148"/>
      <c r="BR35" s="148"/>
      <c r="BS35" s="148"/>
      <c r="BT35" s="148"/>
      <c r="BU35" s="148"/>
      <c r="BV35" s="148"/>
      <c r="BW35" s="148"/>
      <c r="BX35" s="148"/>
      <c r="BY35" s="148"/>
      <c r="BZ35" s="148"/>
      <c r="CA35" s="148"/>
      <c r="CB35" s="148"/>
      <c r="CC35" s="148"/>
      <c r="CD35" s="148"/>
      <c r="CE35" s="148"/>
      <c r="CF35" s="148"/>
      <c r="CG35" s="148"/>
      <c r="CH35" s="148"/>
      <c r="CI35" s="148"/>
      <c r="CJ35" s="148"/>
      <c r="CK35" s="148"/>
      <c r="CL35" s="148"/>
      <c r="CM35" s="148"/>
      <c r="CN35" s="148"/>
      <c r="CO35" s="148"/>
      <c r="CP35" s="148"/>
      <c r="CQ35" s="148"/>
      <c r="CR35" s="148"/>
      <c r="CS35" s="148"/>
      <c r="CT35" s="148"/>
      <c r="CU35" s="148"/>
      <c r="CV35" s="148"/>
      <c r="CW35" s="148"/>
      <c r="CX35" s="148"/>
      <c r="CY35" s="148"/>
      <c r="CZ35" s="148"/>
      <c r="DA35" s="148"/>
      <c r="DB35" s="148"/>
      <c r="DC35" s="148"/>
      <c r="DD35" s="148"/>
      <c r="DE35" s="148"/>
      <c r="DF35" s="148"/>
      <c r="DG35" s="148"/>
      <c r="DH35" s="148"/>
      <c r="DI35" s="148"/>
      <c r="DJ35" s="148"/>
      <c r="DK35" s="148"/>
      <c r="DL35" s="148"/>
      <c r="DM35" s="148"/>
      <c r="DN35" s="148"/>
      <c r="DO35" s="148"/>
      <c r="DP35" s="148"/>
      <c r="DQ35" s="148"/>
      <c r="DR35" s="148"/>
      <c r="DS35" s="148"/>
      <c r="DT35" s="148"/>
      <c r="DU35" s="148"/>
      <c r="DV35" s="148"/>
      <c r="DW35" s="148"/>
      <c r="DX35" s="148"/>
      <c r="DY35" s="148"/>
      <c r="DZ35" s="148"/>
      <c r="EA35" s="148"/>
      <c r="EB35" s="148"/>
      <c r="EC35" s="148"/>
      <c r="ED35" s="148"/>
      <c r="EE35" s="148"/>
      <c r="EF35" s="148"/>
      <c r="EG35" s="148"/>
      <c r="EH35" s="148"/>
      <c r="EI35" s="148"/>
      <c r="EJ35" s="148"/>
      <c r="EK35" s="148"/>
      <c r="EL35" s="148"/>
      <c r="EM35" s="148"/>
      <c r="EN35" s="148"/>
      <c r="EO35" s="148"/>
      <c r="EP35" s="148"/>
      <c r="EQ35" s="148"/>
      <c r="ER35" s="148"/>
      <c r="ES35" s="148"/>
      <c r="ET35" s="148"/>
      <c r="EU35" s="148"/>
      <c r="EV35" s="148"/>
      <c r="EW35" s="148"/>
      <c r="EX35" s="148"/>
      <c r="EY35" s="148"/>
      <c r="EZ35" s="148"/>
      <c r="FA35" s="148"/>
      <c r="FB35" s="148"/>
      <c r="FC35" s="148"/>
      <c r="FD35" s="148"/>
      <c r="FE35" s="148"/>
      <c r="FF35" s="148"/>
      <c r="FG35" s="148"/>
      <c r="FH35" s="148"/>
      <c r="FI35" s="148"/>
      <c r="FJ35" s="148"/>
      <c r="FK35" s="148"/>
      <c r="FL35" s="148"/>
      <c r="FM35" s="148"/>
      <c r="FN35" s="148"/>
      <c r="FO35" s="148"/>
      <c r="FP35" s="148"/>
      <c r="FQ35" s="148"/>
      <c r="FR35" s="148"/>
      <c r="FS35" s="148"/>
      <c r="FT35" s="148"/>
      <c r="FU35" s="148"/>
      <c r="FV35" s="148"/>
      <c r="FW35" s="148"/>
      <c r="FX35" s="148"/>
      <c r="FY35" s="148"/>
      <c r="FZ35" s="148"/>
      <c r="GA35" s="148"/>
      <c r="GB35" s="148"/>
      <c r="GC35" s="148"/>
      <c r="GD35" s="148"/>
      <c r="GE35" s="148"/>
      <c r="GF35" s="148"/>
      <c r="GG35" s="148"/>
      <c r="GH35" s="148"/>
      <c r="GI35" s="148"/>
      <c r="GJ35" s="148"/>
      <c r="GK35" s="148"/>
      <c r="GL35" s="148"/>
      <c r="GM35" s="148"/>
      <c r="GN35" s="148"/>
      <c r="GO35" s="148"/>
      <c r="GP35" s="148"/>
      <c r="GQ35" s="148"/>
      <c r="GR35" s="148"/>
      <c r="GS35" s="148"/>
      <c r="GT35" s="148"/>
      <c r="GU35" s="148"/>
      <c r="GV35" s="148"/>
      <c r="GW35" s="148"/>
      <c r="GX35" s="148"/>
      <c r="GY35" s="148"/>
      <c r="GZ35" s="148"/>
      <c r="HA35" s="148"/>
      <c r="HB35" s="148"/>
      <c r="HC35" s="148"/>
      <c r="HD35" s="148"/>
      <c r="HE35" s="148"/>
      <c r="HF35" s="148"/>
      <c r="HG35" s="148"/>
      <c r="HH35" s="148"/>
      <c r="HI35" s="148"/>
      <c r="HJ35" s="148"/>
      <c r="HK35" s="148"/>
      <c r="HL35" s="148"/>
      <c r="HM35" s="148"/>
      <c r="HN35" s="148"/>
      <c r="HO35" s="148"/>
      <c r="HP35" s="148"/>
      <c r="HQ35" s="148"/>
      <c r="HR35" s="148"/>
      <c r="HS35" s="148"/>
      <c r="HT35" s="148"/>
      <c r="HU35" s="148"/>
      <c r="HV35" s="148"/>
      <c r="HW35" s="148"/>
      <c r="HX35" s="148"/>
      <c r="HY35" s="148"/>
      <c r="HZ35" s="148"/>
      <c r="IA35" s="148"/>
      <c r="IB35" s="148"/>
      <c r="IC35" s="148"/>
      <c r="ID35" s="148"/>
      <c r="IE35" s="148"/>
      <c r="IF35" s="148"/>
      <c r="IG35" s="148"/>
      <c r="IH35" s="148"/>
      <c r="II35" s="148"/>
      <c r="IJ35" s="148"/>
      <c r="IK35" s="148"/>
      <c r="IL35" s="148"/>
      <c r="IM35" s="148"/>
      <c r="IN35" s="148"/>
      <c r="IO35" s="148"/>
      <c r="IP35" s="148"/>
      <c r="IQ35" s="148"/>
      <c r="IR35" s="148"/>
      <c r="IS35" s="148"/>
      <c r="IT35" s="148"/>
      <c r="IU35" s="148"/>
      <c r="IV35" s="148"/>
      <c r="IW35" s="148"/>
      <c r="IX35" s="148"/>
      <c r="IY35" s="148"/>
      <c r="IZ35" s="148"/>
      <c r="JA35" s="148"/>
      <c r="JB35" s="148"/>
    </row>
    <row r="36" spans="2:262" s="15" customFormat="1" ht="20" hidden="1">
      <c r="B36" s="237" t="s">
        <v>375</v>
      </c>
      <c r="D36" s="158"/>
      <c r="N36" s="16" t="s">
        <v>101</v>
      </c>
      <c r="O36" s="231">
        <v>73474.997618596186</v>
      </c>
      <c r="P36" s="231">
        <f>SUM('Farm and Rotation Setup'!DN23:EK27)</f>
        <v>47779.116475453746</v>
      </c>
      <c r="Q36" s="232">
        <f t="shared" si="2"/>
        <v>-0.34972278973764714</v>
      </c>
      <c r="S36" s="15" t="s">
        <v>276</v>
      </c>
      <c r="V36" s="148"/>
      <c r="W36" s="148"/>
      <c r="X36" s="148"/>
      <c r="Y36" s="148"/>
      <c r="Z36" s="148"/>
      <c r="AA36" s="148"/>
      <c r="AB36" s="148"/>
      <c r="AC36" s="148"/>
      <c r="AD36" s="148"/>
      <c r="AE36" s="148"/>
      <c r="AF36" s="148"/>
      <c r="AG36" s="148"/>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c r="BI36" s="148"/>
      <c r="BJ36" s="148"/>
      <c r="BK36" s="148"/>
      <c r="BL36" s="148"/>
      <c r="BM36" s="148"/>
      <c r="BN36" s="148"/>
      <c r="BO36" s="148"/>
      <c r="BP36" s="148"/>
      <c r="BQ36" s="148"/>
      <c r="BR36" s="148"/>
      <c r="BS36" s="148"/>
      <c r="BT36" s="148"/>
      <c r="BU36" s="148"/>
      <c r="BV36" s="148"/>
      <c r="BW36" s="148"/>
      <c r="BX36" s="148"/>
      <c r="BY36" s="148"/>
      <c r="BZ36" s="148"/>
      <c r="CA36" s="148"/>
      <c r="CB36" s="148"/>
      <c r="CC36" s="148"/>
      <c r="CD36" s="148"/>
      <c r="CE36" s="148"/>
      <c r="CF36" s="148"/>
      <c r="CG36" s="148"/>
      <c r="CH36" s="148"/>
      <c r="CI36" s="148"/>
      <c r="CJ36" s="148"/>
      <c r="CK36" s="148"/>
      <c r="CL36" s="148"/>
      <c r="CM36" s="148"/>
      <c r="CN36" s="148"/>
      <c r="CO36" s="148"/>
      <c r="CP36" s="148"/>
      <c r="CQ36" s="148"/>
      <c r="CR36" s="148"/>
      <c r="CS36" s="148"/>
      <c r="CT36" s="148"/>
      <c r="CU36" s="148"/>
      <c r="CV36" s="148"/>
      <c r="CW36" s="148"/>
      <c r="CX36" s="148"/>
      <c r="CY36" s="148"/>
      <c r="CZ36" s="148"/>
      <c r="DA36" s="148"/>
      <c r="DB36" s="148"/>
      <c r="DC36" s="148"/>
      <c r="DD36" s="148"/>
      <c r="DE36" s="148"/>
      <c r="DF36" s="148"/>
      <c r="DG36" s="148"/>
      <c r="DH36" s="148"/>
      <c r="DI36" s="148"/>
      <c r="DJ36" s="148"/>
      <c r="DK36" s="148"/>
      <c r="DL36" s="148"/>
      <c r="DM36" s="148"/>
      <c r="DN36" s="148"/>
      <c r="DO36" s="148"/>
      <c r="DP36" s="148"/>
      <c r="DQ36" s="148"/>
      <c r="DR36" s="148"/>
      <c r="DS36" s="148"/>
      <c r="DT36" s="148"/>
      <c r="DU36" s="148"/>
      <c r="DV36" s="148"/>
      <c r="DW36" s="148"/>
      <c r="DX36" s="148"/>
      <c r="DY36" s="148"/>
      <c r="DZ36" s="148"/>
      <c r="EA36" s="148"/>
      <c r="EB36" s="148"/>
      <c r="EC36" s="148"/>
      <c r="ED36" s="148"/>
      <c r="EE36" s="148"/>
      <c r="EF36" s="148"/>
      <c r="EG36" s="148"/>
      <c r="EH36" s="148"/>
      <c r="EI36" s="148"/>
      <c r="EJ36" s="148"/>
      <c r="EK36" s="148"/>
      <c r="EL36" s="148"/>
      <c r="EM36" s="148"/>
      <c r="EN36" s="148"/>
      <c r="EO36" s="148"/>
      <c r="EP36" s="148"/>
      <c r="EQ36" s="148"/>
      <c r="ER36" s="148"/>
      <c r="ES36" s="148"/>
      <c r="ET36" s="148"/>
      <c r="EU36" s="148"/>
      <c r="EV36" s="148"/>
      <c r="EW36" s="148"/>
      <c r="EX36" s="148"/>
      <c r="EY36" s="148"/>
      <c r="EZ36" s="148"/>
      <c r="FA36" s="148"/>
      <c r="FB36" s="148"/>
      <c r="FC36" s="148"/>
      <c r="FD36" s="148"/>
      <c r="FE36" s="148"/>
      <c r="FF36" s="148"/>
      <c r="FG36" s="148"/>
      <c r="FH36" s="148"/>
      <c r="FI36" s="148"/>
      <c r="FJ36" s="148"/>
      <c r="FK36" s="148"/>
      <c r="FL36" s="148"/>
      <c r="FM36" s="148"/>
      <c r="FN36" s="148"/>
      <c r="FO36" s="148"/>
      <c r="FP36" s="148"/>
      <c r="FQ36" s="148"/>
      <c r="FR36" s="148"/>
      <c r="FS36" s="148"/>
      <c r="FT36" s="148"/>
      <c r="FU36" s="148"/>
      <c r="FV36" s="148"/>
      <c r="FW36" s="148"/>
      <c r="FX36" s="148"/>
      <c r="FY36" s="148"/>
      <c r="FZ36" s="148"/>
      <c r="GA36" s="148"/>
      <c r="GB36" s="148"/>
      <c r="GC36" s="148"/>
      <c r="GD36" s="148"/>
      <c r="GE36" s="148"/>
      <c r="GF36" s="148"/>
      <c r="GG36" s="148"/>
      <c r="GH36" s="148"/>
      <c r="GI36" s="148"/>
      <c r="GJ36" s="148"/>
      <c r="GK36" s="148"/>
      <c r="GL36" s="148"/>
      <c r="GM36" s="148"/>
      <c r="GN36" s="148"/>
      <c r="GO36" s="148"/>
      <c r="GP36" s="148"/>
      <c r="GQ36" s="148"/>
      <c r="GR36" s="148"/>
      <c r="GS36" s="148"/>
      <c r="GT36" s="148"/>
      <c r="GU36" s="148"/>
      <c r="GV36" s="148"/>
      <c r="GW36" s="148"/>
      <c r="GX36" s="148"/>
      <c r="GY36" s="148"/>
      <c r="GZ36" s="148"/>
      <c r="HA36" s="148"/>
      <c r="HB36" s="148"/>
      <c r="HC36" s="148"/>
      <c r="HD36" s="148"/>
      <c r="HE36" s="148"/>
      <c r="HF36" s="148"/>
      <c r="HG36" s="148"/>
      <c r="HH36" s="148"/>
      <c r="HI36" s="148"/>
      <c r="HJ36" s="148"/>
      <c r="HK36" s="148"/>
      <c r="HL36" s="148"/>
      <c r="HM36" s="148"/>
      <c r="HN36" s="148"/>
      <c r="HO36" s="148"/>
      <c r="HP36" s="148"/>
      <c r="HQ36" s="148"/>
      <c r="HR36" s="148"/>
      <c r="HS36" s="148"/>
      <c r="HT36" s="148"/>
      <c r="HU36" s="148"/>
      <c r="HV36" s="148"/>
      <c r="HW36" s="148"/>
      <c r="HX36" s="148"/>
      <c r="HY36" s="148"/>
      <c r="HZ36" s="148"/>
      <c r="IA36" s="148"/>
      <c r="IB36" s="148"/>
      <c r="IC36" s="148"/>
      <c r="ID36" s="148"/>
      <c r="IE36" s="148"/>
      <c r="IF36" s="148"/>
      <c r="IG36" s="148"/>
      <c r="IH36" s="148"/>
      <c r="II36" s="148"/>
      <c r="IJ36" s="148"/>
      <c r="IK36" s="148"/>
      <c r="IL36" s="148"/>
      <c r="IM36" s="148"/>
      <c r="IN36" s="148"/>
      <c r="IO36" s="148"/>
      <c r="IP36" s="148"/>
      <c r="IQ36" s="148"/>
      <c r="IR36" s="148"/>
      <c r="IS36" s="148"/>
      <c r="IT36" s="148"/>
      <c r="IU36" s="148"/>
      <c r="IV36" s="148"/>
      <c r="IW36" s="148"/>
      <c r="IX36" s="148"/>
      <c r="IY36" s="148"/>
      <c r="IZ36" s="148"/>
      <c r="JA36" s="148"/>
      <c r="JB36" s="148"/>
    </row>
    <row r="37" spans="2:262" s="15" customFormat="1" ht="20" hidden="1">
      <c r="B37" s="237" t="s">
        <v>376</v>
      </c>
      <c r="D37" s="158"/>
      <c r="N37" s="365" t="s">
        <v>8</v>
      </c>
      <c r="O37" s="367" t="s">
        <v>8</v>
      </c>
      <c r="Q37" s="232"/>
      <c r="V37" s="148"/>
      <c r="W37" s="148"/>
      <c r="X37" s="148"/>
      <c r="Y37" s="148"/>
      <c r="Z37" s="148"/>
      <c r="AA37" s="148"/>
      <c r="AB37" s="148"/>
      <c r="AC37" s="148"/>
      <c r="AD37" s="148"/>
      <c r="AE37" s="148"/>
      <c r="AF37" s="148"/>
      <c r="AG37" s="148"/>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c r="BI37" s="148"/>
      <c r="BJ37" s="148"/>
      <c r="BK37" s="148"/>
      <c r="BL37" s="148"/>
      <c r="BM37" s="148"/>
      <c r="BN37" s="148"/>
      <c r="BO37" s="148"/>
      <c r="BP37" s="148"/>
      <c r="BQ37" s="148"/>
      <c r="BR37" s="148"/>
      <c r="BS37" s="148"/>
      <c r="BT37" s="148"/>
      <c r="BU37" s="148"/>
      <c r="BV37" s="148"/>
      <c r="BW37" s="148"/>
      <c r="BX37" s="148"/>
      <c r="BY37" s="148"/>
      <c r="BZ37" s="148"/>
      <c r="CA37" s="148"/>
      <c r="CB37" s="148"/>
      <c r="CC37" s="148"/>
      <c r="CD37" s="148"/>
      <c r="CE37" s="148"/>
      <c r="CF37" s="148"/>
      <c r="CG37" s="148"/>
      <c r="CH37" s="148"/>
      <c r="CI37" s="148"/>
      <c r="CJ37" s="148"/>
      <c r="CK37" s="148"/>
      <c r="CL37" s="148"/>
      <c r="CM37" s="148"/>
      <c r="CN37" s="148"/>
      <c r="CO37" s="148"/>
      <c r="CP37" s="148"/>
      <c r="CQ37" s="148"/>
      <c r="CR37" s="148"/>
      <c r="CS37" s="148"/>
      <c r="CT37" s="148"/>
      <c r="CU37" s="148"/>
      <c r="CV37" s="148"/>
      <c r="CW37" s="148"/>
      <c r="CX37" s="148"/>
      <c r="CY37" s="148"/>
      <c r="CZ37" s="148"/>
      <c r="DA37" s="148"/>
      <c r="DB37" s="148"/>
      <c r="DC37" s="148"/>
      <c r="DD37" s="148"/>
      <c r="DE37" s="148"/>
      <c r="DF37" s="148"/>
      <c r="DG37" s="148"/>
      <c r="DH37" s="148"/>
      <c r="DI37" s="148"/>
      <c r="DJ37" s="148"/>
      <c r="DK37" s="148"/>
      <c r="DL37" s="148"/>
      <c r="DM37" s="148"/>
      <c r="DN37" s="148"/>
      <c r="DO37" s="148"/>
      <c r="DP37" s="148"/>
      <c r="DQ37" s="148"/>
      <c r="DR37" s="148"/>
      <c r="DS37" s="148"/>
      <c r="DT37" s="148"/>
      <c r="DU37" s="148"/>
      <c r="DV37" s="148"/>
      <c r="DW37" s="148"/>
      <c r="DX37" s="148"/>
      <c r="DY37" s="148"/>
      <c r="DZ37" s="148"/>
      <c r="EA37" s="148"/>
      <c r="EB37" s="148"/>
      <c r="EC37" s="148"/>
      <c r="ED37" s="148"/>
      <c r="EE37" s="148"/>
      <c r="EF37" s="148"/>
      <c r="EG37" s="148"/>
      <c r="EH37" s="148"/>
      <c r="EI37" s="148"/>
      <c r="EJ37" s="148"/>
      <c r="EK37" s="148"/>
      <c r="EL37" s="148"/>
      <c r="EM37" s="148"/>
      <c r="EN37" s="148"/>
      <c r="EO37" s="148"/>
      <c r="EP37" s="148"/>
      <c r="EQ37" s="148"/>
      <c r="ER37" s="148"/>
      <c r="ES37" s="148"/>
      <c r="ET37" s="148"/>
      <c r="EU37" s="148"/>
      <c r="EV37" s="148"/>
      <c r="EW37" s="148"/>
      <c r="EX37" s="148"/>
      <c r="EY37" s="148"/>
      <c r="EZ37" s="148"/>
      <c r="FA37" s="148"/>
      <c r="FB37" s="148"/>
      <c r="FC37" s="148"/>
      <c r="FD37" s="148"/>
      <c r="FE37" s="148"/>
      <c r="FF37" s="148"/>
      <c r="FG37" s="148"/>
      <c r="FH37" s="148"/>
      <c r="FI37" s="148"/>
      <c r="FJ37" s="148"/>
      <c r="FK37" s="148"/>
      <c r="FL37" s="148"/>
      <c r="FM37" s="148"/>
      <c r="FN37" s="148"/>
      <c r="FO37" s="148"/>
      <c r="FP37" s="148"/>
      <c r="FQ37" s="148"/>
      <c r="FR37" s="148"/>
      <c r="FS37" s="148"/>
      <c r="FT37" s="148"/>
      <c r="FU37" s="148"/>
      <c r="FV37" s="148"/>
      <c r="FW37" s="148"/>
      <c r="FX37" s="148"/>
      <c r="FY37" s="148"/>
      <c r="FZ37" s="148"/>
      <c r="GA37" s="148"/>
      <c r="GB37" s="148"/>
      <c r="GC37" s="148"/>
      <c r="GD37" s="148"/>
      <c r="GE37" s="148"/>
      <c r="GF37" s="148"/>
      <c r="GG37" s="148"/>
      <c r="GH37" s="148"/>
      <c r="GI37" s="148"/>
      <c r="GJ37" s="148"/>
      <c r="GK37" s="148"/>
      <c r="GL37" s="148"/>
      <c r="GM37" s="148"/>
      <c r="GN37" s="148"/>
      <c r="GO37" s="148"/>
      <c r="GP37" s="148"/>
      <c r="GQ37" s="148"/>
      <c r="GR37" s="148"/>
      <c r="GS37" s="148"/>
      <c r="GT37" s="148"/>
      <c r="GU37" s="148"/>
      <c r="GV37" s="148"/>
      <c r="GW37" s="148"/>
      <c r="GX37" s="148"/>
      <c r="GY37" s="148"/>
      <c r="GZ37" s="148"/>
      <c r="HA37" s="148"/>
      <c r="HB37" s="148"/>
      <c r="HC37" s="148"/>
      <c r="HD37" s="148"/>
      <c r="HE37" s="148"/>
      <c r="HF37" s="148"/>
      <c r="HG37" s="148"/>
      <c r="HH37" s="148"/>
      <c r="HI37" s="148"/>
      <c r="HJ37" s="148"/>
      <c r="HK37" s="148"/>
      <c r="HL37" s="148"/>
      <c r="HM37" s="148"/>
      <c r="HN37" s="148"/>
      <c r="HO37" s="148"/>
      <c r="HP37" s="148"/>
      <c r="HQ37" s="148"/>
      <c r="HR37" s="148"/>
      <c r="HS37" s="148"/>
      <c r="HT37" s="148"/>
      <c r="HU37" s="148"/>
      <c r="HV37" s="148"/>
      <c r="HW37" s="148"/>
      <c r="HX37" s="148"/>
      <c r="HY37" s="148"/>
      <c r="HZ37" s="148"/>
      <c r="IA37" s="148"/>
      <c r="IB37" s="148"/>
      <c r="IC37" s="148"/>
      <c r="ID37" s="148"/>
      <c r="IE37" s="148"/>
      <c r="IF37" s="148"/>
      <c r="IG37" s="148"/>
      <c r="IH37" s="148"/>
      <c r="II37" s="148"/>
      <c r="IJ37" s="148"/>
      <c r="IK37" s="148"/>
      <c r="IL37" s="148"/>
      <c r="IM37" s="148"/>
      <c r="IN37" s="148"/>
      <c r="IO37" s="148"/>
      <c r="IP37" s="148"/>
      <c r="IQ37" s="148"/>
      <c r="IR37" s="148"/>
      <c r="IS37" s="148"/>
      <c r="IT37" s="148"/>
      <c r="IU37" s="148"/>
      <c r="IV37" s="148"/>
      <c r="IW37" s="148"/>
      <c r="IX37" s="148"/>
      <c r="IY37" s="148"/>
      <c r="IZ37" s="148"/>
      <c r="JA37" s="148"/>
      <c r="JB37" s="148"/>
    </row>
    <row r="38" spans="2:262" s="15" customFormat="1" ht="20" hidden="1">
      <c r="B38" s="238" t="s">
        <v>377</v>
      </c>
      <c r="D38" s="158"/>
      <c r="N38" s="365" t="s">
        <v>8</v>
      </c>
      <c r="O38" s="236"/>
      <c r="P38" s="231"/>
      <c r="Q38" s="232"/>
      <c r="V38" s="148"/>
      <c r="W38" s="148"/>
      <c r="X38" s="148"/>
      <c r="Y38" s="148"/>
      <c r="Z38" s="148"/>
      <c r="AA38" s="148"/>
      <c r="AB38" s="148"/>
      <c r="AC38" s="148"/>
      <c r="AD38" s="148"/>
      <c r="AE38" s="148"/>
      <c r="AF38" s="148"/>
      <c r="AG38" s="148"/>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c r="BI38" s="148"/>
      <c r="BJ38" s="148"/>
      <c r="BK38" s="148"/>
      <c r="BL38" s="148"/>
      <c r="BM38" s="148"/>
      <c r="BN38" s="148"/>
      <c r="BO38" s="148"/>
      <c r="BP38" s="148"/>
      <c r="BQ38" s="148"/>
      <c r="BR38" s="148"/>
      <c r="BS38" s="148"/>
      <c r="BT38" s="148"/>
      <c r="BU38" s="148"/>
      <c r="BV38" s="148"/>
      <c r="BW38" s="148"/>
      <c r="BX38" s="148"/>
      <c r="BY38" s="148"/>
      <c r="BZ38" s="148"/>
      <c r="CA38" s="148"/>
      <c r="CB38" s="148"/>
      <c r="CC38" s="148"/>
      <c r="CD38" s="148"/>
      <c r="CE38" s="148"/>
      <c r="CF38" s="148"/>
      <c r="CG38" s="148"/>
      <c r="CH38" s="148"/>
      <c r="CI38" s="148"/>
      <c r="CJ38" s="148"/>
      <c r="CK38" s="148"/>
      <c r="CL38" s="148"/>
      <c r="CM38" s="148"/>
      <c r="CN38" s="148"/>
      <c r="CO38" s="148"/>
      <c r="CP38" s="148"/>
      <c r="CQ38" s="148"/>
      <c r="CR38" s="148"/>
      <c r="CS38" s="148"/>
      <c r="CT38" s="148"/>
      <c r="CU38" s="148"/>
      <c r="CV38" s="148"/>
      <c r="CW38" s="148"/>
      <c r="CX38" s="148"/>
      <c r="CY38" s="148"/>
      <c r="CZ38" s="148"/>
      <c r="DA38" s="148"/>
      <c r="DB38" s="148"/>
      <c r="DC38" s="148"/>
      <c r="DD38" s="148"/>
      <c r="DE38" s="148"/>
      <c r="DF38" s="148"/>
      <c r="DG38" s="148"/>
      <c r="DH38" s="148"/>
      <c r="DI38" s="148"/>
      <c r="DJ38" s="148"/>
      <c r="DK38" s="148"/>
      <c r="DL38" s="148"/>
      <c r="DM38" s="148"/>
      <c r="DN38" s="148"/>
      <c r="DO38" s="148"/>
      <c r="DP38" s="148"/>
      <c r="DQ38" s="148"/>
      <c r="DR38" s="148"/>
      <c r="DS38" s="148"/>
      <c r="DT38" s="148"/>
      <c r="DU38" s="148"/>
      <c r="DV38" s="148"/>
      <c r="DW38" s="148"/>
      <c r="DX38" s="148"/>
      <c r="DY38" s="148"/>
      <c r="DZ38" s="148"/>
      <c r="EA38" s="148"/>
      <c r="EB38" s="148"/>
      <c r="EC38" s="148"/>
      <c r="ED38" s="148"/>
      <c r="EE38" s="148"/>
      <c r="EF38" s="148"/>
      <c r="EG38" s="148"/>
      <c r="EH38" s="148"/>
      <c r="EI38" s="148"/>
      <c r="EJ38" s="148"/>
      <c r="EK38" s="148"/>
      <c r="EL38" s="148"/>
      <c r="EM38" s="148"/>
      <c r="EN38" s="148"/>
      <c r="EO38" s="148"/>
      <c r="EP38" s="148"/>
      <c r="EQ38" s="148"/>
      <c r="ER38" s="148"/>
      <c r="ES38" s="148"/>
      <c r="ET38" s="148"/>
      <c r="EU38" s="148"/>
      <c r="EV38" s="148"/>
      <c r="EW38" s="148"/>
      <c r="EX38" s="148"/>
      <c r="EY38" s="148"/>
      <c r="EZ38" s="148"/>
      <c r="FA38" s="148"/>
      <c r="FB38" s="148"/>
      <c r="FC38" s="148"/>
      <c r="FD38" s="148"/>
      <c r="FE38" s="148"/>
      <c r="FF38" s="148"/>
      <c r="FG38" s="148"/>
      <c r="FH38" s="148"/>
      <c r="FI38" s="148"/>
      <c r="FJ38" s="148"/>
      <c r="FK38" s="148"/>
      <c r="FL38" s="148"/>
      <c r="FM38" s="148"/>
      <c r="FN38" s="148"/>
      <c r="FO38" s="148"/>
      <c r="FP38" s="148"/>
      <c r="FQ38" s="148"/>
      <c r="FR38" s="148"/>
      <c r="FS38" s="148"/>
      <c r="FT38" s="148"/>
      <c r="FU38" s="148"/>
      <c r="FV38" s="148"/>
      <c r="FW38" s="148"/>
      <c r="FX38" s="148"/>
      <c r="FY38" s="148"/>
      <c r="FZ38" s="148"/>
      <c r="GA38" s="148"/>
      <c r="GB38" s="148"/>
      <c r="GC38" s="148"/>
      <c r="GD38" s="148"/>
      <c r="GE38" s="148"/>
      <c r="GF38" s="148"/>
      <c r="GG38" s="148"/>
      <c r="GH38" s="148"/>
      <c r="GI38" s="148"/>
      <c r="GJ38" s="148"/>
      <c r="GK38" s="148"/>
      <c r="GL38" s="148"/>
      <c r="GM38" s="148"/>
      <c r="GN38" s="148"/>
      <c r="GO38" s="148"/>
      <c r="GP38" s="148"/>
      <c r="GQ38" s="148"/>
      <c r="GR38" s="148"/>
      <c r="GS38" s="148"/>
      <c r="GT38" s="148"/>
      <c r="GU38" s="148"/>
      <c r="GV38" s="148"/>
      <c r="GW38" s="148"/>
      <c r="GX38" s="148"/>
      <c r="GY38" s="148"/>
      <c r="GZ38" s="148"/>
      <c r="HA38" s="148"/>
      <c r="HB38" s="148"/>
      <c r="HC38" s="148"/>
      <c r="HD38" s="148"/>
      <c r="HE38" s="148"/>
      <c r="HF38" s="148"/>
      <c r="HG38" s="148"/>
      <c r="HH38" s="148"/>
      <c r="HI38" s="148"/>
      <c r="HJ38" s="148"/>
      <c r="HK38" s="148"/>
      <c r="HL38" s="148"/>
      <c r="HM38" s="148"/>
      <c r="HN38" s="148"/>
      <c r="HO38" s="148"/>
      <c r="HP38" s="148"/>
      <c r="HQ38" s="148"/>
      <c r="HR38" s="148"/>
      <c r="HS38" s="148"/>
      <c r="HT38" s="148"/>
      <c r="HU38" s="148"/>
      <c r="HV38" s="148"/>
      <c r="HW38" s="148"/>
      <c r="HX38" s="148"/>
      <c r="HY38" s="148"/>
      <c r="HZ38" s="148"/>
      <c r="IA38" s="148"/>
      <c r="IB38" s="148"/>
      <c r="IC38" s="148"/>
      <c r="ID38" s="148"/>
      <c r="IE38" s="148"/>
      <c r="IF38" s="148"/>
      <c r="IG38" s="148"/>
      <c r="IH38" s="148"/>
      <c r="II38" s="148"/>
      <c r="IJ38" s="148"/>
      <c r="IK38" s="148"/>
      <c r="IL38" s="148"/>
      <c r="IM38" s="148"/>
      <c r="IN38" s="148"/>
      <c r="IO38" s="148"/>
      <c r="IP38" s="148"/>
      <c r="IQ38" s="148"/>
      <c r="IR38" s="148"/>
      <c r="IS38" s="148"/>
      <c r="IT38" s="148"/>
      <c r="IU38" s="148"/>
      <c r="IV38" s="148"/>
      <c r="IW38" s="148"/>
      <c r="IX38" s="148"/>
      <c r="IY38" s="148"/>
      <c r="IZ38" s="148"/>
      <c r="JA38" s="148"/>
      <c r="JB38" s="148"/>
    </row>
    <row r="39" spans="2:262" s="15" customFormat="1" ht="20" hidden="1">
      <c r="B39" s="237" t="s">
        <v>378</v>
      </c>
      <c r="D39" s="158"/>
      <c r="N39" s="365" t="s">
        <v>8</v>
      </c>
      <c r="O39" s="236"/>
      <c r="P39" s="231"/>
      <c r="Q39" s="232"/>
      <c r="V39" s="148"/>
      <c r="W39" s="148"/>
      <c r="X39" s="148"/>
      <c r="Y39" s="148"/>
      <c r="Z39" s="148"/>
      <c r="AA39" s="148"/>
      <c r="AB39" s="148"/>
      <c r="AC39" s="148"/>
      <c r="AD39" s="148"/>
      <c r="AE39" s="148"/>
      <c r="AF39" s="148"/>
      <c r="AG39" s="148"/>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c r="BI39" s="148"/>
      <c r="BJ39" s="148"/>
      <c r="BK39" s="148"/>
      <c r="BL39" s="148"/>
      <c r="BM39" s="148"/>
      <c r="BN39" s="148"/>
      <c r="BO39" s="148"/>
      <c r="BP39" s="148"/>
      <c r="BQ39" s="148"/>
      <c r="BR39" s="148"/>
      <c r="BS39" s="148"/>
      <c r="BT39" s="148"/>
      <c r="BU39" s="148"/>
      <c r="BV39" s="148"/>
      <c r="BW39" s="148"/>
      <c r="BX39" s="148"/>
      <c r="BY39" s="148"/>
      <c r="BZ39" s="148"/>
      <c r="CA39" s="148"/>
      <c r="CB39" s="148"/>
      <c r="CC39" s="148"/>
      <c r="CD39" s="148"/>
      <c r="CE39" s="148"/>
      <c r="CF39" s="148"/>
      <c r="CG39" s="148"/>
      <c r="CH39" s="148"/>
      <c r="CI39" s="148"/>
      <c r="CJ39" s="148"/>
      <c r="CK39" s="148"/>
      <c r="CL39" s="148"/>
      <c r="CM39" s="148"/>
      <c r="CN39" s="148"/>
      <c r="CO39" s="148"/>
      <c r="CP39" s="148"/>
      <c r="CQ39" s="148"/>
      <c r="CR39" s="148"/>
      <c r="CS39" s="148"/>
      <c r="CT39" s="148"/>
      <c r="CU39" s="148"/>
      <c r="CV39" s="148"/>
      <c r="CW39" s="148"/>
      <c r="CX39" s="148"/>
      <c r="CY39" s="148"/>
      <c r="CZ39" s="148"/>
      <c r="DA39" s="148"/>
      <c r="DB39" s="148"/>
      <c r="DC39" s="148"/>
      <c r="DD39" s="148"/>
      <c r="DE39" s="148"/>
      <c r="DF39" s="148"/>
      <c r="DG39" s="148"/>
      <c r="DH39" s="148"/>
      <c r="DI39" s="148"/>
      <c r="DJ39" s="148"/>
      <c r="DK39" s="148"/>
      <c r="DL39" s="148"/>
      <c r="DM39" s="148"/>
      <c r="DN39" s="148"/>
      <c r="DO39" s="148"/>
      <c r="DP39" s="148"/>
      <c r="DQ39" s="148"/>
      <c r="DR39" s="148"/>
      <c r="DS39" s="148"/>
      <c r="DT39" s="148"/>
      <c r="DU39" s="148"/>
      <c r="DV39" s="148"/>
      <c r="DW39" s="148"/>
      <c r="DX39" s="148"/>
      <c r="DY39" s="148"/>
      <c r="DZ39" s="148"/>
      <c r="EA39" s="148"/>
      <c r="EB39" s="148"/>
      <c r="EC39" s="148"/>
      <c r="ED39" s="148"/>
      <c r="EE39" s="148"/>
      <c r="EF39" s="148"/>
      <c r="EG39" s="148"/>
      <c r="EH39" s="148"/>
      <c r="EI39" s="148"/>
      <c r="EJ39" s="148"/>
      <c r="EK39" s="148"/>
      <c r="EL39" s="148"/>
      <c r="EM39" s="148"/>
      <c r="EN39" s="148"/>
      <c r="EO39" s="148"/>
      <c r="EP39" s="148"/>
      <c r="EQ39" s="148"/>
      <c r="ER39" s="148"/>
      <c r="ES39" s="148"/>
      <c r="ET39" s="148"/>
      <c r="EU39" s="148"/>
      <c r="EV39" s="148"/>
      <c r="EW39" s="148"/>
      <c r="EX39" s="148"/>
      <c r="EY39" s="148"/>
      <c r="EZ39" s="148"/>
      <c r="FA39" s="148"/>
      <c r="FB39" s="148"/>
      <c r="FC39" s="148"/>
      <c r="FD39" s="148"/>
      <c r="FE39" s="148"/>
      <c r="FF39" s="148"/>
      <c r="FG39" s="148"/>
      <c r="FH39" s="148"/>
      <c r="FI39" s="148"/>
      <c r="FJ39" s="148"/>
      <c r="FK39" s="148"/>
      <c r="FL39" s="148"/>
      <c r="FM39" s="148"/>
      <c r="FN39" s="148"/>
      <c r="FO39" s="148"/>
      <c r="FP39" s="148"/>
      <c r="FQ39" s="148"/>
      <c r="FR39" s="148"/>
      <c r="FS39" s="148"/>
      <c r="FT39" s="148"/>
      <c r="FU39" s="148"/>
      <c r="FV39" s="148"/>
      <c r="FW39" s="148"/>
      <c r="FX39" s="148"/>
      <c r="FY39" s="148"/>
      <c r="FZ39" s="148"/>
      <c r="GA39" s="148"/>
      <c r="GB39" s="148"/>
      <c r="GC39" s="148"/>
      <c r="GD39" s="148"/>
      <c r="GE39" s="148"/>
      <c r="GF39" s="148"/>
      <c r="GG39" s="148"/>
      <c r="GH39" s="148"/>
      <c r="GI39" s="148"/>
      <c r="GJ39" s="148"/>
      <c r="GK39" s="148"/>
      <c r="GL39" s="148"/>
      <c r="GM39" s="148"/>
      <c r="GN39" s="148"/>
      <c r="GO39" s="148"/>
      <c r="GP39" s="148"/>
      <c r="GQ39" s="148"/>
      <c r="GR39" s="148"/>
      <c r="GS39" s="148"/>
      <c r="GT39" s="148"/>
      <c r="GU39" s="148"/>
      <c r="GV39" s="148"/>
      <c r="GW39" s="148"/>
      <c r="GX39" s="148"/>
      <c r="GY39" s="148"/>
      <c r="GZ39" s="148"/>
      <c r="HA39" s="148"/>
      <c r="HB39" s="148"/>
      <c r="HC39" s="148"/>
      <c r="HD39" s="148"/>
      <c r="HE39" s="148"/>
      <c r="HF39" s="148"/>
      <c r="HG39" s="148"/>
      <c r="HH39" s="148"/>
      <c r="HI39" s="148"/>
      <c r="HJ39" s="148"/>
      <c r="HK39" s="148"/>
      <c r="HL39" s="148"/>
      <c r="HM39" s="148"/>
      <c r="HN39" s="148"/>
      <c r="HO39" s="148"/>
      <c r="HP39" s="148"/>
      <c r="HQ39" s="148"/>
      <c r="HR39" s="148"/>
      <c r="HS39" s="148"/>
      <c r="HT39" s="148"/>
      <c r="HU39" s="148"/>
      <c r="HV39" s="148"/>
      <c r="HW39" s="148"/>
      <c r="HX39" s="148"/>
      <c r="HY39" s="148"/>
      <c r="HZ39" s="148"/>
      <c r="IA39" s="148"/>
      <c r="IB39" s="148"/>
      <c r="IC39" s="148"/>
      <c r="ID39" s="148"/>
      <c r="IE39" s="148"/>
      <c r="IF39" s="148"/>
      <c r="IG39" s="148"/>
      <c r="IH39" s="148"/>
      <c r="II39" s="148"/>
      <c r="IJ39" s="148"/>
      <c r="IK39" s="148"/>
      <c r="IL39" s="148"/>
      <c r="IM39" s="148"/>
      <c r="IN39" s="148"/>
      <c r="IO39" s="148"/>
      <c r="IP39" s="148"/>
      <c r="IQ39" s="148"/>
      <c r="IR39" s="148"/>
      <c r="IS39" s="148"/>
      <c r="IT39" s="148"/>
      <c r="IU39" s="148"/>
      <c r="IV39" s="148"/>
      <c r="IW39" s="148"/>
      <c r="IX39" s="148"/>
      <c r="IY39" s="148"/>
      <c r="IZ39" s="148"/>
      <c r="JA39" s="148"/>
      <c r="JB39" s="148"/>
    </row>
    <row r="40" spans="2:262" s="15" customFormat="1" ht="20" hidden="1">
      <c r="B40" s="238" t="s">
        <v>379</v>
      </c>
      <c r="D40" s="158"/>
      <c r="P40" s="235" t="e">
        <f>SUM('Farm and Rotation Setup'!#REF!)</f>
        <v>#REF!</v>
      </c>
      <c r="V40" s="148"/>
      <c r="W40" s="148"/>
      <c r="X40" s="148"/>
      <c r="Y40" s="148"/>
      <c r="Z40" s="148"/>
      <c r="AA40" s="148"/>
      <c r="AB40" s="148"/>
      <c r="AC40" s="148"/>
      <c r="AD40" s="148"/>
      <c r="AE40" s="148"/>
      <c r="AF40" s="148"/>
      <c r="AG40" s="148"/>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c r="BI40" s="148"/>
      <c r="BJ40" s="148"/>
      <c r="BK40" s="148"/>
      <c r="BL40" s="148"/>
      <c r="BM40" s="148"/>
      <c r="BN40" s="148"/>
      <c r="BO40" s="148"/>
      <c r="BP40" s="148"/>
      <c r="BQ40" s="148"/>
      <c r="BR40" s="148"/>
      <c r="BS40" s="148"/>
      <c r="BT40" s="148"/>
      <c r="BU40" s="148"/>
      <c r="BV40" s="148"/>
      <c r="BW40" s="148"/>
      <c r="BX40" s="148"/>
      <c r="BY40" s="148"/>
      <c r="BZ40" s="148"/>
      <c r="CA40" s="148"/>
      <c r="CB40" s="148"/>
      <c r="CC40" s="148"/>
      <c r="CD40" s="148"/>
      <c r="CE40" s="148"/>
      <c r="CF40" s="148"/>
      <c r="CG40" s="148"/>
      <c r="CH40" s="148"/>
      <c r="CI40" s="148"/>
      <c r="CJ40" s="148"/>
      <c r="CK40" s="148"/>
      <c r="CL40" s="148"/>
      <c r="CM40" s="148"/>
      <c r="CN40" s="148"/>
      <c r="CO40" s="148"/>
      <c r="CP40" s="148"/>
      <c r="CQ40" s="148"/>
      <c r="CR40" s="148"/>
      <c r="CS40" s="148"/>
      <c r="CT40" s="148"/>
      <c r="CU40" s="148"/>
      <c r="CV40" s="148"/>
      <c r="CW40" s="148"/>
      <c r="CX40" s="148"/>
      <c r="CY40" s="148"/>
      <c r="CZ40" s="148"/>
      <c r="DA40" s="148"/>
      <c r="DB40" s="148"/>
      <c r="DC40" s="148"/>
      <c r="DD40" s="148"/>
      <c r="DE40" s="148"/>
      <c r="DF40" s="148"/>
      <c r="DG40" s="148"/>
      <c r="DH40" s="148"/>
      <c r="DI40" s="148"/>
      <c r="DJ40" s="148"/>
      <c r="DK40" s="148"/>
      <c r="DL40" s="148"/>
      <c r="DM40" s="148"/>
      <c r="DN40" s="148"/>
      <c r="DO40" s="148"/>
      <c r="DP40" s="148"/>
      <c r="DQ40" s="148"/>
      <c r="DR40" s="148"/>
      <c r="DS40" s="148"/>
      <c r="DT40" s="148"/>
      <c r="DU40" s="148"/>
      <c r="DV40" s="148"/>
      <c r="DW40" s="148"/>
      <c r="DX40" s="148"/>
      <c r="DY40" s="148"/>
      <c r="DZ40" s="148"/>
      <c r="EA40" s="148"/>
      <c r="EB40" s="148"/>
      <c r="EC40" s="148"/>
      <c r="ED40" s="148"/>
      <c r="EE40" s="148"/>
      <c r="EF40" s="148"/>
      <c r="EG40" s="148"/>
      <c r="EH40" s="148"/>
      <c r="EI40" s="148"/>
      <c r="EJ40" s="148"/>
      <c r="EK40" s="148"/>
      <c r="EL40" s="148"/>
      <c r="EM40" s="148"/>
      <c r="EN40" s="148"/>
      <c r="EO40" s="148"/>
      <c r="EP40" s="148"/>
      <c r="EQ40" s="148"/>
      <c r="ER40" s="148"/>
      <c r="ES40" s="148"/>
      <c r="ET40" s="148"/>
      <c r="EU40" s="148"/>
      <c r="EV40" s="148"/>
      <c r="EW40" s="148"/>
      <c r="EX40" s="148"/>
      <c r="EY40" s="148"/>
      <c r="EZ40" s="148"/>
      <c r="FA40" s="148"/>
      <c r="FB40" s="148"/>
      <c r="FC40" s="148"/>
      <c r="FD40" s="148"/>
      <c r="FE40" s="148"/>
      <c r="FF40" s="148"/>
      <c r="FG40" s="148"/>
      <c r="FH40" s="148"/>
      <c r="FI40" s="148"/>
      <c r="FJ40" s="148"/>
      <c r="FK40" s="148"/>
      <c r="FL40" s="148"/>
      <c r="FM40" s="148"/>
      <c r="FN40" s="148"/>
      <c r="FO40" s="148"/>
      <c r="FP40" s="148"/>
      <c r="FQ40" s="148"/>
      <c r="FR40" s="148"/>
      <c r="FS40" s="148"/>
      <c r="FT40" s="148"/>
      <c r="FU40" s="148"/>
      <c r="FV40" s="148"/>
      <c r="FW40" s="148"/>
      <c r="FX40" s="148"/>
      <c r="FY40" s="148"/>
      <c r="FZ40" s="148"/>
      <c r="GA40" s="148"/>
      <c r="GB40" s="148"/>
      <c r="GC40" s="148"/>
      <c r="GD40" s="148"/>
      <c r="GE40" s="148"/>
      <c r="GF40" s="148"/>
      <c r="GG40" s="148"/>
      <c r="GH40" s="148"/>
      <c r="GI40" s="148"/>
      <c r="GJ40" s="148"/>
      <c r="GK40" s="148"/>
      <c r="GL40" s="148"/>
      <c r="GM40" s="148"/>
      <c r="GN40" s="148"/>
      <c r="GO40" s="148"/>
      <c r="GP40" s="148"/>
      <c r="GQ40" s="148"/>
      <c r="GR40" s="148"/>
      <c r="GS40" s="148"/>
      <c r="GT40" s="148"/>
      <c r="GU40" s="148"/>
      <c r="GV40" s="148"/>
      <c r="GW40" s="148"/>
      <c r="GX40" s="148"/>
      <c r="GY40" s="148"/>
      <c r="GZ40" s="148"/>
      <c r="HA40" s="148"/>
      <c r="HB40" s="148"/>
      <c r="HC40" s="148"/>
      <c r="HD40" s="148"/>
      <c r="HE40" s="148"/>
      <c r="HF40" s="148"/>
      <c r="HG40" s="148"/>
      <c r="HH40" s="148"/>
      <c r="HI40" s="148"/>
      <c r="HJ40" s="148"/>
      <c r="HK40" s="148"/>
      <c r="HL40" s="148"/>
      <c r="HM40" s="148"/>
      <c r="HN40" s="148"/>
      <c r="HO40" s="148"/>
      <c r="HP40" s="148"/>
      <c r="HQ40" s="148"/>
      <c r="HR40" s="148"/>
      <c r="HS40" s="148"/>
      <c r="HT40" s="148"/>
      <c r="HU40" s="148"/>
      <c r="HV40" s="148"/>
      <c r="HW40" s="148"/>
      <c r="HX40" s="148"/>
      <c r="HY40" s="148"/>
      <c r="HZ40" s="148"/>
      <c r="IA40" s="148"/>
      <c r="IB40" s="148"/>
      <c r="IC40" s="148"/>
      <c r="ID40" s="148"/>
      <c r="IE40" s="148"/>
      <c r="IF40" s="148"/>
      <c r="IG40" s="148"/>
      <c r="IH40" s="148"/>
      <c r="II40" s="148"/>
      <c r="IJ40" s="148"/>
      <c r="IK40" s="148"/>
      <c r="IL40" s="148"/>
      <c r="IM40" s="148"/>
      <c r="IN40" s="148"/>
      <c r="IO40" s="148"/>
      <c r="IP40" s="148"/>
      <c r="IQ40" s="148"/>
      <c r="IR40" s="148"/>
      <c r="IS40" s="148"/>
      <c r="IT40" s="148"/>
      <c r="IU40" s="148"/>
      <c r="IV40" s="148"/>
      <c r="IW40" s="148"/>
      <c r="IX40" s="148"/>
      <c r="IY40" s="148"/>
      <c r="IZ40" s="148"/>
      <c r="JA40" s="148"/>
      <c r="JB40" s="148"/>
    </row>
    <row r="41" spans="2:262" s="15" customFormat="1" ht="20" hidden="1">
      <c r="B41" s="238" t="s">
        <v>380</v>
      </c>
      <c r="D41" s="158"/>
      <c r="P41" s="235" t="e">
        <f>SUM('Farm and Rotation Setup'!#REF!)</f>
        <v>#REF!</v>
      </c>
      <c r="V41" s="148"/>
      <c r="W41" s="148"/>
      <c r="X41" s="148"/>
      <c r="Y41" s="148"/>
      <c r="Z41" s="148"/>
      <c r="AA41" s="148"/>
      <c r="AB41" s="148"/>
      <c r="AC41" s="148"/>
      <c r="AD41" s="148"/>
      <c r="AE41" s="148"/>
      <c r="AF41" s="148"/>
      <c r="AG41" s="148"/>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c r="BI41" s="148"/>
      <c r="BJ41" s="148"/>
      <c r="BK41" s="148"/>
      <c r="BL41" s="148"/>
      <c r="BM41" s="148"/>
      <c r="BN41" s="148"/>
      <c r="BO41" s="148"/>
      <c r="BP41" s="148"/>
      <c r="BQ41" s="148"/>
      <c r="BR41" s="148"/>
      <c r="BS41" s="148"/>
      <c r="BT41" s="148"/>
      <c r="BU41" s="148"/>
      <c r="BV41" s="148"/>
      <c r="BW41" s="148"/>
      <c r="BX41" s="148"/>
      <c r="BY41" s="148"/>
      <c r="BZ41" s="148"/>
      <c r="CA41" s="148"/>
      <c r="CB41" s="148"/>
      <c r="CC41" s="148"/>
      <c r="CD41" s="148"/>
      <c r="CE41" s="148"/>
      <c r="CF41" s="148"/>
      <c r="CG41" s="148"/>
      <c r="CH41" s="148"/>
      <c r="CI41" s="148"/>
      <c r="CJ41" s="148"/>
      <c r="CK41" s="148"/>
      <c r="CL41" s="148"/>
      <c r="CM41" s="148"/>
      <c r="CN41" s="148"/>
      <c r="CO41" s="148"/>
      <c r="CP41" s="148"/>
      <c r="CQ41" s="148"/>
      <c r="CR41" s="148"/>
      <c r="CS41" s="148"/>
      <c r="CT41" s="148"/>
      <c r="CU41" s="148"/>
      <c r="CV41" s="148"/>
      <c r="CW41" s="148"/>
      <c r="CX41" s="148"/>
      <c r="CY41" s="148"/>
      <c r="CZ41" s="148"/>
      <c r="DA41" s="148"/>
      <c r="DB41" s="148"/>
      <c r="DC41" s="148"/>
      <c r="DD41" s="148"/>
      <c r="DE41" s="148"/>
      <c r="DF41" s="148"/>
      <c r="DG41" s="148"/>
      <c r="DH41" s="148"/>
      <c r="DI41" s="148"/>
      <c r="DJ41" s="148"/>
      <c r="DK41" s="148"/>
      <c r="DL41" s="148"/>
      <c r="DM41" s="148"/>
      <c r="DN41" s="148"/>
      <c r="DO41" s="148"/>
      <c r="DP41" s="148"/>
      <c r="DQ41" s="148"/>
      <c r="DR41" s="148"/>
      <c r="DS41" s="148"/>
      <c r="DT41" s="148"/>
      <c r="DU41" s="148"/>
      <c r="DV41" s="148"/>
      <c r="DW41" s="148"/>
      <c r="DX41" s="148"/>
      <c r="DY41" s="148"/>
      <c r="DZ41" s="148"/>
      <c r="EA41" s="148"/>
      <c r="EB41" s="148"/>
      <c r="EC41" s="148"/>
      <c r="ED41" s="148"/>
      <c r="EE41" s="148"/>
      <c r="EF41" s="148"/>
      <c r="EG41" s="148"/>
      <c r="EH41" s="148"/>
      <c r="EI41" s="148"/>
      <c r="EJ41" s="148"/>
      <c r="EK41" s="148"/>
      <c r="EL41" s="148"/>
      <c r="EM41" s="148"/>
      <c r="EN41" s="148"/>
      <c r="EO41" s="148"/>
      <c r="EP41" s="148"/>
      <c r="EQ41" s="148"/>
      <c r="ER41" s="148"/>
      <c r="ES41" s="148"/>
      <c r="ET41" s="148"/>
      <c r="EU41" s="148"/>
      <c r="EV41" s="148"/>
      <c r="EW41" s="148"/>
      <c r="EX41" s="148"/>
      <c r="EY41" s="148"/>
      <c r="EZ41" s="148"/>
      <c r="FA41" s="148"/>
      <c r="FB41" s="148"/>
      <c r="FC41" s="148"/>
      <c r="FD41" s="148"/>
      <c r="FE41" s="148"/>
      <c r="FF41" s="148"/>
      <c r="FG41" s="148"/>
      <c r="FH41" s="148"/>
      <c r="FI41" s="148"/>
      <c r="FJ41" s="148"/>
      <c r="FK41" s="148"/>
      <c r="FL41" s="148"/>
      <c r="FM41" s="148"/>
      <c r="FN41" s="148"/>
      <c r="FO41" s="148"/>
      <c r="FP41" s="148"/>
      <c r="FQ41" s="148"/>
      <c r="FR41" s="148"/>
      <c r="FS41" s="148"/>
      <c r="FT41" s="148"/>
      <c r="FU41" s="148"/>
      <c r="FV41" s="148"/>
      <c r="FW41" s="148"/>
      <c r="FX41" s="148"/>
      <c r="FY41" s="148"/>
      <c r="FZ41" s="148"/>
      <c r="GA41" s="148"/>
      <c r="GB41" s="148"/>
      <c r="GC41" s="148"/>
      <c r="GD41" s="148"/>
      <c r="GE41" s="148"/>
      <c r="GF41" s="148"/>
      <c r="GG41" s="148"/>
      <c r="GH41" s="148"/>
      <c r="GI41" s="148"/>
      <c r="GJ41" s="148"/>
      <c r="GK41" s="148"/>
      <c r="GL41" s="148"/>
      <c r="GM41" s="148"/>
      <c r="GN41" s="148"/>
      <c r="GO41" s="148"/>
      <c r="GP41" s="148"/>
      <c r="GQ41" s="148"/>
      <c r="GR41" s="148"/>
      <c r="GS41" s="148"/>
      <c r="GT41" s="148"/>
      <c r="GU41" s="148"/>
      <c r="GV41" s="148"/>
      <c r="GW41" s="148"/>
      <c r="GX41" s="148"/>
      <c r="GY41" s="148"/>
      <c r="GZ41" s="148"/>
      <c r="HA41" s="148"/>
      <c r="HB41" s="148"/>
      <c r="HC41" s="148"/>
      <c r="HD41" s="148"/>
      <c r="HE41" s="148"/>
      <c r="HF41" s="148"/>
      <c r="HG41" s="148"/>
      <c r="HH41" s="148"/>
      <c r="HI41" s="148"/>
      <c r="HJ41" s="148"/>
      <c r="HK41" s="148"/>
      <c r="HL41" s="148"/>
      <c r="HM41" s="148"/>
      <c r="HN41" s="148"/>
      <c r="HO41" s="148"/>
      <c r="HP41" s="148"/>
      <c r="HQ41" s="148"/>
      <c r="HR41" s="148"/>
      <c r="HS41" s="148"/>
      <c r="HT41" s="148"/>
      <c r="HU41" s="148"/>
      <c r="HV41" s="148"/>
      <c r="HW41" s="148"/>
      <c r="HX41" s="148"/>
      <c r="HY41" s="148"/>
      <c r="HZ41" s="148"/>
      <c r="IA41" s="148"/>
      <c r="IB41" s="148"/>
      <c r="IC41" s="148"/>
      <c r="ID41" s="148"/>
      <c r="IE41" s="148"/>
      <c r="IF41" s="148"/>
      <c r="IG41" s="148"/>
      <c r="IH41" s="148"/>
      <c r="II41" s="148"/>
      <c r="IJ41" s="148"/>
      <c r="IK41" s="148"/>
      <c r="IL41" s="148"/>
      <c r="IM41" s="148"/>
      <c r="IN41" s="148"/>
      <c r="IO41" s="148"/>
      <c r="IP41" s="148"/>
      <c r="IQ41" s="148"/>
      <c r="IR41" s="148"/>
      <c r="IS41" s="148"/>
      <c r="IT41" s="148"/>
      <c r="IU41" s="148"/>
      <c r="IV41" s="148"/>
      <c r="IW41" s="148"/>
      <c r="IX41" s="148"/>
      <c r="IY41" s="148"/>
      <c r="IZ41" s="148"/>
      <c r="JA41" s="148"/>
      <c r="JB41" s="148"/>
    </row>
    <row r="42" spans="2:262" s="15" customFormat="1" ht="20" hidden="1">
      <c r="B42" s="238" t="s">
        <v>381</v>
      </c>
      <c r="D42" s="158"/>
      <c r="P42" s="235" t="e">
        <f>SUM('Farm and Rotation Setup'!#REF!)</f>
        <v>#REF!</v>
      </c>
      <c r="V42" s="148"/>
      <c r="W42" s="148"/>
      <c r="X42" s="148"/>
      <c r="Y42" s="148"/>
      <c r="Z42" s="148"/>
      <c r="AA42" s="148"/>
      <c r="AB42" s="148"/>
      <c r="AC42" s="148"/>
      <c r="AD42" s="148"/>
      <c r="AE42" s="148"/>
      <c r="AF42" s="148"/>
      <c r="AG42" s="148"/>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c r="BI42" s="148"/>
      <c r="BJ42" s="148"/>
      <c r="BK42" s="148"/>
      <c r="BL42" s="148"/>
      <c r="BM42" s="148"/>
      <c r="BN42" s="148"/>
      <c r="BO42" s="148"/>
      <c r="BP42" s="148"/>
      <c r="BQ42" s="148"/>
      <c r="BR42" s="148"/>
      <c r="BS42" s="148"/>
      <c r="BT42" s="148"/>
      <c r="BU42" s="148"/>
      <c r="BV42" s="148"/>
      <c r="BW42" s="148"/>
      <c r="BX42" s="148"/>
      <c r="BY42" s="148"/>
      <c r="BZ42" s="148"/>
      <c r="CA42" s="148"/>
      <c r="CB42" s="148"/>
      <c r="CC42" s="148"/>
      <c r="CD42" s="148"/>
      <c r="CE42" s="148"/>
      <c r="CF42" s="148"/>
      <c r="CG42" s="148"/>
      <c r="CH42" s="148"/>
      <c r="CI42" s="148"/>
      <c r="CJ42" s="148"/>
      <c r="CK42" s="148"/>
      <c r="CL42" s="148"/>
      <c r="CM42" s="148"/>
      <c r="CN42" s="148"/>
      <c r="CO42" s="148"/>
      <c r="CP42" s="148"/>
      <c r="CQ42" s="148"/>
      <c r="CR42" s="148"/>
      <c r="CS42" s="148"/>
      <c r="CT42" s="148"/>
      <c r="CU42" s="148"/>
      <c r="CV42" s="148"/>
      <c r="CW42" s="148"/>
      <c r="CX42" s="148"/>
      <c r="CY42" s="148"/>
      <c r="CZ42" s="148"/>
      <c r="DA42" s="148"/>
      <c r="DB42" s="148"/>
      <c r="DC42" s="148"/>
      <c r="DD42" s="148"/>
      <c r="DE42" s="148"/>
      <c r="DF42" s="148"/>
      <c r="DG42" s="148"/>
      <c r="DH42" s="148"/>
      <c r="DI42" s="148"/>
      <c r="DJ42" s="148"/>
      <c r="DK42" s="148"/>
      <c r="DL42" s="148"/>
      <c r="DM42" s="148"/>
      <c r="DN42" s="148"/>
      <c r="DO42" s="148"/>
      <c r="DP42" s="148"/>
      <c r="DQ42" s="148"/>
      <c r="DR42" s="148"/>
      <c r="DS42" s="148"/>
      <c r="DT42" s="148"/>
      <c r="DU42" s="148"/>
      <c r="DV42" s="148"/>
      <c r="DW42" s="148"/>
      <c r="DX42" s="148"/>
      <c r="DY42" s="148"/>
      <c r="DZ42" s="148"/>
      <c r="EA42" s="148"/>
      <c r="EB42" s="148"/>
      <c r="EC42" s="148"/>
      <c r="ED42" s="148"/>
      <c r="EE42" s="148"/>
      <c r="EF42" s="148"/>
      <c r="EG42" s="148"/>
      <c r="EH42" s="148"/>
      <c r="EI42" s="148"/>
      <c r="EJ42" s="148"/>
      <c r="EK42" s="148"/>
      <c r="EL42" s="148"/>
      <c r="EM42" s="148"/>
      <c r="EN42" s="148"/>
      <c r="EO42" s="148"/>
      <c r="EP42" s="148"/>
      <c r="EQ42" s="148"/>
      <c r="ER42" s="148"/>
      <c r="ES42" s="148"/>
      <c r="ET42" s="148"/>
      <c r="EU42" s="148"/>
      <c r="EV42" s="148"/>
      <c r="EW42" s="148"/>
      <c r="EX42" s="148"/>
      <c r="EY42" s="148"/>
      <c r="EZ42" s="148"/>
      <c r="FA42" s="148"/>
      <c r="FB42" s="148"/>
      <c r="FC42" s="148"/>
      <c r="FD42" s="148"/>
      <c r="FE42" s="148"/>
      <c r="FF42" s="148"/>
      <c r="FG42" s="148"/>
      <c r="FH42" s="148"/>
      <c r="FI42" s="148"/>
      <c r="FJ42" s="148"/>
      <c r="FK42" s="148"/>
      <c r="FL42" s="148"/>
      <c r="FM42" s="148"/>
      <c r="FN42" s="148"/>
      <c r="FO42" s="148"/>
      <c r="FP42" s="148"/>
      <c r="FQ42" s="148"/>
      <c r="FR42" s="148"/>
      <c r="FS42" s="148"/>
      <c r="FT42" s="148"/>
      <c r="FU42" s="148"/>
      <c r="FV42" s="148"/>
      <c r="FW42" s="148"/>
      <c r="FX42" s="148"/>
      <c r="FY42" s="148"/>
      <c r="FZ42" s="148"/>
      <c r="GA42" s="148"/>
      <c r="GB42" s="148"/>
      <c r="GC42" s="148"/>
      <c r="GD42" s="148"/>
      <c r="GE42" s="148"/>
      <c r="GF42" s="148"/>
      <c r="GG42" s="148"/>
      <c r="GH42" s="148"/>
      <c r="GI42" s="148"/>
      <c r="GJ42" s="148"/>
      <c r="GK42" s="148"/>
      <c r="GL42" s="148"/>
      <c r="GM42" s="148"/>
      <c r="GN42" s="148"/>
      <c r="GO42" s="148"/>
      <c r="GP42" s="148"/>
      <c r="GQ42" s="148"/>
      <c r="GR42" s="148"/>
      <c r="GS42" s="148"/>
      <c r="GT42" s="148"/>
      <c r="GU42" s="148"/>
      <c r="GV42" s="148"/>
      <c r="GW42" s="148"/>
      <c r="GX42" s="148"/>
      <c r="GY42" s="148"/>
      <c r="GZ42" s="148"/>
      <c r="HA42" s="148"/>
      <c r="HB42" s="148"/>
      <c r="HC42" s="148"/>
      <c r="HD42" s="148"/>
      <c r="HE42" s="148"/>
      <c r="HF42" s="148"/>
      <c r="HG42" s="148"/>
      <c r="HH42" s="148"/>
      <c r="HI42" s="148"/>
      <c r="HJ42" s="148"/>
      <c r="HK42" s="148"/>
      <c r="HL42" s="148"/>
      <c r="HM42" s="148"/>
      <c r="HN42" s="148"/>
      <c r="HO42" s="148"/>
      <c r="HP42" s="148"/>
      <c r="HQ42" s="148"/>
      <c r="HR42" s="148"/>
      <c r="HS42" s="148"/>
      <c r="HT42" s="148"/>
      <c r="HU42" s="148"/>
      <c r="HV42" s="148"/>
      <c r="HW42" s="148"/>
      <c r="HX42" s="148"/>
      <c r="HY42" s="148"/>
      <c r="HZ42" s="148"/>
      <c r="IA42" s="148"/>
      <c r="IB42" s="148"/>
      <c r="IC42" s="148"/>
      <c r="ID42" s="148"/>
      <c r="IE42" s="148"/>
      <c r="IF42" s="148"/>
      <c r="IG42" s="148"/>
      <c r="IH42" s="148"/>
      <c r="II42" s="148"/>
      <c r="IJ42" s="148"/>
      <c r="IK42" s="148"/>
      <c r="IL42" s="148"/>
      <c r="IM42" s="148"/>
      <c r="IN42" s="148"/>
      <c r="IO42" s="148"/>
      <c r="IP42" s="148"/>
      <c r="IQ42" s="148"/>
      <c r="IR42" s="148"/>
      <c r="IS42" s="148"/>
      <c r="IT42" s="148"/>
      <c r="IU42" s="148"/>
      <c r="IV42" s="148"/>
      <c r="IW42" s="148"/>
      <c r="IX42" s="148"/>
      <c r="IY42" s="148"/>
      <c r="IZ42" s="148"/>
      <c r="JA42" s="148"/>
      <c r="JB42" s="148"/>
    </row>
    <row r="43" spans="2:262" s="15" customFormat="1" ht="20" hidden="1">
      <c r="B43" s="238" t="s">
        <v>382</v>
      </c>
      <c r="D43" s="158"/>
      <c r="P43" s="235" t="e">
        <f>SUM('Farm and Rotation Setup'!#REF!)</f>
        <v>#REF!</v>
      </c>
      <c r="V43" s="148"/>
      <c r="W43" s="148"/>
      <c r="X43" s="148"/>
      <c r="Y43" s="148"/>
      <c r="Z43" s="148"/>
      <c r="AA43" s="148"/>
      <c r="AB43" s="148"/>
      <c r="AC43" s="148"/>
      <c r="AD43" s="148"/>
      <c r="AE43" s="148"/>
      <c r="AF43" s="148"/>
      <c r="AG43" s="148"/>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c r="BI43" s="148"/>
      <c r="BJ43" s="148"/>
      <c r="BK43" s="148"/>
      <c r="BL43" s="148"/>
      <c r="BM43" s="148"/>
      <c r="BN43" s="148"/>
      <c r="BO43" s="148"/>
      <c r="BP43" s="148"/>
      <c r="BQ43" s="148"/>
      <c r="BR43" s="148"/>
      <c r="BS43" s="148"/>
      <c r="BT43" s="148"/>
      <c r="BU43" s="148"/>
      <c r="BV43" s="148"/>
      <c r="BW43" s="148"/>
      <c r="BX43" s="148"/>
      <c r="BY43" s="148"/>
      <c r="BZ43" s="148"/>
      <c r="CA43" s="148"/>
      <c r="CB43" s="148"/>
      <c r="CC43" s="148"/>
      <c r="CD43" s="148"/>
      <c r="CE43" s="148"/>
      <c r="CF43" s="148"/>
      <c r="CG43" s="148"/>
      <c r="CH43" s="148"/>
      <c r="CI43" s="148"/>
      <c r="CJ43" s="148"/>
      <c r="CK43" s="148"/>
      <c r="CL43" s="148"/>
      <c r="CM43" s="148"/>
      <c r="CN43" s="148"/>
      <c r="CO43" s="148"/>
      <c r="CP43" s="148"/>
      <c r="CQ43" s="148"/>
      <c r="CR43" s="148"/>
      <c r="CS43" s="148"/>
      <c r="CT43" s="148"/>
      <c r="CU43" s="148"/>
      <c r="CV43" s="148"/>
      <c r="CW43" s="148"/>
      <c r="CX43" s="148"/>
      <c r="CY43" s="148"/>
      <c r="CZ43" s="148"/>
      <c r="DA43" s="148"/>
      <c r="DB43" s="148"/>
      <c r="DC43" s="148"/>
      <c r="DD43" s="148"/>
      <c r="DE43" s="148"/>
      <c r="DF43" s="148"/>
      <c r="DG43" s="148"/>
      <c r="DH43" s="148"/>
      <c r="DI43" s="148"/>
      <c r="DJ43" s="148"/>
      <c r="DK43" s="148"/>
      <c r="DL43" s="148"/>
      <c r="DM43" s="148"/>
      <c r="DN43" s="148"/>
      <c r="DO43" s="148"/>
      <c r="DP43" s="148"/>
      <c r="DQ43" s="148"/>
      <c r="DR43" s="148"/>
      <c r="DS43" s="148"/>
      <c r="DT43" s="148"/>
      <c r="DU43" s="148"/>
      <c r="DV43" s="148"/>
      <c r="DW43" s="148"/>
      <c r="DX43" s="148"/>
      <c r="DY43" s="148"/>
      <c r="DZ43" s="148"/>
      <c r="EA43" s="148"/>
      <c r="EB43" s="148"/>
      <c r="EC43" s="148"/>
      <c r="ED43" s="148"/>
      <c r="EE43" s="148"/>
      <c r="EF43" s="148"/>
      <c r="EG43" s="148"/>
      <c r="EH43" s="148"/>
      <c r="EI43" s="148"/>
      <c r="EJ43" s="148"/>
      <c r="EK43" s="148"/>
      <c r="EL43" s="148"/>
      <c r="EM43" s="148"/>
      <c r="EN43" s="148"/>
      <c r="EO43" s="148"/>
      <c r="EP43" s="148"/>
      <c r="EQ43" s="148"/>
      <c r="ER43" s="148"/>
      <c r="ES43" s="148"/>
      <c r="ET43" s="148"/>
      <c r="EU43" s="148"/>
      <c r="EV43" s="148"/>
      <c r="EW43" s="148"/>
      <c r="EX43" s="148"/>
      <c r="EY43" s="148"/>
      <c r="EZ43" s="148"/>
      <c r="FA43" s="148"/>
      <c r="FB43" s="148"/>
      <c r="FC43" s="148"/>
      <c r="FD43" s="148"/>
      <c r="FE43" s="148"/>
      <c r="FF43" s="148"/>
      <c r="FG43" s="148"/>
      <c r="FH43" s="148"/>
      <c r="FI43" s="148"/>
      <c r="FJ43" s="148"/>
      <c r="FK43" s="148"/>
      <c r="FL43" s="148"/>
      <c r="FM43" s="148"/>
      <c r="FN43" s="148"/>
      <c r="FO43" s="148"/>
      <c r="FP43" s="148"/>
      <c r="FQ43" s="148"/>
      <c r="FR43" s="148"/>
      <c r="FS43" s="148"/>
      <c r="FT43" s="148"/>
      <c r="FU43" s="148"/>
      <c r="FV43" s="148"/>
      <c r="FW43" s="148"/>
      <c r="FX43" s="148"/>
      <c r="FY43" s="148"/>
      <c r="FZ43" s="148"/>
      <c r="GA43" s="148"/>
      <c r="GB43" s="148"/>
      <c r="GC43" s="148"/>
      <c r="GD43" s="148"/>
      <c r="GE43" s="148"/>
      <c r="GF43" s="148"/>
      <c r="GG43" s="148"/>
      <c r="GH43" s="148"/>
      <c r="GI43" s="148"/>
      <c r="GJ43" s="148"/>
      <c r="GK43" s="148"/>
      <c r="GL43" s="148"/>
      <c r="GM43" s="148"/>
      <c r="GN43" s="148"/>
      <c r="GO43" s="148"/>
      <c r="GP43" s="148"/>
      <c r="GQ43" s="148"/>
      <c r="GR43" s="148"/>
      <c r="GS43" s="148"/>
      <c r="GT43" s="148"/>
      <c r="GU43" s="148"/>
      <c r="GV43" s="148"/>
      <c r="GW43" s="148"/>
      <c r="GX43" s="148"/>
      <c r="GY43" s="148"/>
      <c r="GZ43" s="148"/>
      <c r="HA43" s="148"/>
      <c r="HB43" s="148"/>
      <c r="HC43" s="148"/>
      <c r="HD43" s="148"/>
      <c r="HE43" s="148"/>
      <c r="HF43" s="148"/>
      <c r="HG43" s="148"/>
      <c r="HH43" s="148"/>
      <c r="HI43" s="148"/>
      <c r="HJ43" s="148"/>
      <c r="HK43" s="148"/>
      <c r="HL43" s="148"/>
      <c r="HM43" s="148"/>
      <c r="HN43" s="148"/>
      <c r="HO43" s="148"/>
      <c r="HP43" s="148"/>
      <c r="HQ43" s="148"/>
      <c r="HR43" s="148"/>
      <c r="HS43" s="148"/>
      <c r="HT43" s="148"/>
      <c r="HU43" s="148"/>
      <c r="HV43" s="148"/>
      <c r="HW43" s="148"/>
      <c r="HX43" s="148"/>
      <c r="HY43" s="148"/>
      <c r="HZ43" s="148"/>
      <c r="IA43" s="148"/>
      <c r="IB43" s="148"/>
      <c r="IC43" s="148"/>
      <c r="ID43" s="148"/>
      <c r="IE43" s="148"/>
      <c r="IF43" s="148"/>
      <c r="IG43" s="148"/>
      <c r="IH43" s="148"/>
      <c r="II43" s="148"/>
      <c r="IJ43" s="148"/>
      <c r="IK43" s="148"/>
      <c r="IL43" s="148"/>
      <c r="IM43" s="148"/>
      <c r="IN43" s="148"/>
      <c r="IO43" s="148"/>
      <c r="IP43" s="148"/>
      <c r="IQ43" s="148"/>
      <c r="IR43" s="148"/>
      <c r="IS43" s="148"/>
      <c r="IT43" s="148"/>
      <c r="IU43" s="148"/>
      <c r="IV43" s="148"/>
      <c r="IW43" s="148"/>
      <c r="IX43" s="148"/>
      <c r="IY43" s="148"/>
      <c r="IZ43" s="148"/>
      <c r="JA43" s="148"/>
      <c r="JB43" s="148"/>
    </row>
    <row r="44" spans="2:262" s="15" customFormat="1" ht="20" hidden="1">
      <c r="B44" s="238" t="s">
        <v>383</v>
      </c>
      <c r="D44" s="158"/>
      <c r="P44" s="235" t="e">
        <f>SUM('Farm and Rotation Setup'!#REF!)</f>
        <v>#REF!</v>
      </c>
      <c r="V44" s="148"/>
      <c r="W44" s="148"/>
      <c r="X44" s="148"/>
      <c r="Y44" s="148"/>
      <c r="Z44" s="148"/>
      <c r="AA44" s="148"/>
      <c r="AB44" s="148"/>
      <c r="AC44" s="148"/>
      <c r="AD44" s="148"/>
      <c r="AE44" s="148"/>
      <c r="AF44" s="148"/>
      <c r="AG44" s="148"/>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c r="BI44" s="148"/>
      <c r="BJ44" s="148"/>
      <c r="BK44" s="148"/>
      <c r="BL44" s="148"/>
      <c r="BM44" s="148"/>
      <c r="BN44" s="148"/>
      <c r="BO44" s="148"/>
      <c r="BP44" s="148"/>
      <c r="BQ44" s="148"/>
      <c r="BR44" s="148"/>
      <c r="BS44" s="148"/>
      <c r="BT44" s="148"/>
      <c r="BU44" s="148"/>
      <c r="BV44" s="148"/>
      <c r="BW44" s="148"/>
      <c r="BX44" s="148"/>
      <c r="BY44" s="148"/>
      <c r="BZ44" s="148"/>
      <c r="CA44" s="148"/>
      <c r="CB44" s="148"/>
      <c r="CC44" s="148"/>
      <c r="CD44" s="148"/>
      <c r="CE44" s="148"/>
      <c r="CF44" s="148"/>
      <c r="CG44" s="148"/>
      <c r="CH44" s="148"/>
      <c r="CI44" s="148"/>
      <c r="CJ44" s="148"/>
      <c r="CK44" s="148"/>
      <c r="CL44" s="148"/>
      <c r="CM44" s="148"/>
      <c r="CN44" s="148"/>
      <c r="CO44" s="148"/>
      <c r="CP44" s="148"/>
      <c r="CQ44" s="148"/>
      <c r="CR44" s="148"/>
      <c r="CS44" s="148"/>
      <c r="CT44" s="148"/>
      <c r="CU44" s="148"/>
      <c r="CV44" s="148"/>
      <c r="CW44" s="148"/>
      <c r="CX44" s="148"/>
      <c r="CY44" s="148"/>
      <c r="CZ44" s="148"/>
      <c r="DA44" s="148"/>
      <c r="DB44" s="148"/>
      <c r="DC44" s="148"/>
      <c r="DD44" s="148"/>
      <c r="DE44" s="148"/>
      <c r="DF44" s="148"/>
      <c r="DG44" s="148"/>
      <c r="DH44" s="148"/>
      <c r="DI44" s="148"/>
      <c r="DJ44" s="148"/>
      <c r="DK44" s="148"/>
      <c r="DL44" s="148"/>
      <c r="DM44" s="148"/>
      <c r="DN44" s="148"/>
      <c r="DO44" s="148"/>
      <c r="DP44" s="148"/>
      <c r="DQ44" s="148"/>
      <c r="DR44" s="148"/>
      <c r="DS44" s="148"/>
      <c r="DT44" s="148"/>
      <c r="DU44" s="148"/>
      <c r="DV44" s="148"/>
      <c r="DW44" s="148"/>
      <c r="DX44" s="148"/>
      <c r="DY44" s="148"/>
      <c r="DZ44" s="148"/>
      <c r="EA44" s="148"/>
      <c r="EB44" s="148"/>
      <c r="EC44" s="148"/>
      <c r="ED44" s="148"/>
      <c r="EE44" s="148"/>
      <c r="EF44" s="148"/>
      <c r="EG44" s="148"/>
      <c r="EH44" s="148"/>
      <c r="EI44" s="148"/>
      <c r="EJ44" s="148"/>
      <c r="EK44" s="148"/>
      <c r="EL44" s="148"/>
      <c r="EM44" s="148"/>
      <c r="EN44" s="148"/>
      <c r="EO44" s="148"/>
      <c r="EP44" s="148"/>
      <c r="EQ44" s="148"/>
      <c r="ER44" s="148"/>
      <c r="ES44" s="148"/>
      <c r="ET44" s="148"/>
      <c r="EU44" s="148"/>
      <c r="EV44" s="148"/>
      <c r="EW44" s="148"/>
      <c r="EX44" s="148"/>
      <c r="EY44" s="148"/>
      <c r="EZ44" s="148"/>
      <c r="FA44" s="148"/>
      <c r="FB44" s="148"/>
      <c r="FC44" s="148"/>
      <c r="FD44" s="148"/>
      <c r="FE44" s="148"/>
      <c r="FF44" s="148"/>
      <c r="FG44" s="148"/>
      <c r="FH44" s="148"/>
      <c r="FI44" s="148"/>
      <c r="FJ44" s="148"/>
      <c r="FK44" s="148"/>
      <c r="FL44" s="148"/>
      <c r="FM44" s="148"/>
      <c r="FN44" s="148"/>
      <c r="FO44" s="148"/>
      <c r="FP44" s="148"/>
      <c r="FQ44" s="148"/>
      <c r="FR44" s="148"/>
      <c r="FS44" s="148"/>
      <c r="FT44" s="148"/>
      <c r="FU44" s="148"/>
      <c r="FV44" s="148"/>
      <c r="FW44" s="148"/>
      <c r="FX44" s="148"/>
      <c r="FY44" s="148"/>
      <c r="FZ44" s="148"/>
      <c r="GA44" s="148"/>
      <c r="GB44" s="148"/>
      <c r="GC44" s="148"/>
      <c r="GD44" s="148"/>
      <c r="GE44" s="148"/>
      <c r="GF44" s="148"/>
      <c r="GG44" s="148"/>
      <c r="GH44" s="148"/>
      <c r="GI44" s="148"/>
      <c r="GJ44" s="148"/>
      <c r="GK44" s="148"/>
      <c r="GL44" s="148"/>
      <c r="GM44" s="148"/>
      <c r="GN44" s="148"/>
      <c r="GO44" s="148"/>
      <c r="GP44" s="148"/>
      <c r="GQ44" s="148"/>
      <c r="GR44" s="148"/>
      <c r="GS44" s="148"/>
      <c r="GT44" s="148"/>
      <c r="GU44" s="148"/>
      <c r="GV44" s="148"/>
      <c r="GW44" s="148"/>
      <c r="GX44" s="148"/>
      <c r="GY44" s="148"/>
      <c r="GZ44" s="148"/>
      <c r="HA44" s="148"/>
      <c r="HB44" s="148"/>
      <c r="HC44" s="148"/>
      <c r="HD44" s="148"/>
      <c r="HE44" s="148"/>
      <c r="HF44" s="148"/>
      <c r="HG44" s="148"/>
      <c r="HH44" s="148"/>
      <c r="HI44" s="148"/>
      <c r="HJ44" s="148"/>
      <c r="HK44" s="148"/>
      <c r="HL44" s="148"/>
      <c r="HM44" s="148"/>
      <c r="HN44" s="148"/>
      <c r="HO44" s="148"/>
      <c r="HP44" s="148"/>
      <c r="HQ44" s="148"/>
      <c r="HR44" s="148"/>
      <c r="HS44" s="148"/>
      <c r="HT44" s="148"/>
      <c r="HU44" s="148"/>
      <c r="HV44" s="148"/>
      <c r="HW44" s="148"/>
      <c r="HX44" s="148"/>
      <c r="HY44" s="148"/>
      <c r="HZ44" s="148"/>
      <c r="IA44" s="148"/>
      <c r="IB44" s="148"/>
      <c r="IC44" s="148"/>
      <c r="ID44" s="148"/>
      <c r="IE44" s="148"/>
      <c r="IF44" s="148"/>
      <c r="IG44" s="148"/>
      <c r="IH44" s="148"/>
      <c r="II44" s="148"/>
      <c r="IJ44" s="148"/>
      <c r="IK44" s="148"/>
      <c r="IL44" s="148"/>
      <c r="IM44" s="148"/>
      <c r="IN44" s="148"/>
      <c r="IO44" s="148"/>
      <c r="IP44" s="148"/>
      <c r="IQ44" s="148"/>
      <c r="IR44" s="148"/>
      <c r="IS44" s="148"/>
      <c r="IT44" s="148"/>
      <c r="IU44" s="148"/>
      <c r="IV44" s="148"/>
      <c r="IW44" s="148"/>
      <c r="IX44" s="148"/>
      <c r="IY44" s="148"/>
      <c r="IZ44" s="148"/>
      <c r="JA44" s="148"/>
      <c r="JB44" s="148"/>
    </row>
    <row r="45" spans="2:262" s="15" customFormat="1" ht="20" hidden="1">
      <c r="B45" s="238" t="s">
        <v>384</v>
      </c>
      <c r="D45" s="158"/>
      <c r="P45" s="235" t="e">
        <f>SUM('Farm and Rotation Setup'!#REF!)</f>
        <v>#REF!</v>
      </c>
      <c r="V45" s="148"/>
      <c r="W45" s="148"/>
      <c r="X45" s="148"/>
      <c r="Y45" s="148"/>
      <c r="Z45" s="148"/>
      <c r="AA45" s="148"/>
      <c r="AB45" s="148"/>
      <c r="AC45" s="148"/>
      <c r="AD45" s="148"/>
      <c r="AE45" s="148"/>
      <c r="AF45" s="148"/>
      <c r="AG45" s="148"/>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c r="BI45" s="148"/>
      <c r="BJ45" s="148"/>
      <c r="BK45" s="148"/>
      <c r="BL45" s="148"/>
      <c r="BM45" s="148"/>
      <c r="BN45" s="148"/>
      <c r="BO45" s="148"/>
      <c r="BP45" s="148"/>
      <c r="BQ45" s="148"/>
      <c r="BR45" s="148"/>
      <c r="BS45" s="148"/>
      <c r="BT45" s="148"/>
      <c r="BU45" s="148"/>
      <c r="BV45" s="148"/>
      <c r="BW45" s="148"/>
      <c r="BX45" s="148"/>
      <c r="BY45" s="148"/>
      <c r="BZ45" s="148"/>
      <c r="CA45" s="148"/>
      <c r="CB45" s="148"/>
      <c r="CC45" s="148"/>
      <c r="CD45" s="148"/>
      <c r="CE45" s="148"/>
      <c r="CF45" s="148"/>
      <c r="CG45" s="148"/>
      <c r="CH45" s="148"/>
      <c r="CI45" s="148"/>
      <c r="CJ45" s="148"/>
      <c r="CK45" s="148"/>
      <c r="CL45" s="148"/>
      <c r="CM45" s="148"/>
      <c r="CN45" s="148"/>
      <c r="CO45" s="148"/>
      <c r="CP45" s="148"/>
      <c r="CQ45" s="148"/>
      <c r="CR45" s="148"/>
      <c r="CS45" s="148"/>
      <c r="CT45" s="148"/>
      <c r="CU45" s="148"/>
      <c r="CV45" s="148"/>
      <c r="CW45" s="148"/>
      <c r="CX45" s="148"/>
      <c r="CY45" s="148"/>
      <c r="CZ45" s="148"/>
      <c r="DA45" s="148"/>
      <c r="DB45" s="148"/>
      <c r="DC45" s="148"/>
      <c r="DD45" s="148"/>
      <c r="DE45" s="148"/>
      <c r="DF45" s="148"/>
      <c r="DG45" s="148"/>
      <c r="DH45" s="148"/>
      <c r="DI45" s="148"/>
      <c r="DJ45" s="148"/>
      <c r="DK45" s="148"/>
      <c r="DL45" s="148"/>
      <c r="DM45" s="148"/>
      <c r="DN45" s="148"/>
      <c r="DO45" s="148"/>
      <c r="DP45" s="148"/>
      <c r="DQ45" s="148"/>
      <c r="DR45" s="148"/>
      <c r="DS45" s="148"/>
      <c r="DT45" s="148"/>
      <c r="DU45" s="148"/>
      <c r="DV45" s="148"/>
      <c r="DW45" s="148"/>
      <c r="DX45" s="148"/>
      <c r="DY45" s="148"/>
      <c r="DZ45" s="148"/>
      <c r="EA45" s="148"/>
      <c r="EB45" s="148"/>
      <c r="EC45" s="148"/>
      <c r="ED45" s="148"/>
      <c r="EE45" s="148"/>
      <c r="EF45" s="148"/>
      <c r="EG45" s="148"/>
      <c r="EH45" s="148"/>
      <c r="EI45" s="148"/>
      <c r="EJ45" s="148"/>
      <c r="EK45" s="148"/>
      <c r="EL45" s="148"/>
      <c r="EM45" s="148"/>
      <c r="EN45" s="148"/>
      <c r="EO45" s="148"/>
      <c r="EP45" s="148"/>
      <c r="EQ45" s="148"/>
      <c r="ER45" s="148"/>
      <c r="ES45" s="148"/>
      <c r="ET45" s="148"/>
      <c r="EU45" s="148"/>
      <c r="EV45" s="148"/>
      <c r="EW45" s="148"/>
      <c r="EX45" s="148"/>
      <c r="EY45" s="148"/>
      <c r="EZ45" s="148"/>
      <c r="FA45" s="148"/>
      <c r="FB45" s="148"/>
      <c r="FC45" s="148"/>
      <c r="FD45" s="148"/>
      <c r="FE45" s="148"/>
      <c r="FF45" s="148"/>
      <c r="FG45" s="148"/>
      <c r="FH45" s="148"/>
      <c r="FI45" s="148"/>
      <c r="FJ45" s="148"/>
      <c r="FK45" s="148"/>
      <c r="FL45" s="148"/>
      <c r="FM45" s="148"/>
      <c r="FN45" s="148"/>
      <c r="FO45" s="148"/>
      <c r="FP45" s="148"/>
      <c r="FQ45" s="148"/>
      <c r="FR45" s="148"/>
      <c r="FS45" s="148"/>
      <c r="FT45" s="148"/>
      <c r="FU45" s="148"/>
      <c r="FV45" s="148"/>
      <c r="FW45" s="148"/>
      <c r="FX45" s="148"/>
      <c r="FY45" s="148"/>
      <c r="FZ45" s="148"/>
      <c r="GA45" s="148"/>
      <c r="GB45" s="148"/>
      <c r="GC45" s="148"/>
      <c r="GD45" s="148"/>
      <c r="GE45" s="148"/>
      <c r="GF45" s="148"/>
      <c r="GG45" s="148"/>
      <c r="GH45" s="148"/>
      <c r="GI45" s="148"/>
      <c r="GJ45" s="148"/>
      <c r="GK45" s="148"/>
      <c r="GL45" s="148"/>
      <c r="GM45" s="148"/>
      <c r="GN45" s="148"/>
      <c r="GO45" s="148"/>
      <c r="GP45" s="148"/>
      <c r="GQ45" s="148"/>
      <c r="GR45" s="148"/>
      <c r="GS45" s="148"/>
      <c r="GT45" s="148"/>
      <c r="GU45" s="148"/>
      <c r="GV45" s="148"/>
      <c r="GW45" s="148"/>
      <c r="GX45" s="148"/>
      <c r="GY45" s="148"/>
      <c r="GZ45" s="148"/>
      <c r="HA45" s="148"/>
      <c r="HB45" s="148"/>
      <c r="HC45" s="148"/>
      <c r="HD45" s="148"/>
      <c r="HE45" s="148"/>
      <c r="HF45" s="148"/>
      <c r="HG45" s="148"/>
      <c r="HH45" s="148"/>
      <c r="HI45" s="148"/>
      <c r="HJ45" s="148"/>
      <c r="HK45" s="148"/>
      <c r="HL45" s="148"/>
      <c r="HM45" s="148"/>
      <c r="HN45" s="148"/>
      <c r="HO45" s="148"/>
      <c r="HP45" s="148"/>
      <c r="HQ45" s="148"/>
      <c r="HR45" s="148"/>
      <c r="HS45" s="148"/>
      <c r="HT45" s="148"/>
      <c r="HU45" s="148"/>
      <c r="HV45" s="148"/>
      <c r="HW45" s="148"/>
      <c r="HX45" s="148"/>
      <c r="HY45" s="148"/>
      <c r="HZ45" s="148"/>
      <c r="IA45" s="148"/>
      <c r="IB45" s="148"/>
      <c r="IC45" s="148"/>
      <c r="ID45" s="148"/>
      <c r="IE45" s="148"/>
      <c r="IF45" s="148"/>
      <c r="IG45" s="148"/>
      <c r="IH45" s="148"/>
      <c r="II45" s="148"/>
      <c r="IJ45" s="148"/>
      <c r="IK45" s="148"/>
      <c r="IL45" s="148"/>
      <c r="IM45" s="148"/>
      <c r="IN45" s="148"/>
      <c r="IO45" s="148"/>
      <c r="IP45" s="148"/>
      <c r="IQ45" s="148"/>
      <c r="IR45" s="148"/>
      <c r="IS45" s="148"/>
      <c r="IT45" s="148"/>
      <c r="IU45" s="148"/>
      <c r="IV45" s="148"/>
      <c r="IW45" s="148"/>
      <c r="IX45" s="148"/>
      <c r="IY45" s="148"/>
      <c r="IZ45" s="148"/>
      <c r="JA45" s="148"/>
      <c r="JB45" s="148"/>
    </row>
    <row r="46" spans="2:262" s="15" customFormat="1" ht="20" hidden="1">
      <c r="B46" s="237" t="s">
        <v>282</v>
      </c>
      <c r="D46" s="158"/>
      <c r="P46" s="235" t="e">
        <f>SUM('Farm and Rotation Setup'!#REF!)</f>
        <v>#REF!</v>
      </c>
      <c r="V46" s="148"/>
      <c r="W46" s="148"/>
      <c r="X46" s="148"/>
      <c r="Y46" s="148"/>
      <c r="Z46" s="148"/>
      <c r="AA46" s="148"/>
      <c r="AB46" s="148"/>
      <c r="AC46" s="148"/>
      <c r="AD46" s="148"/>
      <c r="AE46" s="148"/>
      <c r="AF46" s="148"/>
      <c r="AG46" s="148"/>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c r="BI46" s="148"/>
      <c r="BJ46" s="148"/>
      <c r="BK46" s="148"/>
      <c r="BL46" s="148"/>
      <c r="BM46" s="148"/>
      <c r="BN46" s="148"/>
      <c r="BO46" s="148"/>
      <c r="BP46" s="148"/>
      <c r="BQ46" s="148"/>
      <c r="BR46" s="148"/>
      <c r="BS46" s="148"/>
      <c r="BT46" s="148"/>
      <c r="BU46" s="148"/>
      <c r="BV46" s="148"/>
      <c r="BW46" s="148"/>
      <c r="BX46" s="148"/>
      <c r="BY46" s="148"/>
      <c r="BZ46" s="148"/>
      <c r="CA46" s="148"/>
      <c r="CB46" s="148"/>
      <c r="CC46" s="148"/>
      <c r="CD46" s="148"/>
      <c r="CE46" s="148"/>
      <c r="CF46" s="148"/>
      <c r="CG46" s="148"/>
      <c r="CH46" s="148"/>
      <c r="CI46" s="148"/>
      <c r="CJ46" s="148"/>
      <c r="CK46" s="148"/>
      <c r="CL46" s="148"/>
      <c r="CM46" s="148"/>
      <c r="CN46" s="148"/>
      <c r="CO46" s="148"/>
      <c r="CP46" s="148"/>
      <c r="CQ46" s="148"/>
      <c r="CR46" s="148"/>
      <c r="CS46" s="148"/>
      <c r="CT46" s="148"/>
      <c r="CU46" s="148"/>
      <c r="CV46" s="148"/>
      <c r="CW46" s="148"/>
      <c r="CX46" s="148"/>
      <c r="CY46" s="148"/>
      <c r="CZ46" s="148"/>
      <c r="DA46" s="148"/>
      <c r="DB46" s="148"/>
      <c r="DC46" s="148"/>
      <c r="DD46" s="148"/>
      <c r="DE46" s="148"/>
      <c r="DF46" s="148"/>
      <c r="DG46" s="148"/>
      <c r="DH46" s="148"/>
      <c r="DI46" s="148"/>
      <c r="DJ46" s="148"/>
      <c r="DK46" s="148"/>
      <c r="DL46" s="148"/>
      <c r="DM46" s="148"/>
      <c r="DN46" s="148"/>
      <c r="DO46" s="148"/>
      <c r="DP46" s="148"/>
      <c r="DQ46" s="148"/>
      <c r="DR46" s="148"/>
      <c r="DS46" s="148"/>
      <c r="DT46" s="148"/>
      <c r="DU46" s="148"/>
      <c r="DV46" s="148"/>
      <c r="DW46" s="148"/>
      <c r="DX46" s="148"/>
      <c r="DY46" s="148"/>
      <c r="DZ46" s="148"/>
      <c r="EA46" s="148"/>
      <c r="EB46" s="148"/>
      <c r="EC46" s="148"/>
      <c r="ED46" s="148"/>
      <c r="EE46" s="148"/>
      <c r="EF46" s="148"/>
      <c r="EG46" s="148"/>
      <c r="EH46" s="148"/>
      <c r="EI46" s="148"/>
      <c r="EJ46" s="148"/>
      <c r="EK46" s="148"/>
      <c r="EL46" s="148"/>
      <c r="EM46" s="148"/>
      <c r="EN46" s="148"/>
      <c r="EO46" s="148"/>
      <c r="EP46" s="148"/>
      <c r="EQ46" s="148"/>
      <c r="ER46" s="148"/>
      <c r="ES46" s="148"/>
      <c r="ET46" s="148"/>
      <c r="EU46" s="148"/>
      <c r="EV46" s="148"/>
      <c r="EW46" s="148"/>
      <c r="EX46" s="148"/>
      <c r="EY46" s="148"/>
      <c r="EZ46" s="148"/>
      <c r="FA46" s="148"/>
      <c r="FB46" s="148"/>
      <c r="FC46" s="148"/>
      <c r="FD46" s="148"/>
      <c r="FE46" s="148"/>
      <c r="FF46" s="148"/>
      <c r="FG46" s="148"/>
      <c r="FH46" s="148"/>
      <c r="FI46" s="148"/>
      <c r="FJ46" s="148"/>
      <c r="FK46" s="148"/>
      <c r="FL46" s="148"/>
      <c r="FM46" s="148"/>
      <c r="FN46" s="148"/>
      <c r="FO46" s="148"/>
      <c r="FP46" s="148"/>
      <c r="FQ46" s="148"/>
      <c r="FR46" s="148"/>
      <c r="FS46" s="148"/>
      <c r="FT46" s="148"/>
      <c r="FU46" s="148"/>
      <c r="FV46" s="148"/>
      <c r="FW46" s="148"/>
      <c r="FX46" s="148"/>
      <c r="FY46" s="148"/>
      <c r="FZ46" s="148"/>
      <c r="GA46" s="148"/>
      <c r="GB46" s="148"/>
      <c r="GC46" s="148"/>
      <c r="GD46" s="148"/>
      <c r="GE46" s="148"/>
      <c r="GF46" s="148"/>
      <c r="GG46" s="148"/>
      <c r="GH46" s="148"/>
      <c r="GI46" s="148"/>
      <c r="GJ46" s="148"/>
      <c r="GK46" s="148"/>
      <c r="GL46" s="148"/>
      <c r="GM46" s="148"/>
      <c r="GN46" s="148"/>
      <c r="GO46" s="148"/>
      <c r="GP46" s="148"/>
      <c r="GQ46" s="148"/>
      <c r="GR46" s="148"/>
      <c r="GS46" s="148"/>
      <c r="GT46" s="148"/>
      <c r="GU46" s="148"/>
      <c r="GV46" s="148"/>
      <c r="GW46" s="148"/>
      <c r="GX46" s="148"/>
      <c r="GY46" s="148"/>
      <c r="GZ46" s="148"/>
      <c r="HA46" s="148"/>
      <c r="HB46" s="148"/>
      <c r="HC46" s="148"/>
      <c r="HD46" s="148"/>
      <c r="HE46" s="148"/>
      <c r="HF46" s="148"/>
      <c r="HG46" s="148"/>
      <c r="HH46" s="148"/>
      <c r="HI46" s="148"/>
      <c r="HJ46" s="148"/>
      <c r="HK46" s="148"/>
      <c r="HL46" s="148"/>
      <c r="HM46" s="148"/>
      <c r="HN46" s="148"/>
      <c r="HO46" s="148"/>
      <c r="HP46" s="148"/>
      <c r="HQ46" s="148"/>
      <c r="HR46" s="148"/>
      <c r="HS46" s="148"/>
      <c r="HT46" s="148"/>
      <c r="HU46" s="148"/>
      <c r="HV46" s="148"/>
      <c r="HW46" s="148"/>
      <c r="HX46" s="148"/>
      <c r="HY46" s="148"/>
      <c r="HZ46" s="148"/>
      <c r="IA46" s="148"/>
      <c r="IB46" s="148"/>
      <c r="IC46" s="148"/>
      <c r="ID46" s="148"/>
      <c r="IE46" s="148"/>
      <c r="IF46" s="148"/>
      <c r="IG46" s="148"/>
      <c r="IH46" s="148"/>
      <c r="II46" s="148"/>
      <c r="IJ46" s="148"/>
      <c r="IK46" s="148"/>
      <c r="IL46" s="148"/>
      <c r="IM46" s="148"/>
      <c r="IN46" s="148"/>
      <c r="IO46" s="148"/>
      <c r="IP46" s="148"/>
      <c r="IQ46" s="148"/>
      <c r="IR46" s="148"/>
      <c r="IS46" s="148"/>
      <c r="IT46" s="148"/>
      <c r="IU46" s="148"/>
      <c r="IV46" s="148"/>
      <c r="IW46" s="148"/>
      <c r="IX46" s="148"/>
      <c r="IY46" s="148"/>
      <c r="IZ46" s="148"/>
      <c r="JA46" s="148"/>
      <c r="JB46" s="148"/>
    </row>
    <row r="47" spans="2:262" s="15" customFormat="1" ht="20" hidden="1">
      <c r="B47" s="237" t="s">
        <v>283</v>
      </c>
      <c r="D47" s="158"/>
      <c r="P47" s="235" t="e">
        <f>SUM('Farm and Rotation Setup'!#REF!)</f>
        <v>#REF!</v>
      </c>
      <c r="V47" s="148"/>
      <c r="W47" s="148"/>
      <c r="X47" s="148"/>
      <c r="Y47" s="148"/>
      <c r="Z47" s="148"/>
      <c r="AA47" s="148"/>
      <c r="AB47" s="148"/>
      <c r="AC47" s="148"/>
      <c r="AD47" s="148"/>
      <c r="AE47" s="148"/>
      <c r="AF47" s="148"/>
      <c r="AG47" s="148"/>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c r="BI47" s="148"/>
      <c r="BJ47" s="148"/>
      <c r="BK47" s="148"/>
      <c r="BL47" s="148"/>
      <c r="BM47" s="148"/>
      <c r="BN47" s="148"/>
      <c r="BO47" s="148"/>
      <c r="BP47" s="148"/>
      <c r="BQ47" s="148"/>
      <c r="BR47" s="148"/>
      <c r="BS47" s="148"/>
      <c r="BT47" s="148"/>
      <c r="BU47" s="148"/>
      <c r="BV47" s="148"/>
      <c r="BW47" s="148"/>
      <c r="BX47" s="148"/>
      <c r="BY47" s="148"/>
      <c r="BZ47" s="148"/>
      <c r="CA47" s="148"/>
      <c r="CB47" s="148"/>
      <c r="CC47" s="148"/>
      <c r="CD47" s="148"/>
      <c r="CE47" s="148"/>
      <c r="CF47" s="148"/>
      <c r="CG47" s="148"/>
      <c r="CH47" s="148"/>
      <c r="CI47" s="148"/>
      <c r="CJ47" s="148"/>
      <c r="CK47" s="148"/>
      <c r="CL47" s="148"/>
      <c r="CM47" s="148"/>
      <c r="CN47" s="148"/>
      <c r="CO47" s="148"/>
      <c r="CP47" s="148"/>
      <c r="CQ47" s="148"/>
      <c r="CR47" s="148"/>
      <c r="CS47" s="148"/>
      <c r="CT47" s="148"/>
      <c r="CU47" s="148"/>
      <c r="CV47" s="148"/>
      <c r="CW47" s="148"/>
      <c r="CX47" s="148"/>
      <c r="CY47" s="148"/>
      <c r="CZ47" s="148"/>
      <c r="DA47" s="148"/>
      <c r="DB47" s="148"/>
      <c r="DC47" s="148"/>
      <c r="DD47" s="148"/>
      <c r="DE47" s="148"/>
      <c r="DF47" s="148"/>
      <c r="DG47" s="148"/>
      <c r="DH47" s="148"/>
      <c r="DI47" s="148"/>
      <c r="DJ47" s="148"/>
      <c r="DK47" s="148"/>
      <c r="DL47" s="148"/>
      <c r="DM47" s="148"/>
      <c r="DN47" s="148"/>
      <c r="DO47" s="148"/>
      <c r="DP47" s="148"/>
      <c r="DQ47" s="148"/>
      <c r="DR47" s="148"/>
      <c r="DS47" s="148"/>
      <c r="DT47" s="148"/>
      <c r="DU47" s="148"/>
      <c r="DV47" s="148"/>
      <c r="DW47" s="148"/>
      <c r="DX47" s="148"/>
      <c r="DY47" s="148"/>
      <c r="DZ47" s="148"/>
      <c r="EA47" s="148"/>
      <c r="EB47" s="148"/>
      <c r="EC47" s="148"/>
      <c r="ED47" s="148"/>
      <c r="EE47" s="148"/>
      <c r="EF47" s="148"/>
      <c r="EG47" s="148"/>
      <c r="EH47" s="148"/>
      <c r="EI47" s="148"/>
      <c r="EJ47" s="148"/>
      <c r="EK47" s="148"/>
      <c r="EL47" s="148"/>
      <c r="EM47" s="148"/>
      <c r="EN47" s="148"/>
      <c r="EO47" s="148"/>
      <c r="EP47" s="148"/>
      <c r="EQ47" s="148"/>
      <c r="ER47" s="148"/>
      <c r="ES47" s="148"/>
      <c r="ET47" s="148"/>
      <c r="EU47" s="148"/>
      <c r="EV47" s="148"/>
      <c r="EW47" s="148"/>
      <c r="EX47" s="148"/>
      <c r="EY47" s="148"/>
      <c r="EZ47" s="148"/>
      <c r="FA47" s="148"/>
      <c r="FB47" s="148"/>
      <c r="FC47" s="148"/>
      <c r="FD47" s="148"/>
      <c r="FE47" s="148"/>
      <c r="FF47" s="148"/>
      <c r="FG47" s="148"/>
      <c r="FH47" s="148"/>
      <c r="FI47" s="148"/>
      <c r="FJ47" s="148"/>
      <c r="FK47" s="148"/>
      <c r="FL47" s="148"/>
      <c r="FM47" s="148"/>
      <c r="FN47" s="148"/>
      <c r="FO47" s="148"/>
      <c r="FP47" s="148"/>
      <c r="FQ47" s="148"/>
      <c r="FR47" s="148"/>
      <c r="FS47" s="148"/>
      <c r="FT47" s="148"/>
      <c r="FU47" s="148"/>
      <c r="FV47" s="148"/>
      <c r="FW47" s="148"/>
      <c r="FX47" s="148"/>
      <c r="FY47" s="148"/>
      <c r="FZ47" s="148"/>
      <c r="GA47" s="148"/>
      <c r="GB47" s="148"/>
      <c r="GC47" s="148"/>
      <c r="GD47" s="148"/>
      <c r="GE47" s="148"/>
      <c r="GF47" s="148"/>
      <c r="GG47" s="148"/>
      <c r="GH47" s="148"/>
      <c r="GI47" s="148"/>
      <c r="GJ47" s="148"/>
      <c r="GK47" s="148"/>
      <c r="GL47" s="148"/>
      <c r="GM47" s="148"/>
      <c r="GN47" s="148"/>
      <c r="GO47" s="148"/>
      <c r="GP47" s="148"/>
      <c r="GQ47" s="148"/>
      <c r="GR47" s="148"/>
      <c r="GS47" s="148"/>
      <c r="GT47" s="148"/>
      <c r="GU47" s="148"/>
      <c r="GV47" s="148"/>
      <c r="GW47" s="148"/>
      <c r="GX47" s="148"/>
      <c r="GY47" s="148"/>
      <c r="GZ47" s="148"/>
      <c r="HA47" s="148"/>
      <c r="HB47" s="148"/>
      <c r="HC47" s="148"/>
      <c r="HD47" s="148"/>
      <c r="HE47" s="148"/>
      <c r="HF47" s="148"/>
      <c r="HG47" s="148"/>
      <c r="HH47" s="148"/>
      <c r="HI47" s="148"/>
      <c r="HJ47" s="148"/>
      <c r="HK47" s="148"/>
      <c r="HL47" s="148"/>
      <c r="HM47" s="148"/>
      <c r="HN47" s="148"/>
      <c r="HO47" s="148"/>
      <c r="HP47" s="148"/>
      <c r="HQ47" s="148"/>
      <c r="HR47" s="148"/>
      <c r="HS47" s="148"/>
      <c r="HT47" s="148"/>
      <c r="HU47" s="148"/>
      <c r="HV47" s="148"/>
      <c r="HW47" s="148"/>
      <c r="HX47" s="148"/>
      <c r="HY47" s="148"/>
      <c r="HZ47" s="148"/>
      <c r="IA47" s="148"/>
      <c r="IB47" s="148"/>
      <c r="IC47" s="148"/>
      <c r="ID47" s="148"/>
      <c r="IE47" s="148"/>
      <c r="IF47" s="148"/>
      <c r="IG47" s="148"/>
      <c r="IH47" s="148"/>
      <c r="II47" s="148"/>
      <c r="IJ47" s="148"/>
      <c r="IK47" s="148"/>
      <c r="IL47" s="148"/>
      <c r="IM47" s="148"/>
      <c r="IN47" s="148"/>
      <c r="IO47" s="148"/>
      <c r="IP47" s="148"/>
      <c r="IQ47" s="148"/>
      <c r="IR47" s="148"/>
      <c r="IS47" s="148"/>
      <c r="IT47" s="148"/>
      <c r="IU47" s="148"/>
      <c r="IV47" s="148"/>
      <c r="IW47" s="148"/>
      <c r="IX47" s="148"/>
      <c r="IY47" s="148"/>
      <c r="IZ47" s="148"/>
      <c r="JA47" s="148"/>
      <c r="JB47" s="148"/>
    </row>
    <row r="48" spans="2:262" s="15" customFormat="1" ht="20" hidden="1">
      <c r="B48" s="238" t="s">
        <v>180</v>
      </c>
      <c r="D48" s="158"/>
      <c r="P48" s="235" t="e">
        <f>SUM('Farm and Rotation Setup'!#REF!)</f>
        <v>#REF!</v>
      </c>
      <c r="V48" s="148"/>
      <c r="W48" s="148"/>
      <c r="X48" s="148"/>
      <c r="Y48" s="148"/>
      <c r="Z48" s="148"/>
      <c r="AA48" s="148"/>
      <c r="AB48" s="148"/>
      <c r="AC48" s="148"/>
      <c r="AD48" s="148"/>
      <c r="AE48" s="148"/>
      <c r="AF48" s="148"/>
      <c r="AG48" s="148"/>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c r="BI48" s="148"/>
      <c r="BJ48" s="148"/>
      <c r="BK48" s="148"/>
      <c r="BL48" s="148"/>
      <c r="BM48" s="148"/>
      <c r="BN48" s="148"/>
      <c r="BO48" s="148"/>
      <c r="BP48" s="148"/>
      <c r="BQ48" s="148"/>
      <c r="BR48" s="148"/>
      <c r="BS48" s="148"/>
      <c r="BT48" s="148"/>
      <c r="BU48" s="148"/>
      <c r="BV48" s="148"/>
      <c r="BW48" s="148"/>
      <c r="BX48" s="148"/>
      <c r="BY48" s="148"/>
      <c r="BZ48" s="148"/>
      <c r="CA48" s="148"/>
      <c r="CB48" s="148"/>
      <c r="CC48" s="148"/>
      <c r="CD48" s="148"/>
      <c r="CE48" s="148"/>
      <c r="CF48" s="148"/>
      <c r="CG48" s="148"/>
      <c r="CH48" s="148"/>
      <c r="CI48" s="148"/>
      <c r="CJ48" s="148"/>
      <c r="CK48" s="148"/>
      <c r="CL48" s="148"/>
      <c r="CM48" s="148"/>
      <c r="CN48" s="148"/>
      <c r="CO48" s="148"/>
      <c r="CP48" s="148"/>
      <c r="CQ48" s="148"/>
      <c r="CR48" s="148"/>
      <c r="CS48" s="148"/>
      <c r="CT48" s="148"/>
      <c r="CU48" s="148"/>
      <c r="CV48" s="148"/>
      <c r="CW48" s="148"/>
      <c r="CX48" s="148"/>
      <c r="CY48" s="148"/>
      <c r="CZ48" s="148"/>
      <c r="DA48" s="148"/>
      <c r="DB48" s="148"/>
      <c r="DC48" s="148"/>
      <c r="DD48" s="148"/>
      <c r="DE48" s="148"/>
      <c r="DF48" s="148"/>
      <c r="DG48" s="148"/>
      <c r="DH48" s="148"/>
      <c r="DI48" s="148"/>
      <c r="DJ48" s="148"/>
      <c r="DK48" s="148"/>
      <c r="DL48" s="148"/>
      <c r="DM48" s="148"/>
      <c r="DN48" s="148"/>
      <c r="DO48" s="148"/>
      <c r="DP48" s="148"/>
      <c r="DQ48" s="148"/>
      <c r="DR48" s="148"/>
      <c r="DS48" s="148"/>
      <c r="DT48" s="148"/>
      <c r="DU48" s="148"/>
      <c r="DV48" s="148"/>
      <c r="DW48" s="148"/>
      <c r="DX48" s="148"/>
      <c r="DY48" s="148"/>
      <c r="DZ48" s="148"/>
      <c r="EA48" s="148"/>
      <c r="EB48" s="148"/>
      <c r="EC48" s="148"/>
      <c r="ED48" s="148"/>
      <c r="EE48" s="148"/>
      <c r="EF48" s="148"/>
      <c r="EG48" s="148"/>
      <c r="EH48" s="148"/>
      <c r="EI48" s="148"/>
      <c r="EJ48" s="148"/>
      <c r="EK48" s="148"/>
      <c r="EL48" s="148"/>
      <c r="EM48" s="148"/>
      <c r="EN48" s="148"/>
      <c r="EO48" s="148"/>
      <c r="EP48" s="148"/>
      <c r="EQ48" s="148"/>
      <c r="ER48" s="148"/>
      <c r="ES48" s="148"/>
      <c r="ET48" s="148"/>
      <c r="EU48" s="148"/>
      <c r="EV48" s="148"/>
      <c r="EW48" s="148"/>
      <c r="EX48" s="148"/>
      <c r="EY48" s="148"/>
      <c r="EZ48" s="148"/>
      <c r="FA48" s="148"/>
      <c r="FB48" s="148"/>
      <c r="FC48" s="148"/>
      <c r="FD48" s="148"/>
      <c r="FE48" s="148"/>
      <c r="FF48" s="148"/>
      <c r="FG48" s="148"/>
      <c r="FH48" s="148"/>
      <c r="FI48" s="148"/>
      <c r="FJ48" s="148"/>
      <c r="FK48" s="148"/>
      <c r="FL48" s="148"/>
      <c r="FM48" s="148"/>
      <c r="FN48" s="148"/>
      <c r="FO48" s="148"/>
      <c r="FP48" s="148"/>
      <c r="FQ48" s="148"/>
      <c r="FR48" s="148"/>
      <c r="FS48" s="148"/>
      <c r="FT48" s="148"/>
      <c r="FU48" s="148"/>
      <c r="FV48" s="148"/>
      <c r="FW48" s="148"/>
      <c r="FX48" s="148"/>
      <c r="FY48" s="148"/>
      <c r="FZ48" s="148"/>
      <c r="GA48" s="148"/>
      <c r="GB48" s="148"/>
      <c r="GC48" s="148"/>
      <c r="GD48" s="148"/>
      <c r="GE48" s="148"/>
      <c r="GF48" s="148"/>
      <c r="GG48" s="148"/>
      <c r="GH48" s="148"/>
      <c r="GI48" s="148"/>
      <c r="GJ48" s="148"/>
      <c r="GK48" s="148"/>
      <c r="GL48" s="148"/>
      <c r="GM48" s="148"/>
      <c r="GN48" s="148"/>
      <c r="GO48" s="148"/>
      <c r="GP48" s="148"/>
      <c r="GQ48" s="148"/>
      <c r="GR48" s="148"/>
      <c r="GS48" s="148"/>
      <c r="GT48" s="148"/>
      <c r="GU48" s="148"/>
      <c r="GV48" s="148"/>
      <c r="GW48" s="148"/>
      <c r="GX48" s="148"/>
      <c r="GY48" s="148"/>
      <c r="GZ48" s="148"/>
      <c r="HA48" s="148"/>
      <c r="HB48" s="148"/>
      <c r="HC48" s="148"/>
      <c r="HD48" s="148"/>
      <c r="HE48" s="148"/>
      <c r="HF48" s="148"/>
      <c r="HG48" s="148"/>
      <c r="HH48" s="148"/>
      <c r="HI48" s="148"/>
      <c r="HJ48" s="148"/>
      <c r="HK48" s="148"/>
      <c r="HL48" s="148"/>
      <c r="HM48" s="148"/>
      <c r="HN48" s="148"/>
      <c r="HO48" s="148"/>
      <c r="HP48" s="148"/>
      <c r="HQ48" s="148"/>
      <c r="HR48" s="148"/>
      <c r="HS48" s="148"/>
      <c r="HT48" s="148"/>
      <c r="HU48" s="148"/>
      <c r="HV48" s="148"/>
      <c r="HW48" s="148"/>
      <c r="HX48" s="148"/>
      <c r="HY48" s="148"/>
      <c r="HZ48" s="148"/>
      <c r="IA48" s="148"/>
      <c r="IB48" s="148"/>
      <c r="IC48" s="148"/>
      <c r="ID48" s="148"/>
      <c r="IE48" s="148"/>
      <c r="IF48" s="148"/>
      <c r="IG48" s="148"/>
      <c r="IH48" s="148"/>
      <c r="II48" s="148"/>
      <c r="IJ48" s="148"/>
      <c r="IK48" s="148"/>
      <c r="IL48" s="148"/>
      <c r="IM48" s="148"/>
      <c r="IN48" s="148"/>
      <c r="IO48" s="148"/>
      <c r="IP48" s="148"/>
      <c r="IQ48" s="148"/>
      <c r="IR48" s="148"/>
      <c r="IS48" s="148"/>
      <c r="IT48" s="148"/>
      <c r="IU48" s="148"/>
      <c r="IV48" s="148"/>
      <c r="IW48" s="148"/>
      <c r="IX48" s="148"/>
      <c r="IY48" s="148"/>
      <c r="IZ48" s="148"/>
      <c r="JA48" s="148"/>
      <c r="JB48" s="148"/>
    </row>
    <row r="49" spans="2:262" s="15" customFormat="1" ht="20" hidden="1">
      <c r="B49" s="238" t="s">
        <v>189</v>
      </c>
      <c r="D49" s="158"/>
      <c r="P49" s="235" t="e">
        <f>SUM('Farm and Rotation Setup'!#REF!)</f>
        <v>#REF!</v>
      </c>
      <c r="V49" s="148"/>
      <c r="W49" s="148"/>
      <c r="X49" s="148"/>
      <c r="Y49" s="148"/>
      <c r="Z49" s="148"/>
      <c r="AA49" s="148"/>
      <c r="AB49" s="148"/>
      <c r="AC49" s="148"/>
      <c r="AD49" s="148"/>
      <c r="AE49" s="148"/>
      <c r="AF49" s="148"/>
      <c r="AG49" s="148"/>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c r="BI49" s="148"/>
      <c r="BJ49" s="148"/>
      <c r="BK49" s="148"/>
      <c r="BL49" s="148"/>
      <c r="BM49" s="148"/>
      <c r="BN49" s="148"/>
      <c r="BO49" s="148"/>
      <c r="BP49" s="148"/>
      <c r="BQ49" s="148"/>
      <c r="BR49" s="148"/>
      <c r="BS49" s="148"/>
      <c r="BT49" s="148"/>
      <c r="BU49" s="148"/>
      <c r="BV49" s="148"/>
      <c r="BW49" s="148"/>
      <c r="BX49" s="148"/>
      <c r="BY49" s="148"/>
      <c r="BZ49" s="148"/>
      <c r="CA49" s="148"/>
      <c r="CB49" s="148"/>
      <c r="CC49" s="148"/>
      <c r="CD49" s="148"/>
      <c r="CE49" s="148"/>
      <c r="CF49" s="148"/>
      <c r="CG49" s="148"/>
      <c r="CH49" s="148"/>
      <c r="CI49" s="148"/>
      <c r="CJ49" s="148"/>
      <c r="CK49" s="148"/>
      <c r="CL49" s="148"/>
      <c r="CM49" s="148"/>
      <c r="CN49" s="148"/>
      <c r="CO49" s="148"/>
      <c r="CP49" s="148"/>
      <c r="CQ49" s="148"/>
      <c r="CR49" s="148"/>
      <c r="CS49" s="148"/>
      <c r="CT49" s="148"/>
      <c r="CU49" s="148"/>
      <c r="CV49" s="148"/>
      <c r="CW49" s="148"/>
      <c r="CX49" s="148"/>
      <c r="CY49" s="148"/>
      <c r="CZ49" s="148"/>
      <c r="DA49" s="148"/>
      <c r="DB49" s="148"/>
      <c r="DC49" s="148"/>
      <c r="DD49" s="148"/>
      <c r="DE49" s="148"/>
      <c r="DF49" s="148"/>
      <c r="DG49" s="148"/>
      <c r="DH49" s="148"/>
      <c r="DI49" s="148"/>
      <c r="DJ49" s="148"/>
      <c r="DK49" s="148"/>
      <c r="DL49" s="148"/>
      <c r="DM49" s="148"/>
      <c r="DN49" s="148"/>
      <c r="DO49" s="148"/>
      <c r="DP49" s="148"/>
      <c r="DQ49" s="148"/>
      <c r="DR49" s="148"/>
      <c r="DS49" s="148"/>
      <c r="DT49" s="148"/>
      <c r="DU49" s="148"/>
      <c r="DV49" s="148"/>
      <c r="DW49" s="148"/>
      <c r="DX49" s="148"/>
      <c r="DY49" s="148"/>
      <c r="DZ49" s="148"/>
      <c r="EA49" s="148"/>
      <c r="EB49" s="148"/>
      <c r="EC49" s="148"/>
      <c r="ED49" s="148"/>
      <c r="EE49" s="148"/>
      <c r="EF49" s="148"/>
      <c r="EG49" s="148"/>
      <c r="EH49" s="148"/>
      <c r="EI49" s="148"/>
      <c r="EJ49" s="148"/>
      <c r="EK49" s="148"/>
      <c r="EL49" s="148"/>
      <c r="EM49" s="148"/>
      <c r="EN49" s="148"/>
      <c r="EO49" s="148"/>
      <c r="EP49" s="148"/>
      <c r="EQ49" s="148"/>
      <c r="ER49" s="148"/>
      <c r="ES49" s="148"/>
      <c r="ET49" s="148"/>
      <c r="EU49" s="148"/>
      <c r="EV49" s="148"/>
      <c r="EW49" s="148"/>
      <c r="EX49" s="148"/>
      <c r="EY49" s="148"/>
      <c r="EZ49" s="148"/>
      <c r="FA49" s="148"/>
      <c r="FB49" s="148"/>
      <c r="FC49" s="148"/>
      <c r="FD49" s="148"/>
      <c r="FE49" s="148"/>
      <c r="FF49" s="148"/>
      <c r="FG49" s="148"/>
      <c r="FH49" s="148"/>
      <c r="FI49" s="148"/>
      <c r="FJ49" s="148"/>
      <c r="FK49" s="148"/>
      <c r="FL49" s="148"/>
      <c r="FM49" s="148"/>
      <c r="FN49" s="148"/>
      <c r="FO49" s="148"/>
      <c r="FP49" s="148"/>
      <c r="FQ49" s="148"/>
      <c r="FR49" s="148"/>
      <c r="FS49" s="148"/>
      <c r="FT49" s="148"/>
      <c r="FU49" s="148"/>
      <c r="FV49" s="148"/>
      <c r="FW49" s="148"/>
      <c r="FX49" s="148"/>
      <c r="FY49" s="148"/>
      <c r="FZ49" s="148"/>
      <c r="GA49" s="148"/>
      <c r="GB49" s="148"/>
      <c r="GC49" s="148"/>
      <c r="GD49" s="148"/>
      <c r="GE49" s="148"/>
      <c r="GF49" s="148"/>
      <c r="GG49" s="148"/>
      <c r="GH49" s="148"/>
      <c r="GI49" s="148"/>
      <c r="GJ49" s="148"/>
      <c r="GK49" s="148"/>
      <c r="GL49" s="148"/>
      <c r="GM49" s="148"/>
      <c r="GN49" s="148"/>
      <c r="GO49" s="148"/>
      <c r="GP49" s="148"/>
      <c r="GQ49" s="148"/>
      <c r="GR49" s="148"/>
      <c r="GS49" s="148"/>
      <c r="GT49" s="148"/>
      <c r="GU49" s="148"/>
      <c r="GV49" s="148"/>
      <c r="GW49" s="148"/>
      <c r="GX49" s="148"/>
      <c r="GY49" s="148"/>
      <c r="GZ49" s="148"/>
      <c r="HA49" s="148"/>
      <c r="HB49" s="148"/>
      <c r="HC49" s="148"/>
      <c r="HD49" s="148"/>
      <c r="HE49" s="148"/>
      <c r="HF49" s="148"/>
      <c r="HG49" s="148"/>
      <c r="HH49" s="148"/>
      <c r="HI49" s="148"/>
      <c r="HJ49" s="148"/>
      <c r="HK49" s="148"/>
      <c r="HL49" s="148"/>
      <c r="HM49" s="148"/>
      <c r="HN49" s="148"/>
      <c r="HO49" s="148"/>
      <c r="HP49" s="148"/>
      <c r="HQ49" s="148"/>
      <c r="HR49" s="148"/>
      <c r="HS49" s="148"/>
      <c r="HT49" s="148"/>
      <c r="HU49" s="148"/>
      <c r="HV49" s="148"/>
      <c r="HW49" s="148"/>
      <c r="HX49" s="148"/>
      <c r="HY49" s="148"/>
      <c r="HZ49" s="148"/>
      <c r="IA49" s="148"/>
      <c r="IB49" s="148"/>
      <c r="IC49" s="148"/>
      <c r="ID49" s="148"/>
      <c r="IE49" s="148"/>
      <c r="IF49" s="148"/>
      <c r="IG49" s="148"/>
      <c r="IH49" s="148"/>
      <c r="II49" s="148"/>
      <c r="IJ49" s="148"/>
      <c r="IK49" s="148"/>
      <c r="IL49" s="148"/>
      <c r="IM49" s="148"/>
      <c r="IN49" s="148"/>
      <c r="IO49" s="148"/>
      <c r="IP49" s="148"/>
      <c r="IQ49" s="148"/>
      <c r="IR49" s="148"/>
      <c r="IS49" s="148"/>
      <c r="IT49" s="148"/>
      <c r="IU49" s="148"/>
      <c r="IV49" s="148"/>
      <c r="IW49" s="148"/>
      <c r="IX49" s="148"/>
      <c r="IY49" s="148"/>
      <c r="IZ49" s="148"/>
      <c r="JA49" s="148"/>
      <c r="JB49" s="148"/>
    </row>
    <row r="50" spans="2:262" s="15" customFormat="1" ht="20" hidden="1">
      <c r="B50" s="237" t="s">
        <v>108</v>
      </c>
      <c r="D50" s="158"/>
      <c r="P50" s="235" t="e">
        <f>SUM('Farm and Rotation Setup'!#REF!)</f>
        <v>#REF!</v>
      </c>
      <c r="V50" s="148"/>
      <c r="W50" s="148"/>
      <c r="X50" s="148"/>
      <c r="Y50" s="148"/>
      <c r="Z50" s="148"/>
      <c r="AA50" s="148"/>
      <c r="AB50" s="148"/>
      <c r="AC50" s="148"/>
      <c r="AD50" s="148"/>
      <c r="AE50" s="148"/>
      <c r="AF50" s="148"/>
      <c r="AG50" s="148"/>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c r="BI50" s="148"/>
      <c r="BJ50" s="148"/>
      <c r="BK50" s="148"/>
      <c r="BL50" s="148"/>
      <c r="BM50" s="148"/>
      <c r="BN50" s="148"/>
      <c r="BO50" s="148"/>
      <c r="BP50" s="148"/>
      <c r="BQ50" s="148"/>
      <c r="BR50" s="148"/>
      <c r="BS50" s="148"/>
      <c r="BT50" s="148"/>
      <c r="BU50" s="148"/>
      <c r="BV50" s="148"/>
      <c r="BW50" s="148"/>
      <c r="BX50" s="148"/>
      <c r="BY50" s="148"/>
      <c r="BZ50" s="148"/>
      <c r="CA50" s="148"/>
      <c r="CB50" s="148"/>
      <c r="CC50" s="148"/>
      <c r="CD50" s="148"/>
      <c r="CE50" s="148"/>
      <c r="CF50" s="148"/>
      <c r="CG50" s="148"/>
      <c r="CH50" s="148"/>
      <c r="CI50" s="148"/>
      <c r="CJ50" s="148"/>
      <c r="CK50" s="148"/>
      <c r="CL50" s="148"/>
      <c r="CM50" s="148"/>
      <c r="CN50" s="148"/>
      <c r="CO50" s="148"/>
      <c r="CP50" s="148"/>
      <c r="CQ50" s="148"/>
      <c r="CR50" s="148"/>
      <c r="CS50" s="148"/>
      <c r="CT50" s="148"/>
      <c r="CU50" s="148"/>
      <c r="CV50" s="148"/>
      <c r="CW50" s="148"/>
      <c r="CX50" s="148"/>
      <c r="CY50" s="148"/>
      <c r="CZ50" s="148"/>
      <c r="DA50" s="148"/>
      <c r="DB50" s="148"/>
      <c r="DC50" s="148"/>
      <c r="DD50" s="148"/>
      <c r="DE50" s="148"/>
      <c r="DF50" s="148"/>
      <c r="DG50" s="148"/>
      <c r="DH50" s="148"/>
      <c r="DI50" s="148"/>
      <c r="DJ50" s="148"/>
      <c r="DK50" s="148"/>
      <c r="DL50" s="148"/>
      <c r="DM50" s="148"/>
      <c r="DN50" s="148"/>
      <c r="DO50" s="148"/>
      <c r="DP50" s="148"/>
      <c r="DQ50" s="148"/>
      <c r="DR50" s="148"/>
      <c r="DS50" s="148"/>
      <c r="DT50" s="148"/>
      <c r="DU50" s="148"/>
      <c r="DV50" s="148"/>
      <c r="DW50" s="148"/>
      <c r="DX50" s="148"/>
      <c r="DY50" s="148"/>
      <c r="DZ50" s="148"/>
      <c r="EA50" s="148"/>
      <c r="EB50" s="148"/>
      <c r="EC50" s="148"/>
      <c r="ED50" s="148"/>
      <c r="EE50" s="148"/>
      <c r="EF50" s="148"/>
      <c r="EG50" s="148"/>
      <c r="EH50" s="148"/>
      <c r="EI50" s="148"/>
      <c r="EJ50" s="148"/>
      <c r="EK50" s="148"/>
      <c r="EL50" s="148"/>
      <c r="EM50" s="148"/>
      <c r="EN50" s="148"/>
      <c r="EO50" s="148"/>
      <c r="EP50" s="148"/>
      <c r="EQ50" s="148"/>
      <c r="ER50" s="148"/>
      <c r="ES50" s="148"/>
      <c r="ET50" s="148"/>
      <c r="EU50" s="148"/>
      <c r="EV50" s="148"/>
      <c r="EW50" s="148"/>
      <c r="EX50" s="148"/>
      <c r="EY50" s="148"/>
      <c r="EZ50" s="148"/>
      <c r="FA50" s="148"/>
      <c r="FB50" s="148"/>
      <c r="FC50" s="148"/>
      <c r="FD50" s="148"/>
      <c r="FE50" s="148"/>
      <c r="FF50" s="148"/>
      <c r="FG50" s="148"/>
      <c r="FH50" s="148"/>
      <c r="FI50" s="148"/>
      <c r="FJ50" s="148"/>
      <c r="FK50" s="148"/>
      <c r="FL50" s="148"/>
      <c r="FM50" s="148"/>
      <c r="FN50" s="148"/>
      <c r="FO50" s="148"/>
      <c r="FP50" s="148"/>
      <c r="FQ50" s="148"/>
      <c r="FR50" s="148"/>
      <c r="FS50" s="148"/>
      <c r="FT50" s="148"/>
      <c r="FU50" s="148"/>
      <c r="FV50" s="148"/>
      <c r="FW50" s="148"/>
      <c r="FX50" s="148"/>
      <c r="FY50" s="148"/>
      <c r="FZ50" s="148"/>
      <c r="GA50" s="148"/>
      <c r="GB50" s="148"/>
      <c r="GC50" s="148"/>
      <c r="GD50" s="148"/>
      <c r="GE50" s="148"/>
      <c r="GF50" s="148"/>
      <c r="GG50" s="148"/>
      <c r="GH50" s="148"/>
      <c r="GI50" s="148"/>
      <c r="GJ50" s="148"/>
      <c r="GK50" s="148"/>
      <c r="GL50" s="148"/>
      <c r="GM50" s="148"/>
      <c r="GN50" s="148"/>
      <c r="GO50" s="148"/>
      <c r="GP50" s="148"/>
      <c r="GQ50" s="148"/>
      <c r="GR50" s="148"/>
      <c r="GS50" s="148"/>
      <c r="GT50" s="148"/>
      <c r="GU50" s="148"/>
      <c r="GV50" s="148"/>
      <c r="GW50" s="148"/>
      <c r="GX50" s="148"/>
      <c r="GY50" s="148"/>
      <c r="GZ50" s="148"/>
      <c r="HA50" s="148"/>
      <c r="HB50" s="148"/>
      <c r="HC50" s="148"/>
      <c r="HD50" s="148"/>
      <c r="HE50" s="148"/>
      <c r="HF50" s="148"/>
      <c r="HG50" s="148"/>
      <c r="HH50" s="148"/>
      <c r="HI50" s="148"/>
      <c r="HJ50" s="148"/>
      <c r="HK50" s="148"/>
      <c r="HL50" s="148"/>
      <c r="HM50" s="148"/>
      <c r="HN50" s="148"/>
      <c r="HO50" s="148"/>
      <c r="HP50" s="148"/>
      <c r="HQ50" s="148"/>
      <c r="HR50" s="148"/>
      <c r="HS50" s="148"/>
      <c r="HT50" s="148"/>
      <c r="HU50" s="148"/>
      <c r="HV50" s="148"/>
      <c r="HW50" s="148"/>
      <c r="HX50" s="148"/>
      <c r="HY50" s="148"/>
      <c r="HZ50" s="148"/>
      <c r="IA50" s="148"/>
      <c r="IB50" s="148"/>
      <c r="IC50" s="148"/>
      <c r="ID50" s="148"/>
      <c r="IE50" s="148"/>
      <c r="IF50" s="148"/>
      <c r="IG50" s="148"/>
      <c r="IH50" s="148"/>
      <c r="II50" s="148"/>
      <c r="IJ50" s="148"/>
      <c r="IK50" s="148"/>
      <c r="IL50" s="148"/>
      <c r="IM50" s="148"/>
      <c r="IN50" s="148"/>
      <c r="IO50" s="148"/>
      <c r="IP50" s="148"/>
      <c r="IQ50" s="148"/>
      <c r="IR50" s="148"/>
      <c r="IS50" s="148"/>
      <c r="IT50" s="148"/>
      <c r="IU50" s="148"/>
      <c r="IV50" s="148"/>
      <c r="IW50" s="148"/>
      <c r="IX50" s="148"/>
      <c r="IY50" s="148"/>
      <c r="IZ50" s="148"/>
      <c r="JA50" s="148"/>
      <c r="JB50" s="148"/>
    </row>
    <row r="51" spans="2:262" s="15" customFormat="1" ht="20" hidden="1">
      <c r="B51" s="238" t="s">
        <v>192</v>
      </c>
      <c r="D51" s="158"/>
      <c r="P51" s="235" t="e">
        <f>SUM('Farm and Rotation Setup'!#REF!)</f>
        <v>#REF!</v>
      </c>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8"/>
      <c r="BR51" s="148"/>
      <c r="BS51" s="148"/>
      <c r="BT51" s="148"/>
      <c r="BU51" s="148"/>
      <c r="BV51" s="148"/>
      <c r="BW51" s="148"/>
      <c r="BX51" s="148"/>
      <c r="BY51" s="148"/>
      <c r="BZ51" s="148"/>
      <c r="CA51" s="148"/>
      <c r="CB51" s="148"/>
      <c r="CC51" s="148"/>
      <c r="CD51" s="148"/>
      <c r="CE51" s="148"/>
      <c r="CF51" s="148"/>
      <c r="CG51" s="148"/>
      <c r="CH51" s="148"/>
      <c r="CI51" s="148"/>
      <c r="CJ51" s="148"/>
      <c r="CK51" s="148"/>
      <c r="CL51" s="148"/>
      <c r="CM51" s="148"/>
      <c r="CN51" s="148"/>
      <c r="CO51" s="148"/>
      <c r="CP51" s="148"/>
      <c r="CQ51" s="148"/>
      <c r="CR51" s="148"/>
      <c r="CS51" s="148"/>
      <c r="CT51" s="148"/>
      <c r="CU51" s="148"/>
      <c r="CV51" s="148"/>
      <c r="CW51" s="148"/>
      <c r="CX51" s="148"/>
      <c r="CY51" s="148"/>
      <c r="CZ51" s="148"/>
      <c r="DA51" s="148"/>
      <c r="DB51" s="148"/>
      <c r="DC51" s="148"/>
      <c r="DD51" s="148"/>
      <c r="DE51" s="148"/>
      <c r="DF51" s="148"/>
      <c r="DG51" s="148"/>
      <c r="DH51" s="148"/>
      <c r="DI51" s="148"/>
      <c r="DJ51" s="148"/>
      <c r="DK51" s="148"/>
      <c r="DL51" s="148"/>
      <c r="DM51" s="148"/>
      <c r="DN51" s="148"/>
      <c r="DO51" s="148"/>
      <c r="DP51" s="148"/>
      <c r="DQ51" s="148"/>
      <c r="DR51" s="148"/>
      <c r="DS51" s="148"/>
      <c r="DT51" s="148"/>
      <c r="DU51" s="148"/>
      <c r="DV51" s="148"/>
      <c r="DW51" s="148"/>
      <c r="DX51" s="148"/>
      <c r="DY51" s="148"/>
      <c r="DZ51" s="148"/>
      <c r="EA51" s="148"/>
      <c r="EB51" s="148"/>
      <c r="EC51" s="148"/>
      <c r="ED51" s="148"/>
      <c r="EE51" s="148"/>
      <c r="EF51" s="148"/>
      <c r="EG51" s="148"/>
      <c r="EH51" s="148"/>
      <c r="EI51" s="148"/>
      <c r="EJ51" s="148"/>
      <c r="EK51" s="148"/>
      <c r="EL51" s="148"/>
      <c r="EM51" s="148"/>
      <c r="EN51" s="148"/>
      <c r="EO51" s="148"/>
      <c r="EP51" s="148"/>
      <c r="EQ51" s="148"/>
      <c r="ER51" s="148"/>
      <c r="ES51" s="148"/>
      <c r="ET51" s="148"/>
      <c r="EU51" s="148"/>
      <c r="EV51" s="148"/>
      <c r="EW51" s="148"/>
      <c r="EX51" s="148"/>
      <c r="EY51" s="148"/>
      <c r="EZ51" s="148"/>
      <c r="FA51" s="148"/>
      <c r="FB51" s="148"/>
      <c r="FC51" s="148"/>
      <c r="FD51" s="148"/>
      <c r="FE51" s="148"/>
      <c r="FF51" s="148"/>
      <c r="FG51" s="148"/>
      <c r="FH51" s="148"/>
      <c r="FI51" s="148"/>
      <c r="FJ51" s="148"/>
      <c r="FK51" s="148"/>
      <c r="FL51" s="148"/>
      <c r="FM51" s="148"/>
      <c r="FN51" s="148"/>
      <c r="FO51" s="148"/>
      <c r="FP51" s="148"/>
      <c r="FQ51" s="148"/>
      <c r="FR51" s="148"/>
      <c r="FS51" s="148"/>
      <c r="FT51" s="148"/>
      <c r="FU51" s="148"/>
      <c r="FV51" s="148"/>
      <c r="FW51" s="148"/>
      <c r="FX51" s="148"/>
      <c r="FY51" s="148"/>
      <c r="FZ51" s="148"/>
      <c r="GA51" s="148"/>
      <c r="GB51" s="148"/>
      <c r="GC51" s="148"/>
      <c r="GD51" s="148"/>
      <c r="GE51" s="148"/>
      <c r="GF51" s="148"/>
      <c r="GG51" s="148"/>
      <c r="GH51" s="148"/>
      <c r="GI51" s="148"/>
      <c r="GJ51" s="148"/>
      <c r="GK51" s="148"/>
      <c r="GL51" s="148"/>
      <c r="GM51" s="148"/>
      <c r="GN51" s="148"/>
      <c r="GO51" s="148"/>
      <c r="GP51" s="148"/>
      <c r="GQ51" s="148"/>
      <c r="GR51" s="148"/>
      <c r="GS51" s="148"/>
      <c r="GT51" s="148"/>
      <c r="GU51" s="148"/>
      <c r="GV51" s="148"/>
      <c r="GW51" s="148"/>
      <c r="GX51" s="148"/>
      <c r="GY51" s="148"/>
      <c r="GZ51" s="148"/>
      <c r="HA51" s="148"/>
      <c r="HB51" s="148"/>
      <c r="HC51" s="148"/>
      <c r="HD51" s="148"/>
      <c r="HE51" s="148"/>
      <c r="HF51" s="148"/>
      <c r="HG51" s="148"/>
      <c r="HH51" s="148"/>
      <c r="HI51" s="148"/>
      <c r="HJ51" s="148"/>
      <c r="HK51" s="148"/>
      <c r="HL51" s="148"/>
      <c r="HM51" s="148"/>
      <c r="HN51" s="148"/>
      <c r="HO51" s="148"/>
      <c r="HP51" s="148"/>
      <c r="HQ51" s="148"/>
      <c r="HR51" s="148"/>
      <c r="HS51" s="148"/>
      <c r="HT51" s="148"/>
      <c r="HU51" s="148"/>
      <c r="HV51" s="148"/>
      <c r="HW51" s="148"/>
      <c r="HX51" s="148"/>
      <c r="HY51" s="148"/>
      <c r="HZ51" s="148"/>
      <c r="IA51" s="148"/>
      <c r="IB51" s="148"/>
      <c r="IC51" s="148"/>
      <c r="ID51" s="148"/>
      <c r="IE51" s="148"/>
      <c r="IF51" s="148"/>
      <c r="IG51" s="148"/>
      <c r="IH51" s="148"/>
      <c r="II51" s="148"/>
      <c r="IJ51" s="148"/>
      <c r="IK51" s="148"/>
      <c r="IL51" s="148"/>
      <c r="IM51" s="148"/>
      <c r="IN51" s="148"/>
      <c r="IO51" s="148"/>
      <c r="IP51" s="148"/>
      <c r="IQ51" s="148"/>
      <c r="IR51" s="148"/>
      <c r="IS51" s="148"/>
      <c r="IT51" s="148"/>
      <c r="IU51" s="148"/>
      <c r="IV51" s="148"/>
      <c r="IW51" s="148"/>
      <c r="IX51" s="148"/>
      <c r="IY51" s="148"/>
      <c r="IZ51" s="148"/>
      <c r="JA51" s="148"/>
      <c r="JB51" s="148"/>
    </row>
    <row r="52" spans="2:262" s="15" customFormat="1" ht="20" hidden="1">
      <c r="B52" s="238" t="s">
        <v>191</v>
      </c>
      <c r="D52" s="158"/>
      <c r="P52" s="235" t="e">
        <f>SUM('Farm and Rotation Setup'!#REF!)</f>
        <v>#REF!</v>
      </c>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8"/>
      <c r="BR52" s="148"/>
      <c r="BS52" s="148"/>
      <c r="BT52" s="148"/>
      <c r="BU52" s="148"/>
      <c r="BV52" s="148"/>
      <c r="BW52" s="148"/>
      <c r="BX52" s="148"/>
      <c r="BY52" s="148"/>
      <c r="BZ52" s="148"/>
      <c r="CA52" s="148"/>
      <c r="CB52" s="148"/>
      <c r="CC52" s="148"/>
      <c r="CD52" s="148"/>
      <c r="CE52" s="148"/>
      <c r="CF52" s="148"/>
      <c r="CG52" s="148"/>
      <c r="CH52" s="148"/>
      <c r="CI52" s="148"/>
      <c r="CJ52" s="148"/>
      <c r="CK52" s="148"/>
      <c r="CL52" s="148"/>
      <c r="CM52" s="148"/>
      <c r="CN52" s="148"/>
      <c r="CO52" s="148"/>
      <c r="CP52" s="148"/>
      <c r="CQ52" s="148"/>
      <c r="CR52" s="148"/>
      <c r="CS52" s="148"/>
      <c r="CT52" s="148"/>
      <c r="CU52" s="148"/>
      <c r="CV52" s="148"/>
      <c r="CW52" s="148"/>
      <c r="CX52" s="148"/>
      <c r="CY52" s="148"/>
      <c r="CZ52" s="148"/>
      <c r="DA52" s="148"/>
      <c r="DB52" s="148"/>
      <c r="DC52" s="148"/>
      <c r="DD52" s="148"/>
      <c r="DE52" s="148"/>
      <c r="DF52" s="148"/>
      <c r="DG52" s="148"/>
      <c r="DH52" s="148"/>
      <c r="DI52" s="148"/>
      <c r="DJ52" s="148"/>
      <c r="DK52" s="148"/>
      <c r="DL52" s="148"/>
      <c r="DM52" s="148"/>
      <c r="DN52" s="148"/>
      <c r="DO52" s="148"/>
      <c r="DP52" s="148"/>
      <c r="DQ52" s="148"/>
      <c r="DR52" s="148"/>
      <c r="DS52" s="148"/>
      <c r="DT52" s="148"/>
      <c r="DU52" s="148"/>
      <c r="DV52" s="148"/>
      <c r="DW52" s="148"/>
      <c r="DX52" s="148"/>
      <c r="DY52" s="148"/>
      <c r="DZ52" s="148"/>
      <c r="EA52" s="148"/>
      <c r="EB52" s="148"/>
      <c r="EC52" s="148"/>
      <c r="ED52" s="148"/>
      <c r="EE52" s="148"/>
      <c r="EF52" s="148"/>
      <c r="EG52" s="148"/>
      <c r="EH52" s="148"/>
      <c r="EI52" s="148"/>
      <c r="EJ52" s="148"/>
      <c r="EK52" s="148"/>
      <c r="EL52" s="148"/>
      <c r="EM52" s="148"/>
      <c r="EN52" s="148"/>
      <c r="EO52" s="148"/>
      <c r="EP52" s="148"/>
      <c r="EQ52" s="148"/>
      <c r="ER52" s="148"/>
      <c r="ES52" s="148"/>
      <c r="ET52" s="148"/>
      <c r="EU52" s="148"/>
      <c r="EV52" s="148"/>
      <c r="EW52" s="148"/>
      <c r="EX52" s="148"/>
      <c r="EY52" s="148"/>
      <c r="EZ52" s="148"/>
      <c r="FA52" s="148"/>
      <c r="FB52" s="148"/>
      <c r="FC52" s="148"/>
      <c r="FD52" s="148"/>
      <c r="FE52" s="148"/>
      <c r="FF52" s="148"/>
      <c r="FG52" s="148"/>
      <c r="FH52" s="148"/>
      <c r="FI52" s="148"/>
      <c r="FJ52" s="148"/>
      <c r="FK52" s="148"/>
      <c r="FL52" s="148"/>
      <c r="FM52" s="148"/>
      <c r="FN52" s="148"/>
      <c r="FO52" s="148"/>
      <c r="FP52" s="148"/>
      <c r="FQ52" s="148"/>
      <c r="FR52" s="148"/>
      <c r="FS52" s="148"/>
      <c r="FT52" s="148"/>
      <c r="FU52" s="148"/>
      <c r="FV52" s="148"/>
      <c r="FW52" s="148"/>
      <c r="FX52" s="148"/>
      <c r="FY52" s="148"/>
      <c r="FZ52" s="148"/>
      <c r="GA52" s="148"/>
      <c r="GB52" s="148"/>
      <c r="GC52" s="148"/>
      <c r="GD52" s="148"/>
      <c r="GE52" s="148"/>
      <c r="GF52" s="148"/>
      <c r="GG52" s="148"/>
      <c r="GH52" s="148"/>
      <c r="GI52" s="148"/>
      <c r="GJ52" s="148"/>
      <c r="GK52" s="148"/>
      <c r="GL52" s="148"/>
      <c r="GM52" s="148"/>
      <c r="GN52" s="148"/>
      <c r="GO52" s="148"/>
      <c r="GP52" s="148"/>
      <c r="GQ52" s="148"/>
      <c r="GR52" s="148"/>
      <c r="GS52" s="148"/>
      <c r="GT52" s="148"/>
      <c r="GU52" s="148"/>
      <c r="GV52" s="148"/>
      <c r="GW52" s="148"/>
      <c r="GX52" s="148"/>
      <c r="GY52" s="148"/>
      <c r="GZ52" s="148"/>
      <c r="HA52" s="148"/>
      <c r="HB52" s="148"/>
      <c r="HC52" s="148"/>
      <c r="HD52" s="148"/>
      <c r="HE52" s="148"/>
      <c r="HF52" s="148"/>
      <c r="HG52" s="148"/>
      <c r="HH52" s="148"/>
      <c r="HI52" s="148"/>
      <c r="HJ52" s="148"/>
      <c r="HK52" s="148"/>
      <c r="HL52" s="148"/>
      <c r="HM52" s="148"/>
      <c r="HN52" s="148"/>
      <c r="HO52" s="148"/>
      <c r="HP52" s="148"/>
      <c r="HQ52" s="148"/>
      <c r="HR52" s="148"/>
      <c r="HS52" s="148"/>
      <c r="HT52" s="148"/>
      <c r="HU52" s="148"/>
      <c r="HV52" s="148"/>
      <c r="HW52" s="148"/>
      <c r="HX52" s="148"/>
      <c r="HY52" s="148"/>
      <c r="HZ52" s="148"/>
      <c r="IA52" s="148"/>
      <c r="IB52" s="148"/>
      <c r="IC52" s="148"/>
      <c r="ID52" s="148"/>
      <c r="IE52" s="148"/>
      <c r="IF52" s="148"/>
      <c r="IG52" s="148"/>
      <c r="IH52" s="148"/>
      <c r="II52" s="148"/>
      <c r="IJ52" s="148"/>
      <c r="IK52" s="148"/>
      <c r="IL52" s="148"/>
      <c r="IM52" s="148"/>
      <c r="IN52" s="148"/>
      <c r="IO52" s="148"/>
      <c r="IP52" s="148"/>
      <c r="IQ52" s="148"/>
      <c r="IR52" s="148"/>
      <c r="IS52" s="148"/>
      <c r="IT52" s="148"/>
      <c r="IU52" s="148"/>
      <c r="IV52" s="148"/>
      <c r="IW52" s="148"/>
      <c r="IX52" s="148"/>
      <c r="IY52" s="148"/>
      <c r="IZ52" s="148"/>
      <c r="JA52" s="148"/>
      <c r="JB52" s="148"/>
    </row>
    <row r="53" spans="2:262" s="15" customFormat="1" ht="20" hidden="1">
      <c r="B53" s="238" t="s">
        <v>193</v>
      </c>
      <c r="P53" s="235" t="e">
        <f>SUM('Farm and Rotation Setup'!#REF!)</f>
        <v>#REF!</v>
      </c>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8"/>
      <c r="BR53" s="148"/>
      <c r="BS53" s="148"/>
      <c r="BT53" s="148"/>
      <c r="BU53" s="148"/>
      <c r="BV53" s="148"/>
      <c r="BW53" s="148"/>
      <c r="BX53" s="148"/>
      <c r="BY53" s="148"/>
      <c r="BZ53" s="148"/>
      <c r="CA53" s="148"/>
      <c r="CB53" s="148"/>
      <c r="CC53" s="148"/>
      <c r="CD53" s="148"/>
      <c r="CE53" s="148"/>
      <c r="CF53" s="148"/>
      <c r="CG53" s="148"/>
      <c r="CH53" s="148"/>
      <c r="CI53" s="148"/>
      <c r="CJ53" s="148"/>
      <c r="CK53" s="148"/>
      <c r="CL53" s="148"/>
      <c r="CM53" s="148"/>
      <c r="CN53" s="148"/>
      <c r="CO53" s="148"/>
      <c r="CP53" s="148"/>
      <c r="CQ53" s="148"/>
      <c r="CR53" s="148"/>
      <c r="CS53" s="148"/>
      <c r="CT53" s="148"/>
      <c r="CU53" s="148"/>
      <c r="CV53" s="148"/>
      <c r="CW53" s="148"/>
      <c r="CX53" s="148"/>
      <c r="CY53" s="148"/>
      <c r="CZ53" s="148"/>
      <c r="DA53" s="148"/>
      <c r="DB53" s="148"/>
      <c r="DC53" s="148"/>
      <c r="DD53" s="148"/>
      <c r="DE53" s="148"/>
      <c r="DF53" s="148"/>
      <c r="DG53" s="148"/>
      <c r="DH53" s="148"/>
      <c r="DI53" s="148"/>
      <c r="DJ53" s="148"/>
      <c r="DK53" s="148"/>
      <c r="DL53" s="148"/>
      <c r="DM53" s="148"/>
      <c r="DN53" s="148"/>
      <c r="DO53" s="148"/>
      <c r="DP53" s="148"/>
      <c r="DQ53" s="148"/>
      <c r="DR53" s="148"/>
      <c r="DS53" s="148"/>
      <c r="DT53" s="148"/>
      <c r="DU53" s="148"/>
      <c r="DV53" s="148"/>
      <c r="DW53" s="148"/>
      <c r="DX53" s="148"/>
      <c r="DY53" s="148"/>
      <c r="DZ53" s="148"/>
      <c r="EA53" s="148"/>
      <c r="EB53" s="148"/>
      <c r="EC53" s="148"/>
      <c r="ED53" s="148"/>
      <c r="EE53" s="148"/>
      <c r="EF53" s="148"/>
      <c r="EG53" s="148"/>
      <c r="EH53" s="148"/>
      <c r="EI53" s="148"/>
      <c r="EJ53" s="148"/>
      <c r="EK53" s="148"/>
      <c r="EL53" s="148"/>
      <c r="EM53" s="148"/>
      <c r="EN53" s="148"/>
      <c r="EO53" s="148"/>
      <c r="EP53" s="148"/>
      <c r="EQ53" s="148"/>
      <c r="ER53" s="148"/>
      <c r="ES53" s="148"/>
      <c r="ET53" s="148"/>
      <c r="EU53" s="148"/>
      <c r="EV53" s="148"/>
      <c r="EW53" s="148"/>
      <c r="EX53" s="148"/>
      <c r="EY53" s="148"/>
      <c r="EZ53" s="148"/>
      <c r="FA53" s="148"/>
      <c r="FB53" s="148"/>
      <c r="FC53" s="148"/>
      <c r="FD53" s="148"/>
      <c r="FE53" s="148"/>
      <c r="FF53" s="148"/>
      <c r="FG53" s="148"/>
      <c r="FH53" s="148"/>
      <c r="FI53" s="148"/>
      <c r="FJ53" s="148"/>
      <c r="FK53" s="148"/>
      <c r="FL53" s="148"/>
      <c r="FM53" s="148"/>
      <c r="FN53" s="148"/>
      <c r="FO53" s="148"/>
      <c r="FP53" s="148"/>
      <c r="FQ53" s="148"/>
      <c r="FR53" s="148"/>
      <c r="FS53" s="148"/>
      <c r="FT53" s="148"/>
      <c r="FU53" s="148"/>
      <c r="FV53" s="148"/>
      <c r="FW53" s="148"/>
      <c r="FX53" s="148"/>
      <c r="FY53" s="148"/>
      <c r="FZ53" s="148"/>
      <c r="GA53" s="148"/>
      <c r="GB53" s="148"/>
      <c r="GC53" s="148"/>
      <c r="GD53" s="148"/>
      <c r="GE53" s="148"/>
      <c r="GF53" s="148"/>
      <c r="GG53" s="148"/>
      <c r="GH53" s="148"/>
      <c r="GI53" s="148"/>
      <c r="GJ53" s="148"/>
      <c r="GK53" s="148"/>
      <c r="GL53" s="148"/>
      <c r="GM53" s="148"/>
      <c r="GN53" s="148"/>
      <c r="GO53" s="148"/>
      <c r="GP53" s="148"/>
      <c r="GQ53" s="148"/>
      <c r="GR53" s="148"/>
      <c r="GS53" s="148"/>
      <c r="GT53" s="148"/>
      <c r="GU53" s="148"/>
      <c r="GV53" s="148"/>
      <c r="GW53" s="148"/>
      <c r="GX53" s="148"/>
      <c r="GY53" s="148"/>
      <c r="GZ53" s="148"/>
      <c r="HA53" s="148"/>
      <c r="HB53" s="148"/>
      <c r="HC53" s="148"/>
      <c r="HD53" s="148"/>
      <c r="HE53" s="148"/>
      <c r="HF53" s="148"/>
      <c r="HG53" s="148"/>
      <c r="HH53" s="148"/>
      <c r="HI53" s="148"/>
      <c r="HJ53" s="148"/>
      <c r="HK53" s="148"/>
      <c r="HL53" s="148"/>
      <c r="HM53" s="148"/>
      <c r="HN53" s="148"/>
      <c r="HO53" s="148"/>
      <c r="HP53" s="148"/>
      <c r="HQ53" s="148"/>
      <c r="HR53" s="148"/>
      <c r="HS53" s="148"/>
      <c r="HT53" s="148"/>
      <c r="HU53" s="148"/>
      <c r="HV53" s="148"/>
      <c r="HW53" s="148"/>
      <c r="HX53" s="148"/>
      <c r="HY53" s="148"/>
      <c r="HZ53" s="148"/>
      <c r="IA53" s="148"/>
      <c r="IB53" s="148"/>
      <c r="IC53" s="148"/>
      <c r="ID53" s="148"/>
      <c r="IE53" s="148"/>
      <c r="IF53" s="148"/>
      <c r="IG53" s="148"/>
      <c r="IH53" s="148"/>
      <c r="II53" s="148"/>
      <c r="IJ53" s="148"/>
      <c r="IK53" s="148"/>
      <c r="IL53" s="148"/>
      <c r="IM53" s="148"/>
      <c r="IN53" s="148"/>
      <c r="IO53" s="148"/>
      <c r="IP53" s="148"/>
      <c r="IQ53" s="148"/>
      <c r="IR53" s="148"/>
      <c r="IS53" s="148"/>
      <c r="IT53" s="148"/>
      <c r="IU53" s="148"/>
      <c r="IV53" s="148"/>
      <c r="IW53" s="148"/>
      <c r="IX53" s="148"/>
      <c r="IY53" s="148"/>
      <c r="IZ53" s="148"/>
      <c r="JA53" s="148"/>
      <c r="JB53" s="148"/>
    </row>
    <row r="54" spans="2:262" s="15" customFormat="1" ht="20" hidden="1">
      <c r="B54" s="237" t="s">
        <v>284</v>
      </c>
      <c r="P54" s="235" t="e">
        <f>SUM('Farm and Rotation Setup'!#REF!)</f>
        <v>#REF!</v>
      </c>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c r="BM54" s="148"/>
      <c r="BN54" s="148"/>
      <c r="BO54" s="148"/>
      <c r="BP54" s="148"/>
      <c r="BQ54" s="148"/>
      <c r="BR54" s="148"/>
      <c r="BS54" s="148"/>
      <c r="BT54" s="148"/>
      <c r="BU54" s="148"/>
      <c r="BV54" s="148"/>
      <c r="BW54" s="148"/>
      <c r="BX54" s="148"/>
      <c r="BY54" s="148"/>
      <c r="BZ54" s="148"/>
      <c r="CA54" s="148"/>
      <c r="CB54" s="148"/>
      <c r="CC54" s="148"/>
      <c r="CD54" s="148"/>
      <c r="CE54" s="148"/>
      <c r="CF54" s="148"/>
      <c r="CG54" s="148"/>
      <c r="CH54" s="148"/>
      <c r="CI54" s="148"/>
      <c r="CJ54" s="148"/>
      <c r="CK54" s="148"/>
      <c r="CL54" s="148"/>
      <c r="CM54" s="148"/>
      <c r="CN54" s="148"/>
      <c r="CO54" s="148"/>
      <c r="CP54" s="148"/>
      <c r="CQ54" s="148"/>
      <c r="CR54" s="148"/>
      <c r="CS54" s="148"/>
      <c r="CT54" s="148"/>
      <c r="CU54" s="148"/>
      <c r="CV54" s="148"/>
      <c r="CW54" s="148"/>
      <c r="CX54" s="148"/>
      <c r="CY54" s="148"/>
      <c r="CZ54" s="148"/>
      <c r="DA54" s="148"/>
      <c r="DB54" s="148"/>
      <c r="DC54" s="148"/>
      <c r="DD54" s="148"/>
      <c r="DE54" s="148"/>
      <c r="DF54" s="148"/>
      <c r="DG54" s="148"/>
      <c r="DH54" s="148"/>
      <c r="DI54" s="148"/>
      <c r="DJ54" s="148"/>
      <c r="DK54" s="148"/>
      <c r="DL54" s="148"/>
      <c r="DM54" s="148"/>
      <c r="DN54" s="148"/>
      <c r="DO54" s="148"/>
      <c r="DP54" s="148"/>
      <c r="DQ54" s="148"/>
      <c r="DR54" s="148"/>
      <c r="DS54" s="148"/>
      <c r="DT54" s="148"/>
      <c r="DU54" s="148"/>
      <c r="DV54" s="148"/>
      <c r="DW54" s="148"/>
      <c r="DX54" s="148"/>
      <c r="DY54" s="148"/>
      <c r="DZ54" s="148"/>
      <c r="EA54" s="148"/>
      <c r="EB54" s="148"/>
      <c r="EC54" s="148"/>
      <c r="ED54" s="148"/>
      <c r="EE54" s="148"/>
      <c r="EF54" s="148"/>
      <c r="EG54" s="148"/>
      <c r="EH54" s="148"/>
      <c r="EI54" s="148"/>
      <c r="EJ54" s="148"/>
      <c r="EK54" s="148"/>
      <c r="EL54" s="148"/>
      <c r="EM54" s="148"/>
      <c r="EN54" s="148"/>
      <c r="EO54" s="148"/>
      <c r="EP54" s="148"/>
      <c r="EQ54" s="148"/>
      <c r="ER54" s="148"/>
      <c r="ES54" s="148"/>
      <c r="ET54" s="148"/>
      <c r="EU54" s="148"/>
      <c r="EV54" s="148"/>
      <c r="EW54" s="148"/>
      <c r="EX54" s="148"/>
      <c r="EY54" s="148"/>
      <c r="EZ54" s="148"/>
      <c r="FA54" s="148"/>
      <c r="FB54" s="148"/>
      <c r="FC54" s="148"/>
      <c r="FD54" s="148"/>
      <c r="FE54" s="148"/>
      <c r="FF54" s="148"/>
      <c r="FG54" s="148"/>
      <c r="FH54" s="148"/>
      <c r="FI54" s="148"/>
      <c r="FJ54" s="148"/>
      <c r="FK54" s="148"/>
      <c r="FL54" s="148"/>
      <c r="FM54" s="148"/>
      <c r="FN54" s="148"/>
      <c r="FO54" s="148"/>
      <c r="FP54" s="148"/>
      <c r="FQ54" s="148"/>
      <c r="FR54" s="148"/>
      <c r="FS54" s="148"/>
      <c r="FT54" s="148"/>
      <c r="FU54" s="148"/>
      <c r="FV54" s="148"/>
      <c r="FW54" s="148"/>
      <c r="FX54" s="148"/>
      <c r="FY54" s="148"/>
      <c r="FZ54" s="148"/>
      <c r="GA54" s="148"/>
      <c r="GB54" s="148"/>
      <c r="GC54" s="148"/>
      <c r="GD54" s="148"/>
      <c r="GE54" s="148"/>
      <c r="GF54" s="148"/>
      <c r="GG54" s="148"/>
      <c r="GH54" s="148"/>
      <c r="GI54" s="148"/>
      <c r="GJ54" s="148"/>
      <c r="GK54" s="148"/>
      <c r="GL54" s="148"/>
      <c r="GM54" s="148"/>
      <c r="GN54" s="148"/>
      <c r="GO54" s="148"/>
      <c r="GP54" s="148"/>
      <c r="GQ54" s="148"/>
      <c r="GR54" s="148"/>
      <c r="GS54" s="148"/>
      <c r="GT54" s="148"/>
      <c r="GU54" s="148"/>
      <c r="GV54" s="148"/>
      <c r="GW54" s="148"/>
      <c r="GX54" s="148"/>
      <c r="GY54" s="148"/>
      <c r="GZ54" s="148"/>
      <c r="HA54" s="148"/>
      <c r="HB54" s="148"/>
      <c r="HC54" s="148"/>
      <c r="HD54" s="148"/>
      <c r="HE54" s="148"/>
      <c r="HF54" s="148"/>
      <c r="HG54" s="148"/>
      <c r="HH54" s="148"/>
      <c r="HI54" s="148"/>
      <c r="HJ54" s="148"/>
      <c r="HK54" s="148"/>
      <c r="HL54" s="148"/>
      <c r="HM54" s="148"/>
      <c r="HN54" s="148"/>
      <c r="HO54" s="148"/>
      <c r="HP54" s="148"/>
      <c r="HQ54" s="148"/>
      <c r="HR54" s="148"/>
      <c r="HS54" s="148"/>
      <c r="HT54" s="148"/>
      <c r="HU54" s="148"/>
      <c r="HV54" s="148"/>
      <c r="HW54" s="148"/>
      <c r="HX54" s="148"/>
      <c r="HY54" s="148"/>
      <c r="HZ54" s="148"/>
      <c r="IA54" s="148"/>
      <c r="IB54" s="148"/>
      <c r="IC54" s="148"/>
      <c r="ID54" s="148"/>
      <c r="IE54" s="148"/>
      <c r="IF54" s="148"/>
      <c r="IG54" s="148"/>
      <c r="IH54" s="148"/>
      <c r="II54" s="148"/>
      <c r="IJ54" s="148"/>
      <c r="IK54" s="148"/>
      <c r="IL54" s="148"/>
      <c r="IM54" s="148"/>
      <c r="IN54" s="148"/>
      <c r="IO54" s="148"/>
      <c r="IP54" s="148"/>
      <c r="IQ54" s="148"/>
      <c r="IR54" s="148"/>
      <c r="IS54" s="148"/>
      <c r="IT54" s="148"/>
      <c r="IU54" s="148"/>
      <c r="IV54" s="148"/>
      <c r="IW54" s="148"/>
      <c r="IX54" s="148"/>
      <c r="IY54" s="148"/>
      <c r="IZ54" s="148"/>
      <c r="JA54" s="148"/>
      <c r="JB54" s="148"/>
    </row>
    <row r="55" spans="2:262" s="15" customFormat="1" ht="20" hidden="1">
      <c r="B55" s="237" t="s">
        <v>285</v>
      </c>
      <c r="P55" s="235" t="e">
        <f>SUM('Farm and Rotation Setup'!#REF!)</f>
        <v>#REF!</v>
      </c>
      <c r="V55" s="148"/>
      <c r="W55" s="148"/>
      <c r="X55" s="148"/>
      <c r="Y55" s="148"/>
      <c r="Z55" s="148"/>
      <c r="AA55" s="148"/>
      <c r="AB55" s="148"/>
      <c r="AC55" s="148"/>
      <c r="AD55" s="148"/>
      <c r="AE55" s="148"/>
      <c r="AF55" s="148"/>
      <c r="AG55" s="148"/>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c r="BI55" s="148"/>
      <c r="BJ55" s="148"/>
      <c r="BK55" s="148"/>
      <c r="BL55" s="148"/>
      <c r="BM55" s="148"/>
      <c r="BN55" s="148"/>
      <c r="BO55" s="148"/>
      <c r="BP55" s="148"/>
      <c r="BQ55" s="148"/>
      <c r="BR55" s="148"/>
      <c r="BS55" s="148"/>
      <c r="BT55" s="148"/>
      <c r="BU55" s="148"/>
      <c r="BV55" s="148"/>
      <c r="BW55" s="148"/>
      <c r="BX55" s="148"/>
      <c r="BY55" s="148"/>
      <c r="BZ55" s="148"/>
      <c r="CA55" s="148"/>
      <c r="CB55" s="148"/>
      <c r="CC55" s="148"/>
      <c r="CD55" s="148"/>
      <c r="CE55" s="148"/>
      <c r="CF55" s="148"/>
      <c r="CG55" s="148"/>
      <c r="CH55" s="148"/>
      <c r="CI55" s="148"/>
      <c r="CJ55" s="148"/>
      <c r="CK55" s="148"/>
      <c r="CL55" s="148"/>
      <c r="CM55" s="148"/>
      <c r="CN55" s="148"/>
      <c r="CO55" s="148"/>
      <c r="CP55" s="148"/>
      <c r="CQ55" s="148"/>
      <c r="CR55" s="148"/>
      <c r="CS55" s="148"/>
      <c r="CT55" s="148"/>
      <c r="CU55" s="148"/>
      <c r="CV55" s="148"/>
      <c r="CW55" s="148"/>
      <c r="CX55" s="148"/>
      <c r="CY55" s="148"/>
      <c r="CZ55" s="148"/>
      <c r="DA55" s="148"/>
      <c r="DB55" s="148"/>
      <c r="DC55" s="148"/>
      <c r="DD55" s="148"/>
      <c r="DE55" s="148"/>
      <c r="DF55" s="148"/>
      <c r="DG55" s="148"/>
      <c r="DH55" s="148"/>
      <c r="DI55" s="148"/>
      <c r="DJ55" s="148"/>
      <c r="DK55" s="148"/>
      <c r="DL55" s="148"/>
      <c r="DM55" s="148"/>
      <c r="DN55" s="148"/>
      <c r="DO55" s="148"/>
      <c r="DP55" s="148"/>
      <c r="DQ55" s="148"/>
      <c r="DR55" s="148"/>
      <c r="DS55" s="148"/>
      <c r="DT55" s="148"/>
      <c r="DU55" s="148"/>
      <c r="DV55" s="148"/>
      <c r="DW55" s="148"/>
      <c r="DX55" s="148"/>
      <c r="DY55" s="148"/>
      <c r="DZ55" s="148"/>
      <c r="EA55" s="148"/>
      <c r="EB55" s="148"/>
      <c r="EC55" s="148"/>
      <c r="ED55" s="148"/>
      <c r="EE55" s="148"/>
      <c r="EF55" s="148"/>
      <c r="EG55" s="148"/>
      <c r="EH55" s="148"/>
      <c r="EI55" s="148"/>
      <c r="EJ55" s="148"/>
      <c r="EK55" s="148"/>
      <c r="EL55" s="148"/>
      <c r="EM55" s="148"/>
      <c r="EN55" s="148"/>
      <c r="EO55" s="148"/>
      <c r="EP55" s="148"/>
      <c r="EQ55" s="148"/>
      <c r="ER55" s="148"/>
      <c r="ES55" s="148"/>
      <c r="ET55" s="148"/>
      <c r="EU55" s="148"/>
      <c r="EV55" s="148"/>
      <c r="EW55" s="148"/>
      <c r="EX55" s="148"/>
      <c r="EY55" s="148"/>
      <c r="EZ55" s="148"/>
      <c r="FA55" s="148"/>
      <c r="FB55" s="148"/>
      <c r="FC55" s="148"/>
      <c r="FD55" s="148"/>
      <c r="FE55" s="148"/>
      <c r="FF55" s="148"/>
      <c r="FG55" s="148"/>
      <c r="FH55" s="148"/>
      <c r="FI55" s="148"/>
      <c r="FJ55" s="148"/>
      <c r="FK55" s="148"/>
      <c r="FL55" s="148"/>
      <c r="FM55" s="148"/>
      <c r="FN55" s="148"/>
      <c r="FO55" s="148"/>
      <c r="FP55" s="148"/>
      <c r="FQ55" s="148"/>
      <c r="FR55" s="148"/>
      <c r="FS55" s="148"/>
      <c r="FT55" s="148"/>
      <c r="FU55" s="148"/>
      <c r="FV55" s="148"/>
      <c r="FW55" s="148"/>
      <c r="FX55" s="148"/>
      <c r="FY55" s="148"/>
      <c r="FZ55" s="148"/>
      <c r="GA55" s="148"/>
      <c r="GB55" s="148"/>
      <c r="GC55" s="148"/>
      <c r="GD55" s="148"/>
      <c r="GE55" s="148"/>
      <c r="GF55" s="148"/>
      <c r="GG55" s="148"/>
      <c r="GH55" s="148"/>
      <c r="GI55" s="148"/>
      <c r="GJ55" s="148"/>
      <c r="GK55" s="148"/>
      <c r="GL55" s="148"/>
      <c r="GM55" s="148"/>
      <c r="GN55" s="148"/>
      <c r="GO55" s="148"/>
      <c r="GP55" s="148"/>
      <c r="GQ55" s="148"/>
      <c r="GR55" s="148"/>
      <c r="GS55" s="148"/>
      <c r="GT55" s="148"/>
      <c r="GU55" s="148"/>
      <c r="GV55" s="148"/>
      <c r="GW55" s="148"/>
      <c r="GX55" s="148"/>
      <c r="GY55" s="148"/>
      <c r="GZ55" s="148"/>
      <c r="HA55" s="148"/>
      <c r="HB55" s="148"/>
      <c r="HC55" s="148"/>
      <c r="HD55" s="148"/>
      <c r="HE55" s="148"/>
      <c r="HF55" s="148"/>
      <c r="HG55" s="148"/>
      <c r="HH55" s="148"/>
      <c r="HI55" s="148"/>
      <c r="HJ55" s="148"/>
      <c r="HK55" s="148"/>
      <c r="HL55" s="148"/>
      <c r="HM55" s="148"/>
      <c r="HN55" s="148"/>
      <c r="HO55" s="148"/>
      <c r="HP55" s="148"/>
      <c r="HQ55" s="148"/>
      <c r="HR55" s="148"/>
      <c r="HS55" s="148"/>
      <c r="HT55" s="148"/>
      <c r="HU55" s="148"/>
      <c r="HV55" s="148"/>
      <c r="HW55" s="148"/>
      <c r="HX55" s="148"/>
      <c r="HY55" s="148"/>
      <c r="HZ55" s="148"/>
      <c r="IA55" s="148"/>
      <c r="IB55" s="148"/>
      <c r="IC55" s="148"/>
      <c r="ID55" s="148"/>
      <c r="IE55" s="148"/>
      <c r="IF55" s="148"/>
      <c r="IG55" s="148"/>
      <c r="IH55" s="148"/>
      <c r="II55" s="148"/>
      <c r="IJ55" s="148"/>
      <c r="IK55" s="148"/>
      <c r="IL55" s="148"/>
      <c r="IM55" s="148"/>
      <c r="IN55" s="148"/>
      <c r="IO55" s="148"/>
      <c r="IP55" s="148"/>
      <c r="IQ55" s="148"/>
      <c r="IR55" s="148"/>
      <c r="IS55" s="148"/>
      <c r="IT55" s="148"/>
      <c r="IU55" s="148"/>
      <c r="IV55" s="148"/>
      <c r="IW55" s="148"/>
      <c r="IX55" s="148"/>
      <c r="IY55" s="148"/>
      <c r="IZ55" s="148"/>
      <c r="JA55" s="148"/>
      <c r="JB55" s="148"/>
    </row>
    <row r="56" spans="2:262" s="15" customFormat="1" ht="20" hidden="1">
      <c r="B56" s="238" t="s">
        <v>140</v>
      </c>
      <c r="P56" s="235" t="e">
        <f>SUM('Farm and Rotation Setup'!#REF!)</f>
        <v>#REF!</v>
      </c>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c r="BM56" s="148"/>
      <c r="BN56" s="148"/>
      <c r="BO56" s="148"/>
      <c r="BP56" s="148"/>
      <c r="BQ56" s="148"/>
      <c r="BR56" s="148"/>
      <c r="BS56" s="148"/>
      <c r="BT56" s="148"/>
      <c r="BU56" s="148"/>
      <c r="BV56" s="148"/>
      <c r="BW56" s="148"/>
      <c r="BX56" s="148"/>
      <c r="BY56" s="148"/>
      <c r="BZ56" s="148"/>
      <c r="CA56" s="148"/>
      <c r="CB56" s="148"/>
      <c r="CC56" s="148"/>
      <c r="CD56" s="148"/>
      <c r="CE56" s="148"/>
      <c r="CF56" s="148"/>
      <c r="CG56" s="148"/>
      <c r="CH56" s="148"/>
      <c r="CI56" s="148"/>
      <c r="CJ56" s="148"/>
      <c r="CK56" s="148"/>
      <c r="CL56" s="148"/>
      <c r="CM56" s="148"/>
      <c r="CN56" s="148"/>
      <c r="CO56" s="148"/>
      <c r="CP56" s="148"/>
      <c r="CQ56" s="148"/>
      <c r="CR56" s="148"/>
      <c r="CS56" s="148"/>
      <c r="CT56" s="148"/>
      <c r="CU56" s="148"/>
      <c r="CV56" s="148"/>
      <c r="CW56" s="148"/>
      <c r="CX56" s="148"/>
      <c r="CY56" s="148"/>
      <c r="CZ56" s="148"/>
      <c r="DA56" s="148"/>
      <c r="DB56" s="148"/>
      <c r="DC56" s="148"/>
      <c r="DD56" s="148"/>
      <c r="DE56" s="148"/>
      <c r="DF56" s="148"/>
      <c r="DG56" s="148"/>
      <c r="DH56" s="148"/>
      <c r="DI56" s="148"/>
      <c r="DJ56" s="148"/>
      <c r="DK56" s="148"/>
      <c r="DL56" s="148"/>
      <c r="DM56" s="148"/>
      <c r="DN56" s="148"/>
      <c r="DO56" s="148"/>
      <c r="DP56" s="148"/>
      <c r="DQ56" s="148"/>
      <c r="DR56" s="148"/>
      <c r="DS56" s="148"/>
      <c r="DT56" s="148"/>
      <c r="DU56" s="148"/>
      <c r="DV56" s="148"/>
      <c r="DW56" s="148"/>
      <c r="DX56" s="148"/>
      <c r="DY56" s="148"/>
      <c r="DZ56" s="148"/>
      <c r="EA56" s="148"/>
      <c r="EB56" s="148"/>
      <c r="EC56" s="148"/>
      <c r="ED56" s="148"/>
      <c r="EE56" s="148"/>
      <c r="EF56" s="148"/>
      <c r="EG56" s="148"/>
      <c r="EH56" s="148"/>
      <c r="EI56" s="148"/>
      <c r="EJ56" s="148"/>
      <c r="EK56" s="148"/>
      <c r="EL56" s="148"/>
      <c r="EM56" s="148"/>
      <c r="EN56" s="148"/>
      <c r="EO56" s="148"/>
      <c r="EP56" s="148"/>
      <c r="EQ56" s="148"/>
      <c r="ER56" s="148"/>
      <c r="ES56" s="148"/>
      <c r="ET56" s="148"/>
      <c r="EU56" s="148"/>
      <c r="EV56" s="148"/>
      <c r="EW56" s="148"/>
      <c r="EX56" s="148"/>
      <c r="EY56" s="148"/>
      <c r="EZ56" s="148"/>
      <c r="FA56" s="148"/>
      <c r="FB56" s="148"/>
      <c r="FC56" s="148"/>
      <c r="FD56" s="148"/>
      <c r="FE56" s="148"/>
      <c r="FF56" s="148"/>
      <c r="FG56" s="148"/>
      <c r="FH56" s="148"/>
      <c r="FI56" s="148"/>
      <c r="FJ56" s="148"/>
      <c r="FK56" s="148"/>
      <c r="FL56" s="148"/>
      <c r="FM56" s="148"/>
      <c r="FN56" s="148"/>
      <c r="FO56" s="148"/>
      <c r="FP56" s="148"/>
      <c r="FQ56" s="148"/>
      <c r="FR56" s="148"/>
      <c r="FS56" s="148"/>
      <c r="FT56" s="148"/>
      <c r="FU56" s="148"/>
      <c r="FV56" s="148"/>
      <c r="FW56" s="148"/>
      <c r="FX56" s="148"/>
      <c r="FY56" s="148"/>
      <c r="FZ56" s="148"/>
      <c r="GA56" s="148"/>
      <c r="GB56" s="148"/>
      <c r="GC56" s="148"/>
      <c r="GD56" s="148"/>
      <c r="GE56" s="148"/>
      <c r="GF56" s="148"/>
      <c r="GG56" s="148"/>
      <c r="GH56" s="148"/>
      <c r="GI56" s="148"/>
      <c r="GJ56" s="148"/>
      <c r="GK56" s="148"/>
      <c r="GL56" s="148"/>
      <c r="GM56" s="148"/>
      <c r="GN56" s="148"/>
      <c r="GO56" s="148"/>
      <c r="GP56" s="148"/>
      <c r="GQ56" s="148"/>
      <c r="GR56" s="148"/>
      <c r="GS56" s="148"/>
      <c r="GT56" s="148"/>
      <c r="GU56" s="148"/>
      <c r="GV56" s="148"/>
      <c r="GW56" s="148"/>
      <c r="GX56" s="148"/>
      <c r="GY56" s="148"/>
      <c r="GZ56" s="148"/>
      <c r="HA56" s="148"/>
      <c r="HB56" s="148"/>
      <c r="HC56" s="148"/>
      <c r="HD56" s="148"/>
      <c r="HE56" s="148"/>
      <c r="HF56" s="148"/>
      <c r="HG56" s="148"/>
      <c r="HH56" s="148"/>
      <c r="HI56" s="148"/>
      <c r="HJ56" s="148"/>
      <c r="HK56" s="148"/>
      <c r="HL56" s="148"/>
      <c r="HM56" s="148"/>
      <c r="HN56" s="148"/>
      <c r="HO56" s="148"/>
      <c r="HP56" s="148"/>
      <c r="HQ56" s="148"/>
      <c r="HR56" s="148"/>
      <c r="HS56" s="148"/>
      <c r="HT56" s="148"/>
      <c r="HU56" s="148"/>
      <c r="HV56" s="148"/>
      <c r="HW56" s="148"/>
      <c r="HX56" s="148"/>
      <c r="HY56" s="148"/>
      <c r="HZ56" s="148"/>
      <c r="IA56" s="148"/>
      <c r="IB56" s="148"/>
      <c r="IC56" s="148"/>
      <c r="ID56" s="148"/>
      <c r="IE56" s="148"/>
      <c r="IF56" s="148"/>
      <c r="IG56" s="148"/>
      <c r="IH56" s="148"/>
      <c r="II56" s="148"/>
      <c r="IJ56" s="148"/>
      <c r="IK56" s="148"/>
      <c r="IL56" s="148"/>
      <c r="IM56" s="148"/>
      <c r="IN56" s="148"/>
      <c r="IO56" s="148"/>
      <c r="IP56" s="148"/>
      <c r="IQ56" s="148"/>
      <c r="IR56" s="148"/>
      <c r="IS56" s="148"/>
      <c r="IT56" s="148"/>
      <c r="IU56" s="148"/>
      <c r="IV56" s="148"/>
      <c r="IW56" s="148"/>
      <c r="IX56" s="148"/>
      <c r="IY56" s="148"/>
      <c r="IZ56" s="148"/>
      <c r="JA56" s="148"/>
      <c r="JB56" s="148"/>
    </row>
    <row r="57" spans="2:262" s="15" customFormat="1" ht="20" hidden="1">
      <c r="B57" s="238" t="s">
        <v>190</v>
      </c>
      <c r="P57" s="235" t="e">
        <f>SUM('Farm and Rotation Setup'!#REF!)</f>
        <v>#REF!</v>
      </c>
      <c r="V57" s="148"/>
      <c r="W57" s="148"/>
      <c r="X57" s="148"/>
      <c r="Y57" s="148"/>
      <c r="Z57" s="148"/>
      <c r="AA57" s="148"/>
      <c r="AB57" s="148"/>
      <c r="AC57" s="148"/>
      <c r="AD57" s="148"/>
      <c r="AE57" s="148"/>
      <c r="AF57" s="148"/>
      <c r="AG57" s="148"/>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c r="BI57" s="148"/>
      <c r="BJ57" s="148"/>
      <c r="BK57" s="148"/>
      <c r="BL57" s="148"/>
      <c r="BM57" s="148"/>
      <c r="BN57" s="148"/>
      <c r="BO57" s="148"/>
      <c r="BP57" s="148"/>
      <c r="BQ57" s="148"/>
      <c r="BR57" s="148"/>
      <c r="BS57" s="148"/>
      <c r="BT57" s="148"/>
      <c r="BU57" s="148"/>
      <c r="BV57" s="148"/>
      <c r="BW57" s="148"/>
      <c r="BX57" s="148"/>
      <c r="BY57" s="148"/>
      <c r="BZ57" s="148"/>
      <c r="CA57" s="148"/>
      <c r="CB57" s="148"/>
      <c r="CC57" s="148"/>
      <c r="CD57" s="148"/>
      <c r="CE57" s="148"/>
      <c r="CF57" s="148"/>
      <c r="CG57" s="148"/>
      <c r="CH57" s="148"/>
      <c r="CI57" s="148"/>
      <c r="CJ57" s="148"/>
      <c r="CK57" s="148"/>
      <c r="CL57" s="148"/>
      <c r="CM57" s="148"/>
      <c r="CN57" s="148"/>
      <c r="CO57" s="148"/>
      <c r="CP57" s="148"/>
      <c r="CQ57" s="148"/>
      <c r="CR57" s="148"/>
      <c r="CS57" s="148"/>
      <c r="CT57" s="148"/>
      <c r="CU57" s="148"/>
      <c r="CV57" s="148"/>
      <c r="CW57" s="148"/>
      <c r="CX57" s="148"/>
      <c r="CY57" s="148"/>
      <c r="CZ57" s="148"/>
      <c r="DA57" s="148"/>
      <c r="DB57" s="148"/>
      <c r="DC57" s="148"/>
      <c r="DD57" s="148"/>
      <c r="DE57" s="148"/>
      <c r="DF57" s="148"/>
      <c r="DG57" s="148"/>
      <c r="DH57" s="148"/>
      <c r="DI57" s="148"/>
      <c r="DJ57" s="148"/>
      <c r="DK57" s="148"/>
      <c r="DL57" s="148"/>
      <c r="DM57" s="148"/>
      <c r="DN57" s="148"/>
      <c r="DO57" s="148"/>
      <c r="DP57" s="148"/>
      <c r="DQ57" s="148"/>
      <c r="DR57" s="148"/>
      <c r="DS57" s="148"/>
      <c r="DT57" s="148"/>
      <c r="DU57" s="148"/>
      <c r="DV57" s="148"/>
      <c r="DW57" s="148"/>
      <c r="DX57" s="148"/>
      <c r="DY57" s="148"/>
      <c r="DZ57" s="148"/>
      <c r="EA57" s="148"/>
      <c r="EB57" s="148"/>
      <c r="EC57" s="148"/>
      <c r="ED57" s="148"/>
      <c r="EE57" s="148"/>
      <c r="EF57" s="148"/>
      <c r="EG57" s="148"/>
      <c r="EH57" s="148"/>
      <c r="EI57" s="148"/>
      <c r="EJ57" s="148"/>
      <c r="EK57" s="148"/>
      <c r="EL57" s="148"/>
      <c r="EM57" s="148"/>
      <c r="EN57" s="148"/>
      <c r="EO57" s="148"/>
      <c r="EP57" s="148"/>
      <c r="EQ57" s="148"/>
      <c r="ER57" s="148"/>
      <c r="ES57" s="148"/>
      <c r="ET57" s="148"/>
      <c r="EU57" s="148"/>
      <c r="EV57" s="148"/>
      <c r="EW57" s="148"/>
      <c r="EX57" s="148"/>
      <c r="EY57" s="148"/>
      <c r="EZ57" s="148"/>
      <c r="FA57" s="148"/>
      <c r="FB57" s="148"/>
      <c r="FC57" s="148"/>
      <c r="FD57" s="148"/>
      <c r="FE57" s="148"/>
      <c r="FF57" s="148"/>
      <c r="FG57" s="148"/>
      <c r="FH57" s="148"/>
      <c r="FI57" s="148"/>
      <c r="FJ57" s="148"/>
      <c r="FK57" s="148"/>
      <c r="FL57" s="148"/>
      <c r="FM57" s="148"/>
      <c r="FN57" s="148"/>
      <c r="FO57" s="148"/>
      <c r="FP57" s="148"/>
      <c r="FQ57" s="148"/>
      <c r="FR57" s="148"/>
      <c r="FS57" s="148"/>
      <c r="FT57" s="148"/>
      <c r="FU57" s="148"/>
      <c r="FV57" s="148"/>
      <c r="FW57" s="148"/>
      <c r="FX57" s="148"/>
      <c r="FY57" s="148"/>
      <c r="FZ57" s="148"/>
      <c r="GA57" s="148"/>
      <c r="GB57" s="148"/>
      <c r="GC57" s="148"/>
      <c r="GD57" s="148"/>
      <c r="GE57" s="148"/>
      <c r="GF57" s="148"/>
      <c r="GG57" s="148"/>
      <c r="GH57" s="148"/>
      <c r="GI57" s="148"/>
      <c r="GJ57" s="148"/>
      <c r="GK57" s="148"/>
      <c r="GL57" s="148"/>
      <c r="GM57" s="148"/>
      <c r="GN57" s="148"/>
      <c r="GO57" s="148"/>
      <c r="GP57" s="148"/>
      <c r="GQ57" s="148"/>
      <c r="GR57" s="148"/>
      <c r="GS57" s="148"/>
      <c r="GT57" s="148"/>
      <c r="GU57" s="148"/>
      <c r="GV57" s="148"/>
      <c r="GW57" s="148"/>
      <c r="GX57" s="148"/>
      <c r="GY57" s="148"/>
      <c r="GZ57" s="148"/>
      <c r="HA57" s="148"/>
      <c r="HB57" s="148"/>
      <c r="HC57" s="148"/>
      <c r="HD57" s="148"/>
      <c r="HE57" s="148"/>
      <c r="HF57" s="148"/>
      <c r="HG57" s="148"/>
      <c r="HH57" s="148"/>
      <c r="HI57" s="148"/>
      <c r="HJ57" s="148"/>
      <c r="HK57" s="148"/>
      <c r="HL57" s="148"/>
      <c r="HM57" s="148"/>
      <c r="HN57" s="148"/>
      <c r="HO57" s="148"/>
      <c r="HP57" s="148"/>
      <c r="HQ57" s="148"/>
      <c r="HR57" s="148"/>
      <c r="HS57" s="148"/>
      <c r="HT57" s="148"/>
      <c r="HU57" s="148"/>
      <c r="HV57" s="148"/>
      <c r="HW57" s="148"/>
      <c r="HX57" s="148"/>
      <c r="HY57" s="148"/>
      <c r="HZ57" s="148"/>
      <c r="IA57" s="148"/>
      <c r="IB57" s="148"/>
      <c r="IC57" s="148"/>
      <c r="ID57" s="148"/>
      <c r="IE57" s="148"/>
      <c r="IF57" s="148"/>
      <c r="IG57" s="148"/>
      <c r="IH57" s="148"/>
      <c r="II57" s="148"/>
      <c r="IJ57" s="148"/>
      <c r="IK57" s="148"/>
      <c r="IL57" s="148"/>
      <c r="IM57" s="148"/>
      <c r="IN57" s="148"/>
      <c r="IO57" s="148"/>
      <c r="IP57" s="148"/>
      <c r="IQ57" s="148"/>
      <c r="IR57" s="148"/>
      <c r="IS57" s="148"/>
      <c r="IT57" s="148"/>
      <c r="IU57" s="148"/>
      <c r="IV57" s="148"/>
      <c r="IW57" s="148"/>
      <c r="IX57" s="148"/>
      <c r="IY57" s="148"/>
      <c r="IZ57" s="148"/>
      <c r="JA57" s="148"/>
      <c r="JB57" s="148"/>
    </row>
    <row r="58" spans="2:262" s="15" customFormat="1" ht="20" hidden="1">
      <c r="B58" s="238" t="s">
        <v>305</v>
      </c>
      <c r="P58" s="235" t="e">
        <f>SUM('Farm and Rotation Setup'!#REF!)</f>
        <v>#REF!</v>
      </c>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8"/>
      <c r="BR58" s="148"/>
      <c r="BS58" s="148"/>
      <c r="BT58" s="148"/>
      <c r="BU58" s="148"/>
      <c r="BV58" s="148"/>
      <c r="BW58" s="148"/>
      <c r="BX58" s="148"/>
      <c r="BY58" s="148"/>
      <c r="BZ58" s="148"/>
      <c r="CA58" s="148"/>
      <c r="CB58" s="148"/>
      <c r="CC58" s="148"/>
      <c r="CD58" s="148"/>
      <c r="CE58" s="148"/>
      <c r="CF58" s="148"/>
      <c r="CG58" s="148"/>
      <c r="CH58" s="148"/>
      <c r="CI58" s="148"/>
      <c r="CJ58" s="148"/>
      <c r="CK58" s="148"/>
      <c r="CL58" s="148"/>
      <c r="CM58" s="148"/>
      <c r="CN58" s="148"/>
      <c r="CO58" s="148"/>
      <c r="CP58" s="148"/>
      <c r="CQ58" s="148"/>
      <c r="CR58" s="148"/>
      <c r="CS58" s="148"/>
      <c r="CT58" s="148"/>
      <c r="CU58" s="148"/>
      <c r="CV58" s="148"/>
      <c r="CW58" s="148"/>
      <c r="CX58" s="148"/>
      <c r="CY58" s="148"/>
      <c r="CZ58" s="148"/>
      <c r="DA58" s="148"/>
      <c r="DB58" s="148"/>
      <c r="DC58" s="148"/>
      <c r="DD58" s="148"/>
      <c r="DE58" s="148"/>
      <c r="DF58" s="148"/>
      <c r="DG58" s="148"/>
      <c r="DH58" s="148"/>
      <c r="DI58" s="148"/>
      <c r="DJ58" s="148"/>
      <c r="DK58" s="148"/>
      <c r="DL58" s="148"/>
      <c r="DM58" s="148"/>
      <c r="DN58" s="148"/>
      <c r="DO58" s="148"/>
      <c r="DP58" s="148"/>
      <c r="DQ58" s="148"/>
      <c r="DR58" s="148"/>
      <c r="DS58" s="148"/>
      <c r="DT58" s="148"/>
      <c r="DU58" s="148"/>
      <c r="DV58" s="148"/>
      <c r="DW58" s="148"/>
      <c r="DX58" s="148"/>
      <c r="DY58" s="148"/>
      <c r="DZ58" s="148"/>
      <c r="EA58" s="148"/>
      <c r="EB58" s="148"/>
      <c r="EC58" s="148"/>
      <c r="ED58" s="148"/>
      <c r="EE58" s="148"/>
      <c r="EF58" s="148"/>
      <c r="EG58" s="148"/>
      <c r="EH58" s="148"/>
      <c r="EI58" s="148"/>
      <c r="EJ58" s="148"/>
      <c r="EK58" s="148"/>
      <c r="EL58" s="148"/>
      <c r="EM58" s="148"/>
      <c r="EN58" s="148"/>
      <c r="EO58" s="148"/>
      <c r="EP58" s="148"/>
      <c r="EQ58" s="148"/>
      <c r="ER58" s="148"/>
      <c r="ES58" s="148"/>
      <c r="ET58" s="148"/>
      <c r="EU58" s="148"/>
      <c r="EV58" s="148"/>
      <c r="EW58" s="148"/>
      <c r="EX58" s="148"/>
      <c r="EY58" s="148"/>
      <c r="EZ58" s="148"/>
      <c r="FA58" s="148"/>
      <c r="FB58" s="148"/>
      <c r="FC58" s="148"/>
      <c r="FD58" s="148"/>
      <c r="FE58" s="148"/>
      <c r="FF58" s="148"/>
      <c r="FG58" s="148"/>
      <c r="FH58" s="148"/>
      <c r="FI58" s="148"/>
      <c r="FJ58" s="148"/>
      <c r="FK58" s="148"/>
      <c r="FL58" s="148"/>
      <c r="FM58" s="148"/>
      <c r="FN58" s="148"/>
      <c r="FO58" s="148"/>
      <c r="FP58" s="148"/>
      <c r="FQ58" s="148"/>
      <c r="FR58" s="148"/>
      <c r="FS58" s="148"/>
      <c r="FT58" s="148"/>
      <c r="FU58" s="148"/>
      <c r="FV58" s="148"/>
      <c r="FW58" s="148"/>
      <c r="FX58" s="148"/>
      <c r="FY58" s="148"/>
      <c r="FZ58" s="148"/>
      <c r="GA58" s="148"/>
      <c r="GB58" s="148"/>
      <c r="GC58" s="148"/>
      <c r="GD58" s="148"/>
      <c r="GE58" s="148"/>
      <c r="GF58" s="148"/>
      <c r="GG58" s="148"/>
      <c r="GH58" s="148"/>
      <c r="GI58" s="148"/>
      <c r="GJ58" s="148"/>
      <c r="GK58" s="148"/>
      <c r="GL58" s="148"/>
      <c r="GM58" s="148"/>
      <c r="GN58" s="148"/>
      <c r="GO58" s="148"/>
      <c r="GP58" s="148"/>
      <c r="GQ58" s="148"/>
      <c r="GR58" s="148"/>
      <c r="GS58" s="148"/>
      <c r="GT58" s="148"/>
      <c r="GU58" s="148"/>
      <c r="GV58" s="148"/>
      <c r="GW58" s="148"/>
      <c r="GX58" s="148"/>
      <c r="GY58" s="148"/>
      <c r="GZ58" s="148"/>
      <c r="HA58" s="148"/>
      <c r="HB58" s="148"/>
      <c r="HC58" s="148"/>
      <c r="HD58" s="148"/>
      <c r="HE58" s="148"/>
      <c r="HF58" s="148"/>
      <c r="HG58" s="148"/>
      <c r="HH58" s="148"/>
      <c r="HI58" s="148"/>
      <c r="HJ58" s="148"/>
      <c r="HK58" s="148"/>
      <c r="HL58" s="148"/>
      <c r="HM58" s="148"/>
      <c r="HN58" s="148"/>
      <c r="HO58" s="148"/>
      <c r="HP58" s="148"/>
      <c r="HQ58" s="148"/>
      <c r="HR58" s="148"/>
      <c r="HS58" s="148"/>
      <c r="HT58" s="148"/>
      <c r="HU58" s="148"/>
      <c r="HV58" s="148"/>
      <c r="HW58" s="148"/>
      <c r="HX58" s="148"/>
      <c r="HY58" s="148"/>
      <c r="HZ58" s="148"/>
      <c r="IA58" s="148"/>
      <c r="IB58" s="148"/>
      <c r="IC58" s="148"/>
      <c r="ID58" s="148"/>
      <c r="IE58" s="148"/>
      <c r="IF58" s="148"/>
      <c r="IG58" s="148"/>
      <c r="IH58" s="148"/>
      <c r="II58" s="148"/>
      <c r="IJ58" s="148"/>
      <c r="IK58" s="148"/>
      <c r="IL58" s="148"/>
      <c r="IM58" s="148"/>
      <c r="IN58" s="148"/>
      <c r="IO58" s="148"/>
      <c r="IP58" s="148"/>
      <c r="IQ58" s="148"/>
      <c r="IR58" s="148"/>
      <c r="IS58" s="148"/>
      <c r="IT58" s="148"/>
      <c r="IU58" s="148"/>
      <c r="IV58" s="148"/>
      <c r="IW58" s="148"/>
      <c r="IX58" s="148"/>
      <c r="IY58" s="148"/>
      <c r="IZ58" s="148"/>
      <c r="JA58" s="148"/>
      <c r="JB58" s="148"/>
    </row>
    <row r="59" spans="2:262" s="15" customFormat="1" ht="20" hidden="1">
      <c r="N59" s="16" t="s">
        <v>102</v>
      </c>
      <c r="O59" s="236">
        <v>16770.924189060523</v>
      </c>
      <c r="P59" s="235">
        <f>SUM('Farm and Rotation Setup'!GH23:HE27)</f>
        <v>27353.755459878339</v>
      </c>
      <c r="Q59" s="232">
        <f>IF(P59=0,"",((P59-O59)/O59))</f>
        <v>0.63102254541946312</v>
      </c>
      <c r="V59" s="148"/>
      <c r="W59" s="148"/>
      <c r="X59" s="148"/>
      <c r="Y59" s="148"/>
      <c r="Z59" s="148"/>
      <c r="AA59" s="148"/>
      <c r="AB59" s="148"/>
      <c r="AC59" s="148"/>
      <c r="AD59" s="148"/>
      <c r="AE59" s="148"/>
      <c r="AF59" s="148"/>
      <c r="AG59" s="148"/>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8"/>
      <c r="BR59" s="148"/>
      <c r="BS59" s="148"/>
      <c r="BT59" s="148"/>
      <c r="BU59" s="148"/>
      <c r="BV59" s="148"/>
      <c r="BW59" s="148"/>
      <c r="BX59" s="148"/>
      <c r="BY59" s="148"/>
      <c r="BZ59" s="148"/>
      <c r="CA59" s="148"/>
      <c r="CB59" s="148"/>
      <c r="CC59" s="148"/>
      <c r="CD59" s="148"/>
      <c r="CE59" s="148"/>
      <c r="CF59" s="148"/>
      <c r="CG59" s="148"/>
      <c r="CH59" s="148"/>
      <c r="CI59" s="148"/>
      <c r="CJ59" s="148"/>
      <c r="CK59" s="148"/>
      <c r="CL59" s="148"/>
      <c r="CM59" s="148"/>
      <c r="CN59" s="148"/>
      <c r="CO59" s="148"/>
      <c r="CP59" s="148"/>
      <c r="CQ59" s="148"/>
      <c r="CR59" s="148"/>
      <c r="CS59" s="148"/>
      <c r="CT59" s="148"/>
      <c r="CU59" s="148"/>
      <c r="CV59" s="148"/>
      <c r="CW59" s="148"/>
      <c r="CX59" s="148"/>
      <c r="CY59" s="148"/>
      <c r="CZ59" s="148"/>
      <c r="DA59" s="148"/>
      <c r="DB59" s="148"/>
      <c r="DC59" s="148"/>
      <c r="DD59" s="148"/>
      <c r="DE59" s="148"/>
      <c r="DF59" s="148"/>
      <c r="DG59" s="148"/>
      <c r="DH59" s="148"/>
      <c r="DI59" s="148"/>
      <c r="DJ59" s="148"/>
      <c r="DK59" s="148"/>
      <c r="DL59" s="148"/>
      <c r="DM59" s="148"/>
      <c r="DN59" s="148"/>
      <c r="DO59" s="148"/>
      <c r="DP59" s="148"/>
      <c r="DQ59" s="148"/>
      <c r="DR59" s="148"/>
      <c r="DS59" s="148"/>
      <c r="DT59" s="148"/>
      <c r="DU59" s="148"/>
      <c r="DV59" s="148"/>
      <c r="DW59" s="148"/>
      <c r="DX59" s="148"/>
      <c r="DY59" s="148"/>
      <c r="DZ59" s="148"/>
      <c r="EA59" s="148"/>
      <c r="EB59" s="148"/>
      <c r="EC59" s="148"/>
      <c r="ED59" s="148"/>
      <c r="EE59" s="148"/>
      <c r="EF59" s="148"/>
      <c r="EG59" s="148"/>
      <c r="EH59" s="148"/>
      <c r="EI59" s="148"/>
      <c r="EJ59" s="148"/>
      <c r="EK59" s="148"/>
      <c r="EL59" s="148"/>
      <c r="EM59" s="148"/>
      <c r="EN59" s="148"/>
      <c r="EO59" s="148"/>
      <c r="EP59" s="148"/>
      <c r="EQ59" s="148"/>
      <c r="ER59" s="148"/>
      <c r="ES59" s="148"/>
      <c r="ET59" s="148"/>
      <c r="EU59" s="148"/>
      <c r="EV59" s="148"/>
      <c r="EW59" s="148"/>
      <c r="EX59" s="148"/>
      <c r="EY59" s="148"/>
      <c r="EZ59" s="148"/>
      <c r="FA59" s="148"/>
      <c r="FB59" s="148"/>
      <c r="FC59" s="148"/>
      <c r="FD59" s="148"/>
      <c r="FE59" s="148"/>
      <c r="FF59" s="148"/>
      <c r="FG59" s="148"/>
      <c r="FH59" s="148"/>
      <c r="FI59" s="148"/>
      <c r="FJ59" s="148"/>
      <c r="FK59" s="148"/>
      <c r="FL59" s="148"/>
      <c r="FM59" s="148"/>
      <c r="FN59" s="148"/>
      <c r="FO59" s="148"/>
      <c r="FP59" s="148"/>
      <c r="FQ59" s="148"/>
      <c r="FR59" s="148"/>
      <c r="FS59" s="148"/>
      <c r="FT59" s="148"/>
      <c r="FU59" s="148"/>
      <c r="FV59" s="148"/>
      <c r="FW59" s="148"/>
      <c r="FX59" s="148"/>
      <c r="FY59" s="148"/>
      <c r="FZ59" s="148"/>
      <c r="GA59" s="148"/>
      <c r="GB59" s="148"/>
      <c r="GC59" s="148"/>
      <c r="GD59" s="148"/>
      <c r="GE59" s="148"/>
      <c r="GF59" s="148"/>
      <c r="GG59" s="148"/>
      <c r="GH59" s="148"/>
      <c r="GI59" s="148"/>
      <c r="GJ59" s="148"/>
      <c r="GK59" s="148"/>
      <c r="GL59" s="148"/>
      <c r="GM59" s="148"/>
      <c r="GN59" s="148"/>
      <c r="GO59" s="148"/>
      <c r="GP59" s="148"/>
      <c r="GQ59" s="148"/>
      <c r="GR59" s="148"/>
      <c r="GS59" s="148"/>
      <c r="GT59" s="148"/>
      <c r="GU59" s="148"/>
      <c r="GV59" s="148"/>
      <c r="GW59" s="148"/>
      <c r="GX59" s="148"/>
      <c r="GY59" s="148"/>
      <c r="GZ59" s="148"/>
      <c r="HA59" s="148"/>
      <c r="HB59" s="148"/>
      <c r="HC59" s="148"/>
      <c r="HD59" s="148"/>
      <c r="HE59" s="148"/>
      <c r="HF59" s="148"/>
      <c r="HG59" s="148"/>
      <c r="HH59" s="148"/>
      <c r="HI59" s="148"/>
      <c r="HJ59" s="148"/>
      <c r="HK59" s="148"/>
      <c r="HL59" s="148"/>
      <c r="HM59" s="148"/>
      <c r="HN59" s="148"/>
      <c r="HO59" s="148"/>
      <c r="HP59" s="148"/>
      <c r="HQ59" s="148"/>
      <c r="HR59" s="148"/>
      <c r="HS59" s="148"/>
      <c r="HT59" s="148"/>
      <c r="HU59" s="148"/>
      <c r="HV59" s="148"/>
      <c r="HW59" s="148"/>
      <c r="HX59" s="148"/>
      <c r="HY59" s="148"/>
      <c r="HZ59" s="148"/>
      <c r="IA59" s="148"/>
      <c r="IB59" s="148"/>
      <c r="IC59" s="148"/>
      <c r="ID59" s="148"/>
      <c r="IE59" s="148"/>
      <c r="IF59" s="148"/>
      <c r="IG59" s="148"/>
      <c r="IH59" s="148"/>
      <c r="II59" s="148"/>
      <c r="IJ59" s="148"/>
      <c r="IK59" s="148"/>
      <c r="IL59" s="148"/>
      <c r="IM59" s="148"/>
      <c r="IN59" s="148"/>
      <c r="IO59" s="148"/>
      <c r="IP59" s="148"/>
      <c r="IQ59" s="148"/>
      <c r="IR59" s="148"/>
      <c r="IS59" s="148"/>
      <c r="IT59" s="148"/>
      <c r="IU59" s="148"/>
      <c r="IV59" s="148"/>
      <c r="IW59" s="148"/>
      <c r="IX59" s="148"/>
      <c r="IY59" s="148"/>
      <c r="IZ59" s="148"/>
      <c r="JA59" s="148"/>
      <c r="JB59" s="148"/>
    </row>
    <row r="60" spans="2:262" s="15" customFormat="1" ht="20" hidden="1">
      <c r="J60" s="228" t="s">
        <v>187</v>
      </c>
      <c r="N60" s="16" t="s">
        <v>101</v>
      </c>
      <c r="P60" s="235">
        <f>SUM('Farm and Rotation Setup'!DN23:EK27)</f>
        <v>47779.116475453746</v>
      </c>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c r="BI60" s="148"/>
      <c r="BJ60" s="148"/>
      <c r="BK60" s="148"/>
      <c r="BL60" s="148"/>
      <c r="BM60" s="148"/>
      <c r="BN60" s="148"/>
      <c r="BO60" s="148"/>
      <c r="BP60" s="148"/>
      <c r="BQ60" s="148"/>
      <c r="BR60" s="148"/>
      <c r="BS60" s="148"/>
      <c r="BT60" s="148"/>
      <c r="BU60" s="148"/>
      <c r="BV60" s="148"/>
      <c r="BW60" s="148"/>
      <c r="BX60" s="148"/>
      <c r="BY60" s="148"/>
      <c r="BZ60" s="148"/>
      <c r="CA60" s="148"/>
      <c r="CB60" s="148"/>
      <c r="CC60" s="148"/>
      <c r="CD60" s="148"/>
      <c r="CE60" s="148"/>
      <c r="CF60" s="148"/>
      <c r="CG60" s="148"/>
      <c r="CH60" s="148"/>
      <c r="CI60" s="148"/>
      <c r="CJ60" s="148"/>
      <c r="CK60" s="148"/>
      <c r="CL60" s="148"/>
      <c r="CM60" s="148"/>
      <c r="CN60" s="148"/>
      <c r="CO60" s="148"/>
      <c r="CP60" s="148"/>
      <c r="CQ60" s="148"/>
      <c r="CR60" s="148"/>
      <c r="CS60" s="148"/>
      <c r="CT60" s="148"/>
      <c r="CU60" s="148"/>
      <c r="CV60" s="148"/>
      <c r="CW60" s="148"/>
      <c r="CX60" s="148"/>
      <c r="CY60" s="148"/>
      <c r="CZ60" s="148"/>
      <c r="DA60" s="148"/>
      <c r="DB60" s="148"/>
      <c r="DC60" s="148"/>
      <c r="DD60" s="148"/>
      <c r="DE60" s="148"/>
      <c r="DF60" s="148"/>
      <c r="DG60" s="148"/>
      <c r="DH60" s="148"/>
      <c r="DI60" s="148"/>
      <c r="DJ60" s="148"/>
      <c r="DK60" s="148"/>
      <c r="DL60" s="148"/>
      <c r="DM60" s="148"/>
      <c r="DN60" s="148"/>
      <c r="DO60" s="148"/>
      <c r="DP60" s="148"/>
      <c r="DQ60" s="148"/>
      <c r="DR60" s="148"/>
      <c r="DS60" s="148"/>
      <c r="DT60" s="148"/>
      <c r="DU60" s="148"/>
      <c r="DV60" s="148"/>
      <c r="DW60" s="148"/>
      <c r="DX60" s="148"/>
      <c r="DY60" s="148"/>
      <c r="DZ60" s="148"/>
      <c r="EA60" s="148"/>
      <c r="EB60" s="148"/>
      <c r="EC60" s="148"/>
      <c r="ED60" s="148"/>
      <c r="EE60" s="148"/>
      <c r="EF60" s="148"/>
      <c r="EG60" s="148"/>
      <c r="EH60" s="148"/>
      <c r="EI60" s="148"/>
      <c r="EJ60" s="148"/>
      <c r="EK60" s="148"/>
      <c r="EL60" s="148"/>
      <c r="EM60" s="148"/>
      <c r="EN60" s="148"/>
      <c r="EO60" s="148"/>
      <c r="EP60" s="148"/>
      <c r="EQ60" s="148"/>
      <c r="ER60" s="148"/>
      <c r="ES60" s="148"/>
      <c r="ET60" s="148"/>
      <c r="EU60" s="148"/>
      <c r="EV60" s="148"/>
      <c r="EW60" s="148"/>
      <c r="EX60" s="148"/>
      <c r="EY60" s="148"/>
      <c r="EZ60" s="148"/>
      <c r="FA60" s="148"/>
      <c r="FB60" s="148"/>
      <c r="FC60" s="148"/>
      <c r="FD60" s="148"/>
      <c r="FE60" s="148"/>
      <c r="FF60" s="148"/>
      <c r="FG60" s="148"/>
      <c r="FH60" s="148"/>
      <c r="FI60" s="148"/>
      <c r="FJ60" s="148"/>
      <c r="FK60" s="148"/>
      <c r="FL60" s="148"/>
      <c r="FM60" s="148"/>
      <c r="FN60" s="148"/>
      <c r="FO60" s="148"/>
      <c r="FP60" s="148"/>
      <c r="FQ60" s="148"/>
      <c r="FR60" s="148"/>
      <c r="FS60" s="148"/>
      <c r="FT60" s="148"/>
      <c r="FU60" s="148"/>
      <c r="FV60" s="148"/>
      <c r="FW60" s="148"/>
      <c r="FX60" s="148"/>
      <c r="FY60" s="148"/>
      <c r="FZ60" s="148"/>
      <c r="GA60" s="148"/>
      <c r="GB60" s="148"/>
      <c r="GC60" s="148"/>
      <c r="GD60" s="148"/>
      <c r="GE60" s="148"/>
      <c r="GF60" s="148"/>
      <c r="GG60" s="148"/>
      <c r="GH60" s="148"/>
      <c r="GI60" s="148"/>
      <c r="GJ60" s="148"/>
      <c r="GK60" s="148"/>
      <c r="GL60" s="148"/>
      <c r="GM60" s="148"/>
      <c r="GN60" s="148"/>
      <c r="GO60" s="148"/>
      <c r="GP60" s="148"/>
      <c r="GQ60" s="148"/>
      <c r="GR60" s="148"/>
      <c r="GS60" s="148"/>
      <c r="GT60" s="148"/>
      <c r="GU60" s="148"/>
      <c r="GV60" s="148"/>
      <c r="GW60" s="148"/>
      <c r="GX60" s="148"/>
      <c r="GY60" s="148"/>
      <c r="GZ60" s="148"/>
      <c r="HA60" s="148"/>
      <c r="HB60" s="148"/>
      <c r="HC60" s="148"/>
      <c r="HD60" s="148"/>
      <c r="HE60" s="148"/>
      <c r="HF60" s="148"/>
      <c r="HG60" s="148"/>
      <c r="HH60" s="148"/>
      <c r="HI60" s="148"/>
      <c r="HJ60" s="148"/>
      <c r="HK60" s="148"/>
      <c r="HL60" s="148"/>
      <c r="HM60" s="148"/>
      <c r="HN60" s="148"/>
      <c r="HO60" s="148"/>
      <c r="HP60" s="148"/>
      <c r="HQ60" s="148"/>
      <c r="HR60" s="148"/>
      <c r="HS60" s="148"/>
      <c r="HT60" s="148"/>
      <c r="HU60" s="148"/>
      <c r="HV60" s="148"/>
      <c r="HW60" s="148"/>
      <c r="HX60" s="148"/>
      <c r="HY60" s="148"/>
      <c r="HZ60" s="148"/>
      <c r="IA60" s="148"/>
      <c r="IB60" s="148"/>
      <c r="IC60" s="148"/>
      <c r="ID60" s="148"/>
      <c r="IE60" s="148"/>
      <c r="IF60" s="148"/>
      <c r="IG60" s="148"/>
      <c r="IH60" s="148"/>
      <c r="II60" s="148"/>
      <c r="IJ60" s="148"/>
      <c r="IK60" s="148"/>
      <c r="IL60" s="148"/>
      <c r="IM60" s="148"/>
      <c r="IN60" s="148"/>
      <c r="IO60" s="148"/>
      <c r="IP60" s="148"/>
      <c r="IQ60" s="148"/>
      <c r="IR60" s="148"/>
      <c r="IS60" s="148"/>
      <c r="IT60" s="148"/>
      <c r="IU60" s="148"/>
      <c r="IV60" s="148"/>
      <c r="IW60" s="148"/>
      <c r="IX60" s="148"/>
      <c r="IY60" s="148"/>
      <c r="IZ60" s="148"/>
      <c r="JA60" s="148"/>
      <c r="JB60" s="148"/>
    </row>
    <row r="61" spans="2:262" s="15" customFormat="1" ht="20" hidden="1" customHeight="1">
      <c r="I61" s="427" t="s">
        <v>185</v>
      </c>
      <c r="J61" s="427"/>
      <c r="N61" s="16" t="s">
        <v>179</v>
      </c>
      <c r="O61" s="40">
        <f>LeasingInfo!O30</f>
        <v>0.76059318141684928</v>
      </c>
      <c r="V61" s="148"/>
      <c r="W61" s="148"/>
      <c r="X61" s="148"/>
      <c r="Y61" s="148"/>
      <c r="Z61" s="148"/>
      <c r="AA61" s="148"/>
      <c r="AB61" s="148"/>
      <c r="AC61" s="148"/>
      <c r="AD61" s="148"/>
      <c r="AE61" s="148"/>
      <c r="AF61" s="148"/>
      <c r="AG61" s="148"/>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c r="BI61" s="148"/>
      <c r="BJ61" s="148"/>
      <c r="BK61" s="148"/>
      <c r="BL61" s="148"/>
      <c r="BM61" s="148"/>
      <c r="BN61" s="148"/>
      <c r="BO61" s="148"/>
      <c r="BP61" s="148"/>
      <c r="BQ61" s="148"/>
      <c r="BR61" s="148"/>
      <c r="BS61" s="148"/>
      <c r="BT61" s="148"/>
      <c r="BU61" s="148"/>
      <c r="BV61" s="148"/>
      <c r="BW61" s="148"/>
      <c r="BX61" s="148"/>
      <c r="BY61" s="148"/>
      <c r="BZ61" s="148"/>
      <c r="CA61" s="148"/>
      <c r="CB61" s="148"/>
      <c r="CC61" s="148"/>
      <c r="CD61" s="148"/>
      <c r="CE61" s="148"/>
      <c r="CF61" s="148"/>
      <c r="CG61" s="148"/>
      <c r="CH61" s="148"/>
      <c r="CI61" s="148"/>
      <c r="CJ61" s="148"/>
      <c r="CK61" s="148"/>
      <c r="CL61" s="148"/>
      <c r="CM61" s="148"/>
      <c r="CN61" s="148"/>
      <c r="CO61" s="148"/>
      <c r="CP61" s="148"/>
      <c r="CQ61" s="148"/>
      <c r="CR61" s="148"/>
      <c r="CS61" s="148"/>
      <c r="CT61" s="148"/>
      <c r="CU61" s="148"/>
      <c r="CV61" s="148"/>
      <c r="CW61" s="148"/>
      <c r="CX61" s="148"/>
      <c r="CY61" s="148"/>
      <c r="CZ61" s="148"/>
      <c r="DA61" s="148"/>
      <c r="DB61" s="148"/>
      <c r="DC61" s="148"/>
      <c r="DD61" s="148"/>
      <c r="DE61" s="148"/>
      <c r="DF61" s="148"/>
      <c r="DG61" s="148"/>
      <c r="DH61" s="148"/>
      <c r="DI61" s="148"/>
      <c r="DJ61" s="148"/>
      <c r="DK61" s="148"/>
      <c r="DL61" s="148"/>
      <c r="DM61" s="148"/>
      <c r="DN61" s="148"/>
      <c r="DO61" s="148"/>
      <c r="DP61" s="148"/>
      <c r="DQ61" s="148"/>
      <c r="DR61" s="148"/>
      <c r="DS61" s="148"/>
      <c r="DT61" s="148"/>
      <c r="DU61" s="148"/>
      <c r="DV61" s="148"/>
      <c r="DW61" s="148"/>
      <c r="DX61" s="148"/>
      <c r="DY61" s="148"/>
      <c r="DZ61" s="148"/>
      <c r="EA61" s="148"/>
      <c r="EB61" s="148"/>
      <c r="EC61" s="148"/>
      <c r="ED61" s="148"/>
      <c r="EE61" s="148"/>
      <c r="EF61" s="148"/>
      <c r="EG61" s="148"/>
      <c r="EH61" s="148"/>
      <c r="EI61" s="148"/>
      <c r="EJ61" s="148"/>
      <c r="EK61" s="148"/>
      <c r="EL61" s="148"/>
      <c r="EM61" s="148"/>
      <c r="EN61" s="148"/>
      <c r="EO61" s="148"/>
      <c r="EP61" s="148"/>
      <c r="EQ61" s="148"/>
      <c r="ER61" s="148"/>
      <c r="ES61" s="148"/>
      <c r="ET61" s="148"/>
      <c r="EU61" s="148"/>
      <c r="EV61" s="148"/>
      <c r="EW61" s="148"/>
      <c r="EX61" s="148"/>
      <c r="EY61" s="148"/>
      <c r="EZ61" s="148"/>
      <c r="FA61" s="148"/>
      <c r="FB61" s="148"/>
      <c r="FC61" s="148"/>
      <c r="FD61" s="148"/>
      <c r="FE61" s="148"/>
      <c r="FF61" s="148"/>
      <c r="FG61" s="148"/>
      <c r="FH61" s="148"/>
      <c r="FI61" s="148"/>
      <c r="FJ61" s="148"/>
      <c r="FK61" s="148"/>
      <c r="FL61" s="148"/>
      <c r="FM61" s="148"/>
      <c r="FN61" s="148"/>
      <c r="FO61" s="148"/>
      <c r="FP61" s="148"/>
      <c r="FQ61" s="148"/>
      <c r="FR61" s="148"/>
      <c r="FS61" s="148"/>
      <c r="FT61" s="148"/>
      <c r="FU61" s="148"/>
      <c r="FV61" s="148"/>
      <c r="FW61" s="148"/>
      <c r="FX61" s="148"/>
      <c r="FY61" s="148"/>
      <c r="FZ61" s="148"/>
      <c r="GA61" s="148"/>
      <c r="GB61" s="148"/>
      <c r="GC61" s="148"/>
      <c r="GD61" s="148"/>
      <c r="GE61" s="148"/>
      <c r="GF61" s="148"/>
      <c r="GG61" s="148"/>
      <c r="GH61" s="148"/>
      <c r="GI61" s="148"/>
      <c r="GJ61" s="148"/>
      <c r="GK61" s="148"/>
      <c r="GL61" s="148"/>
      <c r="GM61" s="148"/>
      <c r="GN61" s="148"/>
      <c r="GO61" s="148"/>
      <c r="GP61" s="148"/>
      <c r="GQ61" s="148"/>
      <c r="GR61" s="148"/>
      <c r="GS61" s="148"/>
      <c r="GT61" s="148"/>
      <c r="GU61" s="148"/>
      <c r="GV61" s="148"/>
      <c r="GW61" s="148"/>
      <c r="GX61" s="148"/>
      <c r="GY61" s="148"/>
      <c r="GZ61" s="148"/>
      <c r="HA61" s="148"/>
      <c r="HB61" s="148"/>
      <c r="HC61" s="148"/>
      <c r="HD61" s="148"/>
      <c r="HE61" s="148"/>
      <c r="HF61" s="148"/>
      <c r="HG61" s="148"/>
      <c r="HH61" s="148"/>
      <c r="HI61" s="148"/>
      <c r="HJ61" s="148"/>
      <c r="HK61" s="148"/>
      <c r="HL61" s="148"/>
      <c r="HM61" s="148"/>
      <c r="HN61" s="148"/>
      <c r="HO61" s="148"/>
      <c r="HP61" s="148"/>
      <c r="HQ61" s="148"/>
      <c r="HR61" s="148"/>
      <c r="HS61" s="148"/>
      <c r="HT61" s="148"/>
      <c r="HU61" s="148"/>
      <c r="HV61" s="148"/>
      <c r="HW61" s="148"/>
      <c r="HX61" s="148"/>
      <c r="HY61" s="148"/>
      <c r="HZ61" s="148"/>
      <c r="IA61" s="148"/>
      <c r="IB61" s="148"/>
      <c r="IC61" s="148"/>
      <c r="ID61" s="148"/>
      <c r="IE61" s="148"/>
      <c r="IF61" s="148"/>
      <c r="IG61" s="148"/>
      <c r="IH61" s="148"/>
      <c r="II61" s="148"/>
      <c r="IJ61" s="148"/>
      <c r="IK61" s="148"/>
      <c r="IL61" s="148"/>
      <c r="IM61" s="148"/>
      <c r="IN61" s="148"/>
      <c r="IO61" s="148"/>
      <c r="IP61" s="148"/>
      <c r="IQ61" s="148"/>
      <c r="IR61" s="148"/>
      <c r="IS61" s="148"/>
      <c r="IT61" s="148"/>
      <c r="IU61" s="148"/>
      <c r="IV61" s="148"/>
      <c r="IW61" s="148"/>
      <c r="IX61" s="148"/>
      <c r="IY61" s="148"/>
      <c r="IZ61" s="148"/>
      <c r="JA61" s="148"/>
      <c r="JB61" s="148"/>
    </row>
    <row r="62" spans="2:262" s="15" customFormat="1" ht="20" hidden="1" customHeight="1">
      <c r="I62" s="427" t="s">
        <v>186</v>
      </c>
      <c r="J62" s="427"/>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c r="BI62" s="148"/>
      <c r="BJ62" s="148"/>
      <c r="BK62" s="148"/>
      <c r="BL62" s="148"/>
      <c r="BM62" s="148"/>
      <c r="BN62" s="148"/>
      <c r="BO62" s="148"/>
      <c r="BP62" s="148"/>
      <c r="BQ62" s="148"/>
      <c r="BR62" s="148"/>
      <c r="BS62" s="148"/>
      <c r="BT62" s="148"/>
      <c r="BU62" s="148"/>
      <c r="BV62" s="148"/>
      <c r="BW62" s="148"/>
      <c r="BX62" s="148"/>
      <c r="BY62" s="148"/>
      <c r="BZ62" s="148"/>
      <c r="CA62" s="148"/>
      <c r="CB62" s="148"/>
      <c r="CC62" s="148"/>
      <c r="CD62" s="148"/>
      <c r="CE62" s="148"/>
      <c r="CF62" s="148"/>
      <c r="CG62" s="148"/>
      <c r="CH62" s="148"/>
      <c r="CI62" s="148"/>
      <c r="CJ62" s="148"/>
      <c r="CK62" s="148"/>
      <c r="CL62" s="148"/>
      <c r="CM62" s="148"/>
      <c r="CN62" s="148"/>
      <c r="CO62" s="148"/>
      <c r="CP62" s="148"/>
      <c r="CQ62" s="148"/>
      <c r="CR62" s="148"/>
      <c r="CS62" s="148"/>
      <c r="CT62" s="148"/>
      <c r="CU62" s="148"/>
      <c r="CV62" s="148"/>
      <c r="CW62" s="148"/>
      <c r="CX62" s="148"/>
      <c r="CY62" s="148"/>
      <c r="CZ62" s="148"/>
      <c r="DA62" s="148"/>
      <c r="DB62" s="148"/>
      <c r="DC62" s="148"/>
      <c r="DD62" s="148"/>
      <c r="DE62" s="148"/>
      <c r="DF62" s="148"/>
      <c r="DG62" s="148"/>
      <c r="DH62" s="148"/>
      <c r="DI62" s="148"/>
      <c r="DJ62" s="148"/>
      <c r="DK62" s="148"/>
      <c r="DL62" s="148"/>
      <c r="DM62" s="148"/>
      <c r="DN62" s="148"/>
      <c r="DO62" s="148"/>
      <c r="DP62" s="148"/>
      <c r="DQ62" s="148"/>
      <c r="DR62" s="148"/>
      <c r="DS62" s="148"/>
      <c r="DT62" s="148"/>
      <c r="DU62" s="148"/>
      <c r="DV62" s="148"/>
      <c r="DW62" s="148"/>
      <c r="DX62" s="148"/>
      <c r="DY62" s="148"/>
      <c r="DZ62" s="148"/>
      <c r="EA62" s="148"/>
      <c r="EB62" s="148"/>
      <c r="EC62" s="148"/>
      <c r="ED62" s="148"/>
      <c r="EE62" s="148"/>
      <c r="EF62" s="148"/>
      <c r="EG62" s="148"/>
      <c r="EH62" s="148"/>
      <c r="EI62" s="148"/>
      <c r="EJ62" s="148"/>
      <c r="EK62" s="148"/>
      <c r="EL62" s="148"/>
      <c r="EM62" s="148"/>
      <c r="EN62" s="148"/>
      <c r="EO62" s="148"/>
      <c r="EP62" s="148"/>
      <c r="EQ62" s="148"/>
      <c r="ER62" s="148"/>
      <c r="ES62" s="148"/>
      <c r="ET62" s="148"/>
      <c r="EU62" s="148"/>
      <c r="EV62" s="148"/>
      <c r="EW62" s="148"/>
      <c r="EX62" s="148"/>
      <c r="EY62" s="148"/>
      <c r="EZ62" s="148"/>
      <c r="FA62" s="148"/>
      <c r="FB62" s="148"/>
      <c r="FC62" s="148"/>
      <c r="FD62" s="148"/>
      <c r="FE62" s="148"/>
      <c r="FF62" s="148"/>
      <c r="FG62" s="148"/>
      <c r="FH62" s="148"/>
      <c r="FI62" s="148"/>
      <c r="FJ62" s="148"/>
      <c r="FK62" s="148"/>
      <c r="FL62" s="148"/>
      <c r="FM62" s="148"/>
      <c r="FN62" s="148"/>
      <c r="FO62" s="148"/>
      <c r="FP62" s="148"/>
      <c r="FQ62" s="148"/>
      <c r="FR62" s="148"/>
      <c r="FS62" s="148"/>
      <c r="FT62" s="148"/>
      <c r="FU62" s="148"/>
      <c r="FV62" s="148"/>
      <c r="FW62" s="148"/>
      <c r="FX62" s="148"/>
      <c r="FY62" s="148"/>
      <c r="FZ62" s="148"/>
      <c r="GA62" s="148"/>
      <c r="GB62" s="148"/>
      <c r="GC62" s="148"/>
      <c r="GD62" s="148"/>
      <c r="GE62" s="148"/>
      <c r="GF62" s="148"/>
      <c r="GG62" s="148"/>
      <c r="GH62" s="148"/>
      <c r="GI62" s="148"/>
      <c r="GJ62" s="148"/>
      <c r="GK62" s="148"/>
      <c r="GL62" s="148"/>
      <c r="GM62" s="148"/>
      <c r="GN62" s="148"/>
      <c r="GO62" s="148"/>
      <c r="GP62" s="148"/>
      <c r="GQ62" s="148"/>
      <c r="GR62" s="148"/>
      <c r="GS62" s="148"/>
      <c r="GT62" s="148"/>
      <c r="GU62" s="148"/>
      <c r="GV62" s="148"/>
      <c r="GW62" s="148"/>
      <c r="GX62" s="148"/>
      <c r="GY62" s="148"/>
      <c r="GZ62" s="148"/>
      <c r="HA62" s="148"/>
      <c r="HB62" s="148"/>
      <c r="HC62" s="148"/>
      <c r="HD62" s="148"/>
      <c r="HE62" s="148"/>
      <c r="HF62" s="148"/>
      <c r="HG62" s="148"/>
      <c r="HH62" s="148"/>
      <c r="HI62" s="148"/>
      <c r="HJ62" s="148"/>
      <c r="HK62" s="148"/>
      <c r="HL62" s="148"/>
      <c r="HM62" s="148"/>
      <c r="HN62" s="148"/>
      <c r="HO62" s="148"/>
      <c r="HP62" s="148"/>
      <c r="HQ62" s="148"/>
      <c r="HR62" s="148"/>
      <c r="HS62" s="148"/>
      <c r="HT62" s="148"/>
      <c r="HU62" s="148"/>
      <c r="HV62" s="148"/>
      <c r="HW62" s="148"/>
      <c r="HX62" s="148"/>
      <c r="HY62" s="148"/>
      <c r="HZ62" s="148"/>
      <c r="IA62" s="148"/>
      <c r="IB62" s="148"/>
      <c r="IC62" s="148"/>
      <c r="ID62" s="148"/>
      <c r="IE62" s="148"/>
      <c r="IF62" s="148"/>
      <c r="IG62" s="148"/>
      <c r="IH62" s="148"/>
      <c r="II62" s="148"/>
      <c r="IJ62" s="148"/>
      <c r="IK62" s="148"/>
      <c r="IL62" s="148"/>
      <c r="IM62" s="148"/>
      <c r="IN62" s="148"/>
      <c r="IO62" s="148"/>
      <c r="IP62" s="148"/>
      <c r="IQ62" s="148"/>
      <c r="IR62" s="148"/>
      <c r="IS62" s="148"/>
      <c r="IT62" s="148"/>
      <c r="IU62" s="148"/>
      <c r="IV62" s="148"/>
      <c r="IW62" s="148"/>
      <c r="IX62" s="148"/>
      <c r="IY62" s="148"/>
      <c r="IZ62" s="148"/>
      <c r="JA62" s="148"/>
      <c r="JB62" s="148"/>
    </row>
    <row r="63" spans="2:262" s="15" customFormat="1" ht="20">
      <c r="I63" s="228"/>
      <c r="J63" s="228" t="s">
        <v>188</v>
      </c>
      <c r="V63" s="148"/>
      <c r="W63" s="148"/>
      <c r="X63" s="148"/>
      <c r="Y63" s="148"/>
      <c r="Z63" s="148"/>
      <c r="AA63" s="148"/>
      <c r="AB63" s="148"/>
      <c r="AC63" s="148"/>
      <c r="AD63" s="148"/>
      <c r="AE63" s="148"/>
      <c r="AF63" s="148"/>
      <c r="AG63" s="148"/>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c r="BI63" s="148"/>
      <c r="BJ63" s="148"/>
      <c r="BK63" s="148"/>
      <c r="BL63" s="148"/>
      <c r="BM63" s="148"/>
      <c r="BN63" s="148"/>
      <c r="BO63" s="148"/>
      <c r="BP63" s="148"/>
      <c r="BQ63" s="148"/>
      <c r="BR63" s="148"/>
      <c r="BS63" s="148"/>
      <c r="BT63" s="148"/>
      <c r="BU63" s="148"/>
      <c r="BV63" s="148"/>
      <c r="BW63" s="148"/>
      <c r="BX63" s="148"/>
      <c r="BY63" s="148"/>
      <c r="BZ63" s="148"/>
      <c r="CA63" s="148"/>
      <c r="CB63" s="148"/>
      <c r="CC63" s="148"/>
      <c r="CD63" s="148"/>
      <c r="CE63" s="148"/>
      <c r="CF63" s="148"/>
      <c r="CG63" s="148"/>
      <c r="CH63" s="148"/>
      <c r="CI63" s="148"/>
      <c r="CJ63" s="148"/>
      <c r="CK63" s="148"/>
      <c r="CL63" s="148"/>
      <c r="CM63" s="148"/>
      <c r="CN63" s="148"/>
      <c r="CO63" s="148"/>
      <c r="CP63" s="148"/>
      <c r="CQ63" s="148"/>
      <c r="CR63" s="148"/>
      <c r="CS63" s="148"/>
      <c r="CT63" s="148"/>
      <c r="CU63" s="148"/>
      <c r="CV63" s="148"/>
      <c r="CW63" s="148"/>
      <c r="CX63" s="148"/>
      <c r="CY63" s="148"/>
      <c r="CZ63" s="148"/>
      <c r="DA63" s="148"/>
      <c r="DB63" s="148"/>
      <c r="DC63" s="148"/>
      <c r="DD63" s="148"/>
      <c r="DE63" s="148"/>
      <c r="DF63" s="148"/>
      <c r="DG63" s="148"/>
      <c r="DH63" s="148"/>
      <c r="DI63" s="148"/>
      <c r="DJ63" s="148"/>
      <c r="DK63" s="148"/>
      <c r="DL63" s="148"/>
      <c r="DM63" s="148"/>
      <c r="DN63" s="148"/>
      <c r="DO63" s="148"/>
      <c r="DP63" s="148"/>
      <c r="DQ63" s="148"/>
      <c r="DR63" s="148"/>
      <c r="DS63" s="148"/>
      <c r="DT63" s="148"/>
      <c r="DU63" s="148"/>
      <c r="DV63" s="148"/>
      <c r="DW63" s="148"/>
      <c r="DX63" s="148"/>
      <c r="DY63" s="148"/>
      <c r="DZ63" s="148"/>
      <c r="EA63" s="148"/>
      <c r="EB63" s="148"/>
      <c r="EC63" s="148"/>
      <c r="ED63" s="148"/>
      <c r="EE63" s="148"/>
      <c r="EF63" s="148"/>
      <c r="EG63" s="148"/>
      <c r="EH63" s="148"/>
      <c r="EI63" s="148"/>
      <c r="EJ63" s="148"/>
      <c r="EK63" s="148"/>
      <c r="EL63" s="148"/>
      <c r="EM63" s="148"/>
      <c r="EN63" s="148"/>
      <c r="EO63" s="148"/>
      <c r="EP63" s="148"/>
      <c r="EQ63" s="148"/>
      <c r="ER63" s="148"/>
      <c r="ES63" s="148"/>
      <c r="ET63" s="148"/>
      <c r="EU63" s="148"/>
      <c r="EV63" s="148"/>
      <c r="EW63" s="148"/>
      <c r="EX63" s="148"/>
      <c r="EY63" s="148"/>
      <c r="EZ63" s="148"/>
      <c r="FA63" s="148"/>
      <c r="FB63" s="148"/>
      <c r="FC63" s="148"/>
      <c r="FD63" s="148"/>
      <c r="FE63" s="148"/>
      <c r="FF63" s="148"/>
      <c r="FG63" s="148"/>
      <c r="FH63" s="148"/>
      <c r="FI63" s="148"/>
      <c r="FJ63" s="148"/>
      <c r="FK63" s="148"/>
      <c r="FL63" s="148"/>
      <c r="FM63" s="148"/>
      <c r="FN63" s="148"/>
      <c r="FO63" s="148"/>
      <c r="FP63" s="148"/>
      <c r="FQ63" s="148"/>
      <c r="FR63" s="148"/>
      <c r="FS63" s="148"/>
      <c r="FT63" s="148"/>
      <c r="FU63" s="148"/>
      <c r="FV63" s="148"/>
      <c r="FW63" s="148"/>
      <c r="FX63" s="148"/>
      <c r="FY63" s="148"/>
      <c r="FZ63" s="148"/>
      <c r="GA63" s="148"/>
      <c r="GB63" s="148"/>
      <c r="GC63" s="148"/>
      <c r="GD63" s="148"/>
      <c r="GE63" s="148"/>
      <c r="GF63" s="148"/>
      <c r="GG63" s="148"/>
      <c r="GH63" s="148"/>
      <c r="GI63" s="148"/>
      <c r="GJ63" s="148"/>
      <c r="GK63" s="148"/>
      <c r="GL63" s="148"/>
      <c r="GM63" s="148"/>
      <c r="GN63" s="148"/>
      <c r="GO63" s="148"/>
      <c r="GP63" s="148"/>
      <c r="GQ63" s="148"/>
      <c r="GR63" s="148"/>
      <c r="GS63" s="148"/>
      <c r="GT63" s="148"/>
      <c r="GU63" s="148"/>
      <c r="GV63" s="148"/>
      <c r="GW63" s="148"/>
      <c r="GX63" s="148"/>
      <c r="GY63" s="148"/>
      <c r="GZ63" s="148"/>
      <c r="HA63" s="148"/>
      <c r="HB63" s="148"/>
      <c r="HC63" s="148"/>
      <c r="HD63" s="148"/>
      <c r="HE63" s="148"/>
      <c r="HF63" s="148"/>
      <c r="HG63" s="148"/>
      <c r="HH63" s="148"/>
      <c r="HI63" s="148"/>
      <c r="HJ63" s="148"/>
      <c r="HK63" s="148"/>
      <c r="HL63" s="148"/>
      <c r="HM63" s="148"/>
      <c r="HN63" s="148"/>
      <c r="HO63" s="148"/>
      <c r="HP63" s="148"/>
      <c r="HQ63" s="148"/>
      <c r="HR63" s="148"/>
      <c r="HS63" s="148"/>
      <c r="HT63" s="148"/>
      <c r="HU63" s="148"/>
      <c r="HV63" s="148"/>
      <c r="HW63" s="148"/>
      <c r="HX63" s="148"/>
      <c r="HY63" s="148"/>
      <c r="HZ63" s="148"/>
      <c r="IA63" s="148"/>
      <c r="IB63" s="148"/>
      <c r="IC63" s="148"/>
      <c r="ID63" s="148"/>
      <c r="IE63" s="148"/>
      <c r="IF63" s="148"/>
      <c r="IG63" s="148"/>
      <c r="IH63" s="148"/>
      <c r="II63" s="148"/>
      <c r="IJ63" s="148"/>
      <c r="IK63" s="148"/>
      <c r="IL63" s="148"/>
      <c r="IM63" s="148"/>
      <c r="IN63" s="148"/>
      <c r="IO63" s="148"/>
      <c r="IP63" s="148"/>
      <c r="IQ63" s="148"/>
      <c r="IR63" s="148"/>
      <c r="IS63" s="148"/>
      <c r="IT63" s="148"/>
      <c r="IU63" s="148"/>
      <c r="IV63" s="148"/>
      <c r="IW63" s="148"/>
      <c r="IX63" s="148"/>
      <c r="IY63" s="148"/>
      <c r="IZ63" s="148"/>
      <c r="JA63" s="148"/>
      <c r="JB63" s="148"/>
    </row>
    <row r="64" spans="2:262" s="15" customFormat="1">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c r="BM64" s="148"/>
      <c r="BN64" s="148"/>
      <c r="BO64" s="148"/>
      <c r="BP64" s="148"/>
      <c r="BQ64" s="148"/>
      <c r="BR64" s="148"/>
      <c r="BS64" s="148"/>
      <c r="BT64" s="148"/>
      <c r="BU64" s="148"/>
      <c r="BV64" s="148"/>
      <c r="BW64" s="148"/>
      <c r="BX64" s="148"/>
      <c r="BY64" s="148"/>
      <c r="BZ64" s="148"/>
      <c r="CA64" s="148"/>
      <c r="CB64" s="148"/>
      <c r="CC64" s="148"/>
      <c r="CD64" s="148"/>
      <c r="CE64" s="148"/>
      <c r="CF64" s="148"/>
      <c r="CG64" s="148"/>
      <c r="CH64" s="148"/>
      <c r="CI64" s="148"/>
      <c r="CJ64" s="148"/>
      <c r="CK64" s="148"/>
      <c r="CL64" s="148"/>
      <c r="CM64" s="148"/>
      <c r="CN64" s="148"/>
      <c r="CO64" s="148"/>
      <c r="CP64" s="148"/>
      <c r="CQ64" s="148"/>
      <c r="CR64" s="148"/>
      <c r="CS64" s="148"/>
      <c r="CT64" s="148"/>
      <c r="CU64" s="148"/>
      <c r="CV64" s="148"/>
      <c r="CW64" s="148"/>
      <c r="CX64" s="148"/>
      <c r="CY64" s="148"/>
      <c r="CZ64" s="148"/>
      <c r="DA64" s="148"/>
      <c r="DB64" s="148"/>
      <c r="DC64" s="148"/>
      <c r="DD64" s="148"/>
      <c r="DE64" s="148"/>
      <c r="DF64" s="148"/>
      <c r="DG64" s="148"/>
      <c r="DH64" s="148"/>
      <c r="DI64" s="148"/>
      <c r="DJ64" s="148"/>
      <c r="DK64" s="148"/>
      <c r="DL64" s="148"/>
      <c r="DM64" s="148"/>
      <c r="DN64" s="148"/>
      <c r="DO64" s="148"/>
      <c r="DP64" s="148"/>
      <c r="DQ64" s="148"/>
      <c r="DR64" s="148"/>
      <c r="DS64" s="148"/>
      <c r="DT64" s="148"/>
      <c r="DU64" s="148"/>
      <c r="DV64" s="148"/>
      <c r="DW64" s="148"/>
      <c r="DX64" s="148"/>
      <c r="DY64" s="148"/>
      <c r="DZ64" s="148"/>
      <c r="EA64" s="148"/>
      <c r="EB64" s="148"/>
      <c r="EC64" s="148"/>
      <c r="ED64" s="148"/>
      <c r="EE64" s="148"/>
      <c r="EF64" s="148"/>
      <c r="EG64" s="148"/>
      <c r="EH64" s="148"/>
      <c r="EI64" s="148"/>
      <c r="EJ64" s="148"/>
      <c r="EK64" s="148"/>
      <c r="EL64" s="148"/>
      <c r="EM64" s="148"/>
      <c r="EN64" s="148"/>
      <c r="EO64" s="148"/>
      <c r="EP64" s="148"/>
      <c r="EQ64" s="148"/>
      <c r="ER64" s="148"/>
      <c r="ES64" s="148"/>
      <c r="ET64" s="148"/>
      <c r="EU64" s="148"/>
      <c r="EV64" s="148"/>
      <c r="EW64" s="148"/>
      <c r="EX64" s="148"/>
      <c r="EY64" s="148"/>
      <c r="EZ64" s="148"/>
      <c r="FA64" s="148"/>
      <c r="FB64" s="148"/>
      <c r="FC64" s="148"/>
      <c r="FD64" s="148"/>
      <c r="FE64" s="148"/>
      <c r="FF64" s="148"/>
      <c r="FG64" s="148"/>
      <c r="FH64" s="148"/>
      <c r="FI64" s="148"/>
      <c r="FJ64" s="148"/>
      <c r="FK64" s="148"/>
      <c r="FL64" s="148"/>
      <c r="FM64" s="148"/>
      <c r="FN64" s="148"/>
      <c r="FO64" s="148"/>
      <c r="FP64" s="148"/>
      <c r="FQ64" s="148"/>
      <c r="FR64" s="148"/>
      <c r="FS64" s="148"/>
      <c r="FT64" s="148"/>
      <c r="FU64" s="148"/>
      <c r="FV64" s="148"/>
      <c r="FW64" s="148"/>
      <c r="FX64" s="148"/>
      <c r="FY64" s="148"/>
      <c r="FZ64" s="148"/>
      <c r="GA64" s="148"/>
      <c r="GB64" s="148"/>
      <c r="GC64" s="148"/>
      <c r="GD64" s="148"/>
      <c r="GE64" s="148"/>
      <c r="GF64" s="148"/>
      <c r="GG64" s="148"/>
      <c r="GH64" s="148"/>
      <c r="GI64" s="148"/>
      <c r="GJ64" s="148"/>
      <c r="GK64" s="148"/>
      <c r="GL64" s="148"/>
      <c r="GM64" s="148"/>
      <c r="GN64" s="148"/>
      <c r="GO64" s="148"/>
      <c r="GP64" s="148"/>
      <c r="GQ64" s="148"/>
      <c r="GR64" s="148"/>
      <c r="GS64" s="148"/>
      <c r="GT64" s="148"/>
      <c r="GU64" s="148"/>
      <c r="GV64" s="148"/>
      <c r="GW64" s="148"/>
      <c r="GX64" s="148"/>
      <c r="GY64" s="148"/>
      <c r="GZ64" s="148"/>
      <c r="HA64" s="148"/>
      <c r="HB64" s="148"/>
      <c r="HC64" s="148"/>
      <c r="HD64" s="148"/>
      <c r="HE64" s="148"/>
      <c r="HF64" s="148"/>
      <c r="HG64" s="148"/>
      <c r="HH64" s="148"/>
      <c r="HI64" s="148"/>
      <c r="HJ64" s="148"/>
      <c r="HK64" s="148"/>
      <c r="HL64" s="148"/>
      <c r="HM64" s="148"/>
      <c r="HN64" s="148"/>
      <c r="HO64" s="148"/>
      <c r="HP64" s="148"/>
      <c r="HQ64" s="148"/>
      <c r="HR64" s="148"/>
      <c r="HS64" s="148"/>
      <c r="HT64" s="148"/>
      <c r="HU64" s="148"/>
      <c r="HV64" s="148"/>
      <c r="HW64" s="148"/>
      <c r="HX64" s="148"/>
      <c r="HY64" s="148"/>
      <c r="HZ64" s="148"/>
      <c r="IA64" s="148"/>
      <c r="IB64" s="148"/>
      <c r="IC64" s="148"/>
      <c r="ID64" s="148"/>
      <c r="IE64" s="148"/>
      <c r="IF64" s="148"/>
      <c r="IG64" s="148"/>
      <c r="IH64" s="148"/>
      <c r="II64" s="148"/>
      <c r="IJ64" s="148"/>
      <c r="IK64" s="148"/>
      <c r="IL64" s="148"/>
      <c r="IM64" s="148"/>
      <c r="IN64" s="148"/>
      <c r="IO64" s="148"/>
      <c r="IP64" s="148"/>
      <c r="IQ64" s="148"/>
      <c r="IR64" s="148"/>
      <c r="IS64" s="148"/>
      <c r="IT64" s="148"/>
      <c r="IU64" s="148"/>
      <c r="IV64" s="148"/>
      <c r="IW64" s="148"/>
      <c r="IX64" s="148"/>
      <c r="IY64" s="148"/>
      <c r="IZ64" s="148"/>
      <c r="JA64" s="148"/>
      <c r="JB64" s="148"/>
    </row>
    <row r="65" spans="22:262" s="15" customFormat="1">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c r="BI65" s="148"/>
      <c r="BJ65" s="148"/>
      <c r="BK65" s="148"/>
      <c r="BL65" s="148"/>
      <c r="BM65" s="148"/>
      <c r="BN65" s="148"/>
      <c r="BO65" s="148"/>
      <c r="BP65" s="148"/>
      <c r="BQ65" s="148"/>
      <c r="BR65" s="148"/>
      <c r="BS65" s="148"/>
      <c r="BT65" s="148"/>
      <c r="BU65" s="148"/>
      <c r="BV65" s="148"/>
      <c r="BW65" s="148"/>
      <c r="BX65" s="148"/>
      <c r="BY65" s="148"/>
      <c r="BZ65" s="148"/>
      <c r="CA65" s="148"/>
      <c r="CB65" s="148"/>
      <c r="CC65" s="148"/>
      <c r="CD65" s="148"/>
      <c r="CE65" s="148"/>
      <c r="CF65" s="148"/>
      <c r="CG65" s="148"/>
      <c r="CH65" s="148"/>
      <c r="CI65" s="148"/>
      <c r="CJ65" s="148"/>
      <c r="CK65" s="148"/>
      <c r="CL65" s="148"/>
      <c r="CM65" s="148"/>
      <c r="CN65" s="148"/>
      <c r="CO65" s="148"/>
      <c r="CP65" s="148"/>
      <c r="CQ65" s="148"/>
      <c r="CR65" s="148"/>
      <c r="CS65" s="148"/>
      <c r="CT65" s="148"/>
      <c r="CU65" s="148"/>
      <c r="CV65" s="148"/>
      <c r="CW65" s="148"/>
      <c r="CX65" s="148"/>
      <c r="CY65" s="148"/>
      <c r="CZ65" s="148"/>
      <c r="DA65" s="148"/>
      <c r="DB65" s="148"/>
      <c r="DC65" s="148"/>
      <c r="DD65" s="148"/>
      <c r="DE65" s="148"/>
      <c r="DF65" s="148"/>
      <c r="DG65" s="148"/>
      <c r="DH65" s="148"/>
      <c r="DI65" s="148"/>
      <c r="DJ65" s="148"/>
      <c r="DK65" s="148"/>
      <c r="DL65" s="148"/>
      <c r="DM65" s="148"/>
      <c r="DN65" s="148"/>
      <c r="DO65" s="148"/>
      <c r="DP65" s="148"/>
      <c r="DQ65" s="148"/>
      <c r="DR65" s="148"/>
      <c r="DS65" s="148"/>
      <c r="DT65" s="148"/>
      <c r="DU65" s="148"/>
      <c r="DV65" s="148"/>
      <c r="DW65" s="148"/>
      <c r="DX65" s="148"/>
      <c r="DY65" s="148"/>
      <c r="DZ65" s="148"/>
      <c r="EA65" s="148"/>
      <c r="EB65" s="148"/>
      <c r="EC65" s="148"/>
      <c r="ED65" s="148"/>
      <c r="EE65" s="148"/>
      <c r="EF65" s="148"/>
      <c r="EG65" s="148"/>
      <c r="EH65" s="148"/>
      <c r="EI65" s="148"/>
      <c r="EJ65" s="148"/>
      <c r="EK65" s="148"/>
      <c r="EL65" s="148"/>
      <c r="EM65" s="148"/>
      <c r="EN65" s="148"/>
      <c r="EO65" s="148"/>
      <c r="EP65" s="148"/>
      <c r="EQ65" s="148"/>
      <c r="ER65" s="148"/>
      <c r="ES65" s="148"/>
      <c r="ET65" s="148"/>
      <c r="EU65" s="148"/>
      <c r="EV65" s="148"/>
      <c r="EW65" s="148"/>
      <c r="EX65" s="148"/>
      <c r="EY65" s="148"/>
      <c r="EZ65" s="148"/>
      <c r="FA65" s="148"/>
      <c r="FB65" s="148"/>
      <c r="FC65" s="148"/>
      <c r="FD65" s="148"/>
      <c r="FE65" s="148"/>
      <c r="FF65" s="148"/>
      <c r="FG65" s="148"/>
      <c r="FH65" s="148"/>
      <c r="FI65" s="148"/>
      <c r="FJ65" s="148"/>
      <c r="FK65" s="148"/>
      <c r="FL65" s="148"/>
      <c r="FM65" s="148"/>
      <c r="FN65" s="148"/>
      <c r="FO65" s="148"/>
      <c r="FP65" s="148"/>
      <c r="FQ65" s="148"/>
      <c r="FR65" s="148"/>
      <c r="FS65" s="148"/>
      <c r="FT65" s="148"/>
      <c r="FU65" s="148"/>
      <c r="FV65" s="148"/>
      <c r="FW65" s="148"/>
      <c r="FX65" s="148"/>
      <c r="FY65" s="148"/>
      <c r="FZ65" s="148"/>
      <c r="GA65" s="148"/>
      <c r="GB65" s="148"/>
      <c r="GC65" s="148"/>
      <c r="GD65" s="148"/>
      <c r="GE65" s="148"/>
      <c r="GF65" s="148"/>
      <c r="GG65" s="148"/>
      <c r="GH65" s="148"/>
      <c r="GI65" s="148"/>
      <c r="GJ65" s="148"/>
      <c r="GK65" s="148"/>
      <c r="GL65" s="148"/>
      <c r="GM65" s="148"/>
      <c r="GN65" s="148"/>
      <c r="GO65" s="148"/>
      <c r="GP65" s="148"/>
      <c r="GQ65" s="148"/>
      <c r="GR65" s="148"/>
      <c r="GS65" s="148"/>
      <c r="GT65" s="148"/>
      <c r="GU65" s="148"/>
      <c r="GV65" s="148"/>
      <c r="GW65" s="148"/>
      <c r="GX65" s="148"/>
      <c r="GY65" s="148"/>
      <c r="GZ65" s="148"/>
      <c r="HA65" s="148"/>
      <c r="HB65" s="148"/>
      <c r="HC65" s="148"/>
      <c r="HD65" s="148"/>
      <c r="HE65" s="148"/>
      <c r="HF65" s="148"/>
      <c r="HG65" s="148"/>
      <c r="HH65" s="148"/>
      <c r="HI65" s="148"/>
      <c r="HJ65" s="148"/>
      <c r="HK65" s="148"/>
      <c r="HL65" s="148"/>
      <c r="HM65" s="148"/>
      <c r="HN65" s="148"/>
      <c r="HO65" s="148"/>
      <c r="HP65" s="148"/>
      <c r="HQ65" s="148"/>
      <c r="HR65" s="148"/>
      <c r="HS65" s="148"/>
      <c r="HT65" s="148"/>
      <c r="HU65" s="148"/>
      <c r="HV65" s="148"/>
      <c r="HW65" s="148"/>
      <c r="HX65" s="148"/>
      <c r="HY65" s="148"/>
      <c r="HZ65" s="148"/>
      <c r="IA65" s="148"/>
      <c r="IB65" s="148"/>
      <c r="IC65" s="148"/>
      <c r="ID65" s="148"/>
      <c r="IE65" s="148"/>
      <c r="IF65" s="148"/>
      <c r="IG65" s="148"/>
      <c r="IH65" s="148"/>
      <c r="II65" s="148"/>
      <c r="IJ65" s="148"/>
      <c r="IK65" s="148"/>
      <c r="IL65" s="148"/>
      <c r="IM65" s="148"/>
      <c r="IN65" s="148"/>
      <c r="IO65" s="148"/>
      <c r="IP65" s="148"/>
      <c r="IQ65" s="148"/>
      <c r="IR65" s="148"/>
      <c r="IS65" s="148"/>
      <c r="IT65" s="148"/>
      <c r="IU65" s="148"/>
      <c r="IV65" s="148"/>
      <c r="IW65" s="148"/>
      <c r="IX65" s="148"/>
      <c r="IY65" s="148"/>
      <c r="IZ65" s="148"/>
      <c r="JA65" s="148"/>
      <c r="JB65" s="148"/>
    </row>
    <row r="66" spans="22:262" s="15" customFormat="1">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c r="BI66" s="148"/>
      <c r="BJ66" s="148"/>
      <c r="BK66" s="148"/>
      <c r="BL66" s="148"/>
      <c r="BM66" s="148"/>
      <c r="BN66" s="148"/>
      <c r="BO66" s="148"/>
      <c r="BP66" s="148"/>
      <c r="BQ66" s="148"/>
      <c r="BR66" s="148"/>
      <c r="BS66" s="148"/>
      <c r="BT66" s="148"/>
      <c r="BU66" s="148"/>
      <c r="BV66" s="148"/>
      <c r="BW66" s="148"/>
      <c r="BX66" s="148"/>
      <c r="BY66" s="148"/>
      <c r="BZ66" s="148"/>
      <c r="CA66" s="148"/>
      <c r="CB66" s="148"/>
      <c r="CC66" s="148"/>
      <c r="CD66" s="148"/>
      <c r="CE66" s="148"/>
      <c r="CF66" s="148"/>
      <c r="CG66" s="148"/>
      <c r="CH66" s="148"/>
      <c r="CI66" s="148"/>
      <c r="CJ66" s="148"/>
      <c r="CK66" s="148"/>
      <c r="CL66" s="148"/>
      <c r="CM66" s="148"/>
      <c r="CN66" s="148"/>
      <c r="CO66" s="148"/>
      <c r="CP66" s="148"/>
      <c r="CQ66" s="148"/>
      <c r="CR66" s="148"/>
      <c r="CS66" s="148"/>
      <c r="CT66" s="148"/>
      <c r="CU66" s="148"/>
      <c r="CV66" s="148"/>
      <c r="CW66" s="148"/>
      <c r="CX66" s="148"/>
      <c r="CY66" s="148"/>
      <c r="CZ66" s="148"/>
      <c r="DA66" s="148"/>
      <c r="DB66" s="148"/>
      <c r="DC66" s="148"/>
      <c r="DD66" s="148"/>
      <c r="DE66" s="148"/>
      <c r="DF66" s="148"/>
      <c r="DG66" s="148"/>
      <c r="DH66" s="148"/>
      <c r="DI66" s="148"/>
      <c r="DJ66" s="148"/>
      <c r="DK66" s="148"/>
      <c r="DL66" s="148"/>
      <c r="DM66" s="148"/>
      <c r="DN66" s="148"/>
      <c r="DO66" s="148"/>
      <c r="DP66" s="148"/>
      <c r="DQ66" s="148"/>
      <c r="DR66" s="148"/>
      <c r="DS66" s="148"/>
      <c r="DT66" s="148"/>
      <c r="DU66" s="148"/>
      <c r="DV66" s="148"/>
      <c r="DW66" s="148"/>
      <c r="DX66" s="148"/>
      <c r="DY66" s="148"/>
      <c r="DZ66" s="148"/>
      <c r="EA66" s="148"/>
      <c r="EB66" s="148"/>
      <c r="EC66" s="148"/>
      <c r="ED66" s="148"/>
      <c r="EE66" s="148"/>
      <c r="EF66" s="148"/>
      <c r="EG66" s="148"/>
      <c r="EH66" s="148"/>
      <c r="EI66" s="148"/>
      <c r="EJ66" s="148"/>
      <c r="EK66" s="148"/>
      <c r="EL66" s="148"/>
      <c r="EM66" s="148"/>
      <c r="EN66" s="148"/>
      <c r="EO66" s="148"/>
      <c r="EP66" s="148"/>
      <c r="EQ66" s="148"/>
      <c r="ER66" s="148"/>
      <c r="ES66" s="148"/>
      <c r="ET66" s="148"/>
      <c r="EU66" s="148"/>
      <c r="EV66" s="148"/>
      <c r="EW66" s="148"/>
      <c r="EX66" s="148"/>
      <c r="EY66" s="148"/>
      <c r="EZ66" s="148"/>
      <c r="FA66" s="148"/>
      <c r="FB66" s="148"/>
      <c r="FC66" s="148"/>
      <c r="FD66" s="148"/>
      <c r="FE66" s="148"/>
      <c r="FF66" s="148"/>
      <c r="FG66" s="148"/>
      <c r="FH66" s="148"/>
      <c r="FI66" s="148"/>
      <c r="FJ66" s="148"/>
      <c r="FK66" s="148"/>
      <c r="FL66" s="148"/>
      <c r="FM66" s="148"/>
      <c r="FN66" s="148"/>
      <c r="FO66" s="148"/>
      <c r="FP66" s="148"/>
      <c r="FQ66" s="148"/>
      <c r="FR66" s="148"/>
      <c r="FS66" s="148"/>
      <c r="FT66" s="148"/>
      <c r="FU66" s="148"/>
      <c r="FV66" s="148"/>
      <c r="FW66" s="148"/>
      <c r="FX66" s="148"/>
      <c r="FY66" s="148"/>
      <c r="FZ66" s="148"/>
      <c r="GA66" s="148"/>
      <c r="GB66" s="148"/>
      <c r="GC66" s="148"/>
      <c r="GD66" s="148"/>
      <c r="GE66" s="148"/>
      <c r="GF66" s="148"/>
      <c r="GG66" s="148"/>
      <c r="GH66" s="148"/>
      <c r="GI66" s="148"/>
      <c r="GJ66" s="148"/>
      <c r="GK66" s="148"/>
      <c r="GL66" s="148"/>
      <c r="GM66" s="148"/>
      <c r="GN66" s="148"/>
      <c r="GO66" s="148"/>
      <c r="GP66" s="148"/>
      <c r="GQ66" s="148"/>
      <c r="GR66" s="148"/>
      <c r="GS66" s="148"/>
      <c r="GT66" s="148"/>
      <c r="GU66" s="148"/>
      <c r="GV66" s="148"/>
      <c r="GW66" s="148"/>
      <c r="GX66" s="148"/>
      <c r="GY66" s="148"/>
      <c r="GZ66" s="148"/>
      <c r="HA66" s="148"/>
      <c r="HB66" s="148"/>
      <c r="HC66" s="148"/>
      <c r="HD66" s="148"/>
      <c r="HE66" s="148"/>
      <c r="HF66" s="148"/>
      <c r="HG66" s="148"/>
      <c r="HH66" s="148"/>
      <c r="HI66" s="148"/>
      <c r="HJ66" s="148"/>
      <c r="HK66" s="148"/>
      <c r="HL66" s="148"/>
      <c r="HM66" s="148"/>
      <c r="HN66" s="148"/>
      <c r="HO66" s="148"/>
      <c r="HP66" s="148"/>
      <c r="HQ66" s="148"/>
      <c r="HR66" s="148"/>
      <c r="HS66" s="148"/>
      <c r="HT66" s="148"/>
      <c r="HU66" s="148"/>
      <c r="HV66" s="148"/>
      <c r="HW66" s="148"/>
      <c r="HX66" s="148"/>
      <c r="HY66" s="148"/>
      <c r="HZ66" s="148"/>
      <c r="IA66" s="148"/>
      <c r="IB66" s="148"/>
      <c r="IC66" s="148"/>
      <c r="ID66" s="148"/>
      <c r="IE66" s="148"/>
      <c r="IF66" s="148"/>
      <c r="IG66" s="148"/>
      <c r="IH66" s="148"/>
      <c r="II66" s="148"/>
      <c r="IJ66" s="148"/>
      <c r="IK66" s="148"/>
      <c r="IL66" s="148"/>
      <c r="IM66" s="148"/>
      <c r="IN66" s="148"/>
      <c r="IO66" s="148"/>
      <c r="IP66" s="148"/>
      <c r="IQ66" s="148"/>
      <c r="IR66" s="148"/>
      <c r="IS66" s="148"/>
      <c r="IT66" s="148"/>
      <c r="IU66" s="148"/>
      <c r="IV66" s="148"/>
      <c r="IW66" s="148"/>
      <c r="IX66" s="148"/>
      <c r="IY66" s="148"/>
      <c r="IZ66" s="148"/>
      <c r="JA66" s="148"/>
      <c r="JB66" s="148"/>
    </row>
    <row r="67" spans="22:262" s="15" customFormat="1">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c r="BI67" s="148"/>
      <c r="BJ67" s="148"/>
      <c r="BK67" s="148"/>
      <c r="BL67" s="148"/>
      <c r="BM67" s="148"/>
      <c r="BN67" s="148"/>
      <c r="BO67" s="148"/>
      <c r="BP67" s="148"/>
      <c r="BQ67" s="148"/>
      <c r="BR67" s="148"/>
      <c r="BS67" s="148"/>
      <c r="BT67" s="148"/>
      <c r="BU67" s="148"/>
      <c r="BV67" s="148"/>
      <c r="BW67" s="148"/>
      <c r="BX67" s="148"/>
      <c r="BY67" s="148"/>
      <c r="BZ67" s="148"/>
      <c r="CA67" s="148"/>
      <c r="CB67" s="148"/>
      <c r="CC67" s="148"/>
      <c r="CD67" s="148"/>
      <c r="CE67" s="148"/>
      <c r="CF67" s="148"/>
      <c r="CG67" s="148"/>
      <c r="CH67" s="148"/>
      <c r="CI67" s="148"/>
      <c r="CJ67" s="148"/>
      <c r="CK67" s="148"/>
      <c r="CL67" s="148"/>
      <c r="CM67" s="148"/>
      <c r="CN67" s="148"/>
      <c r="CO67" s="148"/>
      <c r="CP67" s="148"/>
      <c r="CQ67" s="148"/>
      <c r="CR67" s="148"/>
      <c r="CS67" s="148"/>
      <c r="CT67" s="148"/>
      <c r="CU67" s="148"/>
      <c r="CV67" s="148"/>
      <c r="CW67" s="148"/>
      <c r="CX67" s="148"/>
      <c r="CY67" s="148"/>
      <c r="CZ67" s="148"/>
      <c r="DA67" s="148"/>
      <c r="DB67" s="148"/>
      <c r="DC67" s="148"/>
      <c r="DD67" s="148"/>
      <c r="DE67" s="148"/>
      <c r="DF67" s="148"/>
      <c r="DG67" s="148"/>
      <c r="DH67" s="148"/>
      <c r="DI67" s="148"/>
      <c r="DJ67" s="148"/>
      <c r="DK67" s="148"/>
      <c r="DL67" s="148"/>
      <c r="DM67" s="148"/>
      <c r="DN67" s="148"/>
      <c r="DO67" s="148"/>
      <c r="DP67" s="148"/>
      <c r="DQ67" s="148"/>
      <c r="DR67" s="148"/>
      <c r="DS67" s="148"/>
      <c r="DT67" s="148"/>
      <c r="DU67" s="148"/>
      <c r="DV67" s="148"/>
      <c r="DW67" s="148"/>
      <c r="DX67" s="148"/>
      <c r="DY67" s="148"/>
      <c r="DZ67" s="148"/>
      <c r="EA67" s="148"/>
      <c r="EB67" s="148"/>
      <c r="EC67" s="148"/>
      <c r="ED67" s="148"/>
      <c r="EE67" s="148"/>
      <c r="EF67" s="148"/>
      <c r="EG67" s="148"/>
      <c r="EH67" s="148"/>
      <c r="EI67" s="148"/>
      <c r="EJ67" s="148"/>
      <c r="EK67" s="148"/>
      <c r="EL67" s="148"/>
      <c r="EM67" s="148"/>
      <c r="EN67" s="148"/>
      <c r="EO67" s="148"/>
      <c r="EP67" s="148"/>
      <c r="EQ67" s="148"/>
      <c r="ER67" s="148"/>
      <c r="ES67" s="148"/>
      <c r="ET67" s="148"/>
      <c r="EU67" s="148"/>
      <c r="EV67" s="148"/>
      <c r="EW67" s="148"/>
      <c r="EX67" s="148"/>
      <c r="EY67" s="148"/>
      <c r="EZ67" s="148"/>
      <c r="FA67" s="148"/>
      <c r="FB67" s="148"/>
      <c r="FC67" s="148"/>
      <c r="FD67" s="148"/>
      <c r="FE67" s="148"/>
      <c r="FF67" s="148"/>
      <c r="FG67" s="148"/>
      <c r="FH67" s="148"/>
      <c r="FI67" s="148"/>
      <c r="FJ67" s="148"/>
      <c r="FK67" s="148"/>
      <c r="FL67" s="148"/>
      <c r="FM67" s="148"/>
      <c r="FN67" s="148"/>
      <c r="FO67" s="148"/>
      <c r="FP67" s="148"/>
      <c r="FQ67" s="148"/>
      <c r="FR67" s="148"/>
      <c r="FS67" s="148"/>
      <c r="FT67" s="148"/>
      <c r="FU67" s="148"/>
      <c r="FV67" s="148"/>
      <c r="FW67" s="148"/>
      <c r="FX67" s="148"/>
      <c r="FY67" s="148"/>
      <c r="FZ67" s="148"/>
      <c r="GA67" s="148"/>
      <c r="GB67" s="148"/>
      <c r="GC67" s="148"/>
      <c r="GD67" s="148"/>
      <c r="GE67" s="148"/>
      <c r="GF67" s="148"/>
      <c r="GG67" s="148"/>
      <c r="GH67" s="148"/>
      <c r="GI67" s="148"/>
      <c r="GJ67" s="148"/>
      <c r="GK67" s="148"/>
      <c r="GL67" s="148"/>
      <c r="GM67" s="148"/>
      <c r="GN67" s="148"/>
      <c r="GO67" s="148"/>
      <c r="GP67" s="148"/>
      <c r="GQ67" s="148"/>
      <c r="GR67" s="148"/>
      <c r="GS67" s="148"/>
      <c r="GT67" s="148"/>
      <c r="GU67" s="148"/>
      <c r="GV67" s="148"/>
      <c r="GW67" s="148"/>
      <c r="GX67" s="148"/>
      <c r="GY67" s="148"/>
      <c r="GZ67" s="148"/>
      <c r="HA67" s="148"/>
      <c r="HB67" s="148"/>
      <c r="HC67" s="148"/>
      <c r="HD67" s="148"/>
      <c r="HE67" s="148"/>
      <c r="HF67" s="148"/>
      <c r="HG67" s="148"/>
      <c r="HH67" s="148"/>
      <c r="HI67" s="148"/>
      <c r="HJ67" s="148"/>
      <c r="HK67" s="148"/>
      <c r="HL67" s="148"/>
      <c r="HM67" s="148"/>
      <c r="HN67" s="148"/>
      <c r="HO67" s="148"/>
      <c r="HP67" s="148"/>
      <c r="HQ67" s="148"/>
      <c r="HR67" s="148"/>
      <c r="HS67" s="148"/>
      <c r="HT67" s="148"/>
      <c r="HU67" s="148"/>
      <c r="HV67" s="148"/>
      <c r="HW67" s="148"/>
      <c r="HX67" s="148"/>
      <c r="HY67" s="148"/>
      <c r="HZ67" s="148"/>
      <c r="IA67" s="148"/>
      <c r="IB67" s="148"/>
      <c r="IC67" s="148"/>
      <c r="ID67" s="148"/>
      <c r="IE67" s="148"/>
      <c r="IF67" s="148"/>
      <c r="IG67" s="148"/>
      <c r="IH67" s="148"/>
      <c r="II67" s="148"/>
      <c r="IJ67" s="148"/>
      <c r="IK67" s="148"/>
      <c r="IL67" s="148"/>
      <c r="IM67" s="148"/>
      <c r="IN67" s="148"/>
      <c r="IO67" s="148"/>
      <c r="IP67" s="148"/>
      <c r="IQ67" s="148"/>
      <c r="IR67" s="148"/>
      <c r="IS67" s="148"/>
      <c r="IT67" s="148"/>
      <c r="IU67" s="148"/>
      <c r="IV67" s="148"/>
      <c r="IW67" s="148"/>
      <c r="IX67" s="148"/>
      <c r="IY67" s="148"/>
      <c r="IZ67" s="148"/>
      <c r="JA67" s="148"/>
      <c r="JB67" s="148"/>
    </row>
    <row r="68" spans="22:262" s="15" customFormat="1">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c r="BI68" s="148"/>
      <c r="BJ68" s="148"/>
      <c r="BK68" s="148"/>
      <c r="BL68" s="148"/>
      <c r="BM68" s="148"/>
      <c r="BN68" s="148"/>
      <c r="BO68" s="148"/>
      <c r="BP68" s="148"/>
      <c r="BQ68" s="148"/>
      <c r="BR68" s="148"/>
      <c r="BS68" s="148"/>
      <c r="BT68" s="148"/>
      <c r="BU68" s="148"/>
      <c r="BV68" s="148"/>
      <c r="BW68" s="148"/>
      <c r="BX68" s="148"/>
      <c r="BY68" s="148"/>
      <c r="BZ68" s="148"/>
      <c r="CA68" s="148"/>
      <c r="CB68" s="148"/>
      <c r="CC68" s="148"/>
      <c r="CD68" s="148"/>
      <c r="CE68" s="148"/>
      <c r="CF68" s="148"/>
      <c r="CG68" s="148"/>
      <c r="CH68" s="148"/>
      <c r="CI68" s="148"/>
      <c r="CJ68" s="148"/>
      <c r="CK68" s="148"/>
      <c r="CL68" s="148"/>
      <c r="CM68" s="148"/>
      <c r="CN68" s="148"/>
      <c r="CO68" s="148"/>
      <c r="CP68" s="148"/>
      <c r="CQ68" s="148"/>
      <c r="CR68" s="148"/>
      <c r="CS68" s="148"/>
      <c r="CT68" s="148"/>
      <c r="CU68" s="148"/>
      <c r="CV68" s="148"/>
      <c r="CW68" s="148"/>
      <c r="CX68" s="148"/>
      <c r="CY68" s="148"/>
      <c r="CZ68" s="148"/>
      <c r="DA68" s="148"/>
      <c r="DB68" s="148"/>
      <c r="DC68" s="148"/>
      <c r="DD68" s="148"/>
      <c r="DE68" s="148"/>
      <c r="DF68" s="148"/>
      <c r="DG68" s="148"/>
      <c r="DH68" s="148"/>
      <c r="DI68" s="148"/>
      <c r="DJ68" s="148"/>
      <c r="DK68" s="148"/>
      <c r="DL68" s="148"/>
      <c r="DM68" s="148"/>
      <c r="DN68" s="148"/>
      <c r="DO68" s="148"/>
      <c r="DP68" s="148"/>
      <c r="DQ68" s="148"/>
      <c r="DR68" s="148"/>
      <c r="DS68" s="148"/>
      <c r="DT68" s="148"/>
      <c r="DU68" s="148"/>
      <c r="DV68" s="148"/>
      <c r="DW68" s="148"/>
      <c r="DX68" s="148"/>
      <c r="DY68" s="148"/>
      <c r="DZ68" s="148"/>
      <c r="EA68" s="148"/>
      <c r="EB68" s="148"/>
      <c r="EC68" s="148"/>
      <c r="ED68" s="148"/>
      <c r="EE68" s="148"/>
      <c r="EF68" s="148"/>
      <c r="EG68" s="148"/>
      <c r="EH68" s="148"/>
      <c r="EI68" s="148"/>
      <c r="EJ68" s="148"/>
      <c r="EK68" s="148"/>
      <c r="EL68" s="148"/>
      <c r="EM68" s="148"/>
      <c r="EN68" s="148"/>
      <c r="EO68" s="148"/>
      <c r="EP68" s="148"/>
      <c r="EQ68" s="148"/>
      <c r="ER68" s="148"/>
      <c r="ES68" s="148"/>
      <c r="ET68" s="148"/>
      <c r="EU68" s="148"/>
      <c r="EV68" s="148"/>
      <c r="EW68" s="148"/>
      <c r="EX68" s="148"/>
      <c r="EY68" s="148"/>
      <c r="EZ68" s="148"/>
      <c r="FA68" s="148"/>
      <c r="FB68" s="148"/>
      <c r="FC68" s="148"/>
      <c r="FD68" s="148"/>
      <c r="FE68" s="148"/>
      <c r="FF68" s="148"/>
      <c r="FG68" s="148"/>
      <c r="FH68" s="148"/>
      <c r="FI68" s="148"/>
      <c r="FJ68" s="148"/>
      <c r="FK68" s="148"/>
      <c r="FL68" s="148"/>
      <c r="FM68" s="148"/>
      <c r="FN68" s="148"/>
      <c r="FO68" s="148"/>
      <c r="FP68" s="148"/>
      <c r="FQ68" s="148"/>
      <c r="FR68" s="148"/>
      <c r="FS68" s="148"/>
      <c r="FT68" s="148"/>
      <c r="FU68" s="148"/>
      <c r="FV68" s="148"/>
      <c r="FW68" s="148"/>
      <c r="FX68" s="148"/>
      <c r="FY68" s="148"/>
      <c r="FZ68" s="148"/>
      <c r="GA68" s="148"/>
      <c r="GB68" s="148"/>
      <c r="GC68" s="148"/>
      <c r="GD68" s="148"/>
      <c r="GE68" s="148"/>
      <c r="GF68" s="148"/>
      <c r="GG68" s="148"/>
      <c r="GH68" s="148"/>
      <c r="GI68" s="148"/>
      <c r="GJ68" s="148"/>
      <c r="GK68" s="148"/>
      <c r="GL68" s="148"/>
      <c r="GM68" s="148"/>
      <c r="GN68" s="148"/>
      <c r="GO68" s="148"/>
      <c r="GP68" s="148"/>
      <c r="GQ68" s="148"/>
      <c r="GR68" s="148"/>
      <c r="GS68" s="148"/>
      <c r="GT68" s="148"/>
      <c r="GU68" s="148"/>
      <c r="GV68" s="148"/>
      <c r="GW68" s="148"/>
      <c r="GX68" s="148"/>
      <c r="GY68" s="148"/>
      <c r="GZ68" s="148"/>
      <c r="HA68" s="148"/>
      <c r="HB68" s="148"/>
      <c r="HC68" s="148"/>
      <c r="HD68" s="148"/>
      <c r="HE68" s="148"/>
      <c r="HF68" s="148"/>
      <c r="HG68" s="148"/>
      <c r="HH68" s="148"/>
      <c r="HI68" s="148"/>
      <c r="HJ68" s="148"/>
      <c r="HK68" s="148"/>
      <c r="HL68" s="148"/>
      <c r="HM68" s="148"/>
      <c r="HN68" s="148"/>
      <c r="HO68" s="148"/>
      <c r="HP68" s="148"/>
      <c r="HQ68" s="148"/>
      <c r="HR68" s="148"/>
      <c r="HS68" s="148"/>
      <c r="HT68" s="148"/>
      <c r="HU68" s="148"/>
      <c r="HV68" s="148"/>
      <c r="HW68" s="148"/>
      <c r="HX68" s="148"/>
      <c r="HY68" s="148"/>
      <c r="HZ68" s="148"/>
      <c r="IA68" s="148"/>
      <c r="IB68" s="148"/>
      <c r="IC68" s="148"/>
      <c r="ID68" s="148"/>
      <c r="IE68" s="148"/>
      <c r="IF68" s="148"/>
      <c r="IG68" s="148"/>
      <c r="IH68" s="148"/>
      <c r="II68" s="148"/>
      <c r="IJ68" s="148"/>
      <c r="IK68" s="148"/>
      <c r="IL68" s="148"/>
      <c r="IM68" s="148"/>
      <c r="IN68" s="148"/>
      <c r="IO68" s="148"/>
      <c r="IP68" s="148"/>
      <c r="IQ68" s="148"/>
      <c r="IR68" s="148"/>
      <c r="IS68" s="148"/>
      <c r="IT68" s="148"/>
      <c r="IU68" s="148"/>
      <c r="IV68" s="148"/>
      <c r="IW68" s="148"/>
      <c r="IX68" s="148"/>
      <c r="IY68" s="148"/>
      <c r="IZ68" s="148"/>
      <c r="JA68" s="148"/>
      <c r="JB68" s="148"/>
    </row>
    <row r="69" spans="22:262" s="15" customFormat="1">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c r="BM69" s="148"/>
      <c r="BN69" s="148"/>
      <c r="BO69" s="148"/>
      <c r="BP69" s="148"/>
      <c r="BQ69" s="148"/>
      <c r="BR69" s="148"/>
      <c r="BS69" s="148"/>
      <c r="BT69" s="148"/>
      <c r="BU69" s="148"/>
      <c r="BV69" s="148"/>
      <c r="BW69" s="148"/>
      <c r="BX69" s="148"/>
      <c r="BY69" s="148"/>
      <c r="BZ69" s="148"/>
      <c r="CA69" s="148"/>
      <c r="CB69" s="148"/>
      <c r="CC69" s="148"/>
      <c r="CD69" s="148"/>
      <c r="CE69" s="148"/>
      <c r="CF69" s="148"/>
      <c r="CG69" s="148"/>
      <c r="CH69" s="148"/>
      <c r="CI69" s="148"/>
      <c r="CJ69" s="148"/>
      <c r="CK69" s="148"/>
      <c r="CL69" s="148"/>
      <c r="CM69" s="148"/>
      <c r="CN69" s="148"/>
      <c r="CO69" s="148"/>
      <c r="CP69" s="148"/>
      <c r="CQ69" s="148"/>
      <c r="CR69" s="148"/>
      <c r="CS69" s="148"/>
      <c r="CT69" s="148"/>
      <c r="CU69" s="148"/>
      <c r="CV69" s="148"/>
      <c r="CW69" s="148"/>
      <c r="CX69" s="148"/>
      <c r="CY69" s="148"/>
      <c r="CZ69" s="148"/>
      <c r="DA69" s="148"/>
      <c r="DB69" s="148"/>
      <c r="DC69" s="148"/>
      <c r="DD69" s="148"/>
      <c r="DE69" s="148"/>
      <c r="DF69" s="148"/>
      <c r="DG69" s="148"/>
      <c r="DH69" s="148"/>
      <c r="DI69" s="148"/>
      <c r="DJ69" s="148"/>
      <c r="DK69" s="148"/>
      <c r="DL69" s="148"/>
      <c r="DM69" s="148"/>
      <c r="DN69" s="148"/>
      <c r="DO69" s="148"/>
      <c r="DP69" s="148"/>
      <c r="DQ69" s="148"/>
      <c r="DR69" s="148"/>
      <c r="DS69" s="148"/>
      <c r="DT69" s="148"/>
      <c r="DU69" s="148"/>
      <c r="DV69" s="148"/>
      <c r="DW69" s="148"/>
      <c r="DX69" s="148"/>
      <c r="DY69" s="148"/>
      <c r="DZ69" s="148"/>
      <c r="EA69" s="148"/>
      <c r="EB69" s="148"/>
      <c r="EC69" s="148"/>
      <c r="ED69" s="148"/>
      <c r="EE69" s="148"/>
      <c r="EF69" s="148"/>
      <c r="EG69" s="148"/>
      <c r="EH69" s="148"/>
      <c r="EI69" s="148"/>
      <c r="EJ69" s="148"/>
      <c r="EK69" s="148"/>
      <c r="EL69" s="148"/>
      <c r="EM69" s="148"/>
      <c r="EN69" s="148"/>
      <c r="EO69" s="148"/>
      <c r="EP69" s="148"/>
      <c r="EQ69" s="148"/>
      <c r="ER69" s="148"/>
      <c r="ES69" s="148"/>
      <c r="ET69" s="148"/>
      <c r="EU69" s="148"/>
      <c r="EV69" s="148"/>
      <c r="EW69" s="148"/>
      <c r="EX69" s="148"/>
      <c r="EY69" s="148"/>
      <c r="EZ69" s="148"/>
      <c r="FA69" s="148"/>
      <c r="FB69" s="148"/>
      <c r="FC69" s="148"/>
      <c r="FD69" s="148"/>
      <c r="FE69" s="148"/>
      <c r="FF69" s="148"/>
      <c r="FG69" s="148"/>
      <c r="FH69" s="148"/>
      <c r="FI69" s="148"/>
      <c r="FJ69" s="148"/>
      <c r="FK69" s="148"/>
      <c r="FL69" s="148"/>
      <c r="FM69" s="148"/>
      <c r="FN69" s="148"/>
      <c r="FO69" s="148"/>
      <c r="FP69" s="148"/>
      <c r="FQ69" s="148"/>
      <c r="FR69" s="148"/>
      <c r="FS69" s="148"/>
      <c r="FT69" s="148"/>
      <c r="FU69" s="148"/>
      <c r="FV69" s="148"/>
      <c r="FW69" s="148"/>
      <c r="FX69" s="148"/>
      <c r="FY69" s="148"/>
      <c r="FZ69" s="148"/>
      <c r="GA69" s="148"/>
      <c r="GB69" s="148"/>
      <c r="GC69" s="148"/>
      <c r="GD69" s="148"/>
      <c r="GE69" s="148"/>
      <c r="GF69" s="148"/>
      <c r="GG69" s="148"/>
      <c r="GH69" s="148"/>
      <c r="GI69" s="148"/>
      <c r="GJ69" s="148"/>
      <c r="GK69" s="148"/>
      <c r="GL69" s="148"/>
      <c r="GM69" s="148"/>
      <c r="GN69" s="148"/>
      <c r="GO69" s="148"/>
      <c r="GP69" s="148"/>
      <c r="GQ69" s="148"/>
      <c r="GR69" s="148"/>
      <c r="GS69" s="148"/>
      <c r="GT69" s="148"/>
      <c r="GU69" s="148"/>
      <c r="GV69" s="148"/>
      <c r="GW69" s="148"/>
      <c r="GX69" s="148"/>
      <c r="GY69" s="148"/>
      <c r="GZ69" s="148"/>
      <c r="HA69" s="148"/>
      <c r="HB69" s="148"/>
      <c r="HC69" s="148"/>
      <c r="HD69" s="148"/>
      <c r="HE69" s="148"/>
      <c r="HF69" s="148"/>
      <c r="HG69" s="148"/>
      <c r="HH69" s="148"/>
      <c r="HI69" s="148"/>
      <c r="HJ69" s="148"/>
      <c r="HK69" s="148"/>
      <c r="HL69" s="148"/>
      <c r="HM69" s="148"/>
      <c r="HN69" s="148"/>
      <c r="HO69" s="148"/>
      <c r="HP69" s="148"/>
      <c r="HQ69" s="148"/>
      <c r="HR69" s="148"/>
      <c r="HS69" s="148"/>
      <c r="HT69" s="148"/>
      <c r="HU69" s="148"/>
      <c r="HV69" s="148"/>
      <c r="HW69" s="148"/>
      <c r="HX69" s="148"/>
      <c r="HY69" s="148"/>
      <c r="HZ69" s="148"/>
      <c r="IA69" s="148"/>
      <c r="IB69" s="148"/>
      <c r="IC69" s="148"/>
      <c r="ID69" s="148"/>
      <c r="IE69" s="148"/>
      <c r="IF69" s="148"/>
      <c r="IG69" s="148"/>
      <c r="IH69" s="148"/>
      <c r="II69" s="148"/>
      <c r="IJ69" s="148"/>
      <c r="IK69" s="148"/>
      <c r="IL69" s="148"/>
      <c r="IM69" s="148"/>
      <c r="IN69" s="148"/>
      <c r="IO69" s="148"/>
      <c r="IP69" s="148"/>
      <c r="IQ69" s="148"/>
      <c r="IR69" s="148"/>
      <c r="IS69" s="148"/>
      <c r="IT69" s="148"/>
      <c r="IU69" s="148"/>
      <c r="IV69" s="148"/>
      <c r="IW69" s="148"/>
      <c r="IX69" s="148"/>
      <c r="IY69" s="148"/>
      <c r="IZ69" s="148"/>
      <c r="JA69" s="148"/>
      <c r="JB69" s="148"/>
    </row>
    <row r="70" spans="22:262" s="15" customFormat="1">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c r="BM70" s="148"/>
      <c r="BN70" s="148"/>
      <c r="BO70" s="148"/>
      <c r="BP70" s="148"/>
      <c r="BQ70" s="148"/>
      <c r="BR70" s="148"/>
      <c r="BS70" s="148"/>
      <c r="BT70" s="148"/>
      <c r="BU70" s="148"/>
      <c r="BV70" s="148"/>
      <c r="BW70" s="148"/>
      <c r="BX70" s="148"/>
      <c r="BY70" s="148"/>
      <c r="BZ70" s="148"/>
      <c r="CA70" s="148"/>
      <c r="CB70" s="148"/>
      <c r="CC70" s="148"/>
      <c r="CD70" s="148"/>
      <c r="CE70" s="148"/>
      <c r="CF70" s="148"/>
      <c r="CG70" s="148"/>
      <c r="CH70" s="148"/>
      <c r="CI70" s="148"/>
      <c r="CJ70" s="148"/>
      <c r="CK70" s="148"/>
      <c r="CL70" s="148"/>
      <c r="CM70" s="148"/>
      <c r="CN70" s="148"/>
      <c r="CO70" s="148"/>
      <c r="CP70" s="148"/>
      <c r="CQ70" s="148"/>
      <c r="CR70" s="148"/>
      <c r="CS70" s="148"/>
      <c r="CT70" s="148"/>
      <c r="CU70" s="148"/>
      <c r="CV70" s="148"/>
      <c r="CW70" s="148"/>
      <c r="CX70" s="148"/>
      <c r="CY70" s="148"/>
      <c r="CZ70" s="148"/>
      <c r="DA70" s="148"/>
      <c r="DB70" s="148"/>
      <c r="DC70" s="148"/>
      <c r="DD70" s="148"/>
      <c r="DE70" s="148"/>
      <c r="DF70" s="148"/>
      <c r="DG70" s="148"/>
      <c r="DH70" s="148"/>
      <c r="DI70" s="148"/>
      <c r="DJ70" s="148"/>
      <c r="DK70" s="148"/>
      <c r="DL70" s="148"/>
      <c r="DM70" s="148"/>
      <c r="DN70" s="148"/>
      <c r="DO70" s="148"/>
      <c r="DP70" s="148"/>
      <c r="DQ70" s="148"/>
      <c r="DR70" s="148"/>
      <c r="DS70" s="148"/>
      <c r="DT70" s="148"/>
      <c r="DU70" s="148"/>
      <c r="DV70" s="148"/>
      <c r="DW70" s="148"/>
      <c r="DX70" s="148"/>
      <c r="DY70" s="148"/>
      <c r="DZ70" s="148"/>
      <c r="EA70" s="148"/>
      <c r="EB70" s="148"/>
      <c r="EC70" s="148"/>
      <c r="ED70" s="148"/>
      <c r="EE70" s="148"/>
      <c r="EF70" s="148"/>
      <c r="EG70" s="148"/>
      <c r="EH70" s="148"/>
      <c r="EI70" s="148"/>
      <c r="EJ70" s="148"/>
      <c r="EK70" s="148"/>
      <c r="EL70" s="148"/>
      <c r="EM70" s="148"/>
      <c r="EN70" s="148"/>
      <c r="EO70" s="148"/>
      <c r="EP70" s="148"/>
      <c r="EQ70" s="148"/>
      <c r="ER70" s="148"/>
      <c r="ES70" s="148"/>
      <c r="ET70" s="148"/>
      <c r="EU70" s="148"/>
      <c r="EV70" s="148"/>
      <c r="EW70" s="148"/>
      <c r="EX70" s="148"/>
      <c r="EY70" s="148"/>
      <c r="EZ70" s="148"/>
      <c r="FA70" s="148"/>
      <c r="FB70" s="148"/>
      <c r="FC70" s="148"/>
      <c r="FD70" s="148"/>
      <c r="FE70" s="148"/>
      <c r="FF70" s="148"/>
      <c r="FG70" s="148"/>
      <c r="FH70" s="148"/>
      <c r="FI70" s="148"/>
      <c r="FJ70" s="148"/>
      <c r="FK70" s="148"/>
      <c r="FL70" s="148"/>
      <c r="FM70" s="148"/>
      <c r="FN70" s="148"/>
      <c r="FO70" s="148"/>
      <c r="FP70" s="148"/>
      <c r="FQ70" s="148"/>
      <c r="FR70" s="148"/>
      <c r="FS70" s="148"/>
      <c r="FT70" s="148"/>
      <c r="FU70" s="148"/>
      <c r="FV70" s="148"/>
      <c r="FW70" s="148"/>
      <c r="FX70" s="148"/>
      <c r="FY70" s="148"/>
      <c r="FZ70" s="148"/>
      <c r="GA70" s="148"/>
      <c r="GB70" s="148"/>
      <c r="GC70" s="148"/>
      <c r="GD70" s="148"/>
      <c r="GE70" s="148"/>
      <c r="GF70" s="148"/>
      <c r="GG70" s="148"/>
      <c r="GH70" s="148"/>
      <c r="GI70" s="148"/>
      <c r="GJ70" s="148"/>
      <c r="GK70" s="148"/>
      <c r="GL70" s="148"/>
      <c r="GM70" s="148"/>
      <c r="GN70" s="148"/>
      <c r="GO70" s="148"/>
      <c r="GP70" s="148"/>
      <c r="GQ70" s="148"/>
      <c r="GR70" s="148"/>
      <c r="GS70" s="148"/>
      <c r="GT70" s="148"/>
      <c r="GU70" s="148"/>
      <c r="GV70" s="148"/>
      <c r="GW70" s="148"/>
      <c r="GX70" s="148"/>
      <c r="GY70" s="148"/>
      <c r="GZ70" s="148"/>
      <c r="HA70" s="148"/>
      <c r="HB70" s="148"/>
      <c r="HC70" s="148"/>
      <c r="HD70" s="148"/>
      <c r="HE70" s="148"/>
      <c r="HF70" s="148"/>
      <c r="HG70" s="148"/>
      <c r="HH70" s="148"/>
      <c r="HI70" s="148"/>
      <c r="HJ70" s="148"/>
      <c r="HK70" s="148"/>
      <c r="HL70" s="148"/>
      <c r="HM70" s="148"/>
      <c r="HN70" s="148"/>
      <c r="HO70" s="148"/>
      <c r="HP70" s="148"/>
      <c r="HQ70" s="148"/>
      <c r="HR70" s="148"/>
      <c r="HS70" s="148"/>
      <c r="HT70" s="148"/>
      <c r="HU70" s="148"/>
      <c r="HV70" s="148"/>
      <c r="HW70" s="148"/>
      <c r="HX70" s="148"/>
      <c r="HY70" s="148"/>
      <c r="HZ70" s="148"/>
      <c r="IA70" s="148"/>
      <c r="IB70" s="148"/>
      <c r="IC70" s="148"/>
      <c r="ID70" s="148"/>
      <c r="IE70" s="148"/>
      <c r="IF70" s="148"/>
      <c r="IG70" s="148"/>
      <c r="IH70" s="148"/>
      <c r="II70" s="148"/>
      <c r="IJ70" s="148"/>
      <c r="IK70" s="148"/>
      <c r="IL70" s="148"/>
      <c r="IM70" s="148"/>
      <c r="IN70" s="148"/>
      <c r="IO70" s="148"/>
      <c r="IP70" s="148"/>
      <c r="IQ70" s="148"/>
      <c r="IR70" s="148"/>
      <c r="IS70" s="148"/>
      <c r="IT70" s="148"/>
      <c r="IU70" s="148"/>
      <c r="IV70" s="148"/>
      <c r="IW70" s="148"/>
      <c r="IX70" s="148"/>
      <c r="IY70" s="148"/>
      <c r="IZ70" s="148"/>
      <c r="JA70" s="148"/>
      <c r="JB70" s="148"/>
    </row>
    <row r="71" spans="22:262" s="15" customFormat="1">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c r="BI71" s="148"/>
      <c r="BJ71" s="148"/>
      <c r="BK71" s="148"/>
      <c r="BL71" s="148"/>
      <c r="BM71" s="148"/>
      <c r="BN71" s="148"/>
      <c r="BO71" s="148"/>
      <c r="BP71" s="148"/>
      <c r="BQ71" s="148"/>
      <c r="BR71" s="148"/>
      <c r="BS71" s="148"/>
      <c r="BT71" s="148"/>
      <c r="BU71" s="148"/>
      <c r="BV71" s="148"/>
      <c r="BW71" s="148"/>
      <c r="BX71" s="148"/>
      <c r="BY71" s="148"/>
      <c r="BZ71" s="148"/>
      <c r="CA71" s="148"/>
      <c r="CB71" s="148"/>
      <c r="CC71" s="148"/>
      <c r="CD71" s="148"/>
      <c r="CE71" s="148"/>
      <c r="CF71" s="148"/>
      <c r="CG71" s="148"/>
      <c r="CH71" s="148"/>
      <c r="CI71" s="148"/>
      <c r="CJ71" s="148"/>
      <c r="CK71" s="148"/>
      <c r="CL71" s="148"/>
      <c r="CM71" s="148"/>
      <c r="CN71" s="148"/>
      <c r="CO71" s="148"/>
      <c r="CP71" s="148"/>
      <c r="CQ71" s="148"/>
      <c r="CR71" s="148"/>
      <c r="CS71" s="148"/>
      <c r="CT71" s="148"/>
      <c r="CU71" s="148"/>
      <c r="CV71" s="148"/>
      <c r="CW71" s="148"/>
      <c r="CX71" s="148"/>
      <c r="CY71" s="148"/>
      <c r="CZ71" s="148"/>
      <c r="DA71" s="148"/>
      <c r="DB71" s="148"/>
      <c r="DC71" s="148"/>
      <c r="DD71" s="148"/>
      <c r="DE71" s="148"/>
      <c r="DF71" s="148"/>
      <c r="DG71" s="148"/>
      <c r="DH71" s="148"/>
      <c r="DI71" s="148"/>
      <c r="DJ71" s="148"/>
      <c r="DK71" s="148"/>
      <c r="DL71" s="148"/>
      <c r="DM71" s="148"/>
      <c r="DN71" s="148"/>
      <c r="DO71" s="148"/>
      <c r="DP71" s="148"/>
      <c r="DQ71" s="148"/>
      <c r="DR71" s="148"/>
      <c r="DS71" s="148"/>
      <c r="DT71" s="148"/>
      <c r="DU71" s="148"/>
      <c r="DV71" s="148"/>
      <c r="DW71" s="148"/>
      <c r="DX71" s="148"/>
      <c r="DY71" s="148"/>
      <c r="DZ71" s="148"/>
      <c r="EA71" s="148"/>
      <c r="EB71" s="148"/>
      <c r="EC71" s="148"/>
      <c r="ED71" s="148"/>
      <c r="EE71" s="148"/>
      <c r="EF71" s="148"/>
      <c r="EG71" s="148"/>
      <c r="EH71" s="148"/>
      <c r="EI71" s="148"/>
      <c r="EJ71" s="148"/>
      <c r="EK71" s="148"/>
      <c r="EL71" s="148"/>
      <c r="EM71" s="148"/>
      <c r="EN71" s="148"/>
      <c r="EO71" s="148"/>
      <c r="EP71" s="148"/>
      <c r="EQ71" s="148"/>
      <c r="ER71" s="148"/>
      <c r="ES71" s="148"/>
      <c r="ET71" s="148"/>
      <c r="EU71" s="148"/>
      <c r="EV71" s="148"/>
      <c r="EW71" s="148"/>
      <c r="EX71" s="148"/>
      <c r="EY71" s="148"/>
      <c r="EZ71" s="148"/>
      <c r="FA71" s="148"/>
      <c r="FB71" s="148"/>
      <c r="FC71" s="148"/>
      <c r="FD71" s="148"/>
      <c r="FE71" s="148"/>
      <c r="FF71" s="148"/>
      <c r="FG71" s="148"/>
      <c r="FH71" s="148"/>
      <c r="FI71" s="148"/>
      <c r="FJ71" s="148"/>
      <c r="FK71" s="148"/>
      <c r="FL71" s="148"/>
      <c r="FM71" s="148"/>
      <c r="FN71" s="148"/>
      <c r="FO71" s="148"/>
      <c r="FP71" s="148"/>
      <c r="FQ71" s="148"/>
      <c r="FR71" s="148"/>
      <c r="FS71" s="148"/>
      <c r="FT71" s="148"/>
      <c r="FU71" s="148"/>
      <c r="FV71" s="148"/>
      <c r="FW71" s="148"/>
      <c r="FX71" s="148"/>
      <c r="FY71" s="148"/>
      <c r="FZ71" s="148"/>
      <c r="GA71" s="148"/>
      <c r="GB71" s="148"/>
      <c r="GC71" s="148"/>
      <c r="GD71" s="148"/>
      <c r="GE71" s="148"/>
      <c r="GF71" s="148"/>
      <c r="GG71" s="148"/>
      <c r="GH71" s="148"/>
      <c r="GI71" s="148"/>
      <c r="GJ71" s="148"/>
      <c r="GK71" s="148"/>
      <c r="GL71" s="148"/>
      <c r="GM71" s="148"/>
      <c r="GN71" s="148"/>
      <c r="GO71" s="148"/>
      <c r="GP71" s="148"/>
      <c r="GQ71" s="148"/>
      <c r="GR71" s="148"/>
      <c r="GS71" s="148"/>
      <c r="GT71" s="148"/>
      <c r="GU71" s="148"/>
      <c r="GV71" s="148"/>
      <c r="GW71" s="148"/>
      <c r="GX71" s="148"/>
      <c r="GY71" s="148"/>
      <c r="GZ71" s="148"/>
      <c r="HA71" s="148"/>
      <c r="HB71" s="148"/>
      <c r="HC71" s="148"/>
      <c r="HD71" s="148"/>
      <c r="HE71" s="148"/>
      <c r="HF71" s="148"/>
      <c r="HG71" s="148"/>
      <c r="HH71" s="148"/>
      <c r="HI71" s="148"/>
      <c r="HJ71" s="148"/>
      <c r="HK71" s="148"/>
      <c r="HL71" s="148"/>
      <c r="HM71" s="148"/>
      <c r="HN71" s="148"/>
      <c r="HO71" s="148"/>
      <c r="HP71" s="148"/>
      <c r="HQ71" s="148"/>
      <c r="HR71" s="148"/>
      <c r="HS71" s="148"/>
      <c r="HT71" s="148"/>
      <c r="HU71" s="148"/>
      <c r="HV71" s="148"/>
      <c r="HW71" s="148"/>
      <c r="HX71" s="148"/>
      <c r="HY71" s="148"/>
      <c r="HZ71" s="148"/>
      <c r="IA71" s="148"/>
      <c r="IB71" s="148"/>
      <c r="IC71" s="148"/>
      <c r="ID71" s="148"/>
      <c r="IE71" s="148"/>
      <c r="IF71" s="148"/>
      <c r="IG71" s="148"/>
      <c r="IH71" s="148"/>
      <c r="II71" s="148"/>
      <c r="IJ71" s="148"/>
      <c r="IK71" s="148"/>
      <c r="IL71" s="148"/>
      <c r="IM71" s="148"/>
      <c r="IN71" s="148"/>
      <c r="IO71" s="148"/>
      <c r="IP71" s="148"/>
      <c r="IQ71" s="148"/>
      <c r="IR71" s="148"/>
      <c r="IS71" s="148"/>
      <c r="IT71" s="148"/>
      <c r="IU71" s="148"/>
      <c r="IV71" s="148"/>
      <c r="IW71" s="148"/>
      <c r="IX71" s="148"/>
      <c r="IY71" s="148"/>
      <c r="IZ71" s="148"/>
      <c r="JA71" s="148"/>
      <c r="JB71" s="148"/>
    </row>
    <row r="72" spans="22:262" s="15" customFormat="1">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c r="BI72" s="148"/>
      <c r="BJ72" s="148"/>
      <c r="BK72" s="148"/>
      <c r="BL72" s="148"/>
      <c r="BM72" s="148"/>
      <c r="BN72" s="148"/>
      <c r="BO72" s="148"/>
      <c r="BP72" s="148"/>
      <c r="BQ72" s="148"/>
      <c r="BR72" s="148"/>
      <c r="BS72" s="148"/>
      <c r="BT72" s="148"/>
      <c r="BU72" s="148"/>
      <c r="BV72" s="148"/>
      <c r="BW72" s="148"/>
      <c r="BX72" s="148"/>
      <c r="BY72" s="148"/>
      <c r="BZ72" s="148"/>
      <c r="CA72" s="148"/>
      <c r="CB72" s="148"/>
      <c r="CC72" s="148"/>
      <c r="CD72" s="148"/>
      <c r="CE72" s="148"/>
      <c r="CF72" s="148"/>
      <c r="CG72" s="148"/>
      <c r="CH72" s="148"/>
      <c r="CI72" s="148"/>
      <c r="CJ72" s="148"/>
      <c r="CK72" s="148"/>
      <c r="CL72" s="148"/>
      <c r="CM72" s="148"/>
      <c r="CN72" s="148"/>
      <c r="CO72" s="148"/>
      <c r="CP72" s="148"/>
      <c r="CQ72" s="148"/>
      <c r="CR72" s="148"/>
      <c r="CS72" s="148"/>
      <c r="CT72" s="148"/>
      <c r="CU72" s="148"/>
      <c r="CV72" s="148"/>
      <c r="CW72" s="148"/>
      <c r="CX72" s="148"/>
      <c r="CY72" s="148"/>
      <c r="CZ72" s="148"/>
      <c r="DA72" s="148"/>
      <c r="DB72" s="148"/>
      <c r="DC72" s="148"/>
      <c r="DD72" s="148"/>
      <c r="DE72" s="148"/>
      <c r="DF72" s="148"/>
      <c r="DG72" s="148"/>
      <c r="DH72" s="148"/>
      <c r="DI72" s="148"/>
      <c r="DJ72" s="148"/>
      <c r="DK72" s="148"/>
      <c r="DL72" s="148"/>
      <c r="DM72" s="148"/>
      <c r="DN72" s="148"/>
      <c r="DO72" s="148"/>
      <c r="DP72" s="148"/>
      <c r="DQ72" s="148"/>
      <c r="DR72" s="148"/>
      <c r="DS72" s="148"/>
      <c r="DT72" s="148"/>
      <c r="DU72" s="148"/>
      <c r="DV72" s="148"/>
      <c r="DW72" s="148"/>
      <c r="DX72" s="148"/>
      <c r="DY72" s="148"/>
      <c r="DZ72" s="148"/>
      <c r="EA72" s="148"/>
      <c r="EB72" s="148"/>
      <c r="EC72" s="148"/>
      <c r="ED72" s="148"/>
      <c r="EE72" s="148"/>
      <c r="EF72" s="148"/>
      <c r="EG72" s="148"/>
      <c r="EH72" s="148"/>
      <c r="EI72" s="148"/>
      <c r="EJ72" s="148"/>
      <c r="EK72" s="148"/>
      <c r="EL72" s="148"/>
      <c r="EM72" s="148"/>
      <c r="EN72" s="148"/>
      <c r="EO72" s="148"/>
      <c r="EP72" s="148"/>
      <c r="EQ72" s="148"/>
      <c r="ER72" s="148"/>
      <c r="ES72" s="148"/>
      <c r="ET72" s="148"/>
      <c r="EU72" s="148"/>
      <c r="EV72" s="148"/>
      <c r="EW72" s="148"/>
      <c r="EX72" s="148"/>
      <c r="EY72" s="148"/>
      <c r="EZ72" s="148"/>
      <c r="FA72" s="148"/>
      <c r="FB72" s="148"/>
      <c r="FC72" s="148"/>
      <c r="FD72" s="148"/>
      <c r="FE72" s="148"/>
      <c r="FF72" s="148"/>
      <c r="FG72" s="148"/>
      <c r="FH72" s="148"/>
      <c r="FI72" s="148"/>
      <c r="FJ72" s="148"/>
      <c r="FK72" s="148"/>
      <c r="FL72" s="148"/>
      <c r="FM72" s="148"/>
      <c r="FN72" s="148"/>
      <c r="FO72" s="148"/>
      <c r="FP72" s="148"/>
      <c r="FQ72" s="148"/>
      <c r="FR72" s="148"/>
      <c r="FS72" s="148"/>
      <c r="FT72" s="148"/>
      <c r="FU72" s="148"/>
      <c r="FV72" s="148"/>
      <c r="FW72" s="148"/>
      <c r="FX72" s="148"/>
      <c r="FY72" s="148"/>
      <c r="FZ72" s="148"/>
      <c r="GA72" s="148"/>
      <c r="GB72" s="148"/>
      <c r="GC72" s="148"/>
      <c r="GD72" s="148"/>
      <c r="GE72" s="148"/>
      <c r="GF72" s="148"/>
      <c r="GG72" s="148"/>
      <c r="GH72" s="148"/>
      <c r="GI72" s="148"/>
      <c r="GJ72" s="148"/>
      <c r="GK72" s="148"/>
      <c r="GL72" s="148"/>
      <c r="GM72" s="148"/>
      <c r="GN72" s="148"/>
      <c r="GO72" s="148"/>
      <c r="GP72" s="148"/>
      <c r="GQ72" s="148"/>
      <c r="GR72" s="148"/>
      <c r="GS72" s="148"/>
      <c r="GT72" s="148"/>
      <c r="GU72" s="148"/>
      <c r="GV72" s="148"/>
      <c r="GW72" s="148"/>
      <c r="GX72" s="148"/>
      <c r="GY72" s="148"/>
      <c r="GZ72" s="148"/>
      <c r="HA72" s="148"/>
      <c r="HB72" s="148"/>
      <c r="HC72" s="148"/>
      <c r="HD72" s="148"/>
      <c r="HE72" s="148"/>
      <c r="HF72" s="148"/>
      <c r="HG72" s="148"/>
      <c r="HH72" s="148"/>
      <c r="HI72" s="148"/>
      <c r="HJ72" s="148"/>
      <c r="HK72" s="148"/>
      <c r="HL72" s="148"/>
      <c r="HM72" s="148"/>
      <c r="HN72" s="148"/>
      <c r="HO72" s="148"/>
      <c r="HP72" s="148"/>
      <c r="HQ72" s="148"/>
      <c r="HR72" s="148"/>
      <c r="HS72" s="148"/>
      <c r="HT72" s="148"/>
      <c r="HU72" s="148"/>
      <c r="HV72" s="148"/>
      <c r="HW72" s="148"/>
      <c r="HX72" s="148"/>
      <c r="HY72" s="148"/>
      <c r="HZ72" s="148"/>
      <c r="IA72" s="148"/>
      <c r="IB72" s="148"/>
      <c r="IC72" s="148"/>
      <c r="ID72" s="148"/>
      <c r="IE72" s="148"/>
      <c r="IF72" s="148"/>
      <c r="IG72" s="148"/>
      <c r="IH72" s="148"/>
      <c r="II72" s="148"/>
      <c r="IJ72" s="148"/>
      <c r="IK72" s="148"/>
      <c r="IL72" s="148"/>
      <c r="IM72" s="148"/>
      <c r="IN72" s="148"/>
      <c r="IO72" s="148"/>
      <c r="IP72" s="148"/>
      <c r="IQ72" s="148"/>
      <c r="IR72" s="148"/>
      <c r="IS72" s="148"/>
      <c r="IT72" s="148"/>
      <c r="IU72" s="148"/>
      <c r="IV72" s="148"/>
      <c r="IW72" s="148"/>
      <c r="IX72" s="148"/>
      <c r="IY72" s="148"/>
      <c r="IZ72" s="148"/>
      <c r="JA72" s="148"/>
      <c r="JB72" s="148"/>
    </row>
    <row r="73" spans="22:262" s="15" customFormat="1">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c r="BI73" s="148"/>
      <c r="BJ73" s="148"/>
      <c r="BK73" s="148"/>
      <c r="BL73" s="148"/>
      <c r="BM73" s="148"/>
      <c r="BN73" s="148"/>
      <c r="BO73" s="148"/>
      <c r="BP73" s="148"/>
      <c r="BQ73" s="148"/>
      <c r="BR73" s="148"/>
      <c r="BS73" s="148"/>
      <c r="BT73" s="148"/>
      <c r="BU73" s="148"/>
      <c r="BV73" s="148"/>
      <c r="BW73" s="148"/>
      <c r="BX73" s="148"/>
      <c r="BY73" s="148"/>
      <c r="BZ73" s="148"/>
      <c r="CA73" s="148"/>
      <c r="CB73" s="148"/>
      <c r="CC73" s="148"/>
      <c r="CD73" s="148"/>
      <c r="CE73" s="148"/>
      <c r="CF73" s="148"/>
      <c r="CG73" s="148"/>
      <c r="CH73" s="148"/>
      <c r="CI73" s="148"/>
      <c r="CJ73" s="148"/>
      <c r="CK73" s="148"/>
      <c r="CL73" s="148"/>
      <c r="CM73" s="148"/>
      <c r="CN73" s="148"/>
      <c r="CO73" s="148"/>
      <c r="CP73" s="148"/>
      <c r="CQ73" s="148"/>
      <c r="CR73" s="148"/>
      <c r="CS73" s="148"/>
      <c r="CT73" s="148"/>
      <c r="CU73" s="148"/>
      <c r="CV73" s="148"/>
      <c r="CW73" s="148"/>
      <c r="CX73" s="148"/>
      <c r="CY73" s="148"/>
      <c r="CZ73" s="148"/>
      <c r="DA73" s="148"/>
      <c r="DB73" s="148"/>
      <c r="DC73" s="148"/>
      <c r="DD73" s="148"/>
      <c r="DE73" s="148"/>
      <c r="DF73" s="148"/>
      <c r="DG73" s="148"/>
      <c r="DH73" s="148"/>
      <c r="DI73" s="148"/>
      <c r="DJ73" s="148"/>
      <c r="DK73" s="148"/>
      <c r="DL73" s="148"/>
      <c r="DM73" s="148"/>
      <c r="DN73" s="148"/>
      <c r="DO73" s="148"/>
      <c r="DP73" s="148"/>
      <c r="DQ73" s="148"/>
      <c r="DR73" s="148"/>
      <c r="DS73" s="148"/>
      <c r="DT73" s="148"/>
      <c r="DU73" s="148"/>
      <c r="DV73" s="148"/>
      <c r="DW73" s="148"/>
      <c r="DX73" s="148"/>
      <c r="DY73" s="148"/>
      <c r="DZ73" s="148"/>
      <c r="EA73" s="148"/>
      <c r="EB73" s="148"/>
      <c r="EC73" s="148"/>
      <c r="ED73" s="148"/>
      <c r="EE73" s="148"/>
      <c r="EF73" s="148"/>
      <c r="EG73" s="148"/>
      <c r="EH73" s="148"/>
      <c r="EI73" s="148"/>
      <c r="EJ73" s="148"/>
      <c r="EK73" s="148"/>
      <c r="EL73" s="148"/>
      <c r="EM73" s="148"/>
      <c r="EN73" s="148"/>
      <c r="EO73" s="148"/>
      <c r="EP73" s="148"/>
      <c r="EQ73" s="148"/>
      <c r="ER73" s="148"/>
      <c r="ES73" s="148"/>
      <c r="ET73" s="148"/>
      <c r="EU73" s="148"/>
      <c r="EV73" s="148"/>
      <c r="EW73" s="148"/>
      <c r="EX73" s="148"/>
      <c r="EY73" s="148"/>
      <c r="EZ73" s="148"/>
      <c r="FA73" s="148"/>
      <c r="FB73" s="148"/>
      <c r="FC73" s="148"/>
      <c r="FD73" s="148"/>
      <c r="FE73" s="148"/>
      <c r="FF73" s="148"/>
      <c r="FG73" s="148"/>
      <c r="FH73" s="148"/>
      <c r="FI73" s="148"/>
      <c r="FJ73" s="148"/>
      <c r="FK73" s="148"/>
      <c r="FL73" s="148"/>
      <c r="FM73" s="148"/>
      <c r="FN73" s="148"/>
      <c r="FO73" s="148"/>
      <c r="FP73" s="148"/>
      <c r="FQ73" s="148"/>
      <c r="FR73" s="148"/>
      <c r="FS73" s="148"/>
      <c r="FT73" s="148"/>
      <c r="FU73" s="148"/>
      <c r="FV73" s="148"/>
      <c r="FW73" s="148"/>
      <c r="FX73" s="148"/>
      <c r="FY73" s="148"/>
      <c r="FZ73" s="148"/>
      <c r="GA73" s="148"/>
      <c r="GB73" s="148"/>
      <c r="GC73" s="148"/>
      <c r="GD73" s="148"/>
      <c r="GE73" s="148"/>
      <c r="GF73" s="148"/>
      <c r="GG73" s="148"/>
      <c r="GH73" s="148"/>
      <c r="GI73" s="148"/>
      <c r="GJ73" s="148"/>
      <c r="GK73" s="148"/>
      <c r="GL73" s="148"/>
      <c r="GM73" s="148"/>
      <c r="GN73" s="148"/>
      <c r="GO73" s="148"/>
      <c r="GP73" s="148"/>
      <c r="GQ73" s="148"/>
      <c r="GR73" s="148"/>
      <c r="GS73" s="148"/>
      <c r="GT73" s="148"/>
      <c r="GU73" s="148"/>
      <c r="GV73" s="148"/>
      <c r="GW73" s="148"/>
      <c r="GX73" s="148"/>
      <c r="GY73" s="148"/>
      <c r="GZ73" s="148"/>
      <c r="HA73" s="148"/>
      <c r="HB73" s="148"/>
      <c r="HC73" s="148"/>
      <c r="HD73" s="148"/>
      <c r="HE73" s="148"/>
      <c r="HF73" s="148"/>
      <c r="HG73" s="148"/>
      <c r="HH73" s="148"/>
      <c r="HI73" s="148"/>
      <c r="HJ73" s="148"/>
      <c r="HK73" s="148"/>
      <c r="HL73" s="148"/>
      <c r="HM73" s="148"/>
      <c r="HN73" s="148"/>
      <c r="HO73" s="148"/>
      <c r="HP73" s="148"/>
      <c r="HQ73" s="148"/>
      <c r="HR73" s="148"/>
      <c r="HS73" s="148"/>
      <c r="HT73" s="148"/>
      <c r="HU73" s="148"/>
      <c r="HV73" s="148"/>
      <c r="HW73" s="148"/>
      <c r="HX73" s="148"/>
      <c r="HY73" s="148"/>
      <c r="HZ73" s="148"/>
      <c r="IA73" s="148"/>
      <c r="IB73" s="148"/>
      <c r="IC73" s="148"/>
      <c r="ID73" s="148"/>
      <c r="IE73" s="148"/>
      <c r="IF73" s="148"/>
      <c r="IG73" s="148"/>
      <c r="IH73" s="148"/>
      <c r="II73" s="148"/>
      <c r="IJ73" s="148"/>
      <c r="IK73" s="148"/>
      <c r="IL73" s="148"/>
      <c r="IM73" s="148"/>
      <c r="IN73" s="148"/>
      <c r="IO73" s="148"/>
      <c r="IP73" s="148"/>
      <c r="IQ73" s="148"/>
      <c r="IR73" s="148"/>
      <c r="IS73" s="148"/>
      <c r="IT73" s="148"/>
      <c r="IU73" s="148"/>
      <c r="IV73" s="148"/>
      <c r="IW73" s="148"/>
      <c r="IX73" s="148"/>
      <c r="IY73" s="148"/>
      <c r="IZ73" s="148"/>
      <c r="JA73" s="148"/>
      <c r="JB73" s="148"/>
    </row>
    <row r="74" spans="22:262" s="15" customFormat="1">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c r="BI74" s="148"/>
      <c r="BJ74" s="148"/>
      <c r="BK74" s="148"/>
      <c r="BL74" s="148"/>
      <c r="BM74" s="148"/>
      <c r="BN74" s="148"/>
      <c r="BO74" s="148"/>
      <c r="BP74" s="148"/>
      <c r="BQ74" s="148"/>
      <c r="BR74" s="148"/>
      <c r="BS74" s="148"/>
      <c r="BT74" s="148"/>
      <c r="BU74" s="148"/>
      <c r="BV74" s="148"/>
      <c r="BW74" s="148"/>
      <c r="BX74" s="148"/>
      <c r="BY74" s="148"/>
      <c r="BZ74" s="148"/>
      <c r="CA74" s="148"/>
      <c r="CB74" s="148"/>
      <c r="CC74" s="148"/>
      <c r="CD74" s="148"/>
      <c r="CE74" s="148"/>
      <c r="CF74" s="148"/>
      <c r="CG74" s="148"/>
      <c r="CH74" s="148"/>
      <c r="CI74" s="148"/>
      <c r="CJ74" s="148"/>
      <c r="CK74" s="148"/>
      <c r="CL74" s="148"/>
      <c r="CM74" s="148"/>
      <c r="CN74" s="148"/>
      <c r="CO74" s="148"/>
      <c r="CP74" s="148"/>
      <c r="CQ74" s="148"/>
      <c r="CR74" s="148"/>
      <c r="CS74" s="148"/>
      <c r="CT74" s="148"/>
      <c r="CU74" s="148"/>
      <c r="CV74" s="148"/>
      <c r="CW74" s="148"/>
      <c r="CX74" s="148"/>
      <c r="CY74" s="148"/>
      <c r="CZ74" s="148"/>
      <c r="DA74" s="148"/>
      <c r="DB74" s="148"/>
      <c r="DC74" s="148"/>
      <c r="DD74" s="148"/>
      <c r="DE74" s="148"/>
      <c r="DF74" s="148"/>
      <c r="DG74" s="148"/>
      <c r="DH74" s="148"/>
      <c r="DI74" s="148"/>
      <c r="DJ74" s="148"/>
      <c r="DK74" s="148"/>
      <c r="DL74" s="148"/>
      <c r="DM74" s="148"/>
      <c r="DN74" s="148"/>
      <c r="DO74" s="148"/>
      <c r="DP74" s="148"/>
      <c r="DQ74" s="148"/>
      <c r="DR74" s="148"/>
      <c r="DS74" s="148"/>
      <c r="DT74" s="148"/>
      <c r="DU74" s="148"/>
      <c r="DV74" s="148"/>
      <c r="DW74" s="148"/>
      <c r="DX74" s="148"/>
      <c r="DY74" s="148"/>
      <c r="DZ74" s="148"/>
      <c r="EA74" s="148"/>
      <c r="EB74" s="148"/>
      <c r="EC74" s="148"/>
      <c r="ED74" s="148"/>
      <c r="EE74" s="148"/>
      <c r="EF74" s="148"/>
      <c r="EG74" s="148"/>
      <c r="EH74" s="148"/>
      <c r="EI74" s="148"/>
      <c r="EJ74" s="148"/>
      <c r="EK74" s="148"/>
      <c r="EL74" s="148"/>
      <c r="EM74" s="148"/>
      <c r="EN74" s="148"/>
      <c r="EO74" s="148"/>
      <c r="EP74" s="148"/>
      <c r="EQ74" s="148"/>
      <c r="ER74" s="148"/>
      <c r="ES74" s="148"/>
      <c r="ET74" s="148"/>
      <c r="EU74" s="148"/>
      <c r="EV74" s="148"/>
      <c r="EW74" s="148"/>
      <c r="EX74" s="148"/>
      <c r="EY74" s="148"/>
      <c r="EZ74" s="148"/>
      <c r="FA74" s="148"/>
      <c r="FB74" s="148"/>
      <c r="FC74" s="148"/>
      <c r="FD74" s="148"/>
      <c r="FE74" s="148"/>
      <c r="FF74" s="148"/>
      <c r="FG74" s="148"/>
      <c r="FH74" s="148"/>
      <c r="FI74" s="148"/>
      <c r="FJ74" s="148"/>
      <c r="FK74" s="148"/>
      <c r="FL74" s="148"/>
      <c r="FM74" s="148"/>
      <c r="FN74" s="148"/>
      <c r="FO74" s="148"/>
      <c r="FP74" s="148"/>
      <c r="FQ74" s="148"/>
      <c r="FR74" s="148"/>
      <c r="FS74" s="148"/>
      <c r="FT74" s="148"/>
      <c r="FU74" s="148"/>
      <c r="FV74" s="148"/>
      <c r="FW74" s="148"/>
      <c r="FX74" s="148"/>
      <c r="FY74" s="148"/>
      <c r="FZ74" s="148"/>
      <c r="GA74" s="148"/>
      <c r="GB74" s="148"/>
      <c r="GC74" s="148"/>
      <c r="GD74" s="148"/>
      <c r="GE74" s="148"/>
      <c r="GF74" s="148"/>
      <c r="GG74" s="148"/>
      <c r="GH74" s="148"/>
      <c r="GI74" s="148"/>
      <c r="GJ74" s="148"/>
      <c r="GK74" s="148"/>
      <c r="GL74" s="148"/>
      <c r="GM74" s="148"/>
      <c r="GN74" s="148"/>
      <c r="GO74" s="148"/>
      <c r="GP74" s="148"/>
      <c r="GQ74" s="148"/>
      <c r="GR74" s="148"/>
      <c r="GS74" s="148"/>
      <c r="GT74" s="148"/>
      <c r="GU74" s="148"/>
      <c r="GV74" s="148"/>
      <c r="GW74" s="148"/>
      <c r="GX74" s="148"/>
      <c r="GY74" s="148"/>
      <c r="GZ74" s="148"/>
      <c r="HA74" s="148"/>
      <c r="HB74" s="148"/>
      <c r="HC74" s="148"/>
      <c r="HD74" s="148"/>
      <c r="HE74" s="148"/>
      <c r="HF74" s="148"/>
      <c r="HG74" s="148"/>
      <c r="HH74" s="148"/>
      <c r="HI74" s="148"/>
      <c r="HJ74" s="148"/>
      <c r="HK74" s="148"/>
      <c r="HL74" s="148"/>
      <c r="HM74" s="148"/>
      <c r="HN74" s="148"/>
      <c r="HO74" s="148"/>
      <c r="HP74" s="148"/>
      <c r="HQ74" s="148"/>
      <c r="HR74" s="148"/>
      <c r="HS74" s="148"/>
      <c r="HT74" s="148"/>
      <c r="HU74" s="148"/>
      <c r="HV74" s="148"/>
      <c r="HW74" s="148"/>
      <c r="HX74" s="148"/>
      <c r="HY74" s="148"/>
      <c r="HZ74" s="148"/>
      <c r="IA74" s="148"/>
      <c r="IB74" s="148"/>
      <c r="IC74" s="148"/>
      <c r="ID74" s="148"/>
      <c r="IE74" s="148"/>
      <c r="IF74" s="148"/>
      <c r="IG74" s="148"/>
      <c r="IH74" s="148"/>
      <c r="II74" s="148"/>
      <c r="IJ74" s="148"/>
      <c r="IK74" s="148"/>
      <c r="IL74" s="148"/>
      <c r="IM74" s="148"/>
      <c r="IN74" s="148"/>
      <c r="IO74" s="148"/>
      <c r="IP74" s="148"/>
      <c r="IQ74" s="148"/>
      <c r="IR74" s="148"/>
      <c r="IS74" s="148"/>
      <c r="IT74" s="148"/>
      <c r="IU74" s="148"/>
      <c r="IV74" s="148"/>
      <c r="IW74" s="148"/>
      <c r="IX74" s="148"/>
      <c r="IY74" s="148"/>
      <c r="IZ74" s="148"/>
      <c r="JA74" s="148"/>
      <c r="JB74" s="148"/>
    </row>
    <row r="75" spans="22:262" s="15" customFormat="1">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8"/>
      <c r="BR75" s="148"/>
      <c r="BS75" s="148"/>
      <c r="BT75" s="148"/>
      <c r="BU75" s="148"/>
      <c r="BV75" s="148"/>
      <c r="BW75" s="148"/>
      <c r="BX75" s="148"/>
      <c r="BY75" s="148"/>
      <c r="BZ75" s="148"/>
      <c r="CA75" s="148"/>
      <c r="CB75" s="148"/>
      <c r="CC75" s="148"/>
      <c r="CD75" s="148"/>
      <c r="CE75" s="148"/>
      <c r="CF75" s="148"/>
      <c r="CG75" s="148"/>
      <c r="CH75" s="148"/>
      <c r="CI75" s="148"/>
      <c r="CJ75" s="148"/>
      <c r="CK75" s="148"/>
      <c r="CL75" s="148"/>
      <c r="CM75" s="148"/>
      <c r="CN75" s="148"/>
      <c r="CO75" s="148"/>
      <c r="CP75" s="148"/>
      <c r="CQ75" s="148"/>
      <c r="CR75" s="148"/>
      <c r="CS75" s="148"/>
      <c r="CT75" s="148"/>
      <c r="CU75" s="148"/>
      <c r="CV75" s="148"/>
      <c r="CW75" s="148"/>
      <c r="CX75" s="148"/>
      <c r="CY75" s="148"/>
      <c r="CZ75" s="148"/>
      <c r="DA75" s="148"/>
      <c r="DB75" s="148"/>
      <c r="DC75" s="148"/>
      <c r="DD75" s="148"/>
      <c r="DE75" s="148"/>
      <c r="DF75" s="148"/>
      <c r="DG75" s="148"/>
      <c r="DH75" s="148"/>
      <c r="DI75" s="148"/>
      <c r="DJ75" s="148"/>
      <c r="DK75" s="148"/>
      <c r="DL75" s="148"/>
      <c r="DM75" s="148"/>
      <c r="DN75" s="148"/>
      <c r="DO75" s="148"/>
      <c r="DP75" s="148"/>
      <c r="DQ75" s="148"/>
      <c r="DR75" s="148"/>
      <c r="DS75" s="148"/>
      <c r="DT75" s="148"/>
      <c r="DU75" s="148"/>
      <c r="DV75" s="148"/>
      <c r="DW75" s="148"/>
      <c r="DX75" s="148"/>
      <c r="DY75" s="148"/>
      <c r="DZ75" s="148"/>
      <c r="EA75" s="148"/>
      <c r="EB75" s="148"/>
      <c r="EC75" s="148"/>
      <c r="ED75" s="148"/>
      <c r="EE75" s="148"/>
      <c r="EF75" s="148"/>
      <c r="EG75" s="148"/>
      <c r="EH75" s="148"/>
      <c r="EI75" s="148"/>
      <c r="EJ75" s="148"/>
      <c r="EK75" s="148"/>
      <c r="EL75" s="148"/>
      <c r="EM75" s="148"/>
      <c r="EN75" s="148"/>
      <c r="EO75" s="148"/>
      <c r="EP75" s="148"/>
      <c r="EQ75" s="148"/>
      <c r="ER75" s="148"/>
      <c r="ES75" s="148"/>
      <c r="ET75" s="148"/>
      <c r="EU75" s="148"/>
      <c r="EV75" s="148"/>
      <c r="EW75" s="148"/>
      <c r="EX75" s="148"/>
      <c r="EY75" s="148"/>
      <c r="EZ75" s="148"/>
      <c r="FA75" s="148"/>
      <c r="FB75" s="148"/>
      <c r="FC75" s="148"/>
      <c r="FD75" s="148"/>
      <c r="FE75" s="148"/>
      <c r="FF75" s="148"/>
      <c r="FG75" s="148"/>
      <c r="FH75" s="148"/>
      <c r="FI75" s="148"/>
      <c r="FJ75" s="148"/>
      <c r="FK75" s="148"/>
      <c r="FL75" s="148"/>
      <c r="FM75" s="148"/>
      <c r="FN75" s="148"/>
      <c r="FO75" s="148"/>
      <c r="FP75" s="148"/>
      <c r="FQ75" s="148"/>
      <c r="FR75" s="148"/>
      <c r="FS75" s="148"/>
      <c r="FT75" s="148"/>
      <c r="FU75" s="148"/>
      <c r="FV75" s="148"/>
      <c r="FW75" s="148"/>
      <c r="FX75" s="148"/>
      <c r="FY75" s="148"/>
      <c r="FZ75" s="148"/>
      <c r="GA75" s="148"/>
      <c r="GB75" s="148"/>
      <c r="GC75" s="148"/>
      <c r="GD75" s="148"/>
      <c r="GE75" s="148"/>
      <c r="GF75" s="148"/>
      <c r="GG75" s="148"/>
      <c r="GH75" s="148"/>
      <c r="GI75" s="148"/>
      <c r="GJ75" s="148"/>
      <c r="GK75" s="148"/>
      <c r="GL75" s="148"/>
      <c r="GM75" s="148"/>
      <c r="GN75" s="148"/>
      <c r="GO75" s="148"/>
      <c r="GP75" s="148"/>
      <c r="GQ75" s="148"/>
      <c r="GR75" s="148"/>
      <c r="GS75" s="148"/>
      <c r="GT75" s="148"/>
      <c r="GU75" s="148"/>
      <c r="GV75" s="148"/>
      <c r="GW75" s="148"/>
      <c r="GX75" s="148"/>
      <c r="GY75" s="148"/>
      <c r="GZ75" s="148"/>
      <c r="HA75" s="148"/>
      <c r="HB75" s="148"/>
      <c r="HC75" s="148"/>
      <c r="HD75" s="148"/>
      <c r="HE75" s="148"/>
      <c r="HF75" s="148"/>
      <c r="HG75" s="148"/>
      <c r="HH75" s="148"/>
      <c r="HI75" s="148"/>
      <c r="HJ75" s="148"/>
      <c r="HK75" s="148"/>
      <c r="HL75" s="148"/>
      <c r="HM75" s="148"/>
      <c r="HN75" s="148"/>
      <c r="HO75" s="148"/>
      <c r="HP75" s="148"/>
      <c r="HQ75" s="148"/>
      <c r="HR75" s="148"/>
      <c r="HS75" s="148"/>
      <c r="HT75" s="148"/>
      <c r="HU75" s="148"/>
      <c r="HV75" s="148"/>
      <c r="HW75" s="148"/>
      <c r="HX75" s="148"/>
      <c r="HY75" s="148"/>
      <c r="HZ75" s="148"/>
      <c r="IA75" s="148"/>
      <c r="IB75" s="148"/>
      <c r="IC75" s="148"/>
      <c r="ID75" s="148"/>
      <c r="IE75" s="148"/>
      <c r="IF75" s="148"/>
      <c r="IG75" s="148"/>
      <c r="IH75" s="148"/>
      <c r="II75" s="148"/>
      <c r="IJ75" s="148"/>
      <c r="IK75" s="148"/>
      <c r="IL75" s="148"/>
      <c r="IM75" s="148"/>
      <c r="IN75" s="148"/>
      <c r="IO75" s="148"/>
      <c r="IP75" s="148"/>
      <c r="IQ75" s="148"/>
      <c r="IR75" s="148"/>
      <c r="IS75" s="148"/>
      <c r="IT75" s="148"/>
      <c r="IU75" s="148"/>
      <c r="IV75" s="148"/>
      <c r="IW75" s="148"/>
      <c r="IX75" s="148"/>
      <c r="IY75" s="148"/>
      <c r="IZ75" s="148"/>
      <c r="JA75" s="148"/>
      <c r="JB75" s="148"/>
    </row>
    <row r="76" spans="22:262" s="15" customFormat="1">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8"/>
      <c r="BR76" s="148"/>
      <c r="BS76" s="148"/>
      <c r="BT76" s="148"/>
      <c r="BU76" s="148"/>
      <c r="BV76" s="148"/>
      <c r="BW76" s="148"/>
      <c r="BX76" s="148"/>
      <c r="BY76" s="148"/>
      <c r="BZ76" s="148"/>
      <c r="CA76" s="148"/>
      <c r="CB76" s="148"/>
      <c r="CC76" s="148"/>
      <c r="CD76" s="148"/>
      <c r="CE76" s="148"/>
      <c r="CF76" s="148"/>
      <c r="CG76" s="148"/>
      <c r="CH76" s="148"/>
      <c r="CI76" s="148"/>
      <c r="CJ76" s="148"/>
      <c r="CK76" s="148"/>
      <c r="CL76" s="148"/>
      <c r="CM76" s="148"/>
      <c r="CN76" s="148"/>
      <c r="CO76" s="148"/>
      <c r="CP76" s="148"/>
      <c r="CQ76" s="148"/>
      <c r="CR76" s="148"/>
      <c r="CS76" s="148"/>
      <c r="CT76" s="148"/>
      <c r="CU76" s="148"/>
      <c r="CV76" s="148"/>
      <c r="CW76" s="148"/>
      <c r="CX76" s="148"/>
      <c r="CY76" s="148"/>
      <c r="CZ76" s="148"/>
      <c r="DA76" s="148"/>
      <c r="DB76" s="148"/>
      <c r="DC76" s="148"/>
      <c r="DD76" s="148"/>
      <c r="DE76" s="148"/>
      <c r="DF76" s="148"/>
      <c r="DG76" s="148"/>
      <c r="DH76" s="148"/>
      <c r="DI76" s="148"/>
      <c r="DJ76" s="148"/>
      <c r="DK76" s="148"/>
      <c r="DL76" s="148"/>
      <c r="DM76" s="148"/>
      <c r="DN76" s="148"/>
      <c r="DO76" s="148"/>
      <c r="DP76" s="148"/>
      <c r="DQ76" s="148"/>
      <c r="DR76" s="148"/>
      <c r="DS76" s="148"/>
      <c r="DT76" s="148"/>
      <c r="DU76" s="148"/>
      <c r="DV76" s="148"/>
      <c r="DW76" s="148"/>
      <c r="DX76" s="148"/>
      <c r="DY76" s="148"/>
      <c r="DZ76" s="148"/>
      <c r="EA76" s="148"/>
      <c r="EB76" s="148"/>
      <c r="EC76" s="148"/>
      <c r="ED76" s="148"/>
      <c r="EE76" s="148"/>
      <c r="EF76" s="148"/>
      <c r="EG76" s="148"/>
      <c r="EH76" s="148"/>
      <c r="EI76" s="148"/>
      <c r="EJ76" s="148"/>
      <c r="EK76" s="148"/>
      <c r="EL76" s="148"/>
      <c r="EM76" s="148"/>
      <c r="EN76" s="148"/>
      <c r="EO76" s="148"/>
      <c r="EP76" s="148"/>
      <c r="EQ76" s="148"/>
      <c r="ER76" s="148"/>
      <c r="ES76" s="148"/>
      <c r="ET76" s="148"/>
      <c r="EU76" s="148"/>
      <c r="EV76" s="148"/>
      <c r="EW76" s="148"/>
      <c r="EX76" s="148"/>
      <c r="EY76" s="148"/>
      <c r="EZ76" s="148"/>
      <c r="FA76" s="148"/>
      <c r="FB76" s="148"/>
      <c r="FC76" s="148"/>
      <c r="FD76" s="148"/>
      <c r="FE76" s="148"/>
      <c r="FF76" s="148"/>
      <c r="FG76" s="148"/>
      <c r="FH76" s="148"/>
      <c r="FI76" s="148"/>
      <c r="FJ76" s="148"/>
      <c r="FK76" s="148"/>
      <c r="FL76" s="148"/>
      <c r="FM76" s="148"/>
      <c r="FN76" s="148"/>
      <c r="FO76" s="148"/>
      <c r="FP76" s="148"/>
      <c r="FQ76" s="148"/>
      <c r="FR76" s="148"/>
      <c r="FS76" s="148"/>
      <c r="FT76" s="148"/>
      <c r="FU76" s="148"/>
      <c r="FV76" s="148"/>
      <c r="FW76" s="148"/>
      <c r="FX76" s="148"/>
      <c r="FY76" s="148"/>
      <c r="FZ76" s="148"/>
      <c r="GA76" s="148"/>
      <c r="GB76" s="148"/>
      <c r="GC76" s="148"/>
      <c r="GD76" s="148"/>
      <c r="GE76" s="148"/>
      <c r="GF76" s="148"/>
      <c r="GG76" s="148"/>
      <c r="GH76" s="148"/>
      <c r="GI76" s="148"/>
      <c r="GJ76" s="148"/>
      <c r="GK76" s="148"/>
      <c r="GL76" s="148"/>
      <c r="GM76" s="148"/>
      <c r="GN76" s="148"/>
      <c r="GO76" s="148"/>
      <c r="GP76" s="148"/>
      <c r="GQ76" s="148"/>
      <c r="GR76" s="148"/>
      <c r="GS76" s="148"/>
      <c r="GT76" s="148"/>
      <c r="GU76" s="148"/>
      <c r="GV76" s="148"/>
      <c r="GW76" s="148"/>
      <c r="GX76" s="148"/>
      <c r="GY76" s="148"/>
      <c r="GZ76" s="148"/>
      <c r="HA76" s="148"/>
      <c r="HB76" s="148"/>
      <c r="HC76" s="148"/>
      <c r="HD76" s="148"/>
      <c r="HE76" s="148"/>
      <c r="HF76" s="148"/>
      <c r="HG76" s="148"/>
      <c r="HH76" s="148"/>
      <c r="HI76" s="148"/>
      <c r="HJ76" s="148"/>
      <c r="HK76" s="148"/>
      <c r="HL76" s="148"/>
      <c r="HM76" s="148"/>
      <c r="HN76" s="148"/>
      <c r="HO76" s="148"/>
      <c r="HP76" s="148"/>
      <c r="HQ76" s="148"/>
      <c r="HR76" s="148"/>
      <c r="HS76" s="148"/>
      <c r="HT76" s="148"/>
      <c r="HU76" s="148"/>
      <c r="HV76" s="148"/>
      <c r="HW76" s="148"/>
      <c r="HX76" s="148"/>
      <c r="HY76" s="148"/>
      <c r="HZ76" s="148"/>
      <c r="IA76" s="148"/>
      <c r="IB76" s="148"/>
      <c r="IC76" s="148"/>
      <c r="ID76" s="148"/>
      <c r="IE76" s="148"/>
      <c r="IF76" s="148"/>
      <c r="IG76" s="148"/>
      <c r="IH76" s="148"/>
      <c r="II76" s="148"/>
      <c r="IJ76" s="148"/>
      <c r="IK76" s="148"/>
      <c r="IL76" s="148"/>
      <c r="IM76" s="148"/>
      <c r="IN76" s="148"/>
      <c r="IO76" s="148"/>
      <c r="IP76" s="148"/>
      <c r="IQ76" s="148"/>
      <c r="IR76" s="148"/>
      <c r="IS76" s="148"/>
      <c r="IT76" s="148"/>
      <c r="IU76" s="148"/>
      <c r="IV76" s="148"/>
      <c r="IW76" s="148"/>
      <c r="IX76" s="148"/>
      <c r="IY76" s="148"/>
      <c r="IZ76" s="148"/>
      <c r="JA76" s="148"/>
      <c r="JB76" s="148"/>
    </row>
    <row r="77" spans="22:262" s="15" customFormat="1">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c r="BM77" s="148"/>
      <c r="BN77" s="148"/>
      <c r="BO77" s="148"/>
      <c r="BP77" s="148"/>
      <c r="BQ77" s="148"/>
      <c r="BR77" s="148"/>
      <c r="BS77" s="148"/>
      <c r="BT77" s="148"/>
      <c r="BU77" s="148"/>
      <c r="BV77" s="148"/>
      <c r="BW77" s="148"/>
      <c r="BX77" s="148"/>
      <c r="BY77" s="148"/>
      <c r="BZ77" s="148"/>
      <c r="CA77" s="148"/>
      <c r="CB77" s="148"/>
      <c r="CC77" s="148"/>
      <c r="CD77" s="148"/>
      <c r="CE77" s="148"/>
      <c r="CF77" s="148"/>
      <c r="CG77" s="148"/>
      <c r="CH77" s="148"/>
      <c r="CI77" s="148"/>
      <c r="CJ77" s="148"/>
      <c r="CK77" s="148"/>
      <c r="CL77" s="148"/>
      <c r="CM77" s="148"/>
      <c r="CN77" s="148"/>
      <c r="CO77" s="148"/>
      <c r="CP77" s="148"/>
      <c r="CQ77" s="148"/>
      <c r="CR77" s="148"/>
      <c r="CS77" s="148"/>
      <c r="CT77" s="148"/>
      <c r="CU77" s="148"/>
      <c r="CV77" s="148"/>
      <c r="CW77" s="148"/>
      <c r="CX77" s="148"/>
      <c r="CY77" s="148"/>
      <c r="CZ77" s="148"/>
      <c r="DA77" s="148"/>
      <c r="DB77" s="148"/>
      <c r="DC77" s="148"/>
      <c r="DD77" s="148"/>
      <c r="DE77" s="148"/>
      <c r="DF77" s="148"/>
      <c r="DG77" s="148"/>
      <c r="DH77" s="148"/>
      <c r="DI77" s="148"/>
      <c r="DJ77" s="148"/>
      <c r="DK77" s="148"/>
      <c r="DL77" s="148"/>
      <c r="DM77" s="148"/>
      <c r="DN77" s="148"/>
      <c r="DO77" s="148"/>
      <c r="DP77" s="148"/>
      <c r="DQ77" s="148"/>
      <c r="DR77" s="148"/>
      <c r="DS77" s="148"/>
      <c r="DT77" s="148"/>
      <c r="DU77" s="148"/>
      <c r="DV77" s="148"/>
      <c r="DW77" s="148"/>
      <c r="DX77" s="148"/>
      <c r="DY77" s="148"/>
      <c r="DZ77" s="148"/>
      <c r="EA77" s="148"/>
      <c r="EB77" s="148"/>
      <c r="EC77" s="148"/>
      <c r="ED77" s="148"/>
      <c r="EE77" s="148"/>
      <c r="EF77" s="148"/>
      <c r="EG77" s="148"/>
      <c r="EH77" s="148"/>
      <c r="EI77" s="148"/>
      <c r="EJ77" s="148"/>
      <c r="EK77" s="148"/>
      <c r="EL77" s="148"/>
      <c r="EM77" s="148"/>
      <c r="EN77" s="148"/>
      <c r="EO77" s="148"/>
      <c r="EP77" s="148"/>
      <c r="EQ77" s="148"/>
      <c r="ER77" s="148"/>
      <c r="ES77" s="148"/>
      <c r="ET77" s="148"/>
      <c r="EU77" s="148"/>
      <c r="EV77" s="148"/>
      <c r="EW77" s="148"/>
      <c r="EX77" s="148"/>
      <c r="EY77" s="148"/>
      <c r="EZ77" s="148"/>
      <c r="FA77" s="148"/>
      <c r="FB77" s="148"/>
      <c r="FC77" s="148"/>
      <c r="FD77" s="148"/>
      <c r="FE77" s="148"/>
      <c r="FF77" s="148"/>
      <c r="FG77" s="148"/>
      <c r="FH77" s="148"/>
      <c r="FI77" s="148"/>
      <c r="FJ77" s="148"/>
      <c r="FK77" s="148"/>
      <c r="FL77" s="148"/>
      <c r="FM77" s="148"/>
      <c r="FN77" s="148"/>
      <c r="FO77" s="148"/>
      <c r="FP77" s="148"/>
      <c r="FQ77" s="148"/>
      <c r="FR77" s="148"/>
      <c r="FS77" s="148"/>
      <c r="FT77" s="148"/>
      <c r="FU77" s="148"/>
      <c r="FV77" s="148"/>
      <c r="FW77" s="148"/>
      <c r="FX77" s="148"/>
      <c r="FY77" s="148"/>
      <c r="FZ77" s="148"/>
      <c r="GA77" s="148"/>
      <c r="GB77" s="148"/>
      <c r="GC77" s="148"/>
      <c r="GD77" s="148"/>
      <c r="GE77" s="148"/>
      <c r="GF77" s="148"/>
      <c r="GG77" s="148"/>
      <c r="GH77" s="148"/>
      <c r="GI77" s="148"/>
      <c r="GJ77" s="148"/>
      <c r="GK77" s="148"/>
      <c r="GL77" s="148"/>
      <c r="GM77" s="148"/>
      <c r="GN77" s="148"/>
      <c r="GO77" s="148"/>
      <c r="GP77" s="148"/>
      <c r="GQ77" s="148"/>
      <c r="GR77" s="148"/>
      <c r="GS77" s="148"/>
      <c r="GT77" s="148"/>
      <c r="GU77" s="148"/>
      <c r="GV77" s="148"/>
      <c r="GW77" s="148"/>
      <c r="GX77" s="148"/>
      <c r="GY77" s="148"/>
      <c r="GZ77" s="148"/>
      <c r="HA77" s="148"/>
      <c r="HB77" s="148"/>
      <c r="HC77" s="148"/>
      <c r="HD77" s="148"/>
      <c r="HE77" s="148"/>
      <c r="HF77" s="148"/>
      <c r="HG77" s="148"/>
      <c r="HH77" s="148"/>
      <c r="HI77" s="148"/>
      <c r="HJ77" s="148"/>
      <c r="HK77" s="148"/>
      <c r="HL77" s="148"/>
      <c r="HM77" s="148"/>
      <c r="HN77" s="148"/>
      <c r="HO77" s="148"/>
      <c r="HP77" s="148"/>
      <c r="HQ77" s="148"/>
      <c r="HR77" s="148"/>
      <c r="HS77" s="148"/>
      <c r="HT77" s="148"/>
      <c r="HU77" s="148"/>
      <c r="HV77" s="148"/>
      <c r="HW77" s="148"/>
      <c r="HX77" s="148"/>
      <c r="HY77" s="148"/>
      <c r="HZ77" s="148"/>
      <c r="IA77" s="148"/>
      <c r="IB77" s="148"/>
      <c r="IC77" s="148"/>
      <c r="ID77" s="148"/>
      <c r="IE77" s="148"/>
      <c r="IF77" s="148"/>
      <c r="IG77" s="148"/>
      <c r="IH77" s="148"/>
      <c r="II77" s="148"/>
      <c r="IJ77" s="148"/>
      <c r="IK77" s="148"/>
      <c r="IL77" s="148"/>
      <c r="IM77" s="148"/>
      <c r="IN77" s="148"/>
      <c r="IO77" s="148"/>
      <c r="IP77" s="148"/>
      <c r="IQ77" s="148"/>
      <c r="IR77" s="148"/>
      <c r="IS77" s="148"/>
      <c r="IT77" s="148"/>
      <c r="IU77" s="148"/>
      <c r="IV77" s="148"/>
      <c r="IW77" s="148"/>
      <c r="IX77" s="148"/>
      <c r="IY77" s="148"/>
      <c r="IZ77" s="148"/>
      <c r="JA77" s="148"/>
      <c r="JB77" s="148"/>
    </row>
    <row r="78" spans="22:262" s="15" customFormat="1">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c r="BI78" s="148"/>
      <c r="BJ78" s="148"/>
      <c r="BK78" s="148"/>
      <c r="BL78" s="148"/>
      <c r="BM78" s="148"/>
      <c r="BN78" s="148"/>
      <c r="BO78" s="148"/>
      <c r="BP78" s="148"/>
      <c r="BQ78" s="148"/>
      <c r="BR78" s="148"/>
      <c r="BS78" s="148"/>
      <c r="BT78" s="148"/>
      <c r="BU78" s="148"/>
      <c r="BV78" s="148"/>
      <c r="BW78" s="148"/>
      <c r="BX78" s="148"/>
      <c r="BY78" s="148"/>
      <c r="BZ78" s="148"/>
      <c r="CA78" s="148"/>
      <c r="CB78" s="148"/>
      <c r="CC78" s="148"/>
      <c r="CD78" s="148"/>
      <c r="CE78" s="148"/>
      <c r="CF78" s="148"/>
      <c r="CG78" s="148"/>
      <c r="CH78" s="148"/>
      <c r="CI78" s="148"/>
      <c r="CJ78" s="148"/>
      <c r="CK78" s="148"/>
      <c r="CL78" s="148"/>
      <c r="CM78" s="148"/>
      <c r="CN78" s="148"/>
      <c r="CO78" s="148"/>
      <c r="CP78" s="148"/>
      <c r="CQ78" s="148"/>
      <c r="CR78" s="148"/>
      <c r="CS78" s="148"/>
      <c r="CT78" s="148"/>
      <c r="CU78" s="148"/>
      <c r="CV78" s="148"/>
      <c r="CW78" s="148"/>
      <c r="CX78" s="148"/>
      <c r="CY78" s="148"/>
      <c r="CZ78" s="148"/>
      <c r="DA78" s="148"/>
      <c r="DB78" s="148"/>
      <c r="DC78" s="148"/>
      <c r="DD78" s="148"/>
      <c r="DE78" s="148"/>
      <c r="DF78" s="148"/>
      <c r="DG78" s="148"/>
      <c r="DH78" s="148"/>
      <c r="DI78" s="148"/>
      <c r="DJ78" s="148"/>
      <c r="DK78" s="148"/>
      <c r="DL78" s="148"/>
      <c r="DM78" s="148"/>
      <c r="DN78" s="148"/>
      <c r="DO78" s="148"/>
      <c r="DP78" s="148"/>
      <c r="DQ78" s="148"/>
      <c r="DR78" s="148"/>
      <c r="DS78" s="148"/>
      <c r="DT78" s="148"/>
      <c r="DU78" s="148"/>
      <c r="DV78" s="148"/>
      <c r="DW78" s="148"/>
      <c r="DX78" s="148"/>
      <c r="DY78" s="148"/>
      <c r="DZ78" s="148"/>
      <c r="EA78" s="148"/>
      <c r="EB78" s="148"/>
      <c r="EC78" s="148"/>
      <c r="ED78" s="148"/>
      <c r="EE78" s="148"/>
      <c r="EF78" s="148"/>
      <c r="EG78" s="148"/>
      <c r="EH78" s="148"/>
      <c r="EI78" s="148"/>
      <c r="EJ78" s="148"/>
      <c r="EK78" s="148"/>
      <c r="EL78" s="148"/>
      <c r="EM78" s="148"/>
      <c r="EN78" s="148"/>
      <c r="EO78" s="148"/>
      <c r="EP78" s="148"/>
      <c r="EQ78" s="148"/>
      <c r="ER78" s="148"/>
      <c r="ES78" s="148"/>
      <c r="ET78" s="148"/>
      <c r="EU78" s="148"/>
      <c r="EV78" s="148"/>
      <c r="EW78" s="148"/>
      <c r="EX78" s="148"/>
      <c r="EY78" s="148"/>
      <c r="EZ78" s="148"/>
      <c r="FA78" s="148"/>
      <c r="FB78" s="148"/>
      <c r="FC78" s="148"/>
      <c r="FD78" s="148"/>
      <c r="FE78" s="148"/>
      <c r="FF78" s="148"/>
      <c r="FG78" s="148"/>
      <c r="FH78" s="148"/>
      <c r="FI78" s="148"/>
      <c r="FJ78" s="148"/>
      <c r="FK78" s="148"/>
      <c r="FL78" s="148"/>
      <c r="FM78" s="148"/>
      <c r="FN78" s="148"/>
      <c r="FO78" s="148"/>
      <c r="FP78" s="148"/>
      <c r="FQ78" s="148"/>
      <c r="FR78" s="148"/>
      <c r="FS78" s="148"/>
      <c r="FT78" s="148"/>
      <c r="FU78" s="148"/>
      <c r="FV78" s="148"/>
      <c r="FW78" s="148"/>
      <c r="FX78" s="148"/>
      <c r="FY78" s="148"/>
      <c r="FZ78" s="148"/>
      <c r="GA78" s="148"/>
      <c r="GB78" s="148"/>
      <c r="GC78" s="148"/>
      <c r="GD78" s="148"/>
      <c r="GE78" s="148"/>
      <c r="GF78" s="148"/>
      <c r="GG78" s="148"/>
      <c r="GH78" s="148"/>
      <c r="GI78" s="148"/>
      <c r="GJ78" s="148"/>
      <c r="GK78" s="148"/>
      <c r="GL78" s="148"/>
      <c r="GM78" s="148"/>
      <c r="GN78" s="148"/>
      <c r="GO78" s="148"/>
      <c r="GP78" s="148"/>
      <c r="GQ78" s="148"/>
      <c r="GR78" s="148"/>
      <c r="GS78" s="148"/>
      <c r="GT78" s="148"/>
      <c r="GU78" s="148"/>
      <c r="GV78" s="148"/>
      <c r="GW78" s="148"/>
      <c r="GX78" s="148"/>
      <c r="GY78" s="148"/>
      <c r="GZ78" s="148"/>
      <c r="HA78" s="148"/>
      <c r="HB78" s="148"/>
      <c r="HC78" s="148"/>
      <c r="HD78" s="148"/>
      <c r="HE78" s="148"/>
      <c r="HF78" s="148"/>
      <c r="HG78" s="148"/>
      <c r="HH78" s="148"/>
      <c r="HI78" s="148"/>
      <c r="HJ78" s="148"/>
      <c r="HK78" s="148"/>
      <c r="HL78" s="148"/>
      <c r="HM78" s="148"/>
      <c r="HN78" s="148"/>
      <c r="HO78" s="148"/>
      <c r="HP78" s="148"/>
      <c r="HQ78" s="148"/>
      <c r="HR78" s="148"/>
      <c r="HS78" s="148"/>
      <c r="HT78" s="148"/>
      <c r="HU78" s="148"/>
      <c r="HV78" s="148"/>
      <c r="HW78" s="148"/>
      <c r="HX78" s="148"/>
      <c r="HY78" s="148"/>
      <c r="HZ78" s="148"/>
      <c r="IA78" s="148"/>
      <c r="IB78" s="148"/>
      <c r="IC78" s="148"/>
      <c r="ID78" s="148"/>
      <c r="IE78" s="148"/>
      <c r="IF78" s="148"/>
      <c r="IG78" s="148"/>
      <c r="IH78" s="148"/>
      <c r="II78" s="148"/>
      <c r="IJ78" s="148"/>
      <c r="IK78" s="148"/>
      <c r="IL78" s="148"/>
      <c r="IM78" s="148"/>
      <c r="IN78" s="148"/>
      <c r="IO78" s="148"/>
      <c r="IP78" s="148"/>
      <c r="IQ78" s="148"/>
      <c r="IR78" s="148"/>
      <c r="IS78" s="148"/>
      <c r="IT78" s="148"/>
      <c r="IU78" s="148"/>
      <c r="IV78" s="148"/>
      <c r="IW78" s="148"/>
      <c r="IX78" s="148"/>
      <c r="IY78" s="148"/>
      <c r="IZ78" s="148"/>
      <c r="JA78" s="148"/>
      <c r="JB78" s="148"/>
    </row>
    <row r="79" spans="22:262" s="15" customFormat="1">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c r="BI79" s="148"/>
      <c r="BJ79" s="148"/>
      <c r="BK79" s="148"/>
      <c r="BL79" s="148"/>
      <c r="BM79" s="148"/>
      <c r="BN79" s="148"/>
      <c r="BO79" s="148"/>
      <c r="BP79" s="148"/>
      <c r="BQ79" s="148"/>
      <c r="BR79" s="148"/>
      <c r="BS79" s="148"/>
      <c r="BT79" s="148"/>
      <c r="BU79" s="148"/>
      <c r="BV79" s="148"/>
      <c r="BW79" s="148"/>
      <c r="BX79" s="148"/>
      <c r="BY79" s="148"/>
      <c r="BZ79" s="148"/>
      <c r="CA79" s="148"/>
      <c r="CB79" s="148"/>
      <c r="CC79" s="148"/>
      <c r="CD79" s="148"/>
      <c r="CE79" s="148"/>
      <c r="CF79" s="148"/>
      <c r="CG79" s="148"/>
      <c r="CH79" s="148"/>
      <c r="CI79" s="148"/>
      <c r="CJ79" s="148"/>
      <c r="CK79" s="148"/>
      <c r="CL79" s="148"/>
      <c r="CM79" s="148"/>
      <c r="CN79" s="148"/>
      <c r="CO79" s="148"/>
      <c r="CP79" s="148"/>
      <c r="CQ79" s="148"/>
      <c r="CR79" s="148"/>
      <c r="CS79" s="148"/>
      <c r="CT79" s="148"/>
      <c r="CU79" s="148"/>
      <c r="CV79" s="148"/>
      <c r="CW79" s="148"/>
      <c r="CX79" s="148"/>
      <c r="CY79" s="148"/>
      <c r="CZ79" s="148"/>
      <c r="DA79" s="148"/>
      <c r="DB79" s="148"/>
      <c r="DC79" s="148"/>
      <c r="DD79" s="148"/>
      <c r="DE79" s="148"/>
      <c r="DF79" s="148"/>
      <c r="DG79" s="148"/>
      <c r="DH79" s="148"/>
      <c r="DI79" s="148"/>
      <c r="DJ79" s="148"/>
      <c r="DK79" s="148"/>
      <c r="DL79" s="148"/>
      <c r="DM79" s="148"/>
      <c r="DN79" s="148"/>
      <c r="DO79" s="148"/>
      <c r="DP79" s="148"/>
      <c r="DQ79" s="148"/>
      <c r="DR79" s="148"/>
      <c r="DS79" s="148"/>
      <c r="DT79" s="148"/>
      <c r="DU79" s="148"/>
      <c r="DV79" s="148"/>
      <c r="DW79" s="148"/>
      <c r="DX79" s="148"/>
      <c r="DY79" s="148"/>
      <c r="DZ79" s="148"/>
      <c r="EA79" s="148"/>
      <c r="EB79" s="148"/>
      <c r="EC79" s="148"/>
      <c r="ED79" s="148"/>
      <c r="EE79" s="148"/>
      <c r="EF79" s="148"/>
      <c r="EG79" s="148"/>
      <c r="EH79" s="148"/>
      <c r="EI79" s="148"/>
      <c r="EJ79" s="148"/>
      <c r="EK79" s="148"/>
      <c r="EL79" s="148"/>
      <c r="EM79" s="148"/>
      <c r="EN79" s="148"/>
      <c r="EO79" s="148"/>
      <c r="EP79" s="148"/>
      <c r="EQ79" s="148"/>
      <c r="ER79" s="148"/>
      <c r="ES79" s="148"/>
      <c r="ET79" s="148"/>
      <c r="EU79" s="148"/>
      <c r="EV79" s="148"/>
      <c r="EW79" s="148"/>
      <c r="EX79" s="148"/>
      <c r="EY79" s="148"/>
      <c r="EZ79" s="148"/>
      <c r="FA79" s="148"/>
      <c r="FB79" s="148"/>
      <c r="FC79" s="148"/>
      <c r="FD79" s="148"/>
      <c r="FE79" s="148"/>
      <c r="FF79" s="148"/>
      <c r="FG79" s="148"/>
      <c r="FH79" s="148"/>
      <c r="FI79" s="148"/>
      <c r="FJ79" s="148"/>
      <c r="FK79" s="148"/>
      <c r="FL79" s="148"/>
      <c r="FM79" s="148"/>
      <c r="FN79" s="148"/>
      <c r="FO79" s="148"/>
      <c r="FP79" s="148"/>
      <c r="FQ79" s="148"/>
      <c r="FR79" s="148"/>
      <c r="FS79" s="148"/>
      <c r="FT79" s="148"/>
      <c r="FU79" s="148"/>
      <c r="FV79" s="148"/>
      <c r="FW79" s="148"/>
      <c r="FX79" s="148"/>
      <c r="FY79" s="148"/>
      <c r="FZ79" s="148"/>
      <c r="GA79" s="148"/>
      <c r="GB79" s="148"/>
      <c r="GC79" s="148"/>
      <c r="GD79" s="148"/>
      <c r="GE79" s="148"/>
      <c r="GF79" s="148"/>
      <c r="GG79" s="148"/>
      <c r="GH79" s="148"/>
      <c r="GI79" s="148"/>
      <c r="GJ79" s="148"/>
      <c r="GK79" s="148"/>
      <c r="GL79" s="148"/>
      <c r="GM79" s="148"/>
      <c r="GN79" s="148"/>
      <c r="GO79" s="148"/>
      <c r="GP79" s="148"/>
      <c r="GQ79" s="148"/>
      <c r="GR79" s="148"/>
      <c r="GS79" s="148"/>
      <c r="GT79" s="148"/>
      <c r="GU79" s="148"/>
      <c r="GV79" s="148"/>
      <c r="GW79" s="148"/>
      <c r="GX79" s="148"/>
      <c r="GY79" s="148"/>
      <c r="GZ79" s="148"/>
      <c r="HA79" s="148"/>
      <c r="HB79" s="148"/>
      <c r="HC79" s="148"/>
      <c r="HD79" s="148"/>
      <c r="HE79" s="148"/>
      <c r="HF79" s="148"/>
      <c r="HG79" s="148"/>
      <c r="HH79" s="148"/>
      <c r="HI79" s="148"/>
      <c r="HJ79" s="148"/>
      <c r="HK79" s="148"/>
      <c r="HL79" s="148"/>
      <c r="HM79" s="148"/>
      <c r="HN79" s="148"/>
      <c r="HO79" s="148"/>
      <c r="HP79" s="148"/>
      <c r="HQ79" s="148"/>
      <c r="HR79" s="148"/>
      <c r="HS79" s="148"/>
      <c r="HT79" s="148"/>
      <c r="HU79" s="148"/>
      <c r="HV79" s="148"/>
      <c r="HW79" s="148"/>
      <c r="HX79" s="148"/>
      <c r="HY79" s="148"/>
      <c r="HZ79" s="148"/>
      <c r="IA79" s="148"/>
      <c r="IB79" s="148"/>
      <c r="IC79" s="148"/>
      <c r="ID79" s="148"/>
      <c r="IE79" s="148"/>
      <c r="IF79" s="148"/>
      <c r="IG79" s="148"/>
      <c r="IH79" s="148"/>
      <c r="II79" s="148"/>
      <c r="IJ79" s="148"/>
      <c r="IK79" s="148"/>
      <c r="IL79" s="148"/>
      <c r="IM79" s="148"/>
      <c r="IN79" s="148"/>
      <c r="IO79" s="148"/>
      <c r="IP79" s="148"/>
      <c r="IQ79" s="148"/>
      <c r="IR79" s="148"/>
      <c r="IS79" s="148"/>
      <c r="IT79" s="148"/>
      <c r="IU79" s="148"/>
      <c r="IV79" s="148"/>
      <c r="IW79" s="148"/>
      <c r="IX79" s="148"/>
      <c r="IY79" s="148"/>
      <c r="IZ79" s="148"/>
      <c r="JA79" s="148"/>
      <c r="JB79" s="148"/>
    </row>
    <row r="80" spans="22:262" s="15" customFormat="1">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c r="BI80" s="148"/>
      <c r="BJ80" s="148"/>
      <c r="BK80" s="148"/>
      <c r="BL80" s="148"/>
      <c r="BM80" s="148"/>
      <c r="BN80" s="148"/>
      <c r="BO80" s="148"/>
      <c r="BP80" s="148"/>
      <c r="BQ80" s="148"/>
      <c r="BR80" s="148"/>
      <c r="BS80" s="148"/>
      <c r="BT80" s="148"/>
      <c r="BU80" s="148"/>
      <c r="BV80" s="148"/>
      <c r="BW80" s="148"/>
      <c r="BX80" s="148"/>
      <c r="BY80" s="148"/>
      <c r="BZ80" s="148"/>
      <c r="CA80" s="148"/>
      <c r="CB80" s="148"/>
      <c r="CC80" s="148"/>
      <c r="CD80" s="148"/>
      <c r="CE80" s="148"/>
      <c r="CF80" s="148"/>
      <c r="CG80" s="148"/>
      <c r="CH80" s="148"/>
      <c r="CI80" s="148"/>
      <c r="CJ80" s="148"/>
      <c r="CK80" s="148"/>
      <c r="CL80" s="148"/>
      <c r="CM80" s="148"/>
      <c r="CN80" s="148"/>
      <c r="CO80" s="148"/>
      <c r="CP80" s="148"/>
      <c r="CQ80" s="148"/>
      <c r="CR80" s="148"/>
      <c r="CS80" s="148"/>
      <c r="CT80" s="148"/>
      <c r="CU80" s="148"/>
      <c r="CV80" s="148"/>
      <c r="CW80" s="148"/>
      <c r="CX80" s="148"/>
      <c r="CY80" s="148"/>
      <c r="CZ80" s="148"/>
      <c r="DA80" s="148"/>
      <c r="DB80" s="148"/>
      <c r="DC80" s="148"/>
      <c r="DD80" s="148"/>
      <c r="DE80" s="148"/>
      <c r="DF80" s="148"/>
      <c r="DG80" s="148"/>
      <c r="DH80" s="148"/>
      <c r="DI80" s="148"/>
      <c r="DJ80" s="148"/>
      <c r="DK80" s="148"/>
      <c r="DL80" s="148"/>
      <c r="DM80" s="148"/>
      <c r="DN80" s="148"/>
      <c r="DO80" s="148"/>
      <c r="DP80" s="148"/>
      <c r="DQ80" s="148"/>
      <c r="DR80" s="148"/>
      <c r="DS80" s="148"/>
      <c r="DT80" s="148"/>
      <c r="DU80" s="148"/>
      <c r="DV80" s="148"/>
      <c r="DW80" s="148"/>
      <c r="DX80" s="148"/>
      <c r="DY80" s="148"/>
      <c r="DZ80" s="148"/>
      <c r="EA80" s="148"/>
      <c r="EB80" s="148"/>
      <c r="EC80" s="148"/>
      <c r="ED80" s="148"/>
      <c r="EE80" s="148"/>
      <c r="EF80" s="148"/>
      <c r="EG80" s="148"/>
      <c r="EH80" s="148"/>
      <c r="EI80" s="148"/>
      <c r="EJ80" s="148"/>
      <c r="EK80" s="148"/>
      <c r="EL80" s="148"/>
      <c r="EM80" s="148"/>
      <c r="EN80" s="148"/>
      <c r="EO80" s="148"/>
      <c r="EP80" s="148"/>
      <c r="EQ80" s="148"/>
      <c r="ER80" s="148"/>
      <c r="ES80" s="148"/>
      <c r="ET80" s="148"/>
      <c r="EU80" s="148"/>
      <c r="EV80" s="148"/>
      <c r="EW80" s="148"/>
      <c r="EX80" s="148"/>
      <c r="EY80" s="148"/>
      <c r="EZ80" s="148"/>
      <c r="FA80" s="148"/>
      <c r="FB80" s="148"/>
      <c r="FC80" s="148"/>
      <c r="FD80" s="148"/>
      <c r="FE80" s="148"/>
      <c r="FF80" s="148"/>
      <c r="FG80" s="148"/>
      <c r="FH80" s="148"/>
      <c r="FI80" s="148"/>
      <c r="FJ80" s="148"/>
      <c r="FK80" s="148"/>
      <c r="FL80" s="148"/>
      <c r="FM80" s="148"/>
      <c r="FN80" s="148"/>
      <c r="FO80" s="148"/>
      <c r="FP80" s="148"/>
      <c r="FQ80" s="148"/>
      <c r="FR80" s="148"/>
      <c r="FS80" s="148"/>
      <c r="FT80" s="148"/>
      <c r="FU80" s="148"/>
      <c r="FV80" s="148"/>
      <c r="FW80" s="148"/>
      <c r="FX80" s="148"/>
      <c r="FY80" s="148"/>
      <c r="FZ80" s="148"/>
      <c r="GA80" s="148"/>
      <c r="GB80" s="148"/>
      <c r="GC80" s="148"/>
      <c r="GD80" s="148"/>
      <c r="GE80" s="148"/>
      <c r="GF80" s="148"/>
      <c r="GG80" s="148"/>
      <c r="GH80" s="148"/>
      <c r="GI80" s="148"/>
      <c r="GJ80" s="148"/>
      <c r="GK80" s="148"/>
      <c r="GL80" s="148"/>
      <c r="GM80" s="148"/>
      <c r="GN80" s="148"/>
      <c r="GO80" s="148"/>
      <c r="GP80" s="148"/>
      <c r="GQ80" s="148"/>
      <c r="GR80" s="148"/>
      <c r="GS80" s="148"/>
      <c r="GT80" s="148"/>
      <c r="GU80" s="148"/>
      <c r="GV80" s="148"/>
      <c r="GW80" s="148"/>
      <c r="GX80" s="148"/>
      <c r="GY80" s="148"/>
      <c r="GZ80" s="148"/>
      <c r="HA80" s="148"/>
      <c r="HB80" s="148"/>
      <c r="HC80" s="148"/>
      <c r="HD80" s="148"/>
      <c r="HE80" s="148"/>
      <c r="HF80" s="148"/>
      <c r="HG80" s="148"/>
      <c r="HH80" s="148"/>
      <c r="HI80" s="148"/>
      <c r="HJ80" s="148"/>
      <c r="HK80" s="148"/>
      <c r="HL80" s="148"/>
      <c r="HM80" s="148"/>
      <c r="HN80" s="148"/>
      <c r="HO80" s="148"/>
      <c r="HP80" s="148"/>
      <c r="HQ80" s="148"/>
      <c r="HR80" s="148"/>
      <c r="HS80" s="148"/>
      <c r="HT80" s="148"/>
      <c r="HU80" s="148"/>
      <c r="HV80" s="148"/>
      <c r="HW80" s="148"/>
      <c r="HX80" s="148"/>
      <c r="HY80" s="148"/>
      <c r="HZ80" s="148"/>
      <c r="IA80" s="148"/>
      <c r="IB80" s="148"/>
      <c r="IC80" s="148"/>
      <c r="ID80" s="148"/>
      <c r="IE80" s="148"/>
      <c r="IF80" s="148"/>
      <c r="IG80" s="148"/>
      <c r="IH80" s="148"/>
      <c r="II80" s="148"/>
      <c r="IJ80" s="148"/>
      <c r="IK80" s="148"/>
      <c r="IL80" s="148"/>
      <c r="IM80" s="148"/>
      <c r="IN80" s="148"/>
      <c r="IO80" s="148"/>
      <c r="IP80" s="148"/>
      <c r="IQ80" s="148"/>
      <c r="IR80" s="148"/>
      <c r="IS80" s="148"/>
      <c r="IT80" s="148"/>
      <c r="IU80" s="148"/>
      <c r="IV80" s="148"/>
      <c r="IW80" s="148"/>
      <c r="IX80" s="148"/>
      <c r="IY80" s="148"/>
      <c r="IZ80" s="148"/>
      <c r="JA80" s="148"/>
      <c r="JB80" s="148"/>
    </row>
    <row r="81" spans="22:262" s="15" customFormat="1">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8"/>
      <c r="BR81" s="148"/>
      <c r="BS81" s="148"/>
      <c r="BT81" s="148"/>
      <c r="BU81" s="148"/>
      <c r="BV81" s="148"/>
      <c r="BW81" s="148"/>
      <c r="BX81" s="148"/>
      <c r="BY81" s="148"/>
      <c r="BZ81" s="148"/>
      <c r="CA81" s="148"/>
      <c r="CB81" s="148"/>
      <c r="CC81" s="148"/>
      <c r="CD81" s="148"/>
      <c r="CE81" s="148"/>
      <c r="CF81" s="148"/>
      <c r="CG81" s="148"/>
      <c r="CH81" s="148"/>
      <c r="CI81" s="148"/>
      <c r="CJ81" s="148"/>
      <c r="CK81" s="148"/>
      <c r="CL81" s="148"/>
      <c r="CM81" s="148"/>
      <c r="CN81" s="148"/>
      <c r="CO81" s="148"/>
      <c r="CP81" s="148"/>
      <c r="CQ81" s="148"/>
      <c r="CR81" s="148"/>
      <c r="CS81" s="148"/>
      <c r="CT81" s="148"/>
      <c r="CU81" s="148"/>
      <c r="CV81" s="148"/>
      <c r="CW81" s="148"/>
      <c r="CX81" s="148"/>
      <c r="CY81" s="148"/>
      <c r="CZ81" s="148"/>
      <c r="DA81" s="148"/>
      <c r="DB81" s="148"/>
      <c r="DC81" s="148"/>
      <c r="DD81" s="148"/>
      <c r="DE81" s="148"/>
      <c r="DF81" s="148"/>
      <c r="DG81" s="148"/>
      <c r="DH81" s="148"/>
      <c r="DI81" s="148"/>
      <c r="DJ81" s="148"/>
      <c r="DK81" s="148"/>
      <c r="DL81" s="148"/>
      <c r="DM81" s="148"/>
      <c r="DN81" s="148"/>
      <c r="DO81" s="148"/>
      <c r="DP81" s="148"/>
      <c r="DQ81" s="148"/>
      <c r="DR81" s="148"/>
      <c r="DS81" s="148"/>
      <c r="DT81" s="148"/>
      <c r="DU81" s="148"/>
      <c r="DV81" s="148"/>
      <c r="DW81" s="148"/>
      <c r="DX81" s="148"/>
      <c r="DY81" s="148"/>
      <c r="DZ81" s="148"/>
      <c r="EA81" s="148"/>
      <c r="EB81" s="148"/>
      <c r="EC81" s="148"/>
      <c r="ED81" s="148"/>
      <c r="EE81" s="148"/>
      <c r="EF81" s="148"/>
      <c r="EG81" s="148"/>
      <c r="EH81" s="148"/>
      <c r="EI81" s="148"/>
      <c r="EJ81" s="148"/>
      <c r="EK81" s="148"/>
      <c r="EL81" s="148"/>
      <c r="EM81" s="148"/>
      <c r="EN81" s="148"/>
      <c r="EO81" s="148"/>
      <c r="EP81" s="148"/>
      <c r="EQ81" s="148"/>
      <c r="ER81" s="148"/>
      <c r="ES81" s="148"/>
      <c r="ET81" s="148"/>
      <c r="EU81" s="148"/>
      <c r="EV81" s="148"/>
      <c r="EW81" s="148"/>
      <c r="EX81" s="148"/>
      <c r="EY81" s="148"/>
      <c r="EZ81" s="148"/>
      <c r="FA81" s="148"/>
      <c r="FB81" s="148"/>
      <c r="FC81" s="148"/>
      <c r="FD81" s="148"/>
      <c r="FE81" s="148"/>
      <c r="FF81" s="148"/>
      <c r="FG81" s="148"/>
      <c r="FH81" s="148"/>
      <c r="FI81" s="148"/>
      <c r="FJ81" s="148"/>
      <c r="FK81" s="148"/>
      <c r="FL81" s="148"/>
      <c r="FM81" s="148"/>
      <c r="FN81" s="148"/>
      <c r="FO81" s="148"/>
      <c r="FP81" s="148"/>
      <c r="FQ81" s="148"/>
      <c r="FR81" s="148"/>
      <c r="FS81" s="148"/>
      <c r="FT81" s="148"/>
      <c r="FU81" s="148"/>
      <c r="FV81" s="148"/>
      <c r="FW81" s="148"/>
      <c r="FX81" s="148"/>
      <c r="FY81" s="148"/>
      <c r="FZ81" s="148"/>
      <c r="GA81" s="148"/>
      <c r="GB81" s="148"/>
      <c r="GC81" s="148"/>
      <c r="GD81" s="148"/>
      <c r="GE81" s="148"/>
      <c r="GF81" s="148"/>
      <c r="GG81" s="148"/>
      <c r="GH81" s="148"/>
      <c r="GI81" s="148"/>
      <c r="GJ81" s="148"/>
      <c r="GK81" s="148"/>
      <c r="GL81" s="148"/>
      <c r="GM81" s="148"/>
      <c r="GN81" s="148"/>
      <c r="GO81" s="148"/>
      <c r="GP81" s="148"/>
      <c r="GQ81" s="148"/>
      <c r="GR81" s="148"/>
      <c r="GS81" s="148"/>
      <c r="GT81" s="148"/>
      <c r="GU81" s="148"/>
      <c r="GV81" s="148"/>
      <c r="GW81" s="148"/>
      <c r="GX81" s="148"/>
      <c r="GY81" s="148"/>
      <c r="GZ81" s="148"/>
      <c r="HA81" s="148"/>
      <c r="HB81" s="148"/>
      <c r="HC81" s="148"/>
      <c r="HD81" s="148"/>
      <c r="HE81" s="148"/>
      <c r="HF81" s="148"/>
      <c r="HG81" s="148"/>
      <c r="HH81" s="148"/>
      <c r="HI81" s="148"/>
      <c r="HJ81" s="148"/>
      <c r="HK81" s="148"/>
      <c r="HL81" s="148"/>
      <c r="HM81" s="148"/>
      <c r="HN81" s="148"/>
      <c r="HO81" s="148"/>
      <c r="HP81" s="148"/>
      <c r="HQ81" s="148"/>
      <c r="HR81" s="148"/>
      <c r="HS81" s="148"/>
      <c r="HT81" s="148"/>
      <c r="HU81" s="148"/>
      <c r="HV81" s="148"/>
      <c r="HW81" s="148"/>
      <c r="HX81" s="148"/>
      <c r="HY81" s="148"/>
      <c r="HZ81" s="148"/>
      <c r="IA81" s="148"/>
      <c r="IB81" s="148"/>
      <c r="IC81" s="148"/>
      <c r="ID81" s="148"/>
      <c r="IE81" s="148"/>
      <c r="IF81" s="148"/>
      <c r="IG81" s="148"/>
      <c r="IH81" s="148"/>
      <c r="II81" s="148"/>
      <c r="IJ81" s="148"/>
      <c r="IK81" s="148"/>
      <c r="IL81" s="148"/>
      <c r="IM81" s="148"/>
      <c r="IN81" s="148"/>
      <c r="IO81" s="148"/>
      <c r="IP81" s="148"/>
      <c r="IQ81" s="148"/>
      <c r="IR81" s="148"/>
      <c r="IS81" s="148"/>
      <c r="IT81" s="148"/>
      <c r="IU81" s="148"/>
      <c r="IV81" s="148"/>
      <c r="IW81" s="148"/>
      <c r="IX81" s="148"/>
      <c r="IY81" s="148"/>
      <c r="IZ81" s="148"/>
      <c r="JA81" s="148"/>
      <c r="JB81" s="148"/>
    </row>
    <row r="82" spans="22:262" s="15" customFormat="1">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8"/>
      <c r="BR82" s="148"/>
      <c r="BS82" s="148"/>
      <c r="BT82" s="148"/>
      <c r="BU82" s="148"/>
      <c r="BV82" s="148"/>
      <c r="BW82" s="148"/>
      <c r="BX82" s="148"/>
      <c r="BY82" s="148"/>
      <c r="BZ82" s="148"/>
      <c r="CA82" s="148"/>
      <c r="CB82" s="148"/>
      <c r="CC82" s="148"/>
      <c r="CD82" s="148"/>
      <c r="CE82" s="148"/>
      <c r="CF82" s="148"/>
      <c r="CG82" s="148"/>
      <c r="CH82" s="148"/>
      <c r="CI82" s="148"/>
      <c r="CJ82" s="148"/>
      <c r="CK82" s="148"/>
      <c r="CL82" s="148"/>
      <c r="CM82" s="148"/>
      <c r="CN82" s="148"/>
      <c r="CO82" s="148"/>
      <c r="CP82" s="148"/>
      <c r="CQ82" s="148"/>
      <c r="CR82" s="148"/>
      <c r="CS82" s="148"/>
      <c r="CT82" s="148"/>
      <c r="CU82" s="148"/>
      <c r="CV82" s="148"/>
      <c r="CW82" s="148"/>
      <c r="CX82" s="148"/>
      <c r="CY82" s="148"/>
      <c r="CZ82" s="148"/>
      <c r="DA82" s="148"/>
      <c r="DB82" s="148"/>
      <c r="DC82" s="148"/>
      <c r="DD82" s="148"/>
      <c r="DE82" s="148"/>
      <c r="DF82" s="148"/>
      <c r="DG82" s="148"/>
      <c r="DH82" s="148"/>
      <c r="DI82" s="148"/>
      <c r="DJ82" s="148"/>
      <c r="DK82" s="148"/>
      <c r="DL82" s="148"/>
      <c r="DM82" s="148"/>
      <c r="DN82" s="148"/>
      <c r="DO82" s="148"/>
      <c r="DP82" s="148"/>
      <c r="DQ82" s="148"/>
      <c r="DR82" s="148"/>
      <c r="DS82" s="148"/>
      <c r="DT82" s="148"/>
      <c r="DU82" s="148"/>
      <c r="DV82" s="148"/>
      <c r="DW82" s="148"/>
      <c r="DX82" s="148"/>
      <c r="DY82" s="148"/>
      <c r="DZ82" s="148"/>
      <c r="EA82" s="148"/>
      <c r="EB82" s="148"/>
      <c r="EC82" s="148"/>
      <c r="ED82" s="148"/>
      <c r="EE82" s="148"/>
      <c r="EF82" s="148"/>
      <c r="EG82" s="148"/>
      <c r="EH82" s="148"/>
      <c r="EI82" s="148"/>
      <c r="EJ82" s="148"/>
      <c r="EK82" s="148"/>
      <c r="EL82" s="148"/>
      <c r="EM82" s="148"/>
      <c r="EN82" s="148"/>
      <c r="EO82" s="148"/>
      <c r="EP82" s="148"/>
      <c r="EQ82" s="148"/>
      <c r="ER82" s="148"/>
      <c r="ES82" s="148"/>
      <c r="ET82" s="148"/>
      <c r="EU82" s="148"/>
      <c r="EV82" s="148"/>
      <c r="EW82" s="148"/>
      <c r="EX82" s="148"/>
      <c r="EY82" s="148"/>
      <c r="EZ82" s="148"/>
      <c r="FA82" s="148"/>
      <c r="FB82" s="148"/>
      <c r="FC82" s="148"/>
      <c r="FD82" s="148"/>
      <c r="FE82" s="148"/>
      <c r="FF82" s="148"/>
      <c r="FG82" s="148"/>
      <c r="FH82" s="148"/>
      <c r="FI82" s="148"/>
      <c r="FJ82" s="148"/>
      <c r="FK82" s="148"/>
      <c r="FL82" s="148"/>
      <c r="FM82" s="148"/>
      <c r="FN82" s="148"/>
      <c r="FO82" s="148"/>
      <c r="FP82" s="148"/>
      <c r="FQ82" s="148"/>
      <c r="FR82" s="148"/>
      <c r="FS82" s="148"/>
      <c r="FT82" s="148"/>
      <c r="FU82" s="148"/>
      <c r="FV82" s="148"/>
      <c r="FW82" s="148"/>
      <c r="FX82" s="148"/>
      <c r="FY82" s="148"/>
      <c r="FZ82" s="148"/>
      <c r="GA82" s="148"/>
      <c r="GB82" s="148"/>
      <c r="GC82" s="148"/>
      <c r="GD82" s="148"/>
      <c r="GE82" s="148"/>
      <c r="GF82" s="148"/>
      <c r="GG82" s="148"/>
      <c r="GH82" s="148"/>
      <c r="GI82" s="148"/>
      <c r="GJ82" s="148"/>
      <c r="GK82" s="148"/>
      <c r="GL82" s="148"/>
      <c r="GM82" s="148"/>
      <c r="GN82" s="148"/>
      <c r="GO82" s="148"/>
      <c r="GP82" s="148"/>
      <c r="GQ82" s="148"/>
      <c r="GR82" s="148"/>
      <c r="GS82" s="148"/>
      <c r="GT82" s="148"/>
      <c r="GU82" s="148"/>
      <c r="GV82" s="148"/>
      <c r="GW82" s="148"/>
      <c r="GX82" s="148"/>
      <c r="GY82" s="148"/>
      <c r="GZ82" s="148"/>
      <c r="HA82" s="148"/>
      <c r="HB82" s="148"/>
      <c r="HC82" s="148"/>
      <c r="HD82" s="148"/>
      <c r="HE82" s="148"/>
      <c r="HF82" s="148"/>
      <c r="HG82" s="148"/>
      <c r="HH82" s="148"/>
      <c r="HI82" s="148"/>
      <c r="HJ82" s="148"/>
      <c r="HK82" s="148"/>
      <c r="HL82" s="148"/>
      <c r="HM82" s="148"/>
      <c r="HN82" s="148"/>
      <c r="HO82" s="148"/>
      <c r="HP82" s="148"/>
      <c r="HQ82" s="148"/>
      <c r="HR82" s="148"/>
      <c r="HS82" s="148"/>
      <c r="HT82" s="148"/>
      <c r="HU82" s="148"/>
      <c r="HV82" s="148"/>
      <c r="HW82" s="148"/>
      <c r="HX82" s="148"/>
      <c r="HY82" s="148"/>
      <c r="HZ82" s="148"/>
      <c r="IA82" s="148"/>
      <c r="IB82" s="148"/>
      <c r="IC82" s="148"/>
      <c r="ID82" s="148"/>
      <c r="IE82" s="148"/>
      <c r="IF82" s="148"/>
      <c r="IG82" s="148"/>
      <c r="IH82" s="148"/>
      <c r="II82" s="148"/>
      <c r="IJ82" s="148"/>
      <c r="IK82" s="148"/>
      <c r="IL82" s="148"/>
      <c r="IM82" s="148"/>
      <c r="IN82" s="148"/>
      <c r="IO82" s="148"/>
      <c r="IP82" s="148"/>
      <c r="IQ82" s="148"/>
      <c r="IR82" s="148"/>
      <c r="IS82" s="148"/>
      <c r="IT82" s="148"/>
      <c r="IU82" s="148"/>
      <c r="IV82" s="148"/>
      <c r="IW82" s="148"/>
      <c r="IX82" s="148"/>
      <c r="IY82" s="148"/>
      <c r="IZ82" s="148"/>
      <c r="JA82" s="148"/>
      <c r="JB82" s="148"/>
    </row>
    <row r="83" spans="22:262" s="15" customFormat="1">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8"/>
      <c r="BR83" s="148"/>
      <c r="BS83" s="148"/>
      <c r="BT83" s="148"/>
      <c r="BU83" s="148"/>
      <c r="BV83" s="148"/>
      <c r="BW83" s="148"/>
      <c r="BX83" s="148"/>
      <c r="BY83" s="148"/>
      <c r="BZ83" s="148"/>
      <c r="CA83" s="148"/>
      <c r="CB83" s="148"/>
      <c r="CC83" s="148"/>
      <c r="CD83" s="148"/>
      <c r="CE83" s="148"/>
      <c r="CF83" s="148"/>
      <c r="CG83" s="148"/>
      <c r="CH83" s="148"/>
      <c r="CI83" s="148"/>
      <c r="CJ83" s="148"/>
      <c r="CK83" s="148"/>
      <c r="CL83" s="148"/>
      <c r="CM83" s="148"/>
      <c r="CN83" s="148"/>
      <c r="CO83" s="148"/>
      <c r="CP83" s="148"/>
      <c r="CQ83" s="148"/>
      <c r="CR83" s="148"/>
      <c r="CS83" s="148"/>
      <c r="CT83" s="148"/>
      <c r="CU83" s="148"/>
      <c r="CV83" s="148"/>
      <c r="CW83" s="148"/>
      <c r="CX83" s="148"/>
      <c r="CY83" s="148"/>
      <c r="CZ83" s="148"/>
      <c r="DA83" s="148"/>
      <c r="DB83" s="148"/>
      <c r="DC83" s="148"/>
      <c r="DD83" s="148"/>
      <c r="DE83" s="148"/>
      <c r="DF83" s="148"/>
      <c r="DG83" s="148"/>
      <c r="DH83" s="148"/>
      <c r="DI83" s="148"/>
      <c r="DJ83" s="148"/>
      <c r="DK83" s="148"/>
      <c r="DL83" s="148"/>
      <c r="DM83" s="148"/>
      <c r="DN83" s="148"/>
      <c r="DO83" s="148"/>
      <c r="DP83" s="148"/>
      <c r="DQ83" s="148"/>
      <c r="DR83" s="148"/>
      <c r="DS83" s="148"/>
      <c r="DT83" s="148"/>
      <c r="DU83" s="148"/>
      <c r="DV83" s="148"/>
      <c r="DW83" s="148"/>
      <c r="DX83" s="148"/>
      <c r="DY83" s="148"/>
      <c r="DZ83" s="148"/>
      <c r="EA83" s="148"/>
      <c r="EB83" s="148"/>
      <c r="EC83" s="148"/>
      <c r="ED83" s="148"/>
      <c r="EE83" s="148"/>
      <c r="EF83" s="148"/>
      <c r="EG83" s="148"/>
      <c r="EH83" s="148"/>
      <c r="EI83" s="148"/>
      <c r="EJ83" s="148"/>
      <c r="EK83" s="148"/>
      <c r="EL83" s="148"/>
      <c r="EM83" s="148"/>
      <c r="EN83" s="148"/>
      <c r="EO83" s="148"/>
      <c r="EP83" s="148"/>
      <c r="EQ83" s="148"/>
      <c r="ER83" s="148"/>
      <c r="ES83" s="148"/>
      <c r="ET83" s="148"/>
      <c r="EU83" s="148"/>
      <c r="EV83" s="148"/>
      <c r="EW83" s="148"/>
      <c r="EX83" s="148"/>
      <c r="EY83" s="148"/>
      <c r="EZ83" s="148"/>
      <c r="FA83" s="148"/>
      <c r="FB83" s="148"/>
      <c r="FC83" s="148"/>
      <c r="FD83" s="148"/>
      <c r="FE83" s="148"/>
      <c r="FF83" s="148"/>
      <c r="FG83" s="148"/>
      <c r="FH83" s="148"/>
      <c r="FI83" s="148"/>
      <c r="FJ83" s="148"/>
      <c r="FK83" s="148"/>
      <c r="FL83" s="148"/>
      <c r="FM83" s="148"/>
      <c r="FN83" s="148"/>
      <c r="FO83" s="148"/>
      <c r="FP83" s="148"/>
      <c r="FQ83" s="148"/>
      <c r="FR83" s="148"/>
      <c r="FS83" s="148"/>
      <c r="FT83" s="148"/>
      <c r="FU83" s="148"/>
      <c r="FV83" s="148"/>
      <c r="FW83" s="148"/>
      <c r="FX83" s="148"/>
      <c r="FY83" s="148"/>
      <c r="FZ83" s="148"/>
      <c r="GA83" s="148"/>
      <c r="GB83" s="148"/>
      <c r="GC83" s="148"/>
      <c r="GD83" s="148"/>
      <c r="GE83" s="148"/>
      <c r="GF83" s="148"/>
      <c r="GG83" s="148"/>
      <c r="GH83" s="148"/>
      <c r="GI83" s="148"/>
      <c r="GJ83" s="148"/>
      <c r="GK83" s="148"/>
      <c r="GL83" s="148"/>
      <c r="GM83" s="148"/>
      <c r="GN83" s="148"/>
      <c r="GO83" s="148"/>
      <c r="GP83" s="148"/>
      <c r="GQ83" s="148"/>
      <c r="GR83" s="148"/>
      <c r="GS83" s="148"/>
      <c r="GT83" s="148"/>
      <c r="GU83" s="148"/>
      <c r="GV83" s="148"/>
      <c r="GW83" s="148"/>
      <c r="GX83" s="148"/>
      <c r="GY83" s="148"/>
      <c r="GZ83" s="148"/>
      <c r="HA83" s="148"/>
      <c r="HB83" s="148"/>
      <c r="HC83" s="148"/>
      <c r="HD83" s="148"/>
      <c r="HE83" s="148"/>
      <c r="HF83" s="148"/>
      <c r="HG83" s="148"/>
      <c r="HH83" s="148"/>
      <c r="HI83" s="148"/>
      <c r="HJ83" s="148"/>
      <c r="HK83" s="148"/>
      <c r="HL83" s="148"/>
      <c r="HM83" s="148"/>
      <c r="HN83" s="148"/>
      <c r="HO83" s="148"/>
      <c r="HP83" s="148"/>
      <c r="HQ83" s="148"/>
      <c r="HR83" s="148"/>
      <c r="HS83" s="148"/>
      <c r="HT83" s="148"/>
      <c r="HU83" s="148"/>
      <c r="HV83" s="148"/>
      <c r="HW83" s="148"/>
      <c r="HX83" s="148"/>
      <c r="HY83" s="148"/>
      <c r="HZ83" s="148"/>
      <c r="IA83" s="148"/>
      <c r="IB83" s="148"/>
      <c r="IC83" s="148"/>
      <c r="ID83" s="148"/>
      <c r="IE83" s="148"/>
      <c r="IF83" s="148"/>
      <c r="IG83" s="148"/>
      <c r="IH83" s="148"/>
      <c r="II83" s="148"/>
      <c r="IJ83" s="148"/>
      <c r="IK83" s="148"/>
      <c r="IL83" s="148"/>
      <c r="IM83" s="148"/>
      <c r="IN83" s="148"/>
      <c r="IO83" s="148"/>
      <c r="IP83" s="148"/>
      <c r="IQ83" s="148"/>
      <c r="IR83" s="148"/>
      <c r="IS83" s="148"/>
      <c r="IT83" s="148"/>
      <c r="IU83" s="148"/>
      <c r="IV83" s="148"/>
      <c r="IW83" s="148"/>
      <c r="IX83" s="148"/>
      <c r="IY83" s="148"/>
      <c r="IZ83" s="148"/>
      <c r="JA83" s="148"/>
      <c r="JB83" s="148"/>
    </row>
    <row r="84" spans="22:262" s="15" customFormat="1">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c r="BM84" s="148"/>
      <c r="BN84" s="148"/>
      <c r="BO84" s="148"/>
      <c r="BP84" s="148"/>
      <c r="BQ84" s="148"/>
      <c r="BR84" s="148"/>
      <c r="BS84" s="148"/>
      <c r="BT84" s="148"/>
      <c r="BU84" s="148"/>
      <c r="BV84" s="148"/>
      <c r="BW84" s="148"/>
      <c r="BX84" s="148"/>
      <c r="BY84" s="148"/>
      <c r="BZ84" s="148"/>
      <c r="CA84" s="148"/>
      <c r="CB84" s="148"/>
      <c r="CC84" s="148"/>
      <c r="CD84" s="148"/>
      <c r="CE84" s="148"/>
      <c r="CF84" s="148"/>
      <c r="CG84" s="148"/>
      <c r="CH84" s="148"/>
      <c r="CI84" s="148"/>
      <c r="CJ84" s="148"/>
      <c r="CK84" s="148"/>
      <c r="CL84" s="148"/>
      <c r="CM84" s="148"/>
      <c r="CN84" s="148"/>
      <c r="CO84" s="148"/>
      <c r="CP84" s="148"/>
      <c r="CQ84" s="148"/>
      <c r="CR84" s="148"/>
      <c r="CS84" s="148"/>
      <c r="CT84" s="148"/>
      <c r="CU84" s="148"/>
      <c r="CV84" s="148"/>
      <c r="CW84" s="148"/>
      <c r="CX84" s="148"/>
      <c r="CY84" s="148"/>
      <c r="CZ84" s="148"/>
      <c r="DA84" s="148"/>
      <c r="DB84" s="148"/>
      <c r="DC84" s="148"/>
      <c r="DD84" s="148"/>
      <c r="DE84" s="148"/>
      <c r="DF84" s="148"/>
      <c r="DG84" s="148"/>
      <c r="DH84" s="148"/>
      <c r="DI84" s="148"/>
      <c r="DJ84" s="148"/>
      <c r="DK84" s="148"/>
      <c r="DL84" s="148"/>
      <c r="DM84" s="148"/>
      <c r="DN84" s="148"/>
      <c r="DO84" s="148"/>
      <c r="DP84" s="148"/>
      <c r="DQ84" s="148"/>
      <c r="DR84" s="148"/>
      <c r="DS84" s="148"/>
      <c r="DT84" s="148"/>
      <c r="DU84" s="148"/>
      <c r="DV84" s="148"/>
      <c r="DW84" s="148"/>
      <c r="DX84" s="148"/>
      <c r="DY84" s="148"/>
      <c r="DZ84" s="148"/>
      <c r="EA84" s="148"/>
      <c r="EB84" s="148"/>
      <c r="EC84" s="148"/>
      <c r="ED84" s="148"/>
      <c r="EE84" s="148"/>
      <c r="EF84" s="148"/>
      <c r="EG84" s="148"/>
      <c r="EH84" s="148"/>
      <c r="EI84" s="148"/>
      <c r="EJ84" s="148"/>
      <c r="EK84" s="148"/>
      <c r="EL84" s="148"/>
      <c r="EM84" s="148"/>
      <c r="EN84" s="148"/>
      <c r="EO84" s="148"/>
      <c r="EP84" s="148"/>
      <c r="EQ84" s="148"/>
      <c r="ER84" s="148"/>
      <c r="ES84" s="148"/>
      <c r="ET84" s="148"/>
      <c r="EU84" s="148"/>
      <c r="EV84" s="148"/>
      <c r="EW84" s="148"/>
      <c r="EX84" s="148"/>
      <c r="EY84" s="148"/>
      <c r="EZ84" s="148"/>
      <c r="FA84" s="148"/>
      <c r="FB84" s="148"/>
      <c r="FC84" s="148"/>
      <c r="FD84" s="148"/>
      <c r="FE84" s="148"/>
      <c r="FF84" s="148"/>
      <c r="FG84" s="148"/>
      <c r="FH84" s="148"/>
      <c r="FI84" s="148"/>
      <c r="FJ84" s="148"/>
      <c r="FK84" s="148"/>
      <c r="FL84" s="148"/>
      <c r="FM84" s="148"/>
      <c r="FN84" s="148"/>
      <c r="FO84" s="148"/>
      <c r="FP84" s="148"/>
      <c r="FQ84" s="148"/>
      <c r="FR84" s="148"/>
      <c r="FS84" s="148"/>
      <c r="FT84" s="148"/>
      <c r="FU84" s="148"/>
      <c r="FV84" s="148"/>
      <c r="FW84" s="148"/>
      <c r="FX84" s="148"/>
      <c r="FY84" s="148"/>
      <c r="FZ84" s="148"/>
      <c r="GA84" s="148"/>
      <c r="GB84" s="148"/>
      <c r="GC84" s="148"/>
      <c r="GD84" s="148"/>
      <c r="GE84" s="148"/>
      <c r="GF84" s="148"/>
      <c r="GG84" s="148"/>
      <c r="GH84" s="148"/>
      <c r="GI84" s="148"/>
      <c r="GJ84" s="148"/>
      <c r="GK84" s="148"/>
      <c r="GL84" s="148"/>
      <c r="GM84" s="148"/>
      <c r="GN84" s="148"/>
      <c r="GO84" s="148"/>
      <c r="GP84" s="148"/>
      <c r="GQ84" s="148"/>
      <c r="GR84" s="148"/>
      <c r="GS84" s="148"/>
      <c r="GT84" s="148"/>
      <c r="GU84" s="148"/>
      <c r="GV84" s="148"/>
      <c r="GW84" s="148"/>
      <c r="GX84" s="148"/>
      <c r="GY84" s="148"/>
      <c r="GZ84" s="148"/>
      <c r="HA84" s="148"/>
      <c r="HB84" s="148"/>
      <c r="HC84" s="148"/>
      <c r="HD84" s="148"/>
      <c r="HE84" s="148"/>
      <c r="HF84" s="148"/>
      <c r="HG84" s="148"/>
      <c r="HH84" s="148"/>
      <c r="HI84" s="148"/>
      <c r="HJ84" s="148"/>
      <c r="HK84" s="148"/>
      <c r="HL84" s="148"/>
      <c r="HM84" s="148"/>
      <c r="HN84" s="148"/>
      <c r="HO84" s="148"/>
      <c r="HP84" s="148"/>
      <c r="HQ84" s="148"/>
      <c r="HR84" s="148"/>
      <c r="HS84" s="148"/>
      <c r="HT84" s="148"/>
      <c r="HU84" s="148"/>
      <c r="HV84" s="148"/>
      <c r="HW84" s="148"/>
      <c r="HX84" s="148"/>
      <c r="HY84" s="148"/>
      <c r="HZ84" s="148"/>
      <c r="IA84" s="148"/>
      <c r="IB84" s="148"/>
      <c r="IC84" s="148"/>
      <c r="ID84" s="148"/>
      <c r="IE84" s="148"/>
      <c r="IF84" s="148"/>
      <c r="IG84" s="148"/>
      <c r="IH84" s="148"/>
      <c r="II84" s="148"/>
      <c r="IJ84" s="148"/>
      <c r="IK84" s="148"/>
      <c r="IL84" s="148"/>
      <c r="IM84" s="148"/>
      <c r="IN84" s="148"/>
      <c r="IO84" s="148"/>
      <c r="IP84" s="148"/>
      <c r="IQ84" s="148"/>
      <c r="IR84" s="148"/>
      <c r="IS84" s="148"/>
      <c r="IT84" s="148"/>
      <c r="IU84" s="148"/>
      <c r="IV84" s="148"/>
      <c r="IW84" s="148"/>
      <c r="IX84" s="148"/>
      <c r="IY84" s="148"/>
      <c r="IZ84" s="148"/>
      <c r="JA84" s="148"/>
      <c r="JB84" s="148"/>
    </row>
    <row r="85" spans="22:262" s="15" customFormat="1">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c r="BM85" s="148"/>
      <c r="BN85" s="148"/>
      <c r="BO85" s="148"/>
      <c r="BP85" s="148"/>
      <c r="BQ85" s="148"/>
      <c r="BR85" s="148"/>
      <c r="BS85" s="148"/>
      <c r="BT85" s="148"/>
      <c r="BU85" s="148"/>
      <c r="BV85" s="148"/>
      <c r="BW85" s="148"/>
      <c r="BX85" s="148"/>
      <c r="BY85" s="148"/>
      <c r="BZ85" s="148"/>
      <c r="CA85" s="148"/>
      <c r="CB85" s="148"/>
      <c r="CC85" s="148"/>
      <c r="CD85" s="148"/>
      <c r="CE85" s="148"/>
      <c r="CF85" s="148"/>
      <c r="CG85" s="148"/>
      <c r="CH85" s="148"/>
      <c r="CI85" s="148"/>
      <c r="CJ85" s="148"/>
      <c r="CK85" s="148"/>
      <c r="CL85" s="148"/>
      <c r="CM85" s="148"/>
      <c r="CN85" s="148"/>
      <c r="CO85" s="148"/>
      <c r="CP85" s="148"/>
      <c r="CQ85" s="148"/>
      <c r="CR85" s="148"/>
      <c r="CS85" s="148"/>
      <c r="CT85" s="148"/>
      <c r="CU85" s="148"/>
      <c r="CV85" s="148"/>
      <c r="CW85" s="148"/>
      <c r="CX85" s="148"/>
      <c r="CY85" s="148"/>
      <c r="CZ85" s="148"/>
      <c r="DA85" s="148"/>
      <c r="DB85" s="148"/>
      <c r="DC85" s="148"/>
      <c r="DD85" s="148"/>
      <c r="DE85" s="148"/>
      <c r="DF85" s="148"/>
      <c r="DG85" s="148"/>
      <c r="DH85" s="148"/>
      <c r="DI85" s="148"/>
      <c r="DJ85" s="148"/>
      <c r="DK85" s="148"/>
      <c r="DL85" s="148"/>
      <c r="DM85" s="148"/>
      <c r="DN85" s="148"/>
      <c r="DO85" s="148"/>
      <c r="DP85" s="148"/>
      <c r="DQ85" s="148"/>
      <c r="DR85" s="148"/>
      <c r="DS85" s="148"/>
      <c r="DT85" s="148"/>
      <c r="DU85" s="148"/>
      <c r="DV85" s="148"/>
      <c r="DW85" s="148"/>
      <c r="DX85" s="148"/>
      <c r="DY85" s="148"/>
      <c r="DZ85" s="148"/>
      <c r="EA85" s="148"/>
      <c r="EB85" s="148"/>
      <c r="EC85" s="148"/>
      <c r="ED85" s="148"/>
      <c r="EE85" s="148"/>
      <c r="EF85" s="148"/>
      <c r="EG85" s="148"/>
      <c r="EH85" s="148"/>
      <c r="EI85" s="148"/>
      <c r="EJ85" s="148"/>
      <c r="EK85" s="148"/>
      <c r="EL85" s="148"/>
      <c r="EM85" s="148"/>
      <c r="EN85" s="148"/>
      <c r="EO85" s="148"/>
      <c r="EP85" s="148"/>
      <c r="EQ85" s="148"/>
      <c r="ER85" s="148"/>
      <c r="ES85" s="148"/>
      <c r="ET85" s="148"/>
      <c r="EU85" s="148"/>
      <c r="EV85" s="148"/>
      <c r="EW85" s="148"/>
      <c r="EX85" s="148"/>
      <c r="EY85" s="148"/>
      <c r="EZ85" s="148"/>
      <c r="FA85" s="148"/>
      <c r="FB85" s="148"/>
      <c r="FC85" s="148"/>
      <c r="FD85" s="148"/>
      <c r="FE85" s="148"/>
      <c r="FF85" s="148"/>
      <c r="FG85" s="148"/>
      <c r="FH85" s="148"/>
      <c r="FI85" s="148"/>
      <c r="FJ85" s="148"/>
      <c r="FK85" s="148"/>
      <c r="FL85" s="148"/>
      <c r="FM85" s="148"/>
      <c r="FN85" s="148"/>
      <c r="FO85" s="148"/>
      <c r="FP85" s="148"/>
      <c r="FQ85" s="148"/>
      <c r="FR85" s="148"/>
      <c r="FS85" s="148"/>
      <c r="FT85" s="148"/>
      <c r="FU85" s="148"/>
      <c r="FV85" s="148"/>
      <c r="FW85" s="148"/>
      <c r="FX85" s="148"/>
      <c r="FY85" s="148"/>
      <c r="FZ85" s="148"/>
      <c r="GA85" s="148"/>
      <c r="GB85" s="148"/>
      <c r="GC85" s="148"/>
      <c r="GD85" s="148"/>
      <c r="GE85" s="148"/>
      <c r="GF85" s="148"/>
      <c r="GG85" s="148"/>
      <c r="GH85" s="148"/>
      <c r="GI85" s="148"/>
      <c r="GJ85" s="148"/>
      <c r="GK85" s="148"/>
      <c r="GL85" s="148"/>
      <c r="GM85" s="148"/>
      <c r="GN85" s="148"/>
      <c r="GO85" s="148"/>
      <c r="GP85" s="148"/>
      <c r="GQ85" s="148"/>
      <c r="GR85" s="148"/>
      <c r="GS85" s="148"/>
      <c r="GT85" s="148"/>
      <c r="GU85" s="148"/>
      <c r="GV85" s="148"/>
      <c r="GW85" s="148"/>
      <c r="GX85" s="148"/>
      <c r="GY85" s="148"/>
      <c r="GZ85" s="148"/>
      <c r="HA85" s="148"/>
      <c r="HB85" s="148"/>
      <c r="HC85" s="148"/>
      <c r="HD85" s="148"/>
      <c r="HE85" s="148"/>
      <c r="HF85" s="148"/>
      <c r="HG85" s="148"/>
      <c r="HH85" s="148"/>
      <c r="HI85" s="148"/>
      <c r="HJ85" s="148"/>
      <c r="HK85" s="148"/>
      <c r="HL85" s="148"/>
      <c r="HM85" s="148"/>
      <c r="HN85" s="148"/>
      <c r="HO85" s="148"/>
      <c r="HP85" s="148"/>
      <c r="HQ85" s="148"/>
      <c r="HR85" s="148"/>
      <c r="HS85" s="148"/>
      <c r="HT85" s="148"/>
      <c r="HU85" s="148"/>
      <c r="HV85" s="148"/>
      <c r="HW85" s="148"/>
      <c r="HX85" s="148"/>
      <c r="HY85" s="148"/>
      <c r="HZ85" s="148"/>
      <c r="IA85" s="148"/>
      <c r="IB85" s="148"/>
      <c r="IC85" s="148"/>
      <c r="ID85" s="148"/>
      <c r="IE85" s="148"/>
      <c r="IF85" s="148"/>
      <c r="IG85" s="148"/>
      <c r="IH85" s="148"/>
      <c r="II85" s="148"/>
      <c r="IJ85" s="148"/>
      <c r="IK85" s="148"/>
      <c r="IL85" s="148"/>
      <c r="IM85" s="148"/>
      <c r="IN85" s="148"/>
      <c r="IO85" s="148"/>
      <c r="IP85" s="148"/>
      <c r="IQ85" s="148"/>
      <c r="IR85" s="148"/>
      <c r="IS85" s="148"/>
      <c r="IT85" s="148"/>
      <c r="IU85" s="148"/>
      <c r="IV85" s="148"/>
      <c r="IW85" s="148"/>
      <c r="IX85" s="148"/>
      <c r="IY85" s="148"/>
      <c r="IZ85" s="148"/>
      <c r="JA85" s="148"/>
      <c r="JB85" s="148"/>
    </row>
    <row r="86" spans="22:262" s="15" customFormat="1">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c r="BM86" s="148"/>
      <c r="BN86" s="148"/>
      <c r="BO86" s="148"/>
      <c r="BP86" s="148"/>
      <c r="BQ86" s="148"/>
      <c r="BR86" s="148"/>
      <c r="BS86" s="148"/>
      <c r="BT86" s="148"/>
      <c r="BU86" s="148"/>
      <c r="BV86" s="148"/>
      <c r="BW86" s="148"/>
      <c r="BX86" s="148"/>
      <c r="BY86" s="148"/>
      <c r="BZ86" s="148"/>
      <c r="CA86" s="148"/>
      <c r="CB86" s="148"/>
      <c r="CC86" s="148"/>
      <c r="CD86" s="148"/>
      <c r="CE86" s="148"/>
      <c r="CF86" s="148"/>
      <c r="CG86" s="148"/>
      <c r="CH86" s="148"/>
      <c r="CI86" s="148"/>
      <c r="CJ86" s="148"/>
      <c r="CK86" s="148"/>
      <c r="CL86" s="148"/>
      <c r="CM86" s="148"/>
      <c r="CN86" s="148"/>
      <c r="CO86" s="148"/>
      <c r="CP86" s="148"/>
      <c r="CQ86" s="148"/>
      <c r="CR86" s="148"/>
      <c r="CS86" s="148"/>
      <c r="CT86" s="148"/>
      <c r="CU86" s="148"/>
      <c r="CV86" s="148"/>
      <c r="CW86" s="148"/>
      <c r="CX86" s="148"/>
      <c r="CY86" s="148"/>
      <c r="CZ86" s="148"/>
      <c r="DA86" s="148"/>
      <c r="DB86" s="148"/>
      <c r="DC86" s="148"/>
      <c r="DD86" s="148"/>
      <c r="DE86" s="148"/>
      <c r="DF86" s="148"/>
      <c r="DG86" s="148"/>
      <c r="DH86" s="148"/>
      <c r="DI86" s="148"/>
      <c r="DJ86" s="148"/>
      <c r="DK86" s="148"/>
      <c r="DL86" s="148"/>
      <c r="DM86" s="148"/>
      <c r="DN86" s="148"/>
      <c r="DO86" s="148"/>
      <c r="DP86" s="148"/>
      <c r="DQ86" s="148"/>
      <c r="DR86" s="148"/>
      <c r="DS86" s="148"/>
      <c r="DT86" s="148"/>
      <c r="DU86" s="148"/>
      <c r="DV86" s="148"/>
      <c r="DW86" s="148"/>
      <c r="DX86" s="148"/>
      <c r="DY86" s="148"/>
      <c r="DZ86" s="148"/>
      <c r="EA86" s="148"/>
      <c r="EB86" s="148"/>
      <c r="EC86" s="148"/>
      <c r="ED86" s="148"/>
      <c r="EE86" s="148"/>
      <c r="EF86" s="148"/>
      <c r="EG86" s="148"/>
      <c r="EH86" s="148"/>
      <c r="EI86" s="148"/>
      <c r="EJ86" s="148"/>
      <c r="EK86" s="148"/>
      <c r="EL86" s="148"/>
      <c r="EM86" s="148"/>
      <c r="EN86" s="148"/>
      <c r="EO86" s="148"/>
      <c r="EP86" s="148"/>
      <c r="EQ86" s="148"/>
      <c r="ER86" s="148"/>
      <c r="ES86" s="148"/>
      <c r="ET86" s="148"/>
      <c r="EU86" s="148"/>
      <c r="EV86" s="148"/>
      <c r="EW86" s="148"/>
      <c r="EX86" s="148"/>
      <c r="EY86" s="148"/>
      <c r="EZ86" s="148"/>
      <c r="FA86" s="148"/>
      <c r="FB86" s="148"/>
      <c r="FC86" s="148"/>
      <c r="FD86" s="148"/>
      <c r="FE86" s="148"/>
      <c r="FF86" s="148"/>
      <c r="FG86" s="148"/>
      <c r="FH86" s="148"/>
      <c r="FI86" s="148"/>
      <c r="FJ86" s="148"/>
      <c r="FK86" s="148"/>
      <c r="FL86" s="148"/>
      <c r="FM86" s="148"/>
      <c r="FN86" s="148"/>
      <c r="FO86" s="148"/>
      <c r="FP86" s="148"/>
      <c r="FQ86" s="148"/>
      <c r="FR86" s="148"/>
      <c r="FS86" s="148"/>
      <c r="FT86" s="148"/>
      <c r="FU86" s="148"/>
      <c r="FV86" s="148"/>
      <c r="FW86" s="148"/>
      <c r="FX86" s="148"/>
      <c r="FY86" s="148"/>
      <c r="FZ86" s="148"/>
      <c r="GA86" s="148"/>
      <c r="GB86" s="148"/>
      <c r="GC86" s="148"/>
      <c r="GD86" s="148"/>
      <c r="GE86" s="148"/>
      <c r="GF86" s="148"/>
      <c r="GG86" s="148"/>
      <c r="GH86" s="148"/>
      <c r="GI86" s="148"/>
      <c r="GJ86" s="148"/>
      <c r="GK86" s="148"/>
      <c r="GL86" s="148"/>
      <c r="GM86" s="148"/>
      <c r="GN86" s="148"/>
      <c r="GO86" s="148"/>
      <c r="GP86" s="148"/>
      <c r="GQ86" s="148"/>
      <c r="GR86" s="148"/>
      <c r="GS86" s="148"/>
      <c r="GT86" s="148"/>
      <c r="GU86" s="148"/>
      <c r="GV86" s="148"/>
      <c r="GW86" s="148"/>
      <c r="GX86" s="148"/>
      <c r="GY86" s="148"/>
      <c r="GZ86" s="148"/>
      <c r="HA86" s="148"/>
      <c r="HB86" s="148"/>
      <c r="HC86" s="148"/>
      <c r="HD86" s="148"/>
      <c r="HE86" s="148"/>
      <c r="HF86" s="148"/>
      <c r="HG86" s="148"/>
      <c r="HH86" s="148"/>
      <c r="HI86" s="148"/>
      <c r="HJ86" s="148"/>
      <c r="HK86" s="148"/>
      <c r="HL86" s="148"/>
      <c r="HM86" s="148"/>
      <c r="HN86" s="148"/>
      <c r="HO86" s="148"/>
      <c r="HP86" s="148"/>
      <c r="HQ86" s="148"/>
      <c r="HR86" s="148"/>
      <c r="HS86" s="148"/>
      <c r="HT86" s="148"/>
      <c r="HU86" s="148"/>
      <c r="HV86" s="148"/>
      <c r="HW86" s="148"/>
      <c r="HX86" s="148"/>
      <c r="HY86" s="148"/>
      <c r="HZ86" s="148"/>
      <c r="IA86" s="148"/>
      <c r="IB86" s="148"/>
      <c r="IC86" s="148"/>
      <c r="ID86" s="148"/>
      <c r="IE86" s="148"/>
      <c r="IF86" s="148"/>
      <c r="IG86" s="148"/>
      <c r="IH86" s="148"/>
      <c r="II86" s="148"/>
      <c r="IJ86" s="148"/>
      <c r="IK86" s="148"/>
      <c r="IL86" s="148"/>
      <c r="IM86" s="148"/>
      <c r="IN86" s="148"/>
      <c r="IO86" s="148"/>
      <c r="IP86" s="148"/>
      <c r="IQ86" s="148"/>
      <c r="IR86" s="148"/>
      <c r="IS86" s="148"/>
      <c r="IT86" s="148"/>
      <c r="IU86" s="148"/>
      <c r="IV86" s="148"/>
      <c r="IW86" s="148"/>
      <c r="IX86" s="148"/>
      <c r="IY86" s="148"/>
      <c r="IZ86" s="148"/>
      <c r="JA86" s="148"/>
      <c r="JB86" s="148"/>
    </row>
    <row r="87" spans="22:262" s="15" customFormat="1">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c r="BI87" s="148"/>
      <c r="BJ87" s="148"/>
      <c r="BK87" s="148"/>
      <c r="BL87" s="148"/>
      <c r="BM87" s="148"/>
      <c r="BN87" s="148"/>
      <c r="BO87" s="148"/>
      <c r="BP87" s="148"/>
      <c r="BQ87" s="148"/>
      <c r="BR87" s="148"/>
      <c r="BS87" s="148"/>
      <c r="BT87" s="148"/>
      <c r="BU87" s="148"/>
      <c r="BV87" s="148"/>
      <c r="BW87" s="148"/>
      <c r="BX87" s="148"/>
      <c r="BY87" s="148"/>
      <c r="BZ87" s="148"/>
      <c r="CA87" s="148"/>
      <c r="CB87" s="148"/>
      <c r="CC87" s="148"/>
      <c r="CD87" s="148"/>
      <c r="CE87" s="148"/>
      <c r="CF87" s="148"/>
      <c r="CG87" s="148"/>
      <c r="CH87" s="148"/>
      <c r="CI87" s="148"/>
      <c r="CJ87" s="148"/>
      <c r="CK87" s="148"/>
      <c r="CL87" s="148"/>
      <c r="CM87" s="148"/>
      <c r="CN87" s="148"/>
      <c r="CO87" s="148"/>
      <c r="CP87" s="148"/>
      <c r="CQ87" s="148"/>
      <c r="CR87" s="148"/>
      <c r="CS87" s="148"/>
      <c r="CT87" s="148"/>
      <c r="CU87" s="148"/>
      <c r="CV87" s="148"/>
      <c r="CW87" s="148"/>
      <c r="CX87" s="148"/>
      <c r="CY87" s="148"/>
      <c r="CZ87" s="148"/>
      <c r="DA87" s="148"/>
      <c r="DB87" s="148"/>
      <c r="DC87" s="148"/>
      <c r="DD87" s="148"/>
      <c r="DE87" s="148"/>
      <c r="DF87" s="148"/>
      <c r="DG87" s="148"/>
      <c r="DH87" s="148"/>
      <c r="DI87" s="148"/>
      <c r="DJ87" s="148"/>
      <c r="DK87" s="148"/>
      <c r="DL87" s="148"/>
      <c r="DM87" s="148"/>
      <c r="DN87" s="148"/>
      <c r="DO87" s="148"/>
      <c r="DP87" s="148"/>
      <c r="DQ87" s="148"/>
      <c r="DR87" s="148"/>
      <c r="DS87" s="148"/>
      <c r="DT87" s="148"/>
      <c r="DU87" s="148"/>
      <c r="DV87" s="148"/>
      <c r="DW87" s="148"/>
      <c r="DX87" s="148"/>
      <c r="DY87" s="148"/>
      <c r="DZ87" s="148"/>
      <c r="EA87" s="148"/>
      <c r="EB87" s="148"/>
      <c r="EC87" s="148"/>
      <c r="ED87" s="148"/>
      <c r="EE87" s="148"/>
      <c r="EF87" s="148"/>
      <c r="EG87" s="148"/>
      <c r="EH87" s="148"/>
      <c r="EI87" s="148"/>
      <c r="EJ87" s="148"/>
      <c r="EK87" s="148"/>
      <c r="EL87" s="148"/>
      <c r="EM87" s="148"/>
      <c r="EN87" s="148"/>
      <c r="EO87" s="148"/>
      <c r="EP87" s="148"/>
      <c r="EQ87" s="148"/>
      <c r="ER87" s="148"/>
      <c r="ES87" s="148"/>
      <c r="ET87" s="148"/>
      <c r="EU87" s="148"/>
      <c r="EV87" s="148"/>
      <c r="EW87" s="148"/>
      <c r="EX87" s="148"/>
      <c r="EY87" s="148"/>
      <c r="EZ87" s="148"/>
      <c r="FA87" s="148"/>
      <c r="FB87" s="148"/>
      <c r="FC87" s="148"/>
      <c r="FD87" s="148"/>
      <c r="FE87" s="148"/>
      <c r="FF87" s="148"/>
      <c r="FG87" s="148"/>
      <c r="FH87" s="148"/>
      <c r="FI87" s="148"/>
      <c r="FJ87" s="148"/>
      <c r="FK87" s="148"/>
      <c r="FL87" s="148"/>
      <c r="FM87" s="148"/>
      <c r="FN87" s="148"/>
      <c r="FO87" s="148"/>
      <c r="FP87" s="148"/>
      <c r="FQ87" s="148"/>
      <c r="FR87" s="148"/>
      <c r="FS87" s="148"/>
      <c r="FT87" s="148"/>
      <c r="FU87" s="148"/>
      <c r="FV87" s="148"/>
      <c r="FW87" s="148"/>
      <c r="FX87" s="148"/>
      <c r="FY87" s="148"/>
      <c r="FZ87" s="148"/>
      <c r="GA87" s="148"/>
      <c r="GB87" s="148"/>
      <c r="GC87" s="148"/>
      <c r="GD87" s="148"/>
      <c r="GE87" s="148"/>
      <c r="GF87" s="148"/>
      <c r="GG87" s="148"/>
      <c r="GH87" s="148"/>
      <c r="GI87" s="148"/>
      <c r="GJ87" s="148"/>
      <c r="GK87" s="148"/>
      <c r="GL87" s="148"/>
      <c r="GM87" s="148"/>
      <c r="GN87" s="148"/>
      <c r="GO87" s="148"/>
      <c r="GP87" s="148"/>
      <c r="GQ87" s="148"/>
      <c r="GR87" s="148"/>
      <c r="GS87" s="148"/>
      <c r="GT87" s="148"/>
      <c r="GU87" s="148"/>
      <c r="GV87" s="148"/>
      <c r="GW87" s="148"/>
      <c r="GX87" s="148"/>
      <c r="GY87" s="148"/>
      <c r="GZ87" s="148"/>
      <c r="HA87" s="148"/>
      <c r="HB87" s="148"/>
      <c r="HC87" s="148"/>
      <c r="HD87" s="148"/>
      <c r="HE87" s="148"/>
      <c r="HF87" s="148"/>
      <c r="HG87" s="148"/>
      <c r="HH87" s="148"/>
      <c r="HI87" s="148"/>
      <c r="HJ87" s="148"/>
      <c r="HK87" s="148"/>
      <c r="HL87" s="148"/>
      <c r="HM87" s="148"/>
      <c r="HN87" s="148"/>
      <c r="HO87" s="148"/>
      <c r="HP87" s="148"/>
      <c r="HQ87" s="148"/>
      <c r="HR87" s="148"/>
      <c r="HS87" s="148"/>
      <c r="HT87" s="148"/>
      <c r="HU87" s="148"/>
      <c r="HV87" s="148"/>
      <c r="HW87" s="148"/>
      <c r="HX87" s="148"/>
      <c r="HY87" s="148"/>
      <c r="HZ87" s="148"/>
      <c r="IA87" s="148"/>
      <c r="IB87" s="148"/>
      <c r="IC87" s="148"/>
      <c r="ID87" s="148"/>
      <c r="IE87" s="148"/>
      <c r="IF87" s="148"/>
      <c r="IG87" s="148"/>
      <c r="IH87" s="148"/>
      <c r="II87" s="148"/>
      <c r="IJ87" s="148"/>
      <c r="IK87" s="148"/>
      <c r="IL87" s="148"/>
      <c r="IM87" s="148"/>
      <c r="IN87" s="148"/>
      <c r="IO87" s="148"/>
      <c r="IP87" s="148"/>
      <c r="IQ87" s="148"/>
      <c r="IR87" s="148"/>
      <c r="IS87" s="148"/>
      <c r="IT87" s="148"/>
      <c r="IU87" s="148"/>
      <c r="IV87" s="148"/>
      <c r="IW87" s="148"/>
      <c r="IX87" s="148"/>
      <c r="IY87" s="148"/>
      <c r="IZ87" s="148"/>
      <c r="JA87" s="148"/>
      <c r="JB87" s="148"/>
    </row>
    <row r="88" spans="22:262" s="15" customFormat="1">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8"/>
      <c r="BR88" s="148"/>
      <c r="BS88" s="148"/>
      <c r="BT88" s="148"/>
      <c r="BU88" s="148"/>
      <c r="BV88" s="148"/>
      <c r="BW88" s="148"/>
      <c r="BX88" s="148"/>
      <c r="BY88" s="148"/>
      <c r="BZ88" s="148"/>
      <c r="CA88" s="148"/>
      <c r="CB88" s="148"/>
      <c r="CC88" s="148"/>
      <c r="CD88" s="148"/>
      <c r="CE88" s="148"/>
      <c r="CF88" s="148"/>
      <c r="CG88" s="148"/>
      <c r="CH88" s="148"/>
      <c r="CI88" s="148"/>
      <c r="CJ88" s="148"/>
      <c r="CK88" s="148"/>
      <c r="CL88" s="148"/>
      <c r="CM88" s="148"/>
      <c r="CN88" s="148"/>
      <c r="CO88" s="148"/>
      <c r="CP88" s="148"/>
      <c r="CQ88" s="148"/>
      <c r="CR88" s="148"/>
      <c r="CS88" s="148"/>
      <c r="CT88" s="148"/>
      <c r="CU88" s="148"/>
      <c r="CV88" s="148"/>
      <c r="CW88" s="148"/>
      <c r="CX88" s="148"/>
      <c r="CY88" s="148"/>
      <c r="CZ88" s="148"/>
      <c r="DA88" s="148"/>
      <c r="DB88" s="148"/>
      <c r="DC88" s="148"/>
      <c r="DD88" s="148"/>
      <c r="DE88" s="148"/>
      <c r="DF88" s="148"/>
      <c r="DG88" s="148"/>
      <c r="DH88" s="148"/>
      <c r="DI88" s="148"/>
      <c r="DJ88" s="148"/>
      <c r="DK88" s="148"/>
      <c r="DL88" s="148"/>
      <c r="DM88" s="148"/>
      <c r="DN88" s="148"/>
      <c r="DO88" s="148"/>
      <c r="DP88" s="148"/>
      <c r="DQ88" s="148"/>
      <c r="DR88" s="148"/>
      <c r="DS88" s="148"/>
      <c r="DT88" s="148"/>
      <c r="DU88" s="148"/>
      <c r="DV88" s="148"/>
      <c r="DW88" s="148"/>
      <c r="DX88" s="148"/>
      <c r="DY88" s="148"/>
      <c r="DZ88" s="148"/>
      <c r="EA88" s="148"/>
      <c r="EB88" s="148"/>
      <c r="EC88" s="148"/>
      <c r="ED88" s="148"/>
      <c r="EE88" s="148"/>
      <c r="EF88" s="148"/>
      <c r="EG88" s="148"/>
      <c r="EH88" s="148"/>
      <c r="EI88" s="148"/>
      <c r="EJ88" s="148"/>
      <c r="EK88" s="148"/>
      <c r="EL88" s="148"/>
      <c r="EM88" s="148"/>
      <c r="EN88" s="148"/>
      <c r="EO88" s="148"/>
      <c r="EP88" s="148"/>
      <c r="EQ88" s="148"/>
      <c r="ER88" s="148"/>
      <c r="ES88" s="148"/>
      <c r="ET88" s="148"/>
      <c r="EU88" s="148"/>
      <c r="EV88" s="148"/>
      <c r="EW88" s="148"/>
      <c r="EX88" s="148"/>
      <c r="EY88" s="148"/>
      <c r="EZ88" s="148"/>
      <c r="FA88" s="148"/>
      <c r="FB88" s="148"/>
      <c r="FC88" s="148"/>
      <c r="FD88" s="148"/>
      <c r="FE88" s="148"/>
      <c r="FF88" s="148"/>
      <c r="FG88" s="148"/>
      <c r="FH88" s="148"/>
      <c r="FI88" s="148"/>
      <c r="FJ88" s="148"/>
      <c r="FK88" s="148"/>
      <c r="FL88" s="148"/>
      <c r="FM88" s="148"/>
      <c r="FN88" s="148"/>
      <c r="FO88" s="148"/>
      <c r="FP88" s="148"/>
      <c r="FQ88" s="148"/>
      <c r="FR88" s="148"/>
      <c r="FS88" s="148"/>
      <c r="FT88" s="148"/>
      <c r="FU88" s="148"/>
      <c r="FV88" s="148"/>
      <c r="FW88" s="148"/>
      <c r="FX88" s="148"/>
      <c r="FY88" s="148"/>
      <c r="FZ88" s="148"/>
      <c r="GA88" s="148"/>
      <c r="GB88" s="148"/>
      <c r="GC88" s="148"/>
      <c r="GD88" s="148"/>
      <c r="GE88" s="148"/>
      <c r="GF88" s="148"/>
      <c r="GG88" s="148"/>
      <c r="GH88" s="148"/>
      <c r="GI88" s="148"/>
      <c r="GJ88" s="148"/>
      <c r="GK88" s="148"/>
      <c r="GL88" s="148"/>
      <c r="GM88" s="148"/>
      <c r="GN88" s="148"/>
      <c r="GO88" s="148"/>
      <c r="GP88" s="148"/>
      <c r="GQ88" s="148"/>
      <c r="GR88" s="148"/>
      <c r="GS88" s="148"/>
      <c r="GT88" s="148"/>
      <c r="GU88" s="148"/>
      <c r="GV88" s="148"/>
      <c r="GW88" s="148"/>
      <c r="GX88" s="148"/>
      <c r="GY88" s="148"/>
      <c r="GZ88" s="148"/>
      <c r="HA88" s="148"/>
      <c r="HB88" s="148"/>
      <c r="HC88" s="148"/>
      <c r="HD88" s="148"/>
      <c r="HE88" s="148"/>
      <c r="HF88" s="148"/>
      <c r="HG88" s="148"/>
      <c r="HH88" s="148"/>
      <c r="HI88" s="148"/>
      <c r="HJ88" s="148"/>
      <c r="HK88" s="148"/>
      <c r="HL88" s="148"/>
      <c r="HM88" s="148"/>
      <c r="HN88" s="148"/>
      <c r="HO88" s="148"/>
      <c r="HP88" s="148"/>
      <c r="HQ88" s="148"/>
      <c r="HR88" s="148"/>
      <c r="HS88" s="148"/>
      <c r="HT88" s="148"/>
      <c r="HU88" s="148"/>
      <c r="HV88" s="148"/>
      <c r="HW88" s="148"/>
      <c r="HX88" s="148"/>
      <c r="HY88" s="148"/>
      <c r="HZ88" s="148"/>
      <c r="IA88" s="148"/>
      <c r="IB88" s="148"/>
      <c r="IC88" s="148"/>
      <c r="ID88" s="148"/>
      <c r="IE88" s="148"/>
      <c r="IF88" s="148"/>
      <c r="IG88" s="148"/>
      <c r="IH88" s="148"/>
      <c r="II88" s="148"/>
      <c r="IJ88" s="148"/>
      <c r="IK88" s="148"/>
      <c r="IL88" s="148"/>
      <c r="IM88" s="148"/>
      <c r="IN88" s="148"/>
      <c r="IO88" s="148"/>
      <c r="IP88" s="148"/>
      <c r="IQ88" s="148"/>
      <c r="IR88" s="148"/>
      <c r="IS88" s="148"/>
      <c r="IT88" s="148"/>
      <c r="IU88" s="148"/>
      <c r="IV88" s="148"/>
      <c r="IW88" s="148"/>
      <c r="IX88" s="148"/>
      <c r="IY88" s="148"/>
      <c r="IZ88" s="148"/>
      <c r="JA88" s="148"/>
      <c r="JB88" s="148"/>
    </row>
    <row r="89" spans="22:262" s="15" customFormat="1">
      <c r="V89" s="148"/>
      <c r="W89" s="148"/>
      <c r="X89" s="148"/>
      <c r="Y89" s="148"/>
      <c r="Z89" s="148"/>
      <c r="AA89" s="148"/>
      <c r="AB89" s="148"/>
      <c r="AC89" s="148"/>
      <c r="AD89" s="148"/>
      <c r="AE89" s="148"/>
      <c r="AF89" s="148"/>
      <c r="AG89" s="148"/>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8"/>
      <c r="BR89" s="148"/>
      <c r="BS89" s="148"/>
      <c r="BT89" s="148"/>
      <c r="BU89" s="148"/>
      <c r="BV89" s="148"/>
      <c r="BW89" s="148"/>
      <c r="BX89" s="148"/>
      <c r="BY89" s="148"/>
      <c r="BZ89" s="148"/>
      <c r="CA89" s="148"/>
      <c r="CB89" s="148"/>
      <c r="CC89" s="148"/>
      <c r="CD89" s="148"/>
      <c r="CE89" s="148"/>
      <c r="CF89" s="148"/>
      <c r="CG89" s="148"/>
      <c r="CH89" s="148"/>
      <c r="CI89" s="148"/>
      <c r="CJ89" s="148"/>
      <c r="CK89" s="148"/>
      <c r="CL89" s="148"/>
      <c r="CM89" s="148"/>
      <c r="CN89" s="148"/>
      <c r="CO89" s="148"/>
      <c r="CP89" s="148"/>
      <c r="CQ89" s="148"/>
      <c r="CR89" s="148"/>
      <c r="CS89" s="148"/>
      <c r="CT89" s="148"/>
      <c r="CU89" s="148"/>
      <c r="CV89" s="148"/>
      <c r="CW89" s="148"/>
      <c r="CX89" s="148"/>
      <c r="CY89" s="148"/>
      <c r="CZ89" s="148"/>
      <c r="DA89" s="148"/>
      <c r="DB89" s="148"/>
      <c r="DC89" s="148"/>
      <c r="DD89" s="148"/>
      <c r="DE89" s="148"/>
      <c r="DF89" s="148"/>
      <c r="DG89" s="148"/>
      <c r="DH89" s="148"/>
      <c r="DI89" s="148"/>
      <c r="DJ89" s="148"/>
      <c r="DK89" s="148"/>
      <c r="DL89" s="148"/>
      <c r="DM89" s="148"/>
      <c r="DN89" s="148"/>
      <c r="DO89" s="148"/>
      <c r="DP89" s="148"/>
      <c r="DQ89" s="148"/>
      <c r="DR89" s="148"/>
      <c r="DS89" s="148"/>
      <c r="DT89" s="148"/>
      <c r="DU89" s="148"/>
      <c r="DV89" s="148"/>
      <c r="DW89" s="148"/>
      <c r="DX89" s="148"/>
      <c r="DY89" s="148"/>
      <c r="DZ89" s="148"/>
      <c r="EA89" s="148"/>
      <c r="EB89" s="148"/>
      <c r="EC89" s="148"/>
      <c r="ED89" s="148"/>
      <c r="EE89" s="148"/>
      <c r="EF89" s="148"/>
      <c r="EG89" s="148"/>
      <c r="EH89" s="148"/>
      <c r="EI89" s="148"/>
      <c r="EJ89" s="148"/>
      <c r="EK89" s="148"/>
      <c r="EL89" s="148"/>
      <c r="EM89" s="148"/>
      <c r="EN89" s="148"/>
      <c r="EO89" s="148"/>
      <c r="EP89" s="148"/>
      <c r="EQ89" s="148"/>
      <c r="ER89" s="148"/>
      <c r="ES89" s="148"/>
      <c r="ET89" s="148"/>
      <c r="EU89" s="148"/>
      <c r="EV89" s="148"/>
      <c r="EW89" s="148"/>
      <c r="EX89" s="148"/>
      <c r="EY89" s="148"/>
      <c r="EZ89" s="148"/>
      <c r="FA89" s="148"/>
      <c r="FB89" s="148"/>
      <c r="FC89" s="148"/>
      <c r="FD89" s="148"/>
      <c r="FE89" s="148"/>
      <c r="FF89" s="148"/>
      <c r="FG89" s="148"/>
      <c r="FH89" s="148"/>
      <c r="FI89" s="148"/>
      <c r="FJ89" s="148"/>
      <c r="FK89" s="148"/>
      <c r="FL89" s="148"/>
      <c r="FM89" s="148"/>
      <c r="FN89" s="148"/>
      <c r="FO89" s="148"/>
      <c r="FP89" s="148"/>
      <c r="FQ89" s="148"/>
      <c r="FR89" s="148"/>
      <c r="FS89" s="148"/>
      <c r="FT89" s="148"/>
      <c r="FU89" s="148"/>
      <c r="FV89" s="148"/>
      <c r="FW89" s="148"/>
      <c r="FX89" s="148"/>
      <c r="FY89" s="148"/>
      <c r="FZ89" s="148"/>
      <c r="GA89" s="148"/>
      <c r="GB89" s="148"/>
      <c r="GC89" s="148"/>
      <c r="GD89" s="148"/>
      <c r="GE89" s="148"/>
      <c r="GF89" s="148"/>
      <c r="GG89" s="148"/>
      <c r="GH89" s="148"/>
      <c r="GI89" s="148"/>
      <c r="GJ89" s="148"/>
      <c r="GK89" s="148"/>
      <c r="GL89" s="148"/>
      <c r="GM89" s="148"/>
      <c r="GN89" s="148"/>
      <c r="GO89" s="148"/>
      <c r="GP89" s="148"/>
      <c r="GQ89" s="148"/>
      <c r="GR89" s="148"/>
      <c r="GS89" s="148"/>
      <c r="GT89" s="148"/>
      <c r="GU89" s="148"/>
      <c r="GV89" s="148"/>
      <c r="GW89" s="148"/>
      <c r="GX89" s="148"/>
      <c r="GY89" s="148"/>
      <c r="GZ89" s="148"/>
      <c r="HA89" s="148"/>
      <c r="HB89" s="148"/>
      <c r="HC89" s="148"/>
      <c r="HD89" s="148"/>
      <c r="HE89" s="148"/>
      <c r="HF89" s="148"/>
      <c r="HG89" s="148"/>
      <c r="HH89" s="148"/>
      <c r="HI89" s="148"/>
      <c r="HJ89" s="148"/>
      <c r="HK89" s="148"/>
      <c r="HL89" s="148"/>
      <c r="HM89" s="148"/>
      <c r="HN89" s="148"/>
      <c r="HO89" s="148"/>
      <c r="HP89" s="148"/>
      <c r="HQ89" s="148"/>
      <c r="HR89" s="148"/>
      <c r="HS89" s="148"/>
      <c r="HT89" s="148"/>
      <c r="HU89" s="148"/>
      <c r="HV89" s="148"/>
      <c r="HW89" s="148"/>
      <c r="HX89" s="148"/>
      <c r="HY89" s="148"/>
      <c r="HZ89" s="148"/>
      <c r="IA89" s="148"/>
      <c r="IB89" s="148"/>
      <c r="IC89" s="148"/>
      <c r="ID89" s="148"/>
      <c r="IE89" s="148"/>
      <c r="IF89" s="148"/>
      <c r="IG89" s="148"/>
      <c r="IH89" s="148"/>
      <c r="II89" s="148"/>
      <c r="IJ89" s="148"/>
      <c r="IK89" s="148"/>
      <c r="IL89" s="148"/>
      <c r="IM89" s="148"/>
      <c r="IN89" s="148"/>
      <c r="IO89" s="148"/>
      <c r="IP89" s="148"/>
      <c r="IQ89" s="148"/>
      <c r="IR89" s="148"/>
      <c r="IS89" s="148"/>
      <c r="IT89" s="148"/>
      <c r="IU89" s="148"/>
      <c r="IV89" s="148"/>
      <c r="IW89" s="148"/>
      <c r="IX89" s="148"/>
      <c r="IY89" s="148"/>
      <c r="IZ89" s="148"/>
      <c r="JA89" s="148"/>
      <c r="JB89" s="148"/>
    </row>
    <row r="90" spans="22:262" s="15" customFormat="1">
      <c r="V90" s="148"/>
      <c r="W90" s="148"/>
      <c r="X90" s="148"/>
      <c r="Y90" s="148"/>
      <c r="Z90" s="148"/>
      <c r="AA90" s="148"/>
      <c r="AB90" s="148"/>
      <c r="AC90" s="148"/>
      <c r="AD90" s="148"/>
      <c r="AE90" s="148"/>
      <c r="AF90" s="148"/>
      <c r="AG90" s="148"/>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c r="BI90" s="148"/>
      <c r="BJ90" s="148"/>
      <c r="BK90" s="148"/>
      <c r="BL90" s="148"/>
      <c r="BM90" s="148"/>
      <c r="BN90" s="148"/>
      <c r="BO90" s="148"/>
      <c r="BP90" s="148"/>
      <c r="BQ90" s="148"/>
      <c r="BR90" s="148"/>
      <c r="BS90" s="148"/>
      <c r="BT90" s="148"/>
      <c r="BU90" s="148"/>
      <c r="BV90" s="148"/>
      <c r="BW90" s="148"/>
      <c r="BX90" s="148"/>
      <c r="BY90" s="148"/>
      <c r="BZ90" s="148"/>
      <c r="CA90" s="148"/>
      <c r="CB90" s="148"/>
      <c r="CC90" s="148"/>
      <c r="CD90" s="148"/>
      <c r="CE90" s="148"/>
      <c r="CF90" s="148"/>
      <c r="CG90" s="148"/>
      <c r="CH90" s="148"/>
      <c r="CI90" s="148"/>
      <c r="CJ90" s="148"/>
      <c r="CK90" s="148"/>
      <c r="CL90" s="148"/>
      <c r="CM90" s="148"/>
      <c r="CN90" s="148"/>
      <c r="CO90" s="148"/>
      <c r="CP90" s="148"/>
      <c r="CQ90" s="148"/>
      <c r="CR90" s="148"/>
      <c r="CS90" s="148"/>
      <c r="CT90" s="148"/>
      <c r="CU90" s="148"/>
      <c r="CV90" s="148"/>
      <c r="CW90" s="148"/>
      <c r="CX90" s="148"/>
      <c r="CY90" s="148"/>
      <c r="CZ90" s="148"/>
      <c r="DA90" s="148"/>
      <c r="DB90" s="148"/>
      <c r="DC90" s="148"/>
      <c r="DD90" s="148"/>
      <c r="DE90" s="148"/>
      <c r="DF90" s="148"/>
      <c r="DG90" s="148"/>
      <c r="DH90" s="148"/>
      <c r="DI90" s="148"/>
      <c r="DJ90" s="148"/>
      <c r="DK90" s="148"/>
      <c r="DL90" s="148"/>
      <c r="DM90" s="148"/>
      <c r="DN90" s="148"/>
      <c r="DO90" s="148"/>
      <c r="DP90" s="148"/>
      <c r="DQ90" s="148"/>
      <c r="DR90" s="148"/>
      <c r="DS90" s="148"/>
      <c r="DT90" s="148"/>
      <c r="DU90" s="148"/>
      <c r="DV90" s="148"/>
      <c r="DW90" s="148"/>
      <c r="DX90" s="148"/>
      <c r="DY90" s="148"/>
      <c r="DZ90" s="148"/>
      <c r="EA90" s="148"/>
      <c r="EB90" s="148"/>
      <c r="EC90" s="148"/>
      <c r="ED90" s="148"/>
      <c r="EE90" s="148"/>
      <c r="EF90" s="148"/>
      <c r="EG90" s="148"/>
      <c r="EH90" s="148"/>
      <c r="EI90" s="148"/>
      <c r="EJ90" s="148"/>
      <c r="EK90" s="148"/>
      <c r="EL90" s="148"/>
      <c r="EM90" s="148"/>
      <c r="EN90" s="148"/>
      <c r="EO90" s="148"/>
      <c r="EP90" s="148"/>
      <c r="EQ90" s="148"/>
      <c r="ER90" s="148"/>
      <c r="ES90" s="148"/>
      <c r="ET90" s="148"/>
      <c r="EU90" s="148"/>
      <c r="EV90" s="148"/>
      <c r="EW90" s="148"/>
      <c r="EX90" s="148"/>
      <c r="EY90" s="148"/>
      <c r="EZ90" s="148"/>
      <c r="FA90" s="148"/>
      <c r="FB90" s="148"/>
      <c r="FC90" s="148"/>
      <c r="FD90" s="148"/>
      <c r="FE90" s="148"/>
      <c r="FF90" s="148"/>
      <c r="FG90" s="148"/>
      <c r="FH90" s="148"/>
      <c r="FI90" s="148"/>
      <c r="FJ90" s="148"/>
      <c r="FK90" s="148"/>
      <c r="FL90" s="148"/>
      <c r="FM90" s="148"/>
      <c r="FN90" s="148"/>
      <c r="FO90" s="148"/>
      <c r="FP90" s="148"/>
      <c r="FQ90" s="148"/>
      <c r="FR90" s="148"/>
      <c r="FS90" s="148"/>
      <c r="FT90" s="148"/>
      <c r="FU90" s="148"/>
      <c r="FV90" s="148"/>
      <c r="FW90" s="148"/>
      <c r="FX90" s="148"/>
      <c r="FY90" s="148"/>
      <c r="FZ90" s="148"/>
      <c r="GA90" s="148"/>
      <c r="GB90" s="148"/>
      <c r="GC90" s="148"/>
      <c r="GD90" s="148"/>
      <c r="GE90" s="148"/>
      <c r="GF90" s="148"/>
      <c r="GG90" s="148"/>
      <c r="GH90" s="148"/>
      <c r="GI90" s="148"/>
      <c r="GJ90" s="148"/>
      <c r="GK90" s="148"/>
      <c r="GL90" s="148"/>
      <c r="GM90" s="148"/>
      <c r="GN90" s="148"/>
      <c r="GO90" s="148"/>
      <c r="GP90" s="148"/>
      <c r="GQ90" s="148"/>
      <c r="GR90" s="148"/>
      <c r="GS90" s="148"/>
      <c r="GT90" s="148"/>
      <c r="GU90" s="148"/>
      <c r="GV90" s="148"/>
      <c r="GW90" s="148"/>
      <c r="GX90" s="148"/>
      <c r="GY90" s="148"/>
      <c r="GZ90" s="148"/>
      <c r="HA90" s="148"/>
      <c r="HB90" s="148"/>
      <c r="HC90" s="148"/>
      <c r="HD90" s="148"/>
      <c r="HE90" s="148"/>
      <c r="HF90" s="148"/>
      <c r="HG90" s="148"/>
      <c r="HH90" s="148"/>
      <c r="HI90" s="148"/>
      <c r="HJ90" s="148"/>
      <c r="HK90" s="148"/>
      <c r="HL90" s="148"/>
      <c r="HM90" s="148"/>
      <c r="HN90" s="148"/>
      <c r="HO90" s="148"/>
      <c r="HP90" s="148"/>
      <c r="HQ90" s="148"/>
      <c r="HR90" s="148"/>
      <c r="HS90" s="148"/>
      <c r="HT90" s="148"/>
      <c r="HU90" s="148"/>
      <c r="HV90" s="148"/>
      <c r="HW90" s="148"/>
      <c r="HX90" s="148"/>
      <c r="HY90" s="148"/>
      <c r="HZ90" s="148"/>
      <c r="IA90" s="148"/>
      <c r="IB90" s="148"/>
      <c r="IC90" s="148"/>
      <c r="ID90" s="148"/>
      <c r="IE90" s="148"/>
      <c r="IF90" s="148"/>
      <c r="IG90" s="148"/>
      <c r="IH90" s="148"/>
      <c r="II90" s="148"/>
      <c r="IJ90" s="148"/>
      <c r="IK90" s="148"/>
      <c r="IL90" s="148"/>
      <c r="IM90" s="148"/>
      <c r="IN90" s="148"/>
      <c r="IO90" s="148"/>
      <c r="IP90" s="148"/>
      <c r="IQ90" s="148"/>
      <c r="IR90" s="148"/>
      <c r="IS90" s="148"/>
      <c r="IT90" s="148"/>
      <c r="IU90" s="148"/>
      <c r="IV90" s="148"/>
      <c r="IW90" s="148"/>
      <c r="IX90" s="148"/>
      <c r="IY90" s="148"/>
      <c r="IZ90" s="148"/>
      <c r="JA90" s="148"/>
      <c r="JB90" s="148"/>
    </row>
    <row r="91" spans="22:262" s="15" customFormat="1">
      <c r="V91" s="148"/>
      <c r="W91" s="148"/>
      <c r="X91" s="148"/>
      <c r="Y91" s="148"/>
      <c r="Z91" s="148"/>
      <c r="AA91" s="148"/>
      <c r="AB91" s="148"/>
      <c r="AC91" s="148"/>
      <c r="AD91" s="148"/>
      <c r="AE91" s="148"/>
      <c r="AF91" s="148"/>
      <c r="AG91" s="148"/>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c r="BI91" s="148"/>
      <c r="BJ91" s="148"/>
      <c r="BK91" s="148"/>
      <c r="BL91" s="148"/>
      <c r="BM91" s="148"/>
      <c r="BN91" s="148"/>
      <c r="BO91" s="148"/>
      <c r="BP91" s="148"/>
      <c r="BQ91" s="148"/>
      <c r="BR91" s="148"/>
      <c r="BS91" s="148"/>
      <c r="BT91" s="148"/>
      <c r="BU91" s="148"/>
      <c r="BV91" s="148"/>
      <c r="BW91" s="148"/>
      <c r="BX91" s="148"/>
      <c r="BY91" s="148"/>
      <c r="BZ91" s="148"/>
      <c r="CA91" s="148"/>
      <c r="CB91" s="148"/>
      <c r="CC91" s="148"/>
      <c r="CD91" s="148"/>
      <c r="CE91" s="148"/>
      <c r="CF91" s="148"/>
      <c r="CG91" s="148"/>
      <c r="CH91" s="148"/>
      <c r="CI91" s="148"/>
      <c r="CJ91" s="148"/>
      <c r="CK91" s="148"/>
      <c r="CL91" s="148"/>
      <c r="CM91" s="148"/>
      <c r="CN91" s="148"/>
      <c r="CO91" s="148"/>
      <c r="CP91" s="148"/>
      <c r="CQ91" s="148"/>
      <c r="CR91" s="148"/>
      <c r="CS91" s="148"/>
      <c r="CT91" s="148"/>
      <c r="CU91" s="148"/>
      <c r="CV91" s="148"/>
      <c r="CW91" s="148"/>
      <c r="CX91" s="148"/>
      <c r="CY91" s="148"/>
      <c r="CZ91" s="148"/>
      <c r="DA91" s="148"/>
      <c r="DB91" s="148"/>
      <c r="DC91" s="148"/>
      <c r="DD91" s="148"/>
      <c r="DE91" s="148"/>
      <c r="DF91" s="148"/>
      <c r="DG91" s="148"/>
      <c r="DH91" s="148"/>
      <c r="DI91" s="148"/>
      <c r="DJ91" s="148"/>
      <c r="DK91" s="148"/>
      <c r="DL91" s="148"/>
      <c r="DM91" s="148"/>
      <c r="DN91" s="148"/>
      <c r="DO91" s="148"/>
      <c r="DP91" s="148"/>
      <c r="DQ91" s="148"/>
      <c r="DR91" s="148"/>
      <c r="DS91" s="148"/>
      <c r="DT91" s="148"/>
      <c r="DU91" s="148"/>
      <c r="DV91" s="148"/>
      <c r="DW91" s="148"/>
      <c r="DX91" s="148"/>
      <c r="DY91" s="148"/>
      <c r="DZ91" s="148"/>
      <c r="EA91" s="148"/>
      <c r="EB91" s="148"/>
      <c r="EC91" s="148"/>
      <c r="ED91" s="148"/>
      <c r="EE91" s="148"/>
      <c r="EF91" s="148"/>
      <c r="EG91" s="148"/>
      <c r="EH91" s="148"/>
      <c r="EI91" s="148"/>
      <c r="EJ91" s="148"/>
      <c r="EK91" s="148"/>
      <c r="EL91" s="148"/>
      <c r="EM91" s="148"/>
      <c r="EN91" s="148"/>
      <c r="EO91" s="148"/>
      <c r="EP91" s="148"/>
      <c r="EQ91" s="148"/>
      <c r="ER91" s="148"/>
      <c r="ES91" s="148"/>
      <c r="ET91" s="148"/>
      <c r="EU91" s="148"/>
      <c r="EV91" s="148"/>
      <c r="EW91" s="148"/>
      <c r="EX91" s="148"/>
      <c r="EY91" s="148"/>
      <c r="EZ91" s="148"/>
      <c r="FA91" s="148"/>
      <c r="FB91" s="148"/>
      <c r="FC91" s="148"/>
      <c r="FD91" s="148"/>
      <c r="FE91" s="148"/>
      <c r="FF91" s="148"/>
      <c r="FG91" s="148"/>
      <c r="FH91" s="148"/>
      <c r="FI91" s="148"/>
      <c r="FJ91" s="148"/>
      <c r="FK91" s="148"/>
      <c r="FL91" s="148"/>
      <c r="FM91" s="148"/>
      <c r="FN91" s="148"/>
      <c r="FO91" s="148"/>
      <c r="FP91" s="148"/>
      <c r="FQ91" s="148"/>
      <c r="FR91" s="148"/>
      <c r="FS91" s="148"/>
      <c r="FT91" s="148"/>
      <c r="FU91" s="148"/>
      <c r="FV91" s="148"/>
      <c r="FW91" s="148"/>
      <c r="FX91" s="148"/>
      <c r="FY91" s="148"/>
      <c r="FZ91" s="148"/>
      <c r="GA91" s="148"/>
      <c r="GB91" s="148"/>
      <c r="GC91" s="148"/>
      <c r="GD91" s="148"/>
      <c r="GE91" s="148"/>
      <c r="GF91" s="148"/>
      <c r="GG91" s="148"/>
      <c r="GH91" s="148"/>
      <c r="GI91" s="148"/>
      <c r="GJ91" s="148"/>
      <c r="GK91" s="148"/>
      <c r="GL91" s="148"/>
      <c r="GM91" s="148"/>
      <c r="GN91" s="148"/>
      <c r="GO91" s="148"/>
      <c r="GP91" s="148"/>
      <c r="GQ91" s="148"/>
      <c r="GR91" s="148"/>
      <c r="GS91" s="148"/>
      <c r="GT91" s="148"/>
      <c r="GU91" s="148"/>
      <c r="GV91" s="148"/>
      <c r="GW91" s="148"/>
      <c r="GX91" s="148"/>
      <c r="GY91" s="148"/>
      <c r="GZ91" s="148"/>
      <c r="HA91" s="148"/>
      <c r="HB91" s="148"/>
      <c r="HC91" s="148"/>
      <c r="HD91" s="148"/>
      <c r="HE91" s="148"/>
      <c r="HF91" s="148"/>
      <c r="HG91" s="148"/>
      <c r="HH91" s="148"/>
      <c r="HI91" s="148"/>
      <c r="HJ91" s="148"/>
      <c r="HK91" s="148"/>
      <c r="HL91" s="148"/>
      <c r="HM91" s="148"/>
      <c r="HN91" s="148"/>
      <c r="HO91" s="148"/>
      <c r="HP91" s="148"/>
      <c r="HQ91" s="148"/>
      <c r="HR91" s="148"/>
      <c r="HS91" s="148"/>
      <c r="HT91" s="148"/>
      <c r="HU91" s="148"/>
      <c r="HV91" s="148"/>
      <c r="HW91" s="148"/>
      <c r="HX91" s="148"/>
      <c r="HY91" s="148"/>
      <c r="HZ91" s="148"/>
      <c r="IA91" s="148"/>
      <c r="IB91" s="148"/>
      <c r="IC91" s="148"/>
      <c r="ID91" s="148"/>
      <c r="IE91" s="148"/>
      <c r="IF91" s="148"/>
      <c r="IG91" s="148"/>
      <c r="IH91" s="148"/>
      <c r="II91" s="148"/>
      <c r="IJ91" s="148"/>
      <c r="IK91" s="148"/>
      <c r="IL91" s="148"/>
      <c r="IM91" s="148"/>
      <c r="IN91" s="148"/>
      <c r="IO91" s="148"/>
      <c r="IP91" s="148"/>
      <c r="IQ91" s="148"/>
      <c r="IR91" s="148"/>
      <c r="IS91" s="148"/>
      <c r="IT91" s="148"/>
      <c r="IU91" s="148"/>
      <c r="IV91" s="148"/>
      <c r="IW91" s="148"/>
      <c r="IX91" s="148"/>
      <c r="IY91" s="148"/>
      <c r="IZ91" s="148"/>
      <c r="JA91" s="148"/>
      <c r="JB91" s="148"/>
    </row>
    <row r="92" spans="22:262" s="15" customFormat="1">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c r="BI92" s="148"/>
      <c r="BJ92" s="148"/>
      <c r="BK92" s="148"/>
      <c r="BL92" s="148"/>
      <c r="BM92" s="148"/>
      <c r="BN92" s="148"/>
      <c r="BO92" s="148"/>
      <c r="BP92" s="148"/>
      <c r="BQ92" s="148"/>
      <c r="BR92" s="148"/>
      <c r="BS92" s="148"/>
      <c r="BT92" s="148"/>
      <c r="BU92" s="148"/>
      <c r="BV92" s="148"/>
      <c r="BW92" s="148"/>
      <c r="BX92" s="148"/>
      <c r="BY92" s="148"/>
      <c r="BZ92" s="148"/>
      <c r="CA92" s="148"/>
      <c r="CB92" s="148"/>
      <c r="CC92" s="148"/>
      <c r="CD92" s="148"/>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148"/>
      <c r="DW92" s="148"/>
      <c r="DX92" s="148"/>
      <c r="DY92" s="148"/>
      <c r="DZ92" s="148"/>
      <c r="EA92" s="148"/>
      <c r="EB92" s="148"/>
      <c r="EC92" s="148"/>
      <c r="ED92" s="148"/>
      <c r="EE92" s="148"/>
      <c r="EF92" s="148"/>
      <c r="EG92" s="148"/>
      <c r="EH92" s="148"/>
      <c r="EI92" s="148"/>
      <c r="EJ92" s="148"/>
      <c r="EK92" s="148"/>
      <c r="EL92" s="148"/>
      <c r="EM92" s="148"/>
      <c r="EN92" s="148"/>
      <c r="EO92" s="148"/>
      <c r="EP92" s="148"/>
      <c r="EQ92" s="148"/>
      <c r="ER92" s="148"/>
      <c r="ES92" s="148"/>
      <c r="ET92" s="148"/>
      <c r="EU92" s="148"/>
      <c r="EV92" s="148"/>
      <c r="EW92" s="148"/>
      <c r="EX92" s="148"/>
      <c r="EY92" s="148"/>
      <c r="EZ92" s="148"/>
      <c r="FA92" s="148"/>
      <c r="FB92" s="148"/>
      <c r="FC92" s="148"/>
      <c r="FD92" s="148"/>
      <c r="FE92" s="148"/>
      <c r="FF92" s="148"/>
      <c r="FG92" s="148"/>
      <c r="FH92" s="148"/>
      <c r="FI92" s="148"/>
      <c r="FJ92" s="148"/>
      <c r="FK92" s="148"/>
      <c r="FL92" s="148"/>
      <c r="FM92" s="148"/>
      <c r="FN92" s="148"/>
      <c r="FO92" s="148"/>
      <c r="FP92" s="148"/>
      <c r="FQ92" s="148"/>
      <c r="FR92" s="148"/>
      <c r="FS92" s="148"/>
      <c r="FT92" s="148"/>
      <c r="FU92" s="148"/>
      <c r="FV92" s="148"/>
      <c r="FW92" s="148"/>
      <c r="FX92" s="148"/>
      <c r="FY92" s="148"/>
      <c r="FZ92" s="148"/>
      <c r="GA92" s="148"/>
      <c r="GB92" s="148"/>
      <c r="GC92" s="148"/>
      <c r="GD92" s="148"/>
      <c r="GE92" s="148"/>
      <c r="GF92" s="148"/>
      <c r="GG92" s="148"/>
      <c r="GH92" s="148"/>
      <c r="GI92" s="148"/>
      <c r="GJ92" s="148"/>
      <c r="GK92" s="148"/>
      <c r="GL92" s="148"/>
      <c r="GM92" s="148"/>
      <c r="GN92" s="148"/>
      <c r="GO92" s="148"/>
      <c r="GP92" s="148"/>
      <c r="GQ92" s="148"/>
      <c r="GR92" s="148"/>
      <c r="GS92" s="148"/>
      <c r="GT92" s="148"/>
      <c r="GU92" s="148"/>
      <c r="GV92" s="148"/>
      <c r="GW92" s="148"/>
      <c r="GX92" s="148"/>
      <c r="GY92" s="148"/>
      <c r="GZ92" s="148"/>
      <c r="HA92" s="148"/>
      <c r="HB92" s="148"/>
      <c r="HC92" s="148"/>
      <c r="HD92" s="148"/>
      <c r="HE92" s="148"/>
      <c r="HF92" s="148"/>
      <c r="HG92" s="148"/>
      <c r="HH92" s="148"/>
      <c r="HI92" s="148"/>
      <c r="HJ92" s="148"/>
      <c r="HK92" s="148"/>
      <c r="HL92" s="148"/>
      <c r="HM92" s="148"/>
      <c r="HN92" s="148"/>
      <c r="HO92" s="148"/>
      <c r="HP92" s="148"/>
      <c r="HQ92" s="148"/>
      <c r="HR92" s="148"/>
      <c r="HS92" s="148"/>
      <c r="HT92" s="148"/>
      <c r="HU92" s="148"/>
      <c r="HV92" s="148"/>
      <c r="HW92" s="148"/>
      <c r="HX92" s="148"/>
      <c r="HY92" s="148"/>
      <c r="HZ92" s="148"/>
      <c r="IA92" s="148"/>
      <c r="IB92" s="148"/>
      <c r="IC92" s="148"/>
      <c r="ID92" s="148"/>
      <c r="IE92" s="148"/>
      <c r="IF92" s="148"/>
      <c r="IG92" s="148"/>
      <c r="IH92" s="148"/>
      <c r="II92" s="148"/>
      <c r="IJ92" s="148"/>
      <c r="IK92" s="148"/>
      <c r="IL92" s="148"/>
      <c r="IM92" s="148"/>
      <c r="IN92" s="148"/>
      <c r="IO92" s="148"/>
      <c r="IP92" s="148"/>
      <c r="IQ92" s="148"/>
      <c r="IR92" s="148"/>
      <c r="IS92" s="148"/>
      <c r="IT92" s="148"/>
      <c r="IU92" s="148"/>
      <c r="IV92" s="148"/>
      <c r="IW92" s="148"/>
      <c r="IX92" s="148"/>
      <c r="IY92" s="148"/>
      <c r="IZ92" s="148"/>
      <c r="JA92" s="148"/>
      <c r="JB92" s="148"/>
    </row>
    <row r="93" spans="22:262" s="15" customFormat="1">
      <c r="V93" s="148"/>
      <c r="W93" s="148"/>
      <c r="X93" s="148"/>
      <c r="Y93" s="148"/>
      <c r="Z93" s="148"/>
      <c r="AA93" s="148"/>
      <c r="AB93" s="148"/>
      <c r="AC93" s="148"/>
      <c r="AD93" s="148"/>
      <c r="AE93" s="148"/>
      <c r="AF93" s="148"/>
      <c r="AG93" s="148"/>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c r="BI93" s="148"/>
      <c r="BJ93" s="148"/>
      <c r="BK93" s="148"/>
      <c r="BL93" s="148"/>
      <c r="BM93" s="148"/>
      <c r="BN93" s="148"/>
      <c r="BO93" s="148"/>
      <c r="BP93" s="148"/>
      <c r="BQ93" s="148"/>
      <c r="BR93" s="148"/>
      <c r="BS93" s="148"/>
      <c r="BT93" s="148"/>
      <c r="BU93" s="148"/>
      <c r="BV93" s="148"/>
      <c r="BW93" s="148"/>
      <c r="BX93" s="148"/>
      <c r="BY93" s="148"/>
      <c r="BZ93" s="148"/>
      <c r="CA93" s="148"/>
      <c r="CB93" s="148"/>
      <c r="CC93" s="148"/>
      <c r="CD93" s="148"/>
      <c r="CE93" s="148"/>
      <c r="CF93" s="148"/>
      <c r="CG93" s="148"/>
      <c r="CH93" s="148"/>
      <c r="CI93" s="148"/>
      <c r="CJ93" s="148"/>
      <c r="CK93" s="148"/>
      <c r="CL93" s="148"/>
      <c r="CM93" s="148"/>
      <c r="CN93" s="148"/>
      <c r="CO93" s="148"/>
      <c r="CP93" s="148"/>
      <c r="CQ93" s="148"/>
      <c r="CR93" s="148"/>
      <c r="CS93" s="148"/>
      <c r="CT93" s="148"/>
      <c r="CU93" s="148"/>
      <c r="CV93" s="148"/>
      <c r="CW93" s="148"/>
      <c r="CX93" s="148"/>
      <c r="CY93" s="148"/>
      <c r="CZ93" s="148"/>
      <c r="DA93" s="148"/>
      <c r="DB93" s="148"/>
      <c r="DC93" s="148"/>
      <c r="DD93" s="148"/>
      <c r="DE93" s="148"/>
      <c r="DF93" s="148"/>
      <c r="DG93" s="148"/>
      <c r="DH93" s="148"/>
      <c r="DI93" s="148"/>
      <c r="DJ93" s="148"/>
      <c r="DK93" s="148"/>
      <c r="DL93" s="148"/>
      <c r="DM93" s="148"/>
      <c r="DN93" s="148"/>
      <c r="DO93" s="148"/>
      <c r="DP93" s="148"/>
      <c r="DQ93" s="148"/>
      <c r="DR93" s="148"/>
      <c r="DS93" s="148"/>
      <c r="DT93" s="148"/>
      <c r="DU93" s="148"/>
      <c r="DV93" s="148"/>
      <c r="DW93" s="148"/>
      <c r="DX93" s="148"/>
      <c r="DY93" s="148"/>
      <c r="DZ93" s="148"/>
      <c r="EA93" s="148"/>
      <c r="EB93" s="148"/>
      <c r="EC93" s="148"/>
      <c r="ED93" s="148"/>
      <c r="EE93" s="148"/>
      <c r="EF93" s="148"/>
      <c r="EG93" s="148"/>
      <c r="EH93" s="148"/>
      <c r="EI93" s="148"/>
      <c r="EJ93" s="148"/>
      <c r="EK93" s="148"/>
      <c r="EL93" s="148"/>
      <c r="EM93" s="148"/>
      <c r="EN93" s="148"/>
      <c r="EO93" s="148"/>
      <c r="EP93" s="148"/>
      <c r="EQ93" s="148"/>
      <c r="ER93" s="148"/>
      <c r="ES93" s="148"/>
      <c r="ET93" s="148"/>
      <c r="EU93" s="148"/>
      <c r="EV93" s="148"/>
      <c r="EW93" s="148"/>
      <c r="EX93" s="148"/>
      <c r="EY93" s="148"/>
      <c r="EZ93" s="148"/>
      <c r="FA93" s="148"/>
      <c r="FB93" s="148"/>
      <c r="FC93" s="148"/>
      <c r="FD93" s="148"/>
      <c r="FE93" s="148"/>
      <c r="FF93" s="148"/>
      <c r="FG93" s="148"/>
      <c r="FH93" s="148"/>
      <c r="FI93" s="148"/>
      <c r="FJ93" s="148"/>
      <c r="FK93" s="148"/>
      <c r="FL93" s="148"/>
      <c r="FM93" s="148"/>
      <c r="FN93" s="148"/>
      <c r="FO93" s="148"/>
      <c r="FP93" s="148"/>
      <c r="FQ93" s="148"/>
      <c r="FR93" s="148"/>
      <c r="FS93" s="148"/>
      <c r="FT93" s="148"/>
      <c r="FU93" s="148"/>
      <c r="FV93" s="148"/>
      <c r="FW93" s="148"/>
      <c r="FX93" s="148"/>
      <c r="FY93" s="148"/>
      <c r="FZ93" s="148"/>
      <c r="GA93" s="148"/>
      <c r="GB93" s="148"/>
      <c r="GC93" s="148"/>
      <c r="GD93" s="148"/>
      <c r="GE93" s="148"/>
      <c r="GF93" s="148"/>
      <c r="GG93" s="148"/>
      <c r="GH93" s="148"/>
      <c r="GI93" s="148"/>
      <c r="GJ93" s="148"/>
      <c r="GK93" s="148"/>
      <c r="GL93" s="148"/>
      <c r="GM93" s="148"/>
      <c r="GN93" s="148"/>
      <c r="GO93" s="148"/>
      <c r="GP93" s="148"/>
      <c r="GQ93" s="148"/>
      <c r="GR93" s="148"/>
      <c r="GS93" s="148"/>
      <c r="GT93" s="148"/>
      <c r="GU93" s="148"/>
      <c r="GV93" s="148"/>
      <c r="GW93" s="148"/>
      <c r="GX93" s="148"/>
      <c r="GY93" s="148"/>
      <c r="GZ93" s="148"/>
      <c r="HA93" s="148"/>
      <c r="HB93" s="148"/>
      <c r="HC93" s="148"/>
      <c r="HD93" s="148"/>
      <c r="HE93" s="148"/>
      <c r="HF93" s="148"/>
      <c r="HG93" s="148"/>
      <c r="HH93" s="148"/>
      <c r="HI93" s="148"/>
      <c r="HJ93" s="148"/>
      <c r="HK93" s="148"/>
      <c r="HL93" s="148"/>
      <c r="HM93" s="148"/>
      <c r="HN93" s="148"/>
      <c r="HO93" s="148"/>
      <c r="HP93" s="148"/>
      <c r="HQ93" s="148"/>
      <c r="HR93" s="148"/>
      <c r="HS93" s="148"/>
      <c r="HT93" s="148"/>
      <c r="HU93" s="148"/>
      <c r="HV93" s="148"/>
      <c r="HW93" s="148"/>
      <c r="HX93" s="148"/>
      <c r="HY93" s="148"/>
      <c r="HZ93" s="148"/>
      <c r="IA93" s="148"/>
      <c r="IB93" s="148"/>
      <c r="IC93" s="148"/>
      <c r="ID93" s="148"/>
      <c r="IE93" s="148"/>
      <c r="IF93" s="148"/>
      <c r="IG93" s="148"/>
      <c r="IH93" s="148"/>
      <c r="II93" s="148"/>
      <c r="IJ93" s="148"/>
      <c r="IK93" s="148"/>
      <c r="IL93" s="148"/>
      <c r="IM93" s="148"/>
      <c r="IN93" s="148"/>
      <c r="IO93" s="148"/>
      <c r="IP93" s="148"/>
      <c r="IQ93" s="148"/>
      <c r="IR93" s="148"/>
      <c r="IS93" s="148"/>
      <c r="IT93" s="148"/>
      <c r="IU93" s="148"/>
      <c r="IV93" s="148"/>
      <c r="IW93" s="148"/>
      <c r="IX93" s="148"/>
      <c r="IY93" s="148"/>
      <c r="IZ93" s="148"/>
      <c r="JA93" s="148"/>
      <c r="JB93" s="148"/>
    </row>
    <row r="94" spans="22:262" s="15" customFormat="1">
      <c r="V94" s="148"/>
      <c r="W94" s="148"/>
      <c r="X94" s="148"/>
      <c r="Y94" s="148"/>
      <c r="Z94" s="148"/>
      <c r="AA94" s="148"/>
      <c r="AB94" s="148"/>
      <c r="AC94" s="148"/>
      <c r="AD94" s="148"/>
      <c r="AE94" s="148"/>
      <c r="AF94" s="148"/>
      <c r="AG94" s="148"/>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c r="BI94" s="148"/>
      <c r="BJ94" s="148"/>
      <c r="BK94" s="148"/>
      <c r="BL94" s="148"/>
      <c r="BM94" s="148"/>
      <c r="BN94" s="148"/>
      <c r="BO94" s="148"/>
      <c r="BP94" s="148"/>
      <c r="BQ94" s="148"/>
      <c r="BR94" s="148"/>
      <c r="BS94" s="148"/>
      <c r="BT94" s="148"/>
      <c r="BU94" s="148"/>
      <c r="BV94" s="148"/>
      <c r="BW94" s="148"/>
      <c r="BX94" s="148"/>
      <c r="BY94" s="148"/>
      <c r="BZ94" s="148"/>
      <c r="CA94" s="148"/>
      <c r="CB94" s="148"/>
      <c r="CC94" s="148"/>
      <c r="CD94" s="148"/>
      <c r="CE94" s="148"/>
      <c r="CF94" s="148"/>
      <c r="CG94" s="148"/>
      <c r="CH94" s="148"/>
      <c r="CI94" s="148"/>
      <c r="CJ94" s="148"/>
      <c r="CK94" s="148"/>
      <c r="CL94" s="148"/>
      <c r="CM94" s="148"/>
      <c r="CN94" s="148"/>
      <c r="CO94" s="148"/>
      <c r="CP94" s="148"/>
      <c r="CQ94" s="148"/>
      <c r="CR94" s="148"/>
      <c r="CS94" s="148"/>
      <c r="CT94" s="148"/>
      <c r="CU94" s="148"/>
      <c r="CV94" s="148"/>
      <c r="CW94" s="148"/>
      <c r="CX94" s="148"/>
      <c r="CY94" s="148"/>
      <c r="CZ94" s="148"/>
      <c r="DA94" s="148"/>
      <c r="DB94" s="148"/>
      <c r="DC94" s="148"/>
      <c r="DD94" s="148"/>
      <c r="DE94" s="148"/>
      <c r="DF94" s="148"/>
      <c r="DG94" s="148"/>
      <c r="DH94" s="148"/>
      <c r="DI94" s="148"/>
      <c r="DJ94" s="148"/>
      <c r="DK94" s="148"/>
      <c r="DL94" s="148"/>
      <c r="DM94" s="148"/>
      <c r="DN94" s="148"/>
      <c r="DO94" s="148"/>
      <c r="DP94" s="148"/>
      <c r="DQ94" s="148"/>
      <c r="DR94" s="148"/>
      <c r="DS94" s="148"/>
      <c r="DT94" s="148"/>
      <c r="DU94" s="148"/>
      <c r="DV94" s="148"/>
      <c r="DW94" s="148"/>
      <c r="DX94" s="148"/>
      <c r="DY94" s="148"/>
      <c r="DZ94" s="148"/>
      <c r="EA94" s="148"/>
      <c r="EB94" s="148"/>
      <c r="EC94" s="148"/>
      <c r="ED94" s="148"/>
      <c r="EE94" s="148"/>
      <c r="EF94" s="148"/>
      <c r="EG94" s="148"/>
      <c r="EH94" s="148"/>
      <c r="EI94" s="148"/>
      <c r="EJ94" s="148"/>
      <c r="EK94" s="148"/>
      <c r="EL94" s="148"/>
      <c r="EM94" s="148"/>
      <c r="EN94" s="148"/>
      <c r="EO94" s="148"/>
      <c r="EP94" s="148"/>
      <c r="EQ94" s="148"/>
      <c r="ER94" s="148"/>
      <c r="ES94" s="148"/>
      <c r="ET94" s="148"/>
      <c r="EU94" s="148"/>
      <c r="EV94" s="148"/>
      <c r="EW94" s="148"/>
      <c r="EX94" s="148"/>
      <c r="EY94" s="148"/>
      <c r="EZ94" s="148"/>
      <c r="FA94" s="148"/>
      <c r="FB94" s="148"/>
      <c r="FC94" s="148"/>
      <c r="FD94" s="148"/>
      <c r="FE94" s="148"/>
      <c r="FF94" s="148"/>
      <c r="FG94" s="148"/>
      <c r="FH94" s="148"/>
      <c r="FI94" s="148"/>
      <c r="FJ94" s="148"/>
      <c r="FK94" s="148"/>
      <c r="FL94" s="148"/>
      <c r="FM94" s="148"/>
      <c r="FN94" s="148"/>
      <c r="FO94" s="148"/>
      <c r="FP94" s="148"/>
      <c r="FQ94" s="148"/>
      <c r="FR94" s="148"/>
      <c r="FS94" s="148"/>
      <c r="FT94" s="148"/>
      <c r="FU94" s="148"/>
      <c r="FV94" s="148"/>
      <c r="FW94" s="148"/>
      <c r="FX94" s="148"/>
      <c r="FY94" s="148"/>
      <c r="FZ94" s="148"/>
      <c r="GA94" s="148"/>
      <c r="GB94" s="148"/>
      <c r="GC94" s="148"/>
      <c r="GD94" s="148"/>
      <c r="GE94" s="148"/>
      <c r="GF94" s="148"/>
      <c r="GG94" s="148"/>
      <c r="GH94" s="148"/>
      <c r="GI94" s="148"/>
      <c r="GJ94" s="148"/>
      <c r="GK94" s="148"/>
      <c r="GL94" s="148"/>
      <c r="GM94" s="148"/>
      <c r="GN94" s="148"/>
      <c r="GO94" s="148"/>
      <c r="GP94" s="148"/>
      <c r="GQ94" s="148"/>
      <c r="GR94" s="148"/>
      <c r="GS94" s="148"/>
      <c r="GT94" s="148"/>
      <c r="GU94" s="148"/>
      <c r="GV94" s="148"/>
      <c r="GW94" s="148"/>
      <c r="GX94" s="148"/>
      <c r="GY94" s="148"/>
      <c r="GZ94" s="148"/>
      <c r="HA94" s="148"/>
      <c r="HB94" s="148"/>
      <c r="HC94" s="148"/>
      <c r="HD94" s="148"/>
      <c r="HE94" s="148"/>
      <c r="HF94" s="148"/>
      <c r="HG94" s="148"/>
      <c r="HH94" s="148"/>
      <c r="HI94" s="148"/>
      <c r="HJ94" s="148"/>
      <c r="HK94" s="148"/>
      <c r="HL94" s="148"/>
      <c r="HM94" s="148"/>
      <c r="HN94" s="148"/>
      <c r="HO94" s="148"/>
      <c r="HP94" s="148"/>
      <c r="HQ94" s="148"/>
      <c r="HR94" s="148"/>
      <c r="HS94" s="148"/>
      <c r="HT94" s="148"/>
      <c r="HU94" s="148"/>
      <c r="HV94" s="148"/>
      <c r="HW94" s="148"/>
      <c r="HX94" s="148"/>
      <c r="HY94" s="148"/>
      <c r="HZ94" s="148"/>
      <c r="IA94" s="148"/>
      <c r="IB94" s="148"/>
      <c r="IC94" s="148"/>
      <c r="ID94" s="148"/>
      <c r="IE94" s="148"/>
      <c r="IF94" s="148"/>
      <c r="IG94" s="148"/>
      <c r="IH94" s="148"/>
      <c r="II94" s="148"/>
      <c r="IJ94" s="148"/>
      <c r="IK94" s="148"/>
      <c r="IL94" s="148"/>
      <c r="IM94" s="148"/>
      <c r="IN94" s="148"/>
      <c r="IO94" s="148"/>
      <c r="IP94" s="148"/>
      <c r="IQ94" s="148"/>
      <c r="IR94" s="148"/>
      <c r="IS94" s="148"/>
      <c r="IT94" s="148"/>
      <c r="IU94" s="148"/>
      <c r="IV94" s="148"/>
      <c r="IW94" s="148"/>
      <c r="IX94" s="148"/>
      <c r="IY94" s="148"/>
      <c r="IZ94" s="148"/>
      <c r="JA94" s="148"/>
      <c r="JB94" s="148"/>
    </row>
    <row r="95" spans="22:262" s="15" customFormat="1">
      <c r="V95" s="148"/>
      <c r="W95" s="148"/>
      <c r="X95" s="148"/>
      <c r="Y95" s="148"/>
      <c r="Z95" s="148"/>
      <c r="AA95" s="148"/>
      <c r="AB95" s="148"/>
      <c r="AC95" s="148"/>
      <c r="AD95" s="148"/>
      <c r="AE95" s="148"/>
      <c r="AF95" s="148"/>
      <c r="AG95" s="148"/>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c r="BI95" s="148"/>
      <c r="BJ95" s="148"/>
      <c r="BK95" s="148"/>
      <c r="BL95" s="148"/>
      <c r="BM95" s="148"/>
      <c r="BN95" s="148"/>
      <c r="BO95" s="148"/>
      <c r="BP95" s="148"/>
      <c r="BQ95" s="148"/>
      <c r="BR95" s="148"/>
      <c r="BS95" s="148"/>
      <c r="BT95" s="148"/>
      <c r="BU95" s="148"/>
      <c r="BV95" s="148"/>
      <c r="BW95" s="148"/>
      <c r="BX95" s="148"/>
      <c r="BY95" s="148"/>
      <c r="BZ95" s="148"/>
      <c r="CA95" s="148"/>
      <c r="CB95" s="148"/>
      <c r="CC95" s="148"/>
      <c r="CD95" s="148"/>
      <c r="CE95" s="148"/>
      <c r="CF95" s="148"/>
      <c r="CG95" s="148"/>
      <c r="CH95" s="148"/>
      <c r="CI95" s="148"/>
      <c r="CJ95" s="148"/>
      <c r="CK95" s="148"/>
      <c r="CL95" s="148"/>
      <c r="CM95" s="148"/>
      <c r="CN95" s="148"/>
      <c r="CO95" s="148"/>
      <c r="CP95" s="148"/>
      <c r="CQ95" s="148"/>
      <c r="CR95" s="148"/>
      <c r="CS95" s="148"/>
      <c r="CT95" s="148"/>
      <c r="CU95" s="148"/>
      <c r="CV95" s="148"/>
      <c r="CW95" s="148"/>
      <c r="CX95" s="148"/>
      <c r="CY95" s="148"/>
      <c r="CZ95" s="148"/>
      <c r="DA95" s="148"/>
      <c r="DB95" s="148"/>
      <c r="DC95" s="148"/>
      <c r="DD95" s="148"/>
      <c r="DE95" s="148"/>
      <c r="DF95" s="148"/>
      <c r="DG95" s="148"/>
      <c r="DH95" s="148"/>
      <c r="DI95" s="148"/>
      <c r="DJ95" s="148"/>
      <c r="DK95" s="148"/>
      <c r="DL95" s="148"/>
      <c r="DM95" s="148"/>
      <c r="DN95" s="148"/>
      <c r="DO95" s="148"/>
      <c r="DP95" s="148"/>
      <c r="DQ95" s="148"/>
      <c r="DR95" s="148"/>
      <c r="DS95" s="148"/>
      <c r="DT95" s="148"/>
      <c r="DU95" s="148"/>
      <c r="DV95" s="148"/>
      <c r="DW95" s="148"/>
      <c r="DX95" s="148"/>
      <c r="DY95" s="148"/>
      <c r="DZ95" s="148"/>
      <c r="EA95" s="148"/>
      <c r="EB95" s="148"/>
      <c r="EC95" s="148"/>
      <c r="ED95" s="148"/>
      <c r="EE95" s="148"/>
      <c r="EF95" s="148"/>
      <c r="EG95" s="148"/>
      <c r="EH95" s="148"/>
      <c r="EI95" s="148"/>
      <c r="EJ95" s="148"/>
      <c r="EK95" s="148"/>
      <c r="EL95" s="148"/>
      <c r="EM95" s="148"/>
      <c r="EN95" s="148"/>
      <c r="EO95" s="148"/>
      <c r="EP95" s="148"/>
      <c r="EQ95" s="148"/>
      <c r="ER95" s="148"/>
      <c r="ES95" s="148"/>
      <c r="ET95" s="148"/>
      <c r="EU95" s="148"/>
      <c r="EV95" s="148"/>
      <c r="EW95" s="148"/>
      <c r="EX95" s="148"/>
      <c r="EY95" s="148"/>
      <c r="EZ95" s="148"/>
      <c r="FA95" s="148"/>
      <c r="FB95" s="148"/>
      <c r="FC95" s="148"/>
      <c r="FD95" s="148"/>
      <c r="FE95" s="148"/>
      <c r="FF95" s="148"/>
      <c r="FG95" s="148"/>
      <c r="FH95" s="148"/>
      <c r="FI95" s="148"/>
      <c r="FJ95" s="148"/>
      <c r="FK95" s="148"/>
      <c r="FL95" s="148"/>
      <c r="FM95" s="148"/>
      <c r="FN95" s="148"/>
      <c r="FO95" s="148"/>
      <c r="FP95" s="148"/>
      <c r="FQ95" s="148"/>
      <c r="FR95" s="148"/>
      <c r="FS95" s="148"/>
      <c r="FT95" s="148"/>
      <c r="FU95" s="148"/>
      <c r="FV95" s="148"/>
      <c r="FW95" s="148"/>
      <c r="FX95" s="148"/>
      <c r="FY95" s="148"/>
      <c r="FZ95" s="148"/>
      <c r="GA95" s="148"/>
      <c r="GB95" s="148"/>
      <c r="GC95" s="148"/>
      <c r="GD95" s="148"/>
      <c r="GE95" s="148"/>
      <c r="GF95" s="148"/>
      <c r="GG95" s="148"/>
      <c r="GH95" s="148"/>
      <c r="GI95" s="148"/>
      <c r="GJ95" s="148"/>
      <c r="GK95" s="148"/>
      <c r="GL95" s="148"/>
      <c r="GM95" s="148"/>
      <c r="GN95" s="148"/>
      <c r="GO95" s="148"/>
      <c r="GP95" s="148"/>
      <c r="GQ95" s="148"/>
      <c r="GR95" s="148"/>
      <c r="GS95" s="148"/>
      <c r="GT95" s="148"/>
      <c r="GU95" s="148"/>
      <c r="GV95" s="148"/>
      <c r="GW95" s="148"/>
      <c r="GX95" s="148"/>
      <c r="GY95" s="148"/>
      <c r="GZ95" s="148"/>
      <c r="HA95" s="148"/>
      <c r="HB95" s="148"/>
      <c r="HC95" s="148"/>
      <c r="HD95" s="148"/>
      <c r="HE95" s="148"/>
      <c r="HF95" s="148"/>
      <c r="HG95" s="148"/>
      <c r="HH95" s="148"/>
      <c r="HI95" s="148"/>
      <c r="HJ95" s="148"/>
      <c r="HK95" s="148"/>
      <c r="HL95" s="148"/>
      <c r="HM95" s="148"/>
      <c r="HN95" s="148"/>
      <c r="HO95" s="148"/>
      <c r="HP95" s="148"/>
      <c r="HQ95" s="148"/>
      <c r="HR95" s="148"/>
      <c r="HS95" s="148"/>
      <c r="HT95" s="148"/>
      <c r="HU95" s="148"/>
      <c r="HV95" s="148"/>
      <c r="HW95" s="148"/>
      <c r="HX95" s="148"/>
      <c r="HY95" s="148"/>
      <c r="HZ95" s="148"/>
      <c r="IA95" s="148"/>
      <c r="IB95" s="148"/>
      <c r="IC95" s="148"/>
      <c r="ID95" s="148"/>
      <c r="IE95" s="148"/>
      <c r="IF95" s="148"/>
      <c r="IG95" s="148"/>
      <c r="IH95" s="148"/>
      <c r="II95" s="148"/>
      <c r="IJ95" s="148"/>
      <c r="IK95" s="148"/>
      <c r="IL95" s="148"/>
      <c r="IM95" s="148"/>
      <c r="IN95" s="148"/>
      <c r="IO95" s="148"/>
      <c r="IP95" s="148"/>
      <c r="IQ95" s="148"/>
      <c r="IR95" s="148"/>
      <c r="IS95" s="148"/>
      <c r="IT95" s="148"/>
      <c r="IU95" s="148"/>
      <c r="IV95" s="148"/>
      <c r="IW95" s="148"/>
      <c r="IX95" s="148"/>
      <c r="IY95" s="148"/>
      <c r="IZ95" s="148"/>
      <c r="JA95" s="148"/>
      <c r="JB95" s="148"/>
    </row>
    <row r="96" spans="22:262" s="15" customFormat="1">
      <c r="V96" s="148"/>
      <c r="W96" s="148"/>
      <c r="X96" s="148"/>
      <c r="Y96" s="148"/>
      <c r="Z96" s="148"/>
      <c r="AA96" s="148"/>
      <c r="AB96" s="148"/>
      <c r="AC96" s="148"/>
      <c r="AD96" s="148"/>
      <c r="AE96" s="148"/>
      <c r="AF96" s="148"/>
      <c r="AG96" s="148"/>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c r="BI96" s="148"/>
      <c r="BJ96" s="148"/>
      <c r="BK96" s="148"/>
      <c r="BL96" s="148"/>
      <c r="BM96" s="148"/>
      <c r="BN96" s="148"/>
      <c r="BO96" s="148"/>
      <c r="BP96" s="148"/>
      <c r="BQ96" s="148"/>
      <c r="BR96" s="148"/>
      <c r="BS96" s="148"/>
      <c r="BT96" s="148"/>
      <c r="BU96" s="148"/>
      <c r="BV96" s="148"/>
      <c r="BW96" s="148"/>
      <c r="BX96" s="148"/>
      <c r="BY96" s="148"/>
      <c r="BZ96" s="148"/>
      <c r="CA96" s="148"/>
      <c r="CB96" s="148"/>
      <c r="CC96" s="148"/>
      <c r="CD96" s="148"/>
      <c r="CE96" s="148"/>
      <c r="CF96" s="148"/>
      <c r="CG96" s="148"/>
      <c r="CH96" s="148"/>
      <c r="CI96" s="148"/>
      <c r="CJ96" s="148"/>
      <c r="CK96" s="148"/>
      <c r="CL96" s="148"/>
      <c r="CM96" s="148"/>
      <c r="CN96" s="148"/>
      <c r="CO96" s="148"/>
      <c r="CP96" s="148"/>
      <c r="CQ96" s="148"/>
      <c r="CR96" s="148"/>
      <c r="CS96" s="148"/>
      <c r="CT96" s="148"/>
      <c r="CU96" s="148"/>
      <c r="CV96" s="148"/>
      <c r="CW96" s="148"/>
      <c r="CX96" s="148"/>
      <c r="CY96" s="148"/>
      <c r="CZ96" s="148"/>
      <c r="DA96" s="148"/>
      <c r="DB96" s="148"/>
      <c r="DC96" s="148"/>
      <c r="DD96" s="148"/>
      <c r="DE96" s="148"/>
      <c r="DF96" s="148"/>
      <c r="DG96" s="148"/>
      <c r="DH96" s="148"/>
      <c r="DI96" s="148"/>
      <c r="DJ96" s="148"/>
      <c r="DK96" s="148"/>
      <c r="DL96" s="148"/>
      <c r="DM96" s="148"/>
      <c r="DN96" s="148"/>
      <c r="DO96" s="148"/>
      <c r="DP96" s="148"/>
      <c r="DQ96" s="148"/>
      <c r="DR96" s="148"/>
      <c r="DS96" s="148"/>
      <c r="DT96" s="148"/>
      <c r="DU96" s="148"/>
      <c r="DV96" s="148"/>
      <c r="DW96" s="148"/>
      <c r="DX96" s="148"/>
      <c r="DY96" s="148"/>
      <c r="DZ96" s="148"/>
      <c r="EA96" s="148"/>
      <c r="EB96" s="148"/>
      <c r="EC96" s="148"/>
      <c r="ED96" s="148"/>
      <c r="EE96" s="148"/>
      <c r="EF96" s="148"/>
      <c r="EG96" s="148"/>
      <c r="EH96" s="148"/>
      <c r="EI96" s="148"/>
      <c r="EJ96" s="148"/>
      <c r="EK96" s="148"/>
      <c r="EL96" s="148"/>
      <c r="EM96" s="148"/>
      <c r="EN96" s="148"/>
      <c r="EO96" s="148"/>
      <c r="EP96" s="148"/>
      <c r="EQ96" s="148"/>
      <c r="ER96" s="148"/>
      <c r="ES96" s="148"/>
      <c r="ET96" s="148"/>
      <c r="EU96" s="148"/>
      <c r="EV96" s="148"/>
      <c r="EW96" s="148"/>
      <c r="EX96" s="148"/>
      <c r="EY96" s="148"/>
      <c r="EZ96" s="148"/>
      <c r="FA96" s="148"/>
      <c r="FB96" s="148"/>
      <c r="FC96" s="148"/>
      <c r="FD96" s="148"/>
      <c r="FE96" s="148"/>
      <c r="FF96" s="148"/>
      <c r="FG96" s="148"/>
      <c r="FH96" s="148"/>
      <c r="FI96" s="148"/>
      <c r="FJ96" s="148"/>
      <c r="FK96" s="148"/>
      <c r="FL96" s="148"/>
      <c r="FM96" s="148"/>
      <c r="FN96" s="148"/>
      <c r="FO96" s="148"/>
      <c r="FP96" s="148"/>
      <c r="FQ96" s="148"/>
      <c r="FR96" s="148"/>
      <c r="FS96" s="148"/>
      <c r="FT96" s="148"/>
      <c r="FU96" s="148"/>
      <c r="FV96" s="148"/>
      <c r="FW96" s="148"/>
      <c r="FX96" s="148"/>
      <c r="FY96" s="148"/>
      <c r="FZ96" s="148"/>
      <c r="GA96" s="148"/>
      <c r="GB96" s="148"/>
      <c r="GC96" s="148"/>
      <c r="GD96" s="148"/>
      <c r="GE96" s="148"/>
      <c r="GF96" s="148"/>
      <c r="GG96" s="148"/>
      <c r="GH96" s="148"/>
      <c r="GI96" s="148"/>
      <c r="GJ96" s="148"/>
      <c r="GK96" s="148"/>
      <c r="GL96" s="148"/>
      <c r="GM96" s="148"/>
      <c r="GN96" s="148"/>
      <c r="GO96" s="148"/>
      <c r="GP96" s="148"/>
      <c r="GQ96" s="148"/>
      <c r="GR96" s="148"/>
      <c r="GS96" s="148"/>
      <c r="GT96" s="148"/>
      <c r="GU96" s="148"/>
      <c r="GV96" s="148"/>
      <c r="GW96" s="148"/>
      <c r="GX96" s="148"/>
      <c r="GY96" s="148"/>
      <c r="GZ96" s="148"/>
      <c r="HA96" s="148"/>
      <c r="HB96" s="148"/>
      <c r="HC96" s="148"/>
      <c r="HD96" s="148"/>
      <c r="HE96" s="148"/>
      <c r="HF96" s="148"/>
      <c r="HG96" s="148"/>
      <c r="HH96" s="148"/>
      <c r="HI96" s="148"/>
      <c r="HJ96" s="148"/>
      <c r="HK96" s="148"/>
      <c r="HL96" s="148"/>
      <c r="HM96" s="148"/>
      <c r="HN96" s="148"/>
      <c r="HO96" s="148"/>
      <c r="HP96" s="148"/>
      <c r="HQ96" s="148"/>
      <c r="HR96" s="148"/>
      <c r="HS96" s="148"/>
      <c r="HT96" s="148"/>
      <c r="HU96" s="148"/>
      <c r="HV96" s="148"/>
      <c r="HW96" s="148"/>
      <c r="HX96" s="148"/>
      <c r="HY96" s="148"/>
      <c r="HZ96" s="148"/>
      <c r="IA96" s="148"/>
      <c r="IB96" s="148"/>
      <c r="IC96" s="148"/>
      <c r="ID96" s="148"/>
      <c r="IE96" s="148"/>
      <c r="IF96" s="148"/>
      <c r="IG96" s="148"/>
      <c r="IH96" s="148"/>
      <c r="II96" s="148"/>
      <c r="IJ96" s="148"/>
      <c r="IK96" s="148"/>
      <c r="IL96" s="148"/>
      <c r="IM96" s="148"/>
      <c r="IN96" s="148"/>
      <c r="IO96" s="148"/>
      <c r="IP96" s="148"/>
      <c r="IQ96" s="148"/>
      <c r="IR96" s="148"/>
      <c r="IS96" s="148"/>
      <c r="IT96" s="148"/>
      <c r="IU96" s="148"/>
      <c r="IV96" s="148"/>
      <c r="IW96" s="148"/>
      <c r="IX96" s="148"/>
      <c r="IY96" s="148"/>
      <c r="IZ96" s="148"/>
      <c r="JA96" s="148"/>
      <c r="JB96" s="148"/>
    </row>
    <row r="97" spans="22:262" s="15" customFormat="1">
      <c r="V97" s="148"/>
      <c r="W97" s="148"/>
      <c r="X97" s="148"/>
      <c r="Y97" s="148"/>
      <c r="Z97" s="148"/>
      <c r="AA97" s="148"/>
      <c r="AB97" s="148"/>
      <c r="AC97" s="148"/>
      <c r="AD97" s="148"/>
      <c r="AE97" s="148"/>
      <c r="AF97" s="148"/>
      <c r="AG97" s="148"/>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c r="BI97" s="148"/>
      <c r="BJ97" s="148"/>
      <c r="BK97" s="148"/>
      <c r="BL97" s="148"/>
      <c r="BM97" s="148"/>
      <c r="BN97" s="148"/>
      <c r="BO97" s="148"/>
      <c r="BP97" s="148"/>
      <c r="BQ97" s="148"/>
      <c r="BR97" s="148"/>
      <c r="BS97" s="148"/>
      <c r="BT97" s="148"/>
      <c r="BU97" s="148"/>
      <c r="BV97" s="148"/>
      <c r="BW97" s="148"/>
      <c r="BX97" s="148"/>
      <c r="BY97" s="148"/>
      <c r="BZ97" s="148"/>
      <c r="CA97" s="148"/>
      <c r="CB97" s="148"/>
      <c r="CC97" s="148"/>
      <c r="CD97" s="148"/>
      <c r="CE97" s="148"/>
      <c r="CF97" s="148"/>
      <c r="CG97" s="148"/>
      <c r="CH97" s="148"/>
      <c r="CI97" s="148"/>
      <c r="CJ97" s="148"/>
      <c r="CK97" s="148"/>
      <c r="CL97" s="148"/>
      <c r="CM97" s="148"/>
      <c r="CN97" s="148"/>
      <c r="CO97" s="148"/>
      <c r="CP97" s="148"/>
      <c r="CQ97" s="148"/>
      <c r="CR97" s="148"/>
      <c r="CS97" s="148"/>
      <c r="CT97" s="148"/>
      <c r="CU97" s="148"/>
      <c r="CV97" s="148"/>
      <c r="CW97" s="148"/>
      <c r="CX97" s="148"/>
      <c r="CY97" s="148"/>
      <c r="CZ97" s="148"/>
      <c r="DA97" s="148"/>
      <c r="DB97" s="148"/>
      <c r="DC97" s="148"/>
      <c r="DD97" s="148"/>
      <c r="DE97" s="148"/>
      <c r="DF97" s="148"/>
      <c r="DG97" s="148"/>
      <c r="DH97" s="148"/>
      <c r="DI97" s="148"/>
      <c r="DJ97" s="148"/>
      <c r="DK97" s="148"/>
      <c r="DL97" s="148"/>
      <c r="DM97" s="148"/>
      <c r="DN97" s="148"/>
      <c r="DO97" s="148"/>
      <c r="DP97" s="148"/>
      <c r="DQ97" s="148"/>
      <c r="DR97" s="148"/>
      <c r="DS97" s="148"/>
      <c r="DT97" s="148"/>
      <c r="DU97" s="148"/>
      <c r="DV97" s="148"/>
      <c r="DW97" s="148"/>
      <c r="DX97" s="148"/>
      <c r="DY97" s="148"/>
      <c r="DZ97" s="148"/>
      <c r="EA97" s="148"/>
      <c r="EB97" s="148"/>
      <c r="EC97" s="148"/>
      <c r="ED97" s="148"/>
      <c r="EE97" s="148"/>
      <c r="EF97" s="148"/>
      <c r="EG97" s="148"/>
      <c r="EH97" s="148"/>
      <c r="EI97" s="148"/>
      <c r="EJ97" s="148"/>
      <c r="EK97" s="148"/>
      <c r="EL97" s="148"/>
      <c r="EM97" s="148"/>
      <c r="EN97" s="148"/>
      <c r="EO97" s="148"/>
      <c r="EP97" s="148"/>
      <c r="EQ97" s="148"/>
      <c r="ER97" s="148"/>
      <c r="ES97" s="148"/>
      <c r="ET97" s="148"/>
      <c r="EU97" s="148"/>
      <c r="EV97" s="148"/>
      <c r="EW97" s="148"/>
      <c r="EX97" s="148"/>
      <c r="EY97" s="148"/>
      <c r="EZ97" s="148"/>
      <c r="FA97" s="148"/>
      <c r="FB97" s="148"/>
      <c r="FC97" s="148"/>
      <c r="FD97" s="148"/>
      <c r="FE97" s="148"/>
      <c r="FF97" s="148"/>
      <c r="FG97" s="148"/>
      <c r="FH97" s="148"/>
      <c r="FI97" s="148"/>
      <c r="FJ97" s="148"/>
      <c r="FK97" s="148"/>
      <c r="FL97" s="148"/>
      <c r="FM97" s="148"/>
      <c r="FN97" s="148"/>
      <c r="FO97" s="148"/>
      <c r="FP97" s="148"/>
      <c r="FQ97" s="148"/>
      <c r="FR97" s="148"/>
      <c r="FS97" s="148"/>
      <c r="FT97" s="148"/>
      <c r="FU97" s="148"/>
      <c r="FV97" s="148"/>
      <c r="FW97" s="148"/>
      <c r="FX97" s="148"/>
      <c r="FY97" s="148"/>
      <c r="FZ97" s="148"/>
      <c r="GA97" s="148"/>
      <c r="GB97" s="148"/>
      <c r="GC97" s="148"/>
      <c r="GD97" s="148"/>
      <c r="GE97" s="148"/>
      <c r="GF97" s="148"/>
      <c r="GG97" s="148"/>
      <c r="GH97" s="148"/>
      <c r="GI97" s="148"/>
      <c r="GJ97" s="148"/>
      <c r="GK97" s="148"/>
      <c r="GL97" s="148"/>
      <c r="GM97" s="148"/>
      <c r="GN97" s="148"/>
      <c r="GO97" s="148"/>
      <c r="GP97" s="148"/>
      <c r="GQ97" s="148"/>
      <c r="GR97" s="148"/>
      <c r="GS97" s="148"/>
      <c r="GT97" s="148"/>
      <c r="GU97" s="148"/>
      <c r="GV97" s="148"/>
      <c r="GW97" s="148"/>
      <c r="GX97" s="148"/>
      <c r="GY97" s="148"/>
      <c r="GZ97" s="148"/>
      <c r="HA97" s="148"/>
      <c r="HB97" s="148"/>
      <c r="HC97" s="148"/>
      <c r="HD97" s="148"/>
      <c r="HE97" s="148"/>
      <c r="HF97" s="148"/>
      <c r="HG97" s="148"/>
      <c r="HH97" s="148"/>
      <c r="HI97" s="148"/>
      <c r="HJ97" s="148"/>
      <c r="HK97" s="148"/>
      <c r="HL97" s="148"/>
      <c r="HM97" s="148"/>
      <c r="HN97" s="148"/>
      <c r="HO97" s="148"/>
      <c r="HP97" s="148"/>
      <c r="HQ97" s="148"/>
      <c r="HR97" s="148"/>
      <c r="HS97" s="148"/>
      <c r="HT97" s="148"/>
      <c r="HU97" s="148"/>
      <c r="HV97" s="148"/>
      <c r="HW97" s="148"/>
      <c r="HX97" s="148"/>
      <c r="HY97" s="148"/>
      <c r="HZ97" s="148"/>
      <c r="IA97" s="148"/>
      <c r="IB97" s="148"/>
      <c r="IC97" s="148"/>
      <c r="ID97" s="148"/>
      <c r="IE97" s="148"/>
      <c r="IF97" s="148"/>
      <c r="IG97" s="148"/>
      <c r="IH97" s="148"/>
      <c r="II97" s="148"/>
      <c r="IJ97" s="148"/>
      <c r="IK97" s="148"/>
      <c r="IL97" s="148"/>
      <c r="IM97" s="148"/>
      <c r="IN97" s="148"/>
      <c r="IO97" s="148"/>
      <c r="IP97" s="148"/>
      <c r="IQ97" s="148"/>
      <c r="IR97" s="148"/>
      <c r="IS97" s="148"/>
      <c r="IT97" s="148"/>
      <c r="IU97" s="148"/>
      <c r="IV97" s="148"/>
      <c r="IW97" s="148"/>
      <c r="IX97" s="148"/>
      <c r="IY97" s="148"/>
      <c r="IZ97" s="148"/>
      <c r="JA97" s="148"/>
      <c r="JB97" s="148"/>
    </row>
    <row r="98" spans="22:262" s="15" customFormat="1">
      <c r="V98" s="148"/>
      <c r="W98" s="148"/>
      <c r="X98" s="148"/>
      <c r="Y98" s="148"/>
      <c r="Z98" s="148"/>
      <c r="AA98" s="148"/>
      <c r="AB98" s="148"/>
      <c r="AC98" s="148"/>
      <c r="AD98" s="148"/>
      <c r="AE98" s="148"/>
      <c r="AF98" s="148"/>
      <c r="AG98" s="148"/>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c r="BI98" s="148"/>
      <c r="BJ98" s="148"/>
      <c r="BK98" s="148"/>
      <c r="BL98" s="148"/>
      <c r="BM98" s="148"/>
      <c r="BN98" s="148"/>
      <c r="BO98" s="148"/>
      <c r="BP98" s="148"/>
      <c r="BQ98" s="148"/>
      <c r="BR98" s="148"/>
      <c r="BS98" s="148"/>
      <c r="BT98" s="148"/>
      <c r="BU98" s="148"/>
      <c r="BV98" s="148"/>
      <c r="BW98" s="148"/>
      <c r="BX98" s="148"/>
      <c r="BY98" s="148"/>
      <c r="BZ98" s="148"/>
      <c r="CA98" s="148"/>
      <c r="CB98" s="148"/>
      <c r="CC98" s="148"/>
      <c r="CD98" s="148"/>
      <c r="CE98" s="148"/>
      <c r="CF98" s="148"/>
      <c r="CG98" s="148"/>
      <c r="CH98" s="148"/>
      <c r="CI98" s="148"/>
      <c r="CJ98" s="148"/>
      <c r="CK98" s="148"/>
      <c r="CL98" s="148"/>
      <c r="CM98" s="148"/>
      <c r="CN98" s="148"/>
      <c r="CO98" s="148"/>
      <c r="CP98" s="148"/>
      <c r="CQ98" s="148"/>
      <c r="CR98" s="148"/>
      <c r="CS98" s="148"/>
      <c r="CT98" s="148"/>
      <c r="CU98" s="148"/>
      <c r="CV98" s="148"/>
      <c r="CW98" s="148"/>
      <c r="CX98" s="148"/>
      <c r="CY98" s="148"/>
      <c r="CZ98" s="148"/>
      <c r="DA98" s="148"/>
      <c r="DB98" s="148"/>
      <c r="DC98" s="148"/>
      <c r="DD98" s="148"/>
      <c r="DE98" s="148"/>
      <c r="DF98" s="148"/>
      <c r="DG98" s="148"/>
      <c r="DH98" s="148"/>
      <c r="DI98" s="148"/>
      <c r="DJ98" s="148"/>
      <c r="DK98" s="148"/>
      <c r="DL98" s="148"/>
      <c r="DM98" s="148"/>
      <c r="DN98" s="148"/>
      <c r="DO98" s="148"/>
      <c r="DP98" s="148"/>
      <c r="DQ98" s="148"/>
      <c r="DR98" s="148"/>
      <c r="DS98" s="148"/>
      <c r="DT98" s="148"/>
      <c r="DU98" s="148"/>
      <c r="DV98" s="148"/>
      <c r="DW98" s="148"/>
      <c r="DX98" s="148"/>
      <c r="DY98" s="148"/>
      <c r="DZ98" s="148"/>
      <c r="EA98" s="148"/>
      <c r="EB98" s="148"/>
      <c r="EC98" s="148"/>
      <c r="ED98" s="148"/>
      <c r="EE98" s="148"/>
      <c r="EF98" s="148"/>
      <c r="EG98" s="148"/>
      <c r="EH98" s="148"/>
      <c r="EI98" s="148"/>
      <c r="EJ98" s="148"/>
      <c r="EK98" s="148"/>
      <c r="EL98" s="148"/>
      <c r="EM98" s="148"/>
      <c r="EN98" s="148"/>
      <c r="EO98" s="148"/>
      <c r="EP98" s="148"/>
      <c r="EQ98" s="148"/>
      <c r="ER98" s="148"/>
      <c r="ES98" s="148"/>
      <c r="ET98" s="148"/>
      <c r="EU98" s="148"/>
      <c r="EV98" s="148"/>
      <c r="EW98" s="148"/>
      <c r="EX98" s="148"/>
      <c r="EY98" s="148"/>
      <c r="EZ98" s="148"/>
      <c r="FA98" s="148"/>
      <c r="FB98" s="148"/>
      <c r="FC98" s="148"/>
      <c r="FD98" s="148"/>
      <c r="FE98" s="148"/>
      <c r="FF98" s="148"/>
      <c r="FG98" s="148"/>
      <c r="FH98" s="148"/>
      <c r="FI98" s="148"/>
      <c r="FJ98" s="148"/>
      <c r="FK98" s="148"/>
      <c r="FL98" s="148"/>
      <c r="FM98" s="148"/>
      <c r="FN98" s="148"/>
      <c r="FO98" s="148"/>
      <c r="FP98" s="148"/>
      <c r="FQ98" s="148"/>
      <c r="FR98" s="148"/>
      <c r="FS98" s="148"/>
      <c r="FT98" s="148"/>
      <c r="FU98" s="148"/>
      <c r="FV98" s="148"/>
      <c r="FW98" s="148"/>
      <c r="FX98" s="148"/>
      <c r="FY98" s="148"/>
      <c r="FZ98" s="148"/>
      <c r="GA98" s="148"/>
      <c r="GB98" s="148"/>
      <c r="GC98" s="148"/>
      <c r="GD98" s="148"/>
      <c r="GE98" s="148"/>
      <c r="GF98" s="148"/>
      <c r="GG98" s="148"/>
      <c r="GH98" s="148"/>
      <c r="GI98" s="148"/>
      <c r="GJ98" s="148"/>
      <c r="GK98" s="148"/>
      <c r="GL98" s="148"/>
      <c r="GM98" s="148"/>
      <c r="GN98" s="148"/>
      <c r="GO98" s="148"/>
      <c r="GP98" s="148"/>
      <c r="GQ98" s="148"/>
      <c r="GR98" s="148"/>
      <c r="GS98" s="148"/>
      <c r="GT98" s="148"/>
      <c r="GU98" s="148"/>
      <c r="GV98" s="148"/>
      <c r="GW98" s="148"/>
      <c r="GX98" s="148"/>
      <c r="GY98" s="148"/>
      <c r="GZ98" s="148"/>
      <c r="HA98" s="148"/>
      <c r="HB98" s="148"/>
      <c r="HC98" s="148"/>
      <c r="HD98" s="148"/>
      <c r="HE98" s="148"/>
      <c r="HF98" s="148"/>
      <c r="HG98" s="148"/>
      <c r="HH98" s="148"/>
      <c r="HI98" s="148"/>
      <c r="HJ98" s="148"/>
      <c r="HK98" s="148"/>
      <c r="HL98" s="148"/>
      <c r="HM98" s="148"/>
      <c r="HN98" s="148"/>
      <c r="HO98" s="148"/>
      <c r="HP98" s="148"/>
      <c r="HQ98" s="148"/>
      <c r="HR98" s="148"/>
      <c r="HS98" s="148"/>
      <c r="HT98" s="148"/>
      <c r="HU98" s="148"/>
      <c r="HV98" s="148"/>
      <c r="HW98" s="148"/>
      <c r="HX98" s="148"/>
      <c r="HY98" s="148"/>
      <c r="HZ98" s="148"/>
      <c r="IA98" s="148"/>
      <c r="IB98" s="148"/>
      <c r="IC98" s="148"/>
      <c r="ID98" s="148"/>
      <c r="IE98" s="148"/>
      <c r="IF98" s="148"/>
      <c r="IG98" s="148"/>
      <c r="IH98" s="148"/>
      <c r="II98" s="148"/>
      <c r="IJ98" s="148"/>
      <c r="IK98" s="148"/>
      <c r="IL98" s="148"/>
      <c r="IM98" s="148"/>
      <c r="IN98" s="148"/>
      <c r="IO98" s="148"/>
      <c r="IP98" s="148"/>
      <c r="IQ98" s="148"/>
      <c r="IR98" s="148"/>
      <c r="IS98" s="148"/>
      <c r="IT98" s="148"/>
      <c r="IU98" s="148"/>
      <c r="IV98" s="148"/>
      <c r="IW98" s="148"/>
      <c r="IX98" s="148"/>
      <c r="IY98" s="148"/>
      <c r="IZ98" s="148"/>
      <c r="JA98" s="148"/>
      <c r="JB98" s="148"/>
    </row>
    <row r="99" spans="22:262" s="15" customFormat="1">
      <c r="V99" s="148"/>
      <c r="W99" s="148"/>
      <c r="X99" s="148"/>
      <c r="Y99" s="148"/>
      <c r="Z99" s="148"/>
      <c r="AA99" s="148"/>
      <c r="AB99" s="148"/>
      <c r="AC99" s="148"/>
      <c r="AD99" s="148"/>
      <c r="AE99" s="148"/>
      <c r="AF99" s="148"/>
      <c r="AG99" s="148"/>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8"/>
      <c r="BR99" s="148"/>
      <c r="BS99" s="148"/>
      <c r="BT99" s="148"/>
      <c r="BU99" s="148"/>
      <c r="BV99" s="148"/>
      <c r="BW99" s="148"/>
      <c r="BX99" s="148"/>
      <c r="BY99" s="148"/>
      <c r="BZ99" s="148"/>
      <c r="CA99" s="148"/>
      <c r="CB99" s="148"/>
      <c r="CC99" s="148"/>
      <c r="CD99" s="148"/>
      <c r="CE99" s="148"/>
      <c r="CF99" s="148"/>
      <c r="CG99" s="148"/>
      <c r="CH99" s="148"/>
      <c r="CI99" s="148"/>
      <c r="CJ99" s="148"/>
      <c r="CK99" s="148"/>
      <c r="CL99" s="148"/>
      <c r="CM99" s="148"/>
      <c r="CN99" s="148"/>
      <c r="CO99" s="148"/>
      <c r="CP99" s="148"/>
      <c r="CQ99" s="148"/>
      <c r="CR99" s="148"/>
      <c r="CS99" s="148"/>
      <c r="CT99" s="148"/>
      <c r="CU99" s="148"/>
      <c r="CV99" s="148"/>
      <c r="CW99" s="148"/>
      <c r="CX99" s="148"/>
      <c r="CY99" s="148"/>
      <c r="CZ99" s="148"/>
      <c r="DA99" s="148"/>
      <c r="DB99" s="148"/>
      <c r="DC99" s="148"/>
      <c r="DD99" s="148"/>
      <c r="DE99" s="148"/>
      <c r="DF99" s="148"/>
      <c r="DG99" s="148"/>
      <c r="DH99" s="148"/>
      <c r="DI99" s="148"/>
      <c r="DJ99" s="148"/>
      <c r="DK99" s="148"/>
      <c r="DL99" s="148"/>
      <c r="DM99" s="148"/>
      <c r="DN99" s="148"/>
      <c r="DO99" s="148"/>
      <c r="DP99" s="148"/>
      <c r="DQ99" s="148"/>
      <c r="DR99" s="148"/>
      <c r="DS99" s="148"/>
      <c r="DT99" s="148"/>
      <c r="DU99" s="148"/>
      <c r="DV99" s="148"/>
      <c r="DW99" s="148"/>
      <c r="DX99" s="148"/>
      <c r="DY99" s="148"/>
      <c r="DZ99" s="148"/>
      <c r="EA99" s="148"/>
      <c r="EB99" s="148"/>
      <c r="EC99" s="148"/>
      <c r="ED99" s="148"/>
      <c r="EE99" s="148"/>
      <c r="EF99" s="148"/>
      <c r="EG99" s="148"/>
      <c r="EH99" s="148"/>
      <c r="EI99" s="148"/>
      <c r="EJ99" s="148"/>
      <c r="EK99" s="148"/>
      <c r="EL99" s="148"/>
      <c r="EM99" s="148"/>
      <c r="EN99" s="148"/>
      <c r="EO99" s="148"/>
      <c r="EP99" s="148"/>
      <c r="EQ99" s="148"/>
      <c r="ER99" s="148"/>
      <c r="ES99" s="148"/>
      <c r="ET99" s="148"/>
      <c r="EU99" s="148"/>
      <c r="EV99" s="148"/>
      <c r="EW99" s="148"/>
      <c r="EX99" s="148"/>
      <c r="EY99" s="148"/>
      <c r="EZ99" s="148"/>
      <c r="FA99" s="148"/>
      <c r="FB99" s="148"/>
      <c r="FC99" s="148"/>
      <c r="FD99" s="148"/>
      <c r="FE99" s="148"/>
      <c r="FF99" s="148"/>
      <c r="FG99" s="148"/>
      <c r="FH99" s="148"/>
      <c r="FI99" s="148"/>
      <c r="FJ99" s="148"/>
      <c r="FK99" s="148"/>
      <c r="FL99" s="148"/>
      <c r="FM99" s="148"/>
      <c r="FN99" s="148"/>
      <c r="FO99" s="148"/>
      <c r="FP99" s="148"/>
      <c r="FQ99" s="148"/>
      <c r="FR99" s="148"/>
      <c r="FS99" s="148"/>
      <c r="FT99" s="148"/>
      <c r="FU99" s="148"/>
      <c r="FV99" s="148"/>
      <c r="FW99" s="148"/>
      <c r="FX99" s="148"/>
      <c r="FY99" s="148"/>
      <c r="FZ99" s="148"/>
      <c r="GA99" s="148"/>
      <c r="GB99" s="148"/>
      <c r="GC99" s="148"/>
      <c r="GD99" s="148"/>
      <c r="GE99" s="148"/>
      <c r="GF99" s="148"/>
      <c r="GG99" s="148"/>
      <c r="GH99" s="148"/>
      <c r="GI99" s="148"/>
      <c r="GJ99" s="148"/>
      <c r="GK99" s="148"/>
      <c r="GL99" s="148"/>
      <c r="GM99" s="148"/>
      <c r="GN99" s="148"/>
      <c r="GO99" s="148"/>
      <c r="GP99" s="148"/>
      <c r="GQ99" s="148"/>
      <c r="GR99" s="148"/>
      <c r="GS99" s="148"/>
      <c r="GT99" s="148"/>
      <c r="GU99" s="148"/>
      <c r="GV99" s="148"/>
      <c r="GW99" s="148"/>
      <c r="GX99" s="148"/>
      <c r="GY99" s="148"/>
      <c r="GZ99" s="148"/>
      <c r="HA99" s="148"/>
      <c r="HB99" s="148"/>
      <c r="HC99" s="148"/>
      <c r="HD99" s="148"/>
      <c r="HE99" s="148"/>
      <c r="HF99" s="148"/>
      <c r="HG99" s="148"/>
      <c r="HH99" s="148"/>
      <c r="HI99" s="148"/>
      <c r="HJ99" s="148"/>
      <c r="HK99" s="148"/>
      <c r="HL99" s="148"/>
      <c r="HM99" s="148"/>
      <c r="HN99" s="148"/>
      <c r="HO99" s="148"/>
      <c r="HP99" s="148"/>
      <c r="HQ99" s="148"/>
      <c r="HR99" s="148"/>
      <c r="HS99" s="148"/>
      <c r="HT99" s="148"/>
      <c r="HU99" s="148"/>
      <c r="HV99" s="148"/>
      <c r="HW99" s="148"/>
      <c r="HX99" s="148"/>
      <c r="HY99" s="148"/>
      <c r="HZ99" s="148"/>
      <c r="IA99" s="148"/>
      <c r="IB99" s="148"/>
      <c r="IC99" s="148"/>
      <c r="ID99" s="148"/>
      <c r="IE99" s="148"/>
      <c r="IF99" s="148"/>
      <c r="IG99" s="148"/>
      <c r="IH99" s="148"/>
      <c r="II99" s="148"/>
      <c r="IJ99" s="148"/>
      <c r="IK99" s="148"/>
      <c r="IL99" s="148"/>
      <c r="IM99" s="148"/>
      <c r="IN99" s="148"/>
      <c r="IO99" s="148"/>
      <c r="IP99" s="148"/>
      <c r="IQ99" s="148"/>
      <c r="IR99" s="148"/>
      <c r="IS99" s="148"/>
      <c r="IT99" s="148"/>
      <c r="IU99" s="148"/>
      <c r="IV99" s="148"/>
      <c r="IW99" s="148"/>
      <c r="IX99" s="148"/>
      <c r="IY99" s="148"/>
      <c r="IZ99" s="148"/>
      <c r="JA99" s="148"/>
      <c r="JB99" s="148"/>
    </row>
    <row r="100" spans="22:262" s="15" customFormat="1">
      <c r="V100" s="148"/>
      <c r="W100" s="148"/>
      <c r="X100" s="148"/>
      <c r="Y100" s="148"/>
      <c r="Z100" s="148"/>
      <c r="AA100" s="148"/>
      <c r="AB100" s="148"/>
      <c r="AC100" s="148"/>
      <c r="AD100" s="148"/>
      <c r="AE100" s="148"/>
      <c r="AF100" s="148"/>
      <c r="AG100" s="148"/>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8"/>
      <c r="BR100" s="148"/>
      <c r="BS100" s="148"/>
      <c r="BT100" s="148"/>
      <c r="BU100" s="148"/>
      <c r="BV100" s="148"/>
      <c r="BW100" s="148"/>
      <c r="BX100" s="148"/>
      <c r="BY100" s="148"/>
      <c r="BZ100" s="148"/>
      <c r="CA100" s="148"/>
      <c r="CB100" s="148"/>
      <c r="CC100" s="148"/>
      <c r="CD100" s="148"/>
      <c r="CE100" s="148"/>
      <c r="CF100" s="148"/>
      <c r="CG100" s="148"/>
      <c r="CH100" s="148"/>
      <c r="CI100" s="148"/>
      <c r="CJ100" s="148"/>
      <c r="CK100" s="148"/>
      <c r="CL100" s="148"/>
      <c r="CM100" s="148"/>
      <c r="CN100" s="148"/>
      <c r="CO100" s="148"/>
      <c r="CP100" s="148"/>
      <c r="CQ100" s="148"/>
      <c r="CR100" s="148"/>
      <c r="CS100" s="148"/>
      <c r="CT100" s="148"/>
      <c r="CU100" s="148"/>
      <c r="CV100" s="148"/>
      <c r="CW100" s="148"/>
      <c r="CX100" s="148"/>
      <c r="CY100" s="148"/>
      <c r="CZ100" s="148"/>
      <c r="DA100" s="148"/>
      <c r="DB100" s="148"/>
      <c r="DC100" s="148"/>
      <c r="DD100" s="148"/>
      <c r="DE100" s="148"/>
      <c r="DF100" s="148"/>
      <c r="DG100" s="148"/>
      <c r="DH100" s="148"/>
      <c r="DI100" s="148"/>
      <c r="DJ100" s="148"/>
      <c r="DK100" s="148"/>
      <c r="DL100" s="148"/>
      <c r="DM100" s="148"/>
      <c r="DN100" s="148"/>
      <c r="DO100" s="148"/>
      <c r="DP100" s="148"/>
      <c r="DQ100" s="148"/>
      <c r="DR100" s="148"/>
      <c r="DS100" s="148"/>
      <c r="DT100" s="148"/>
      <c r="DU100" s="148"/>
      <c r="DV100" s="148"/>
      <c r="DW100" s="148"/>
      <c r="DX100" s="148"/>
      <c r="DY100" s="148"/>
      <c r="DZ100" s="148"/>
      <c r="EA100" s="148"/>
      <c r="EB100" s="148"/>
      <c r="EC100" s="148"/>
      <c r="ED100" s="148"/>
      <c r="EE100" s="148"/>
      <c r="EF100" s="148"/>
      <c r="EG100" s="148"/>
      <c r="EH100" s="148"/>
      <c r="EI100" s="148"/>
      <c r="EJ100" s="148"/>
      <c r="EK100" s="148"/>
      <c r="EL100" s="148"/>
      <c r="EM100" s="148"/>
      <c r="EN100" s="148"/>
      <c r="EO100" s="148"/>
      <c r="EP100" s="148"/>
      <c r="EQ100" s="148"/>
      <c r="ER100" s="148"/>
      <c r="ES100" s="148"/>
      <c r="ET100" s="148"/>
      <c r="EU100" s="148"/>
      <c r="EV100" s="148"/>
      <c r="EW100" s="148"/>
      <c r="EX100" s="148"/>
      <c r="EY100" s="148"/>
      <c r="EZ100" s="148"/>
      <c r="FA100" s="148"/>
      <c r="FB100" s="148"/>
      <c r="FC100" s="148"/>
      <c r="FD100" s="148"/>
      <c r="FE100" s="148"/>
      <c r="FF100" s="148"/>
      <c r="FG100" s="148"/>
      <c r="FH100" s="148"/>
      <c r="FI100" s="148"/>
      <c r="FJ100" s="148"/>
      <c r="FK100" s="148"/>
      <c r="FL100" s="148"/>
      <c r="FM100" s="148"/>
      <c r="FN100" s="148"/>
      <c r="FO100" s="148"/>
      <c r="FP100" s="148"/>
      <c r="FQ100" s="148"/>
      <c r="FR100" s="148"/>
      <c r="FS100" s="148"/>
      <c r="FT100" s="148"/>
      <c r="FU100" s="148"/>
      <c r="FV100" s="148"/>
      <c r="FW100" s="148"/>
      <c r="FX100" s="148"/>
      <c r="FY100" s="148"/>
      <c r="FZ100" s="148"/>
      <c r="GA100" s="148"/>
      <c r="GB100" s="148"/>
      <c r="GC100" s="148"/>
      <c r="GD100" s="148"/>
      <c r="GE100" s="148"/>
      <c r="GF100" s="148"/>
      <c r="GG100" s="148"/>
      <c r="GH100" s="148"/>
      <c r="GI100" s="148"/>
      <c r="GJ100" s="148"/>
      <c r="GK100" s="148"/>
      <c r="GL100" s="148"/>
      <c r="GM100" s="148"/>
      <c r="GN100" s="148"/>
      <c r="GO100" s="148"/>
      <c r="GP100" s="148"/>
      <c r="GQ100" s="148"/>
      <c r="GR100" s="148"/>
      <c r="GS100" s="148"/>
      <c r="GT100" s="148"/>
      <c r="GU100" s="148"/>
      <c r="GV100" s="148"/>
      <c r="GW100" s="148"/>
      <c r="GX100" s="148"/>
      <c r="GY100" s="148"/>
      <c r="GZ100" s="148"/>
      <c r="HA100" s="148"/>
      <c r="HB100" s="148"/>
      <c r="HC100" s="148"/>
      <c r="HD100" s="148"/>
      <c r="HE100" s="148"/>
      <c r="HF100" s="148"/>
      <c r="HG100" s="148"/>
      <c r="HH100" s="148"/>
      <c r="HI100" s="148"/>
      <c r="HJ100" s="148"/>
      <c r="HK100" s="148"/>
      <c r="HL100" s="148"/>
      <c r="HM100" s="148"/>
      <c r="HN100" s="148"/>
      <c r="HO100" s="148"/>
      <c r="HP100" s="148"/>
      <c r="HQ100" s="148"/>
      <c r="HR100" s="148"/>
      <c r="HS100" s="148"/>
      <c r="HT100" s="148"/>
      <c r="HU100" s="148"/>
      <c r="HV100" s="148"/>
      <c r="HW100" s="148"/>
      <c r="HX100" s="148"/>
      <c r="HY100" s="148"/>
      <c r="HZ100" s="148"/>
      <c r="IA100" s="148"/>
      <c r="IB100" s="148"/>
      <c r="IC100" s="148"/>
      <c r="ID100" s="148"/>
      <c r="IE100" s="148"/>
      <c r="IF100" s="148"/>
      <c r="IG100" s="148"/>
      <c r="IH100" s="148"/>
      <c r="II100" s="148"/>
      <c r="IJ100" s="148"/>
      <c r="IK100" s="148"/>
      <c r="IL100" s="148"/>
      <c r="IM100" s="148"/>
      <c r="IN100" s="148"/>
      <c r="IO100" s="148"/>
      <c r="IP100" s="148"/>
      <c r="IQ100" s="148"/>
      <c r="IR100" s="148"/>
      <c r="IS100" s="148"/>
      <c r="IT100" s="148"/>
      <c r="IU100" s="148"/>
      <c r="IV100" s="148"/>
      <c r="IW100" s="148"/>
      <c r="IX100" s="148"/>
      <c r="IY100" s="148"/>
      <c r="IZ100" s="148"/>
      <c r="JA100" s="148"/>
      <c r="JB100" s="148"/>
    </row>
    <row r="101" spans="22:262" s="15" customFormat="1">
      <c r="V101" s="148"/>
      <c r="W101" s="148"/>
      <c r="X101" s="148"/>
      <c r="Y101" s="148"/>
      <c r="Z101" s="148"/>
      <c r="AA101" s="148"/>
      <c r="AB101" s="148"/>
      <c r="AC101" s="148"/>
      <c r="AD101" s="148"/>
      <c r="AE101" s="148"/>
      <c r="AF101" s="148"/>
      <c r="AG101" s="148"/>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c r="BI101" s="148"/>
      <c r="BJ101" s="148"/>
      <c r="BK101" s="148"/>
      <c r="BL101" s="148"/>
      <c r="BM101" s="148"/>
      <c r="BN101" s="148"/>
      <c r="BO101" s="148"/>
      <c r="BP101" s="148"/>
      <c r="BQ101" s="148"/>
      <c r="BR101" s="148"/>
      <c r="BS101" s="148"/>
      <c r="BT101" s="148"/>
      <c r="BU101" s="148"/>
      <c r="BV101" s="148"/>
      <c r="BW101" s="148"/>
      <c r="BX101" s="148"/>
      <c r="BY101" s="148"/>
      <c r="BZ101" s="148"/>
      <c r="CA101" s="148"/>
      <c r="CB101" s="148"/>
      <c r="CC101" s="148"/>
      <c r="CD101" s="148"/>
      <c r="CE101" s="148"/>
      <c r="CF101" s="148"/>
      <c r="CG101" s="148"/>
      <c r="CH101" s="148"/>
      <c r="CI101" s="148"/>
      <c r="CJ101" s="148"/>
      <c r="CK101" s="148"/>
      <c r="CL101" s="148"/>
      <c r="CM101" s="148"/>
      <c r="CN101" s="148"/>
      <c r="CO101" s="148"/>
      <c r="CP101" s="148"/>
      <c r="CQ101" s="148"/>
      <c r="CR101" s="148"/>
      <c r="CS101" s="148"/>
      <c r="CT101" s="148"/>
      <c r="CU101" s="148"/>
      <c r="CV101" s="148"/>
      <c r="CW101" s="148"/>
      <c r="CX101" s="148"/>
      <c r="CY101" s="148"/>
      <c r="CZ101" s="148"/>
      <c r="DA101" s="148"/>
      <c r="DB101" s="148"/>
      <c r="DC101" s="148"/>
      <c r="DD101" s="148"/>
      <c r="DE101" s="148"/>
      <c r="DF101" s="148"/>
      <c r="DG101" s="148"/>
      <c r="DH101" s="148"/>
      <c r="DI101" s="148"/>
      <c r="DJ101" s="148"/>
      <c r="DK101" s="148"/>
      <c r="DL101" s="148"/>
      <c r="DM101" s="148"/>
      <c r="DN101" s="148"/>
      <c r="DO101" s="148"/>
      <c r="DP101" s="148"/>
      <c r="DQ101" s="148"/>
      <c r="DR101" s="148"/>
      <c r="DS101" s="148"/>
      <c r="DT101" s="148"/>
      <c r="DU101" s="148"/>
      <c r="DV101" s="148"/>
      <c r="DW101" s="148"/>
      <c r="DX101" s="148"/>
      <c r="DY101" s="148"/>
      <c r="DZ101" s="148"/>
      <c r="EA101" s="148"/>
      <c r="EB101" s="148"/>
      <c r="EC101" s="148"/>
      <c r="ED101" s="148"/>
      <c r="EE101" s="148"/>
      <c r="EF101" s="148"/>
      <c r="EG101" s="148"/>
      <c r="EH101" s="148"/>
      <c r="EI101" s="148"/>
      <c r="EJ101" s="148"/>
      <c r="EK101" s="148"/>
      <c r="EL101" s="148"/>
      <c r="EM101" s="148"/>
      <c r="EN101" s="148"/>
      <c r="EO101" s="148"/>
      <c r="EP101" s="148"/>
      <c r="EQ101" s="148"/>
      <c r="ER101" s="148"/>
      <c r="ES101" s="148"/>
      <c r="ET101" s="148"/>
      <c r="EU101" s="148"/>
      <c r="EV101" s="148"/>
      <c r="EW101" s="148"/>
      <c r="EX101" s="148"/>
      <c r="EY101" s="148"/>
      <c r="EZ101" s="148"/>
      <c r="FA101" s="148"/>
      <c r="FB101" s="148"/>
      <c r="FC101" s="148"/>
      <c r="FD101" s="148"/>
      <c r="FE101" s="148"/>
      <c r="FF101" s="148"/>
      <c r="FG101" s="148"/>
      <c r="FH101" s="148"/>
      <c r="FI101" s="148"/>
      <c r="FJ101" s="148"/>
      <c r="FK101" s="148"/>
      <c r="FL101" s="148"/>
      <c r="FM101" s="148"/>
      <c r="FN101" s="148"/>
      <c r="FO101" s="148"/>
      <c r="FP101" s="148"/>
      <c r="FQ101" s="148"/>
      <c r="FR101" s="148"/>
      <c r="FS101" s="148"/>
      <c r="FT101" s="148"/>
      <c r="FU101" s="148"/>
      <c r="FV101" s="148"/>
      <c r="FW101" s="148"/>
      <c r="FX101" s="148"/>
      <c r="FY101" s="148"/>
      <c r="FZ101" s="148"/>
      <c r="GA101" s="148"/>
      <c r="GB101" s="148"/>
      <c r="GC101" s="148"/>
      <c r="GD101" s="148"/>
      <c r="GE101" s="148"/>
      <c r="GF101" s="148"/>
      <c r="GG101" s="148"/>
      <c r="GH101" s="148"/>
      <c r="GI101" s="148"/>
      <c r="GJ101" s="148"/>
      <c r="GK101" s="148"/>
      <c r="GL101" s="148"/>
      <c r="GM101" s="148"/>
      <c r="GN101" s="148"/>
      <c r="GO101" s="148"/>
      <c r="GP101" s="148"/>
      <c r="GQ101" s="148"/>
      <c r="GR101" s="148"/>
      <c r="GS101" s="148"/>
      <c r="GT101" s="148"/>
      <c r="GU101" s="148"/>
      <c r="GV101" s="148"/>
      <c r="GW101" s="148"/>
      <c r="GX101" s="148"/>
      <c r="GY101" s="148"/>
      <c r="GZ101" s="148"/>
      <c r="HA101" s="148"/>
      <c r="HB101" s="148"/>
      <c r="HC101" s="148"/>
      <c r="HD101" s="148"/>
      <c r="HE101" s="148"/>
      <c r="HF101" s="148"/>
      <c r="HG101" s="148"/>
      <c r="HH101" s="148"/>
      <c r="HI101" s="148"/>
      <c r="HJ101" s="148"/>
      <c r="HK101" s="148"/>
      <c r="HL101" s="148"/>
      <c r="HM101" s="148"/>
      <c r="HN101" s="148"/>
      <c r="HO101" s="148"/>
      <c r="HP101" s="148"/>
      <c r="HQ101" s="148"/>
      <c r="HR101" s="148"/>
      <c r="HS101" s="148"/>
      <c r="HT101" s="148"/>
      <c r="HU101" s="148"/>
      <c r="HV101" s="148"/>
      <c r="HW101" s="148"/>
      <c r="HX101" s="148"/>
      <c r="HY101" s="148"/>
      <c r="HZ101" s="148"/>
      <c r="IA101" s="148"/>
      <c r="IB101" s="148"/>
      <c r="IC101" s="148"/>
      <c r="ID101" s="148"/>
      <c r="IE101" s="148"/>
      <c r="IF101" s="148"/>
      <c r="IG101" s="148"/>
      <c r="IH101" s="148"/>
      <c r="II101" s="148"/>
      <c r="IJ101" s="148"/>
      <c r="IK101" s="148"/>
      <c r="IL101" s="148"/>
      <c r="IM101" s="148"/>
      <c r="IN101" s="148"/>
      <c r="IO101" s="148"/>
      <c r="IP101" s="148"/>
      <c r="IQ101" s="148"/>
      <c r="IR101" s="148"/>
      <c r="IS101" s="148"/>
      <c r="IT101" s="148"/>
      <c r="IU101" s="148"/>
      <c r="IV101" s="148"/>
      <c r="IW101" s="148"/>
      <c r="IX101" s="148"/>
      <c r="IY101" s="148"/>
      <c r="IZ101" s="148"/>
      <c r="JA101" s="148"/>
      <c r="JB101" s="148"/>
    </row>
    <row r="102" spans="22:262" s="15" customFormat="1">
      <c r="V102" s="148"/>
      <c r="W102" s="148"/>
      <c r="X102" s="148"/>
      <c r="Y102" s="148"/>
      <c r="Z102" s="148"/>
      <c r="AA102" s="148"/>
      <c r="AB102" s="148"/>
      <c r="AC102" s="148"/>
      <c r="AD102" s="148"/>
      <c r="AE102" s="148"/>
      <c r="AF102" s="148"/>
      <c r="AG102" s="148"/>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c r="BI102" s="148"/>
      <c r="BJ102" s="148"/>
      <c r="BK102" s="148"/>
      <c r="BL102" s="148"/>
      <c r="BM102" s="148"/>
      <c r="BN102" s="148"/>
      <c r="BO102" s="148"/>
      <c r="BP102" s="148"/>
      <c r="BQ102" s="148"/>
      <c r="BR102" s="148"/>
      <c r="BS102" s="148"/>
      <c r="BT102" s="148"/>
      <c r="BU102" s="148"/>
      <c r="BV102" s="148"/>
      <c r="BW102" s="148"/>
      <c r="BX102" s="148"/>
      <c r="BY102" s="148"/>
      <c r="BZ102" s="148"/>
      <c r="CA102" s="148"/>
      <c r="CB102" s="148"/>
      <c r="CC102" s="148"/>
      <c r="CD102" s="148"/>
      <c r="CE102" s="148"/>
      <c r="CF102" s="148"/>
      <c r="CG102" s="148"/>
      <c r="CH102" s="148"/>
      <c r="CI102" s="148"/>
      <c r="CJ102" s="148"/>
      <c r="CK102" s="148"/>
      <c r="CL102" s="148"/>
      <c r="CM102" s="148"/>
      <c r="CN102" s="148"/>
      <c r="CO102" s="148"/>
      <c r="CP102" s="148"/>
      <c r="CQ102" s="148"/>
      <c r="CR102" s="148"/>
      <c r="CS102" s="148"/>
      <c r="CT102" s="148"/>
      <c r="CU102" s="148"/>
      <c r="CV102" s="148"/>
      <c r="CW102" s="148"/>
      <c r="CX102" s="148"/>
      <c r="CY102" s="148"/>
      <c r="CZ102" s="148"/>
      <c r="DA102" s="148"/>
      <c r="DB102" s="148"/>
      <c r="DC102" s="148"/>
      <c r="DD102" s="148"/>
      <c r="DE102" s="148"/>
      <c r="DF102" s="148"/>
      <c r="DG102" s="148"/>
      <c r="DH102" s="148"/>
      <c r="DI102" s="148"/>
      <c r="DJ102" s="148"/>
      <c r="DK102" s="148"/>
      <c r="DL102" s="148"/>
      <c r="DM102" s="148"/>
      <c r="DN102" s="148"/>
      <c r="DO102" s="148"/>
      <c r="DP102" s="148"/>
      <c r="DQ102" s="148"/>
      <c r="DR102" s="148"/>
      <c r="DS102" s="148"/>
      <c r="DT102" s="148"/>
      <c r="DU102" s="148"/>
      <c r="DV102" s="148"/>
      <c r="DW102" s="148"/>
      <c r="DX102" s="148"/>
      <c r="DY102" s="148"/>
      <c r="DZ102" s="148"/>
      <c r="EA102" s="148"/>
      <c r="EB102" s="148"/>
      <c r="EC102" s="148"/>
      <c r="ED102" s="148"/>
      <c r="EE102" s="148"/>
      <c r="EF102" s="148"/>
      <c r="EG102" s="148"/>
      <c r="EH102" s="148"/>
      <c r="EI102" s="148"/>
      <c r="EJ102" s="148"/>
      <c r="EK102" s="148"/>
      <c r="EL102" s="148"/>
      <c r="EM102" s="148"/>
      <c r="EN102" s="148"/>
      <c r="EO102" s="148"/>
      <c r="EP102" s="148"/>
      <c r="EQ102" s="148"/>
      <c r="ER102" s="148"/>
      <c r="ES102" s="148"/>
      <c r="ET102" s="148"/>
      <c r="EU102" s="148"/>
      <c r="EV102" s="148"/>
      <c r="EW102" s="148"/>
      <c r="EX102" s="148"/>
      <c r="EY102" s="148"/>
      <c r="EZ102" s="148"/>
      <c r="FA102" s="148"/>
      <c r="FB102" s="148"/>
      <c r="FC102" s="148"/>
      <c r="FD102" s="148"/>
      <c r="FE102" s="148"/>
      <c r="FF102" s="148"/>
      <c r="FG102" s="148"/>
      <c r="FH102" s="148"/>
      <c r="FI102" s="148"/>
      <c r="FJ102" s="148"/>
      <c r="FK102" s="148"/>
      <c r="FL102" s="148"/>
      <c r="FM102" s="148"/>
      <c r="FN102" s="148"/>
      <c r="FO102" s="148"/>
      <c r="FP102" s="148"/>
      <c r="FQ102" s="148"/>
      <c r="FR102" s="148"/>
      <c r="FS102" s="148"/>
      <c r="FT102" s="148"/>
      <c r="FU102" s="148"/>
      <c r="FV102" s="148"/>
      <c r="FW102" s="148"/>
      <c r="FX102" s="148"/>
      <c r="FY102" s="148"/>
      <c r="FZ102" s="148"/>
      <c r="GA102" s="148"/>
      <c r="GB102" s="148"/>
      <c r="GC102" s="148"/>
      <c r="GD102" s="148"/>
      <c r="GE102" s="148"/>
      <c r="GF102" s="148"/>
      <c r="GG102" s="148"/>
      <c r="GH102" s="148"/>
      <c r="GI102" s="148"/>
      <c r="GJ102" s="148"/>
      <c r="GK102" s="148"/>
      <c r="GL102" s="148"/>
      <c r="GM102" s="148"/>
      <c r="GN102" s="148"/>
      <c r="GO102" s="148"/>
      <c r="GP102" s="148"/>
      <c r="GQ102" s="148"/>
      <c r="GR102" s="148"/>
      <c r="GS102" s="148"/>
      <c r="GT102" s="148"/>
      <c r="GU102" s="148"/>
      <c r="GV102" s="148"/>
      <c r="GW102" s="148"/>
      <c r="GX102" s="148"/>
      <c r="GY102" s="148"/>
      <c r="GZ102" s="148"/>
      <c r="HA102" s="148"/>
      <c r="HB102" s="148"/>
      <c r="HC102" s="148"/>
      <c r="HD102" s="148"/>
      <c r="HE102" s="148"/>
      <c r="HF102" s="148"/>
      <c r="HG102" s="148"/>
      <c r="HH102" s="148"/>
      <c r="HI102" s="148"/>
      <c r="HJ102" s="148"/>
      <c r="HK102" s="148"/>
      <c r="HL102" s="148"/>
      <c r="HM102" s="148"/>
      <c r="HN102" s="148"/>
      <c r="HO102" s="148"/>
      <c r="HP102" s="148"/>
      <c r="HQ102" s="148"/>
      <c r="HR102" s="148"/>
      <c r="HS102" s="148"/>
      <c r="HT102" s="148"/>
      <c r="HU102" s="148"/>
      <c r="HV102" s="148"/>
      <c r="HW102" s="148"/>
      <c r="HX102" s="148"/>
      <c r="HY102" s="148"/>
      <c r="HZ102" s="148"/>
      <c r="IA102" s="148"/>
      <c r="IB102" s="148"/>
      <c r="IC102" s="148"/>
      <c r="ID102" s="148"/>
      <c r="IE102" s="148"/>
      <c r="IF102" s="148"/>
      <c r="IG102" s="148"/>
      <c r="IH102" s="148"/>
      <c r="II102" s="148"/>
      <c r="IJ102" s="148"/>
      <c r="IK102" s="148"/>
      <c r="IL102" s="148"/>
      <c r="IM102" s="148"/>
      <c r="IN102" s="148"/>
      <c r="IO102" s="148"/>
      <c r="IP102" s="148"/>
      <c r="IQ102" s="148"/>
      <c r="IR102" s="148"/>
      <c r="IS102" s="148"/>
      <c r="IT102" s="148"/>
      <c r="IU102" s="148"/>
      <c r="IV102" s="148"/>
      <c r="IW102" s="148"/>
      <c r="IX102" s="148"/>
      <c r="IY102" s="148"/>
      <c r="IZ102" s="148"/>
      <c r="JA102" s="148"/>
      <c r="JB102" s="148"/>
    </row>
    <row r="103" spans="22:262" s="15" customFormat="1">
      <c r="V103" s="148"/>
      <c r="W103" s="148"/>
      <c r="X103" s="148"/>
      <c r="Y103" s="148"/>
      <c r="Z103" s="148"/>
      <c r="AA103" s="148"/>
      <c r="AB103" s="148"/>
      <c r="AC103" s="148"/>
      <c r="AD103" s="148"/>
      <c r="AE103" s="148"/>
      <c r="AF103" s="148"/>
      <c r="AG103" s="148"/>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c r="BI103" s="148"/>
      <c r="BJ103" s="148"/>
      <c r="BK103" s="148"/>
      <c r="BL103" s="148"/>
      <c r="BM103" s="148"/>
      <c r="BN103" s="148"/>
      <c r="BO103" s="148"/>
      <c r="BP103" s="148"/>
      <c r="BQ103" s="148"/>
      <c r="BR103" s="148"/>
      <c r="BS103" s="148"/>
      <c r="BT103" s="148"/>
      <c r="BU103" s="148"/>
      <c r="BV103" s="148"/>
      <c r="BW103" s="148"/>
      <c r="BX103" s="148"/>
      <c r="BY103" s="148"/>
      <c r="BZ103" s="148"/>
      <c r="CA103" s="148"/>
      <c r="CB103" s="148"/>
      <c r="CC103" s="148"/>
      <c r="CD103" s="148"/>
      <c r="CE103" s="148"/>
      <c r="CF103" s="148"/>
      <c r="CG103" s="148"/>
      <c r="CH103" s="148"/>
      <c r="CI103" s="148"/>
      <c r="CJ103" s="148"/>
      <c r="CK103" s="148"/>
      <c r="CL103" s="148"/>
      <c r="CM103" s="148"/>
      <c r="CN103" s="148"/>
      <c r="CO103" s="148"/>
      <c r="CP103" s="148"/>
      <c r="CQ103" s="148"/>
      <c r="CR103" s="148"/>
      <c r="CS103" s="148"/>
      <c r="CT103" s="148"/>
      <c r="CU103" s="148"/>
      <c r="CV103" s="148"/>
      <c r="CW103" s="148"/>
      <c r="CX103" s="148"/>
      <c r="CY103" s="148"/>
      <c r="CZ103" s="148"/>
      <c r="DA103" s="148"/>
      <c r="DB103" s="148"/>
      <c r="DC103" s="148"/>
      <c r="DD103" s="148"/>
      <c r="DE103" s="148"/>
      <c r="DF103" s="148"/>
      <c r="DG103" s="148"/>
      <c r="DH103" s="148"/>
      <c r="DI103" s="148"/>
      <c r="DJ103" s="148"/>
      <c r="DK103" s="148"/>
      <c r="DL103" s="148"/>
      <c r="DM103" s="148"/>
      <c r="DN103" s="148"/>
      <c r="DO103" s="148"/>
      <c r="DP103" s="148"/>
      <c r="DQ103" s="148"/>
      <c r="DR103" s="148"/>
      <c r="DS103" s="148"/>
      <c r="DT103" s="148"/>
      <c r="DU103" s="148"/>
      <c r="DV103" s="148"/>
      <c r="DW103" s="148"/>
      <c r="DX103" s="148"/>
      <c r="DY103" s="148"/>
      <c r="DZ103" s="148"/>
      <c r="EA103" s="148"/>
      <c r="EB103" s="148"/>
      <c r="EC103" s="148"/>
      <c r="ED103" s="148"/>
      <c r="EE103" s="148"/>
      <c r="EF103" s="148"/>
      <c r="EG103" s="148"/>
      <c r="EH103" s="148"/>
      <c r="EI103" s="148"/>
      <c r="EJ103" s="148"/>
      <c r="EK103" s="148"/>
      <c r="EL103" s="148"/>
      <c r="EM103" s="148"/>
      <c r="EN103" s="148"/>
      <c r="EO103" s="148"/>
      <c r="EP103" s="148"/>
      <c r="EQ103" s="148"/>
      <c r="ER103" s="148"/>
      <c r="ES103" s="148"/>
      <c r="ET103" s="148"/>
      <c r="EU103" s="148"/>
      <c r="EV103" s="148"/>
      <c r="EW103" s="148"/>
      <c r="EX103" s="148"/>
      <c r="EY103" s="148"/>
      <c r="EZ103" s="148"/>
      <c r="FA103" s="148"/>
      <c r="FB103" s="148"/>
      <c r="FC103" s="148"/>
      <c r="FD103" s="148"/>
      <c r="FE103" s="148"/>
      <c r="FF103" s="148"/>
      <c r="FG103" s="148"/>
      <c r="FH103" s="148"/>
      <c r="FI103" s="148"/>
      <c r="FJ103" s="148"/>
      <c r="FK103" s="148"/>
      <c r="FL103" s="148"/>
      <c r="FM103" s="148"/>
      <c r="FN103" s="148"/>
      <c r="FO103" s="148"/>
      <c r="FP103" s="148"/>
      <c r="FQ103" s="148"/>
      <c r="FR103" s="148"/>
      <c r="FS103" s="148"/>
      <c r="FT103" s="148"/>
      <c r="FU103" s="148"/>
      <c r="FV103" s="148"/>
      <c r="FW103" s="148"/>
      <c r="FX103" s="148"/>
      <c r="FY103" s="148"/>
      <c r="FZ103" s="148"/>
      <c r="GA103" s="148"/>
      <c r="GB103" s="148"/>
      <c r="GC103" s="148"/>
      <c r="GD103" s="148"/>
      <c r="GE103" s="148"/>
      <c r="GF103" s="148"/>
      <c r="GG103" s="148"/>
      <c r="GH103" s="148"/>
      <c r="GI103" s="148"/>
      <c r="GJ103" s="148"/>
      <c r="GK103" s="148"/>
      <c r="GL103" s="148"/>
      <c r="GM103" s="148"/>
      <c r="GN103" s="148"/>
      <c r="GO103" s="148"/>
      <c r="GP103" s="148"/>
      <c r="GQ103" s="148"/>
      <c r="GR103" s="148"/>
      <c r="GS103" s="148"/>
      <c r="GT103" s="148"/>
      <c r="GU103" s="148"/>
      <c r="GV103" s="148"/>
      <c r="GW103" s="148"/>
      <c r="GX103" s="148"/>
      <c r="GY103" s="148"/>
      <c r="GZ103" s="148"/>
      <c r="HA103" s="148"/>
      <c r="HB103" s="148"/>
      <c r="HC103" s="148"/>
      <c r="HD103" s="148"/>
      <c r="HE103" s="148"/>
      <c r="HF103" s="148"/>
      <c r="HG103" s="148"/>
      <c r="HH103" s="148"/>
      <c r="HI103" s="148"/>
      <c r="HJ103" s="148"/>
      <c r="HK103" s="148"/>
      <c r="HL103" s="148"/>
      <c r="HM103" s="148"/>
      <c r="HN103" s="148"/>
      <c r="HO103" s="148"/>
      <c r="HP103" s="148"/>
      <c r="HQ103" s="148"/>
      <c r="HR103" s="148"/>
      <c r="HS103" s="148"/>
      <c r="HT103" s="148"/>
      <c r="HU103" s="148"/>
      <c r="HV103" s="148"/>
      <c r="HW103" s="148"/>
      <c r="HX103" s="148"/>
      <c r="HY103" s="148"/>
      <c r="HZ103" s="148"/>
      <c r="IA103" s="148"/>
      <c r="IB103" s="148"/>
      <c r="IC103" s="148"/>
      <c r="ID103" s="148"/>
      <c r="IE103" s="148"/>
      <c r="IF103" s="148"/>
      <c r="IG103" s="148"/>
      <c r="IH103" s="148"/>
      <c r="II103" s="148"/>
      <c r="IJ103" s="148"/>
      <c r="IK103" s="148"/>
      <c r="IL103" s="148"/>
      <c r="IM103" s="148"/>
      <c r="IN103" s="148"/>
      <c r="IO103" s="148"/>
      <c r="IP103" s="148"/>
      <c r="IQ103" s="148"/>
      <c r="IR103" s="148"/>
      <c r="IS103" s="148"/>
      <c r="IT103" s="148"/>
      <c r="IU103" s="148"/>
      <c r="IV103" s="148"/>
      <c r="IW103" s="148"/>
      <c r="IX103" s="148"/>
      <c r="IY103" s="148"/>
      <c r="IZ103" s="148"/>
      <c r="JA103" s="148"/>
      <c r="JB103" s="148"/>
    </row>
    <row r="104" spans="22:262" s="15" customFormat="1">
      <c r="V104" s="148"/>
      <c r="W104" s="148"/>
      <c r="X104" s="148"/>
      <c r="Y104" s="148"/>
      <c r="Z104" s="148"/>
      <c r="AA104" s="148"/>
      <c r="AB104" s="148"/>
      <c r="AC104" s="148"/>
      <c r="AD104" s="148"/>
      <c r="AE104" s="148"/>
      <c r="AF104" s="148"/>
      <c r="AG104" s="148"/>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c r="BI104" s="148"/>
      <c r="BJ104" s="148"/>
      <c r="BK104" s="148"/>
      <c r="BL104" s="148"/>
      <c r="BM104" s="148"/>
      <c r="BN104" s="148"/>
      <c r="BO104" s="148"/>
      <c r="BP104" s="148"/>
      <c r="BQ104" s="148"/>
      <c r="BR104" s="148"/>
      <c r="BS104" s="148"/>
      <c r="BT104" s="148"/>
      <c r="BU104" s="148"/>
      <c r="BV104" s="148"/>
      <c r="BW104" s="148"/>
      <c r="BX104" s="148"/>
      <c r="BY104" s="148"/>
      <c r="BZ104" s="148"/>
      <c r="CA104" s="148"/>
      <c r="CB104" s="148"/>
      <c r="CC104" s="148"/>
      <c r="CD104" s="148"/>
      <c r="CE104" s="148"/>
      <c r="CF104" s="148"/>
      <c r="CG104" s="148"/>
      <c r="CH104" s="148"/>
      <c r="CI104" s="148"/>
      <c r="CJ104" s="148"/>
      <c r="CK104" s="148"/>
      <c r="CL104" s="148"/>
      <c r="CM104" s="148"/>
      <c r="CN104" s="148"/>
      <c r="CO104" s="148"/>
      <c r="CP104" s="148"/>
      <c r="CQ104" s="148"/>
      <c r="CR104" s="148"/>
      <c r="CS104" s="148"/>
      <c r="CT104" s="148"/>
      <c r="CU104" s="148"/>
      <c r="CV104" s="148"/>
      <c r="CW104" s="148"/>
      <c r="CX104" s="148"/>
      <c r="CY104" s="148"/>
      <c r="CZ104" s="148"/>
      <c r="DA104" s="148"/>
      <c r="DB104" s="148"/>
      <c r="DC104" s="148"/>
      <c r="DD104" s="148"/>
      <c r="DE104" s="148"/>
      <c r="DF104" s="148"/>
      <c r="DG104" s="148"/>
      <c r="DH104" s="148"/>
      <c r="DI104" s="148"/>
      <c r="DJ104" s="148"/>
      <c r="DK104" s="148"/>
      <c r="DL104" s="148"/>
      <c r="DM104" s="148"/>
      <c r="DN104" s="148"/>
      <c r="DO104" s="148"/>
      <c r="DP104" s="148"/>
      <c r="DQ104" s="148"/>
      <c r="DR104" s="148"/>
      <c r="DS104" s="148"/>
      <c r="DT104" s="148"/>
      <c r="DU104" s="148"/>
      <c r="DV104" s="148"/>
      <c r="DW104" s="148"/>
      <c r="DX104" s="148"/>
      <c r="DY104" s="148"/>
      <c r="DZ104" s="148"/>
      <c r="EA104" s="148"/>
      <c r="EB104" s="148"/>
      <c r="EC104" s="148"/>
      <c r="ED104" s="148"/>
      <c r="EE104" s="148"/>
      <c r="EF104" s="148"/>
      <c r="EG104" s="148"/>
      <c r="EH104" s="148"/>
      <c r="EI104" s="148"/>
      <c r="EJ104" s="148"/>
      <c r="EK104" s="148"/>
      <c r="EL104" s="148"/>
      <c r="EM104" s="148"/>
      <c r="EN104" s="148"/>
      <c r="EO104" s="148"/>
      <c r="EP104" s="148"/>
      <c r="EQ104" s="148"/>
      <c r="ER104" s="148"/>
      <c r="ES104" s="148"/>
      <c r="ET104" s="148"/>
      <c r="EU104" s="148"/>
      <c r="EV104" s="148"/>
      <c r="EW104" s="148"/>
      <c r="EX104" s="148"/>
      <c r="EY104" s="148"/>
      <c r="EZ104" s="148"/>
      <c r="FA104" s="148"/>
      <c r="FB104" s="148"/>
      <c r="FC104" s="148"/>
      <c r="FD104" s="148"/>
      <c r="FE104" s="148"/>
      <c r="FF104" s="148"/>
      <c r="FG104" s="148"/>
      <c r="FH104" s="148"/>
      <c r="FI104" s="148"/>
      <c r="FJ104" s="148"/>
      <c r="FK104" s="148"/>
      <c r="FL104" s="148"/>
      <c r="FM104" s="148"/>
      <c r="FN104" s="148"/>
      <c r="FO104" s="148"/>
      <c r="FP104" s="148"/>
      <c r="FQ104" s="148"/>
      <c r="FR104" s="148"/>
      <c r="FS104" s="148"/>
      <c r="FT104" s="148"/>
      <c r="FU104" s="148"/>
      <c r="FV104" s="148"/>
      <c r="FW104" s="148"/>
      <c r="FX104" s="148"/>
      <c r="FY104" s="148"/>
      <c r="FZ104" s="148"/>
      <c r="GA104" s="148"/>
      <c r="GB104" s="148"/>
      <c r="GC104" s="148"/>
      <c r="GD104" s="148"/>
      <c r="GE104" s="148"/>
      <c r="GF104" s="148"/>
      <c r="GG104" s="148"/>
      <c r="GH104" s="148"/>
      <c r="GI104" s="148"/>
      <c r="GJ104" s="148"/>
      <c r="GK104" s="148"/>
      <c r="GL104" s="148"/>
      <c r="GM104" s="148"/>
      <c r="GN104" s="148"/>
      <c r="GO104" s="148"/>
      <c r="GP104" s="148"/>
      <c r="GQ104" s="148"/>
      <c r="GR104" s="148"/>
      <c r="GS104" s="148"/>
      <c r="GT104" s="148"/>
      <c r="GU104" s="148"/>
      <c r="GV104" s="148"/>
      <c r="GW104" s="148"/>
      <c r="GX104" s="148"/>
      <c r="GY104" s="148"/>
      <c r="GZ104" s="148"/>
      <c r="HA104" s="148"/>
      <c r="HB104" s="148"/>
      <c r="HC104" s="148"/>
      <c r="HD104" s="148"/>
      <c r="HE104" s="148"/>
      <c r="HF104" s="148"/>
      <c r="HG104" s="148"/>
      <c r="HH104" s="148"/>
      <c r="HI104" s="148"/>
      <c r="HJ104" s="148"/>
      <c r="HK104" s="148"/>
      <c r="HL104" s="148"/>
      <c r="HM104" s="148"/>
      <c r="HN104" s="148"/>
      <c r="HO104" s="148"/>
      <c r="HP104" s="148"/>
      <c r="HQ104" s="148"/>
      <c r="HR104" s="148"/>
      <c r="HS104" s="148"/>
      <c r="HT104" s="148"/>
      <c r="HU104" s="148"/>
      <c r="HV104" s="148"/>
      <c r="HW104" s="148"/>
      <c r="HX104" s="148"/>
      <c r="HY104" s="148"/>
      <c r="HZ104" s="148"/>
      <c r="IA104" s="148"/>
      <c r="IB104" s="148"/>
      <c r="IC104" s="148"/>
      <c r="ID104" s="148"/>
      <c r="IE104" s="148"/>
      <c r="IF104" s="148"/>
      <c r="IG104" s="148"/>
      <c r="IH104" s="148"/>
      <c r="II104" s="148"/>
      <c r="IJ104" s="148"/>
      <c r="IK104" s="148"/>
      <c r="IL104" s="148"/>
      <c r="IM104" s="148"/>
      <c r="IN104" s="148"/>
      <c r="IO104" s="148"/>
      <c r="IP104" s="148"/>
      <c r="IQ104" s="148"/>
      <c r="IR104" s="148"/>
      <c r="IS104" s="148"/>
      <c r="IT104" s="148"/>
      <c r="IU104" s="148"/>
      <c r="IV104" s="148"/>
      <c r="IW104" s="148"/>
      <c r="IX104" s="148"/>
      <c r="IY104" s="148"/>
      <c r="IZ104" s="148"/>
      <c r="JA104" s="148"/>
      <c r="JB104" s="148"/>
    </row>
    <row r="105" spans="22:262" s="15" customFormat="1">
      <c r="V105" s="148"/>
      <c r="W105" s="148"/>
      <c r="X105" s="148"/>
      <c r="Y105" s="148"/>
      <c r="Z105" s="148"/>
      <c r="AA105" s="148"/>
      <c r="AB105" s="148"/>
      <c r="AC105" s="148"/>
      <c r="AD105" s="148"/>
      <c r="AE105" s="148"/>
      <c r="AF105" s="148"/>
      <c r="AG105" s="148"/>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c r="BI105" s="148"/>
      <c r="BJ105" s="148"/>
      <c r="BK105" s="148"/>
      <c r="BL105" s="148"/>
      <c r="BM105" s="148"/>
      <c r="BN105" s="148"/>
      <c r="BO105" s="148"/>
      <c r="BP105" s="148"/>
      <c r="BQ105" s="148"/>
      <c r="BR105" s="148"/>
      <c r="BS105" s="148"/>
      <c r="BT105" s="148"/>
      <c r="BU105" s="148"/>
      <c r="BV105" s="148"/>
      <c r="BW105" s="148"/>
      <c r="BX105" s="148"/>
      <c r="BY105" s="148"/>
      <c r="BZ105" s="148"/>
      <c r="CA105" s="148"/>
      <c r="CB105" s="148"/>
      <c r="CC105" s="148"/>
      <c r="CD105" s="148"/>
      <c r="CE105" s="148"/>
      <c r="CF105" s="148"/>
      <c r="CG105" s="148"/>
      <c r="CH105" s="148"/>
      <c r="CI105" s="148"/>
      <c r="CJ105" s="148"/>
      <c r="CK105" s="148"/>
      <c r="CL105" s="148"/>
      <c r="CM105" s="148"/>
      <c r="CN105" s="148"/>
      <c r="CO105" s="148"/>
      <c r="CP105" s="148"/>
      <c r="CQ105" s="148"/>
      <c r="CR105" s="148"/>
      <c r="CS105" s="148"/>
      <c r="CT105" s="148"/>
      <c r="CU105" s="148"/>
      <c r="CV105" s="148"/>
      <c r="CW105" s="148"/>
      <c r="CX105" s="148"/>
      <c r="CY105" s="148"/>
      <c r="CZ105" s="148"/>
      <c r="DA105" s="148"/>
      <c r="DB105" s="148"/>
      <c r="DC105" s="148"/>
      <c r="DD105" s="148"/>
      <c r="DE105" s="148"/>
      <c r="DF105" s="148"/>
      <c r="DG105" s="148"/>
      <c r="DH105" s="148"/>
      <c r="DI105" s="148"/>
      <c r="DJ105" s="148"/>
      <c r="DK105" s="148"/>
      <c r="DL105" s="148"/>
      <c r="DM105" s="148"/>
      <c r="DN105" s="148"/>
      <c r="DO105" s="148"/>
      <c r="DP105" s="148"/>
      <c r="DQ105" s="148"/>
      <c r="DR105" s="148"/>
      <c r="DS105" s="148"/>
      <c r="DT105" s="148"/>
      <c r="DU105" s="148"/>
      <c r="DV105" s="148"/>
      <c r="DW105" s="148"/>
      <c r="DX105" s="148"/>
      <c r="DY105" s="148"/>
      <c r="DZ105" s="148"/>
      <c r="EA105" s="148"/>
      <c r="EB105" s="148"/>
      <c r="EC105" s="148"/>
      <c r="ED105" s="148"/>
      <c r="EE105" s="148"/>
      <c r="EF105" s="148"/>
      <c r="EG105" s="148"/>
      <c r="EH105" s="148"/>
      <c r="EI105" s="148"/>
      <c r="EJ105" s="148"/>
      <c r="EK105" s="148"/>
      <c r="EL105" s="148"/>
      <c r="EM105" s="148"/>
      <c r="EN105" s="148"/>
      <c r="EO105" s="148"/>
      <c r="EP105" s="148"/>
      <c r="EQ105" s="148"/>
      <c r="ER105" s="148"/>
      <c r="ES105" s="148"/>
      <c r="ET105" s="148"/>
      <c r="EU105" s="148"/>
      <c r="EV105" s="148"/>
      <c r="EW105" s="148"/>
      <c r="EX105" s="148"/>
      <c r="EY105" s="148"/>
      <c r="EZ105" s="148"/>
      <c r="FA105" s="148"/>
      <c r="FB105" s="148"/>
      <c r="FC105" s="148"/>
      <c r="FD105" s="148"/>
      <c r="FE105" s="148"/>
      <c r="FF105" s="148"/>
      <c r="FG105" s="148"/>
      <c r="FH105" s="148"/>
      <c r="FI105" s="148"/>
      <c r="FJ105" s="148"/>
      <c r="FK105" s="148"/>
      <c r="FL105" s="148"/>
      <c r="FM105" s="148"/>
      <c r="FN105" s="148"/>
      <c r="FO105" s="148"/>
      <c r="FP105" s="148"/>
      <c r="FQ105" s="148"/>
      <c r="FR105" s="148"/>
      <c r="FS105" s="148"/>
      <c r="FT105" s="148"/>
      <c r="FU105" s="148"/>
      <c r="FV105" s="148"/>
      <c r="FW105" s="148"/>
      <c r="FX105" s="148"/>
      <c r="FY105" s="148"/>
      <c r="FZ105" s="148"/>
      <c r="GA105" s="148"/>
      <c r="GB105" s="148"/>
      <c r="GC105" s="148"/>
      <c r="GD105" s="148"/>
      <c r="GE105" s="148"/>
      <c r="GF105" s="148"/>
      <c r="GG105" s="148"/>
      <c r="GH105" s="148"/>
      <c r="GI105" s="148"/>
      <c r="GJ105" s="148"/>
      <c r="GK105" s="148"/>
      <c r="GL105" s="148"/>
      <c r="GM105" s="148"/>
      <c r="GN105" s="148"/>
      <c r="GO105" s="148"/>
      <c r="GP105" s="148"/>
      <c r="GQ105" s="148"/>
      <c r="GR105" s="148"/>
      <c r="GS105" s="148"/>
      <c r="GT105" s="148"/>
      <c r="GU105" s="148"/>
      <c r="GV105" s="148"/>
      <c r="GW105" s="148"/>
      <c r="GX105" s="148"/>
      <c r="GY105" s="148"/>
      <c r="GZ105" s="148"/>
      <c r="HA105" s="148"/>
      <c r="HB105" s="148"/>
      <c r="HC105" s="148"/>
      <c r="HD105" s="148"/>
      <c r="HE105" s="148"/>
      <c r="HF105" s="148"/>
      <c r="HG105" s="148"/>
      <c r="HH105" s="148"/>
      <c r="HI105" s="148"/>
      <c r="HJ105" s="148"/>
      <c r="HK105" s="148"/>
      <c r="HL105" s="148"/>
      <c r="HM105" s="148"/>
      <c r="HN105" s="148"/>
      <c r="HO105" s="148"/>
      <c r="HP105" s="148"/>
      <c r="HQ105" s="148"/>
      <c r="HR105" s="148"/>
      <c r="HS105" s="148"/>
      <c r="HT105" s="148"/>
      <c r="HU105" s="148"/>
      <c r="HV105" s="148"/>
      <c r="HW105" s="148"/>
      <c r="HX105" s="148"/>
      <c r="HY105" s="148"/>
      <c r="HZ105" s="148"/>
      <c r="IA105" s="148"/>
      <c r="IB105" s="148"/>
      <c r="IC105" s="148"/>
      <c r="ID105" s="148"/>
      <c r="IE105" s="148"/>
      <c r="IF105" s="148"/>
      <c r="IG105" s="148"/>
      <c r="IH105" s="148"/>
      <c r="II105" s="148"/>
      <c r="IJ105" s="148"/>
      <c r="IK105" s="148"/>
      <c r="IL105" s="148"/>
      <c r="IM105" s="148"/>
      <c r="IN105" s="148"/>
      <c r="IO105" s="148"/>
      <c r="IP105" s="148"/>
      <c r="IQ105" s="148"/>
      <c r="IR105" s="148"/>
      <c r="IS105" s="148"/>
      <c r="IT105" s="148"/>
      <c r="IU105" s="148"/>
      <c r="IV105" s="148"/>
      <c r="IW105" s="148"/>
      <c r="IX105" s="148"/>
      <c r="IY105" s="148"/>
      <c r="IZ105" s="148"/>
      <c r="JA105" s="148"/>
      <c r="JB105" s="148"/>
    </row>
    <row r="106" spans="22:262" s="15" customFormat="1">
      <c r="V106" s="148"/>
      <c r="W106" s="148"/>
      <c r="X106" s="148"/>
      <c r="Y106" s="148"/>
      <c r="Z106" s="148"/>
      <c r="AA106" s="148"/>
      <c r="AB106" s="148"/>
      <c r="AC106" s="148"/>
      <c r="AD106" s="148"/>
      <c r="AE106" s="148"/>
      <c r="AF106" s="148"/>
      <c r="AG106" s="148"/>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c r="BI106" s="148"/>
      <c r="BJ106" s="148"/>
      <c r="BK106" s="148"/>
      <c r="BL106" s="148"/>
      <c r="BM106" s="148"/>
      <c r="BN106" s="148"/>
      <c r="BO106" s="148"/>
      <c r="BP106" s="148"/>
      <c r="BQ106" s="148"/>
      <c r="BR106" s="148"/>
      <c r="BS106" s="148"/>
      <c r="BT106" s="148"/>
      <c r="BU106" s="148"/>
      <c r="BV106" s="148"/>
      <c r="BW106" s="148"/>
      <c r="BX106" s="148"/>
      <c r="BY106" s="148"/>
      <c r="BZ106" s="148"/>
      <c r="CA106" s="148"/>
      <c r="CB106" s="148"/>
      <c r="CC106" s="148"/>
      <c r="CD106" s="148"/>
      <c r="CE106" s="148"/>
      <c r="CF106" s="148"/>
      <c r="CG106" s="148"/>
      <c r="CH106" s="148"/>
      <c r="CI106" s="148"/>
      <c r="CJ106" s="148"/>
      <c r="CK106" s="148"/>
      <c r="CL106" s="148"/>
      <c r="CM106" s="148"/>
      <c r="CN106" s="148"/>
      <c r="CO106" s="148"/>
      <c r="CP106" s="148"/>
      <c r="CQ106" s="148"/>
      <c r="CR106" s="148"/>
      <c r="CS106" s="148"/>
      <c r="CT106" s="148"/>
      <c r="CU106" s="148"/>
      <c r="CV106" s="148"/>
      <c r="CW106" s="148"/>
      <c r="CX106" s="148"/>
      <c r="CY106" s="148"/>
      <c r="CZ106" s="148"/>
      <c r="DA106" s="148"/>
      <c r="DB106" s="148"/>
      <c r="DC106" s="148"/>
      <c r="DD106" s="148"/>
      <c r="DE106" s="148"/>
      <c r="DF106" s="148"/>
      <c r="DG106" s="148"/>
      <c r="DH106" s="148"/>
      <c r="DI106" s="148"/>
      <c r="DJ106" s="148"/>
      <c r="DK106" s="148"/>
      <c r="DL106" s="148"/>
      <c r="DM106" s="148"/>
      <c r="DN106" s="148"/>
      <c r="DO106" s="148"/>
      <c r="DP106" s="148"/>
      <c r="DQ106" s="148"/>
      <c r="DR106" s="148"/>
      <c r="DS106" s="148"/>
      <c r="DT106" s="148"/>
      <c r="DU106" s="148"/>
      <c r="DV106" s="148"/>
      <c r="DW106" s="148"/>
      <c r="DX106" s="148"/>
      <c r="DY106" s="148"/>
      <c r="DZ106" s="148"/>
      <c r="EA106" s="148"/>
      <c r="EB106" s="148"/>
      <c r="EC106" s="148"/>
      <c r="ED106" s="148"/>
      <c r="EE106" s="148"/>
      <c r="EF106" s="148"/>
      <c r="EG106" s="148"/>
      <c r="EH106" s="148"/>
      <c r="EI106" s="148"/>
      <c r="EJ106" s="148"/>
      <c r="EK106" s="148"/>
      <c r="EL106" s="148"/>
      <c r="EM106" s="148"/>
      <c r="EN106" s="148"/>
      <c r="EO106" s="148"/>
      <c r="EP106" s="148"/>
      <c r="EQ106" s="148"/>
      <c r="ER106" s="148"/>
      <c r="ES106" s="148"/>
      <c r="ET106" s="148"/>
      <c r="EU106" s="148"/>
      <c r="EV106" s="148"/>
      <c r="EW106" s="148"/>
      <c r="EX106" s="148"/>
      <c r="EY106" s="148"/>
      <c r="EZ106" s="148"/>
      <c r="FA106" s="148"/>
      <c r="FB106" s="148"/>
      <c r="FC106" s="148"/>
      <c r="FD106" s="148"/>
      <c r="FE106" s="148"/>
      <c r="FF106" s="148"/>
      <c r="FG106" s="148"/>
      <c r="FH106" s="148"/>
      <c r="FI106" s="148"/>
      <c r="FJ106" s="148"/>
      <c r="FK106" s="148"/>
      <c r="FL106" s="148"/>
      <c r="FM106" s="148"/>
      <c r="FN106" s="148"/>
      <c r="FO106" s="148"/>
      <c r="FP106" s="148"/>
      <c r="FQ106" s="148"/>
      <c r="FR106" s="148"/>
      <c r="FS106" s="148"/>
      <c r="FT106" s="148"/>
      <c r="FU106" s="148"/>
      <c r="FV106" s="148"/>
      <c r="FW106" s="148"/>
      <c r="FX106" s="148"/>
      <c r="FY106" s="148"/>
      <c r="FZ106" s="148"/>
      <c r="GA106" s="148"/>
      <c r="GB106" s="148"/>
      <c r="GC106" s="148"/>
      <c r="GD106" s="148"/>
      <c r="GE106" s="148"/>
      <c r="GF106" s="148"/>
      <c r="GG106" s="148"/>
      <c r="GH106" s="148"/>
      <c r="GI106" s="148"/>
      <c r="GJ106" s="148"/>
      <c r="GK106" s="148"/>
      <c r="GL106" s="148"/>
      <c r="GM106" s="148"/>
      <c r="GN106" s="148"/>
      <c r="GO106" s="148"/>
      <c r="GP106" s="148"/>
      <c r="GQ106" s="148"/>
      <c r="GR106" s="148"/>
      <c r="GS106" s="148"/>
      <c r="GT106" s="148"/>
      <c r="GU106" s="148"/>
      <c r="GV106" s="148"/>
      <c r="GW106" s="148"/>
      <c r="GX106" s="148"/>
      <c r="GY106" s="148"/>
      <c r="GZ106" s="148"/>
      <c r="HA106" s="148"/>
      <c r="HB106" s="148"/>
      <c r="HC106" s="148"/>
      <c r="HD106" s="148"/>
      <c r="HE106" s="148"/>
      <c r="HF106" s="148"/>
      <c r="HG106" s="148"/>
      <c r="HH106" s="148"/>
      <c r="HI106" s="148"/>
      <c r="HJ106" s="148"/>
      <c r="HK106" s="148"/>
      <c r="HL106" s="148"/>
      <c r="HM106" s="148"/>
      <c r="HN106" s="148"/>
      <c r="HO106" s="148"/>
      <c r="HP106" s="148"/>
      <c r="HQ106" s="148"/>
      <c r="HR106" s="148"/>
      <c r="HS106" s="148"/>
      <c r="HT106" s="148"/>
      <c r="HU106" s="148"/>
      <c r="HV106" s="148"/>
      <c r="HW106" s="148"/>
      <c r="HX106" s="148"/>
      <c r="HY106" s="148"/>
      <c r="HZ106" s="148"/>
      <c r="IA106" s="148"/>
      <c r="IB106" s="148"/>
      <c r="IC106" s="148"/>
      <c r="ID106" s="148"/>
      <c r="IE106" s="148"/>
      <c r="IF106" s="148"/>
      <c r="IG106" s="148"/>
      <c r="IH106" s="148"/>
      <c r="II106" s="148"/>
      <c r="IJ106" s="148"/>
      <c r="IK106" s="148"/>
      <c r="IL106" s="148"/>
      <c r="IM106" s="148"/>
      <c r="IN106" s="148"/>
      <c r="IO106" s="148"/>
      <c r="IP106" s="148"/>
      <c r="IQ106" s="148"/>
      <c r="IR106" s="148"/>
      <c r="IS106" s="148"/>
      <c r="IT106" s="148"/>
      <c r="IU106" s="148"/>
      <c r="IV106" s="148"/>
      <c r="IW106" s="148"/>
      <c r="IX106" s="148"/>
      <c r="IY106" s="148"/>
      <c r="IZ106" s="148"/>
      <c r="JA106" s="148"/>
      <c r="JB106" s="148"/>
    </row>
    <row r="107" spans="22:262" s="15" customFormat="1">
      <c r="V107" s="148"/>
      <c r="W107" s="148"/>
      <c r="X107" s="148"/>
      <c r="Y107" s="148"/>
      <c r="Z107" s="148"/>
      <c r="AA107" s="148"/>
      <c r="AB107" s="148"/>
      <c r="AC107" s="148"/>
      <c r="AD107" s="148"/>
      <c r="AE107" s="148"/>
      <c r="AF107" s="148"/>
      <c r="AG107" s="148"/>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c r="BI107" s="148"/>
      <c r="BJ107" s="148"/>
      <c r="BK107" s="148"/>
      <c r="BL107" s="148"/>
      <c r="BM107" s="148"/>
      <c r="BN107" s="148"/>
      <c r="BO107" s="148"/>
      <c r="BP107" s="148"/>
      <c r="BQ107" s="148"/>
      <c r="BR107" s="148"/>
      <c r="BS107" s="148"/>
      <c r="BT107" s="148"/>
      <c r="BU107" s="148"/>
      <c r="BV107" s="148"/>
      <c r="BW107" s="148"/>
      <c r="BX107" s="148"/>
      <c r="BY107" s="148"/>
      <c r="BZ107" s="148"/>
      <c r="CA107" s="148"/>
      <c r="CB107" s="148"/>
      <c r="CC107" s="148"/>
      <c r="CD107" s="148"/>
      <c r="CE107" s="148"/>
      <c r="CF107" s="148"/>
      <c r="CG107" s="148"/>
      <c r="CH107" s="148"/>
      <c r="CI107" s="148"/>
      <c r="CJ107" s="148"/>
      <c r="CK107" s="148"/>
      <c r="CL107" s="148"/>
      <c r="CM107" s="148"/>
      <c r="CN107" s="148"/>
      <c r="CO107" s="148"/>
      <c r="CP107" s="148"/>
      <c r="CQ107" s="148"/>
      <c r="CR107" s="148"/>
      <c r="CS107" s="148"/>
      <c r="CT107" s="148"/>
      <c r="CU107" s="148"/>
      <c r="CV107" s="148"/>
      <c r="CW107" s="148"/>
      <c r="CX107" s="148"/>
      <c r="CY107" s="148"/>
      <c r="CZ107" s="148"/>
      <c r="DA107" s="148"/>
      <c r="DB107" s="148"/>
      <c r="DC107" s="148"/>
      <c r="DD107" s="148"/>
      <c r="DE107" s="148"/>
      <c r="DF107" s="148"/>
      <c r="DG107" s="148"/>
      <c r="DH107" s="148"/>
      <c r="DI107" s="148"/>
      <c r="DJ107" s="148"/>
      <c r="DK107" s="148"/>
      <c r="DL107" s="148"/>
      <c r="DM107" s="148"/>
      <c r="DN107" s="148"/>
      <c r="DO107" s="148"/>
      <c r="DP107" s="148"/>
      <c r="DQ107" s="148"/>
      <c r="DR107" s="148"/>
      <c r="DS107" s="148"/>
      <c r="DT107" s="148"/>
      <c r="DU107" s="148"/>
      <c r="DV107" s="148"/>
      <c r="DW107" s="148"/>
      <c r="DX107" s="148"/>
      <c r="DY107" s="148"/>
      <c r="DZ107" s="148"/>
      <c r="EA107" s="148"/>
      <c r="EB107" s="148"/>
      <c r="EC107" s="148"/>
      <c r="ED107" s="148"/>
      <c r="EE107" s="148"/>
      <c r="EF107" s="148"/>
      <c r="EG107" s="148"/>
      <c r="EH107" s="148"/>
      <c r="EI107" s="148"/>
      <c r="EJ107" s="148"/>
      <c r="EK107" s="148"/>
      <c r="EL107" s="148"/>
      <c r="EM107" s="148"/>
      <c r="EN107" s="148"/>
      <c r="EO107" s="148"/>
      <c r="EP107" s="148"/>
      <c r="EQ107" s="148"/>
      <c r="ER107" s="148"/>
      <c r="ES107" s="148"/>
      <c r="ET107" s="148"/>
      <c r="EU107" s="148"/>
      <c r="EV107" s="148"/>
      <c r="EW107" s="148"/>
      <c r="EX107" s="148"/>
      <c r="EY107" s="148"/>
      <c r="EZ107" s="148"/>
      <c r="FA107" s="148"/>
      <c r="FB107" s="148"/>
      <c r="FC107" s="148"/>
      <c r="FD107" s="148"/>
      <c r="FE107" s="148"/>
      <c r="FF107" s="148"/>
      <c r="FG107" s="148"/>
      <c r="FH107" s="148"/>
      <c r="FI107" s="148"/>
      <c r="FJ107" s="148"/>
      <c r="FK107" s="148"/>
      <c r="FL107" s="148"/>
      <c r="FM107" s="148"/>
      <c r="FN107" s="148"/>
      <c r="FO107" s="148"/>
      <c r="FP107" s="148"/>
      <c r="FQ107" s="148"/>
      <c r="FR107" s="148"/>
      <c r="FS107" s="148"/>
      <c r="FT107" s="148"/>
      <c r="FU107" s="148"/>
      <c r="FV107" s="148"/>
      <c r="FW107" s="148"/>
      <c r="FX107" s="148"/>
      <c r="FY107" s="148"/>
      <c r="FZ107" s="148"/>
      <c r="GA107" s="148"/>
      <c r="GB107" s="148"/>
      <c r="GC107" s="148"/>
      <c r="GD107" s="148"/>
      <c r="GE107" s="148"/>
      <c r="GF107" s="148"/>
      <c r="GG107" s="148"/>
      <c r="GH107" s="148"/>
      <c r="GI107" s="148"/>
      <c r="GJ107" s="148"/>
      <c r="GK107" s="148"/>
      <c r="GL107" s="148"/>
      <c r="GM107" s="148"/>
      <c r="GN107" s="148"/>
      <c r="GO107" s="148"/>
      <c r="GP107" s="148"/>
      <c r="GQ107" s="148"/>
      <c r="GR107" s="148"/>
      <c r="GS107" s="148"/>
      <c r="GT107" s="148"/>
      <c r="GU107" s="148"/>
      <c r="GV107" s="148"/>
      <c r="GW107" s="148"/>
      <c r="GX107" s="148"/>
      <c r="GY107" s="148"/>
      <c r="GZ107" s="148"/>
      <c r="HA107" s="148"/>
      <c r="HB107" s="148"/>
      <c r="HC107" s="148"/>
      <c r="HD107" s="148"/>
      <c r="HE107" s="148"/>
      <c r="HF107" s="148"/>
      <c r="HG107" s="148"/>
      <c r="HH107" s="148"/>
      <c r="HI107" s="148"/>
      <c r="HJ107" s="148"/>
      <c r="HK107" s="148"/>
      <c r="HL107" s="148"/>
      <c r="HM107" s="148"/>
      <c r="HN107" s="148"/>
      <c r="HO107" s="148"/>
      <c r="HP107" s="148"/>
      <c r="HQ107" s="148"/>
      <c r="HR107" s="148"/>
      <c r="HS107" s="148"/>
      <c r="HT107" s="148"/>
      <c r="HU107" s="148"/>
      <c r="HV107" s="148"/>
      <c r="HW107" s="148"/>
      <c r="HX107" s="148"/>
      <c r="HY107" s="148"/>
      <c r="HZ107" s="148"/>
      <c r="IA107" s="148"/>
      <c r="IB107" s="148"/>
      <c r="IC107" s="148"/>
      <c r="ID107" s="148"/>
      <c r="IE107" s="148"/>
      <c r="IF107" s="148"/>
      <c r="IG107" s="148"/>
      <c r="IH107" s="148"/>
      <c r="II107" s="148"/>
      <c r="IJ107" s="148"/>
      <c r="IK107" s="148"/>
      <c r="IL107" s="148"/>
      <c r="IM107" s="148"/>
      <c r="IN107" s="148"/>
      <c r="IO107" s="148"/>
      <c r="IP107" s="148"/>
      <c r="IQ107" s="148"/>
      <c r="IR107" s="148"/>
      <c r="IS107" s="148"/>
      <c r="IT107" s="148"/>
      <c r="IU107" s="148"/>
      <c r="IV107" s="148"/>
      <c r="IW107" s="148"/>
      <c r="IX107" s="148"/>
      <c r="IY107" s="148"/>
      <c r="IZ107" s="148"/>
      <c r="JA107" s="148"/>
      <c r="JB107" s="148"/>
    </row>
    <row r="108" spans="22:262" s="15" customFormat="1">
      <c r="V108" s="148"/>
      <c r="W108" s="148"/>
      <c r="X108" s="148"/>
      <c r="Y108" s="148"/>
      <c r="Z108" s="148"/>
      <c r="AA108" s="148"/>
      <c r="AB108" s="148"/>
      <c r="AC108" s="148"/>
      <c r="AD108" s="148"/>
      <c r="AE108" s="148"/>
      <c r="AF108" s="148"/>
      <c r="AG108" s="148"/>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c r="BI108" s="148"/>
      <c r="BJ108" s="148"/>
      <c r="BK108" s="148"/>
      <c r="BL108" s="148"/>
      <c r="BM108" s="148"/>
      <c r="BN108" s="148"/>
      <c r="BO108" s="148"/>
      <c r="BP108" s="148"/>
      <c r="BQ108" s="148"/>
      <c r="BR108" s="148"/>
      <c r="BS108" s="148"/>
      <c r="BT108" s="148"/>
      <c r="BU108" s="148"/>
      <c r="BV108" s="148"/>
      <c r="BW108" s="148"/>
      <c r="BX108" s="148"/>
      <c r="BY108" s="148"/>
      <c r="BZ108" s="148"/>
      <c r="CA108" s="148"/>
      <c r="CB108" s="148"/>
      <c r="CC108" s="148"/>
      <c r="CD108" s="148"/>
      <c r="CE108" s="148"/>
      <c r="CF108" s="148"/>
      <c r="CG108" s="148"/>
      <c r="CH108" s="148"/>
      <c r="CI108" s="148"/>
      <c r="CJ108" s="148"/>
      <c r="CK108" s="148"/>
      <c r="CL108" s="148"/>
      <c r="CM108" s="148"/>
      <c r="CN108" s="148"/>
      <c r="CO108" s="148"/>
      <c r="CP108" s="148"/>
      <c r="CQ108" s="148"/>
      <c r="CR108" s="148"/>
      <c r="CS108" s="148"/>
      <c r="CT108" s="148"/>
      <c r="CU108" s="148"/>
      <c r="CV108" s="148"/>
      <c r="CW108" s="148"/>
      <c r="CX108" s="148"/>
      <c r="CY108" s="148"/>
      <c r="CZ108" s="148"/>
      <c r="DA108" s="148"/>
      <c r="DB108" s="148"/>
      <c r="DC108" s="148"/>
      <c r="DD108" s="148"/>
      <c r="DE108" s="148"/>
      <c r="DF108" s="148"/>
      <c r="DG108" s="148"/>
      <c r="DH108" s="148"/>
      <c r="DI108" s="148"/>
      <c r="DJ108" s="148"/>
      <c r="DK108" s="148"/>
      <c r="DL108" s="148"/>
      <c r="DM108" s="148"/>
      <c r="DN108" s="148"/>
      <c r="DO108" s="148"/>
      <c r="DP108" s="148"/>
      <c r="DQ108" s="148"/>
      <c r="DR108" s="148"/>
      <c r="DS108" s="148"/>
      <c r="DT108" s="148"/>
      <c r="DU108" s="148"/>
      <c r="DV108" s="148"/>
      <c r="DW108" s="148"/>
      <c r="DX108" s="148"/>
      <c r="DY108" s="148"/>
      <c r="DZ108" s="148"/>
      <c r="EA108" s="148"/>
      <c r="EB108" s="148"/>
      <c r="EC108" s="148"/>
      <c r="ED108" s="148"/>
      <c r="EE108" s="148"/>
      <c r="EF108" s="148"/>
      <c r="EG108" s="148"/>
      <c r="EH108" s="148"/>
      <c r="EI108" s="148"/>
      <c r="EJ108" s="148"/>
      <c r="EK108" s="148"/>
      <c r="EL108" s="148"/>
      <c r="EM108" s="148"/>
      <c r="EN108" s="148"/>
      <c r="EO108" s="148"/>
      <c r="EP108" s="148"/>
      <c r="EQ108" s="148"/>
      <c r="ER108" s="148"/>
      <c r="ES108" s="148"/>
      <c r="ET108" s="148"/>
      <c r="EU108" s="148"/>
      <c r="EV108" s="148"/>
      <c r="EW108" s="148"/>
      <c r="EX108" s="148"/>
      <c r="EY108" s="148"/>
      <c r="EZ108" s="148"/>
      <c r="FA108" s="148"/>
      <c r="FB108" s="148"/>
      <c r="FC108" s="148"/>
      <c r="FD108" s="148"/>
      <c r="FE108" s="148"/>
      <c r="FF108" s="148"/>
      <c r="FG108" s="148"/>
      <c r="FH108" s="148"/>
      <c r="FI108" s="148"/>
      <c r="FJ108" s="148"/>
      <c r="FK108" s="148"/>
      <c r="FL108" s="148"/>
      <c r="FM108" s="148"/>
      <c r="FN108" s="148"/>
      <c r="FO108" s="148"/>
      <c r="FP108" s="148"/>
      <c r="FQ108" s="148"/>
      <c r="FR108" s="148"/>
      <c r="FS108" s="148"/>
      <c r="FT108" s="148"/>
      <c r="FU108" s="148"/>
      <c r="FV108" s="148"/>
      <c r="FW108" s="148"/>
      <c r="FX108" s="148"/>
      <c r="FY108" s="148"/>
      <c r="FZ108" s="148"/>
      <c r="GA108" s="148"/>
      <c r="GB108" s="148"/>
      <c r="GC108" s="148"/>
      <c r="GD108" s="148"/>
      <c r="GE108" s="148"/>
      <c r="GF108" s="148"/>
      <c r="GG108" s="148"/>
      <c r="GH108" s="148"/>
      <c r="GI108" s="148"/>
      <c r="GJ108" s="148"/>
      <c r="GK108" s="148"/>
      <c r="GL108" s="148"/>
      <c r="GM108" s="148"/>
      <c r="GN108" s="148"/>
      <c r="GO108" s="148"/>
      <c r="GP108" s="148"/>
      <c r="GQ108" s="148"/>
      <c r="GR108" s="148"/>
      <c r="GS108" s="148"/>
      <c r="GT108" s="148"/>
      <c r="GU108" s="148"/>
      <c r="GV108" s="148"/>
      <c r="GW108" s="148"/>
      <c r="GX108" s="148"/>
      <c r="GY108" s="148"/>
      <c r="GZ108" s="148"/>
      <c r="HA108" s="148"/>
      <c r="HB108" s="148"/>
      <c r="HC108" s="148"/>
      <c r="HD108" s="148"/>
      <c r="HE108" s="148"/>
      <c r="HF108" s="148"/>
      <c r="HG108" s="148"/>
      <c r="HH108" s="148"/>
      <c r="HI108" s="148"/>
      <c r="HJ108" s="148"/>
      <c r="HK108" s="148"/>
      <c r="HL108" s="148"/>
      <c r="HM108" s="148"/>
      <c r="HN108" s="148"/>
      <c r="HO108" s="148"/>
      <c r="HP108" s="148"/>
      <c r="HQ108" s="148"/>
      <c r="HR108" s="148"/>
      <c r="HS108" s="148"/>
      <c r="HT108" s="148"/>
      <c r="HU108" s="148"/>
      <c r="HV108" s="148"/>
      <c r="HW108" s="148"/>
      <c r="HX108" s="148"/>
      <c r="HY108" s="148"/>
      <c r="HZ108" s="148"/>
      <c r="IA108" s="148"/>
      <c r="IB108" s="148"/>
      <c r="IC108" s="148"/>
      <c r="ID108" s="148"/>
      <c r="IE108" s="148"/>
      <c r="IF108" s="148"/>
      <c r="IG108" s="148"/>
      <c r="IH108" s="148"/>
      <c r="II108" s="148"/>
      <c r="IJ108" s="148"/>
      <c r="IK108" s="148"/>
      <c r="IL108" s="148"/>
      <c r="IM108" s="148"/>
      <c r="IN108" s="148"/>
      <c r="IO108" s="148"/>
      <c r="IP108" s="148"/>
      <c r="IQ108" s="148"/>
      <c r="IR108" s="148"/>
      <c r="IS108" s="148"/>
      <c r="IT108" s="148"/>
      <c r="IU108" s="148"/>
      <c r="IV108" s="148"/>
      <c r="IW108" s="148"/>
      <c r="IX108" s="148"/>
      <c r="IY108" s="148"/>
      <c r="IZ108" s="148"/>
      <c r="JA108" s="148"/>
      <c r="JB108" s="148"/>
    </row>
    <row r="109" spans="22:262" s="15" customFormat="1">
      <c r="V109" s="148"/>
      <c r="W109" s="148"/>
      <c r="X109" s="148"/>
      <c r="Y109" s="148"/>
      <c r="Z109" s="148"/>
      <c r="AA109" s="148"/>
      <c r="AB109" s="148"/>
      <c r="AC109" s="148"/>
      <c r="AD109" s="148"/>
      <c r="AE109" s="148"/>
      <c r="AF109" s="148"/>
      <c r="AG109" s="148"/>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c r="BI109" s="148"/>
      <c r="BJ109" s="148"/>
      <c r="BK109" s="148"/>
      <c r="BL109" s="148"/>
      <c r="BM109" s="148"/>
      <c r="BN109" s="148"/>
      <c r="BO109" s="148"/>
      <c r="BP109" s="148"/>
      <c r="BQ109" s="148"/>
      <c r="BR109" s="148"/>
      <c r="BS109" s="148"/>
      <c r="BT109" s="148"/>
      <c r="BU109" s="148"/>
      <c r="BV109" s="148"/>
      <c r="BW109" s="148"/>
      <c r="BX109" s="148"/>
      <c r="BY109" s="148"/>
      <c r="BZ109" s="148"/>
      <c r="CA109" s="148"/>
      <c r="CB109" s="148"/>
      <c r="CC109" s="148"/>
      <c r="CD109" s="148"/>
      <c r="CE109" s="148"/>
      <c r="CF109" s="148"/>
      <c r="CG109" s="148"/>
      <c r="CH109" s="148"/>
      <c r="CI109" s="148"/>
      <c r="CJ109" s="148"/>
      <c r="CK109" s="148"/>
      <c r="CL109" s="148"/>
      <c r="CM109" s="148"/>
      <c r="CN109" s="148"/>
      <c r="CO109" s="148"/>
      <c r="CP109" s="148"/>
      <c r="CQ109" s="148"/>
      <c r="CR109" s="148"/>
      <c r="CS109" s="148"/>
      <c r="CT109" s="148"/>
      <c r="CU109" s="148"/>
      <c r="CV109" s="148"/>
      <c r="CW109" s="148"/>
      <c r="CX109" s="148"/>
      <c r="CY109" s="148"/>
      <c r="CZ109" s="148"/>
      <c r="DA109" s="148"/>
      <c r="DB109" s="148"/>
      <c r="DC109" s="148"/>
      <c r="DD109" s="148"/>
      <c r="DE109" s="148"/>
      <c r="DF109" s="148"/>
      <c r="DG109" s="148"/>
      <c r="DH109" s="148"/>
      <c r="DI109" s="148"/>
      <c r="DJ109" s="148"/>
      <c r="DK109" s="148"/>
      <c r="DL109" s="148"/>
      <c r="DM109" s="148"/>
      <c r="DN109" s="148"/>
      <c r="DO109" s="148"/>
      <c r="DP109" s="148"/>
      <c r="DQ109" s="148"/>
      <c r="DR109" s="148"/>
      <c r="DS109" s="148"/>
      <c r="DT109" s="148"/>
      <c r="DU109" s="148"/>
      <c r="DV109" s="148"/>
      <c r="DW109" s="148"/>
      <c r="DX109" s="148"/>
      <c r="DY109" s="148"/>
      <c r="DZ109" s="148"/>
      <c r="EA109" s="148"/>
      <c r="EB109" s="148"/>
      <c r="EC109" s="148"/>
      <c r="ED109" s="148"/>
      <c r="EE109" s="148"/>
      <c r="EF109" s="148"/>
      <c r="EG109" s="148"/>
      <c r="EH109" s="148"/>
      <c r="EI109" s="148"/>
      <c r="EJ109" s="148"/>
      <c r="EK109" s="148"/>
      <c r="EL109" s="148"/>
      <c r="EM109" s="148"/>
      <c r="EN109" s="148"/>
      <c r="EO109" s="148"/>
      <c r="EP109" s="148"/>
      <c r="EQ109" s="148"/>
      <c r="ER109" s="148"/>
      <c r="ES109" s="148"/>
      <c r="ET109" s="148"/>
      <c r="EU109" s="148"/>
      <c r="EV109" s="148"/>
      <c r="EW109" s="148"/>
      <c r="EX109" s="148"/>
      <c r="EY109" s="148"/>
      <c r="EZ109" s="148"/>
      <c r="FA109" s="148"/>
      <c r="FB109" s="148"/>
      <c r="FC109" s="148"/>
      <c r="FD109" s="148"/>
      <c r="FE109" s="148"/>
      <c r="FF109" s="148"/>
      <c r="FG109" s="148"/>
      <c r="FH109" s="148"/>
      <c r="FI109" s="148"/>
      <c r="FJ109" s="148"/>
      <c r="FK109" s="148"/>
      <c r="FL109" s="148"/>
      <c r="FM109" s="148"/>
      <c r="FN109" s="148"/>
      <c r="FO109" s="148"/>
      <c r="FP109" s="148"/>
      <c r="FQ109" s="148"/>
      <c r="FR109" s="148"/>
      <c r="FS109" s="148"/>
      <c r="FT109" s="148"/>
      <c r="FU109" s="148"/>
      <c r="FV109" s="148"/>
      <c r="FW109" s="148"/>
      <c r="FX109" s="148"/>
      <c r="FY109" s="148"/>
      <c r="FZ109" s="148"/>
      <c r="GA109" s="148"/>
      <c r="GB109" s="148"/>
      <c r="GC109" s="148"/>
      <c r="GD109" s="148"/>
      <c r="GE109" s="148"/>
      <c r="GF109" s="148"/>
      <c r="GG109" s="148"/>
      <c r="GH109" s="148"/>
      <c r="GI109" s="148"/>
      <c r="GJ109" s="148"/>
      <c r="GK109" s="148"/>
      <c r="GL109" s="148"/>
      <c r="GM109" s="148"/>
      <c r="GN109" s="148"/>
      <c r="GO109" s="148"/>
      <c r="GP109" s="148"/>
      <c r="GQ109" s="148"/>
      <c r="GR109" s="148"/>
      <c r="GS109" s="148"/>
      <c r="GT109" s="148"/>
      <c r="GU109" s="148"/>
      <c r="GV109" s="148"/>
      <c r="GW109" s="148"/>
      <c r="GX109" s="148"/>
      <c r="GY109" s="148"/>
      <c r="GZ109" s="148"/>
      <c r="HA109" s="148"/>
      <c r="HB109" s="148"/>
      <c r="HC109" s="148"/>
      <c r="HD109" s="148"/>
      <c r="HE109" s="148"/>
      <c r="HF109" s="148"/>
      <c r="HG109" s="148"/>
      <c r="HH109" s="148"/>
      <c r="HI109" s="148"/>
      <c r="HJ109" s="148"/>
      <c r="HK109" s="148"/>
      <c r="HL109" s="148"/>
      <c r="HM109" s="148"/>
      <c r="HN109" s="148"/>
      <c r="HO109" s="148"/>
      <c r="HP109" s="148"/>
      <c r="HQ109" s="148"/>
      <c r="HR109" s="148"/>
      <c r="HS109" s="148"/>
      <c r="HT109" s="148"/>
      <c r="HU109" s="148"/>
      <c r="HV109" s="148"/>
      <c r="HW109" s="148"/>
      <c r="HX109" s="148"/>
      <c r="HY109" s="148"/>
      <c r="HZ109" s="148"/>
      <c r="IA109" s="148"/>
      <c r="IB109" s="148"/>
      <c r="IC109" s="148"/>
      <c r="ID109" s="148"/>
      <c r="IE109" s="148"/>
      <c r="IF109" s="148"/>
      <c r="IG109" s="148"/>
      <c r="IH109" s="148"/>
      <c r="II109" s="148"/>
      <c r="IJ109" s="148"/>
      <c r="IK109" s="148"/>
      <c r="IL109" s="148"/>
      <c r="IM109" s="148"/>
      <c r="IN109" s="148"/>
      <c r="IO109" s="148"/>
      <c r="IP109" s="148"/>
      <c r="IQ109" s="148"/>
      <c r="IR109" s="148"/>
      <c r="IS109" s="148"/>
      <c r="IT109" s="148"/>
      <c r="IU109" s="148"/>
      <c r="IV109" s="148"/>
      <c r="IW109" s="148"/>
      <c r="IX109" s="148"/>
      <c r="IY109" s="148"/>
      <c r="IZ109" s="148"/>
      <c r="JA109" s="148"/>
      <c r="JB109" s="148"/>
    </row>
    <row r="110" spans="22:262" s="15" customFormat="1">
      <c r="V110" s="148"/>
      <c r="W110" s="148"/>
      <c r="X110" s="148"/>
      <c r="Y110" s="148"/>
      <c r="Z110" s="148"/>
      <c r="AA110" s="148"/>
      <c r="AB110" s="148"/>
      <c r="AC110" s="148"/>
      <c r="AD110" s="148"/>
      <c r="AE110" s="148"/>
      <c r="AF110" s="148"/>
      <c r="AG110" s="148"/>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c r="BI110" s="148"/>
      <c r="BJ110" s="148"/>
      <c r="BK110" s="148"/>
      <c r="BL110" s="148"/>
      <c r="BM110" s="148"/>
      <c r="BN110" s="148"/>
      <c r="BO110" s="148"/>
      <c r="BP110" s="148"/>
      <c r="BQ110" s="148"/>
      <c r="BR110" s="148"/>
      <c r="BS110" s="148"/>
      <c r="BT110" s="148"/>
      <c r="BU110" s="148"/>
      <c r="BV110" s="148"/>
      <c r="BW110" s="148"/>
      <c r="BX110" s="148"/>
      <c r="BY110" s="148"/>
      <c r="BZ110" s="148"/>
      <c r="CA110" s="148"/>
      <c r="CB110" s="148"/>
      <c r="CC110" s="148"/>
      <c r="CD110" s="148"/>
      <c r="CE110" s="148"/>
      <c r="CF110" s="148"/>
      <c r="CG110" s="148"/>
      <c r="CH110" s="148"/>
      <c r="CI110" s="148"/>
      <c r="CJ110" s="148"/>
      <c r="CK110" s="148"/>
      <c r="CL110" s="148"/>
      <c r="CM110" s="148"/>
      <c r="CN110" s="148"/>
      <c r="CO110" s="148"/>
      <c r="CP110" s="148"/>
      <c r="CQ110" s="148"/>
      <c r="CR110" s="148"/>
      <c r="CS110" s="148"/>
      <c r="CT110" s="148"/>
      <c r="CU110" s="148"/>
      <c r="CV110" s="148"/>
      <c r="CW110" s="148"/>
      <c r="CX110" s="148"/>
      <c r="CY110" s="148"/>
      <c r="CZ110" s="148"/>
      <c r="DA110" s="148"/>
      <c r="DB110" s="148"/>
      <c r="DC110" s="148"/>
      <c r="DD110" s="148"/>
      <c r="DE110" s="148"/>
      <c r="DF110" s="148"/>
      <c r="DG110" s="148"/>
      <c r="DH110" s="148"/>
      <c r="DI110" s="148"/>
      <c r="DJ110" s="148"/>
      <c r="DK110" s="148"/>
      <c r="DL110" s="148"/>
      <c r="DM110" s="148"/>
      <c r="DN110" s="148"/>
      <c r="DO110" s="148"/>
      <c r="DP110" s="148"/>
      <c r="DQ110" s="148"/>
      <c r="DR110" s="148"/>
      <c r="DS110" s="148"/>
      <c r="DT110" s="148"/>
      <c r="DU110" s="148"/>
      <c r="DV110" s="148"/>
      <c r="DW110" s="148"/>
      <c r="DX110" s="148"/>
      <c r="DY110" s="148"/>
      <c r="DZ110" s="148"/>
      <c r="EA110" s="148"/>
      <c r="EB110" s="148"/>
      <c r="EC110" s="148"/>
      <c r="ED110" s="148"/>
      <c r="EE110" s="148"/>
      <c r="EF110" s="148"/>
      <c r="EG110" s="148"/>
      <c r="EH110" s="148"/>
      <c r="EI110" s="148"/>
      <c r="EJ110" s="148"/>
      <c r="EK110" s="148"/>
      <c r="EL110" s="148"/>
      <c r="EM110" s="148"/>
      <c r="EN110" s="148"/>
      <c r="EO110" s="148"/>
      <c r="EP110" s="148"/>
      <c r="EQ110" s="148"/>
      <c r="ER110" s="148"/>
      <c r="ES110" s="148"/>
      <c r="ET110" s="148"/>
      <c r="EU110" s="148"/>
      <c r="EV110" s="148"/>
      <c r="EW110" s="148"/>
      <c r="EX110" s="148"/>
      <c r="EY110" s="148"/>
      <c r="EZ110" s="148"/>
      <c r="FA110" s="148"/>
      <c r="FB110" s="148"/>
      <c r="FC110" s="148"/>
      <c r="FD110" s="148"/>
      <c r="FE110" s="148"/>
      <c r="FF110" s="148"/>
      <c r="FG110" s="148"/>
      <c r="FH110" s="148"/>
      <c r="FI110" s="148"/>
      <c r="FJ110" s="148"/>
      <c r="FK110" s="148"/>
      <c r="FL110" s="148"/>
      <c r="FM110" s="148"/>
      <c r="FN110" s="148"/>
      <c r="FO110" s="148"/>
      <c r="FP110" s="148"/>
      <c r="FQ110" s="148"/>
      <c r="FR110" s="148"/>
      <c r="FS110" s="148"/>
      <c r="FT110" s="148"/>
      <c r="FU110" s="148"/>
      <c r="FV110" s="148"/>
      <c r="FW110" s="148"/>
      <c r="FX110" s="148"/>
      <c r="FY110" s="148"/>
      <c r="FZ110" s="148"/>
      <c r="GA110" s="148"/>
      <c r="GB110" s="148"/>
      <c r="GC110" s="148"/>
      <c r="GD110" s="148"/>
      <c r="GE110" s="148"/>
      <c r="GF110" s="148"/>
      <c r="GG110" s="148"/>
      <c r="GH110" s="148"/>
      <c r="GI110" s="148"/>
      <c r="GJ110" s="148"/>
      <c r="GK110" s="148"/>
      <c r="GL110" s="148"/>
      <c r="GM110" s="148"/>
      <c r="GN110" s="148"/>
      <c r="GO110" s="148"/>
      <c r="GP110" s="148"/>
      <c r="GQ110" s="148"/>
      <c r="GR110" s="148"/>
      <c r="GS110" s="148"/>
      <c r="GT110" s="148"/>
      <c r="GU110" s="148"/>
      <c r="GV110" s="148"/>
      <c r="GW110" s="148"/>
      <c r="GX110" s="148"/>
      <c r="GY110" s="148"/>
      <c r="GZ110" s="148"/>
      <c r="HA110" s="148"/>
      <c r="HB110" s="148"/>
      <c r="HC110" s="148"/>
      <c r="HD110" s="148"/>
      <c r="HE110" s="148"/>
      <c r="HF110" s="148"/>
      <c r="HG110" s="148"/>
      <c r="HH110" s="148"/>
      <c r="HI110" s="148"/>
      <c r="HJ110" s="148"/>
      <c r="HK110" s="148"/>
      <c r="HL110" s="148"/>
      <c r="HM110" s="148"/>
      <c r="HN110" s="148"/>
      <c r="HO110" s="148"/>
      <c r="HP110" s="148"/>
      <c r="HQ110" s="148"/>
      <c r="HR110" s="148"/>
      <c r="HS110" s="148"/>
      <c r="HT110" s="148"/>
      <c r="HU110" s="148"/>
      <c r="HV110" s="148"/>
      <c r="HW110" s="148"/>
      <c r="HX110" s="148"/>
      <c r="HY110" s="148"/>
      <c r="HZ110" s="148"/>
      <c r="IA110" s="148"/>
      <c r="IB110" s="148"/>
      <c r="IC110" s="148"/>
      <c r="ID110" s="148"/>
      <c r="IE110" s="148"/>
      <c r="IF110" s="148"/>
      <c r="IG110" s="148"/>
      <c r="IH110" s="148"/>
      <c r="II110" s="148"/>
      <c r="IJ110" s="148"/>
      <c r="IK110" s="148"/>
      <c r="IL110" s="148"/>
      <c r="IM110" s="148"/>
      <c r="IN110" s="148"/>
      <c r="IO110" s="148"/>
      <c r="IP110" s="148"/>
      <c r="IQ110" s="148"/>
      <c r="IR110" s="148"/>
      <c r="IS110" s="148"/>
      <c r="IT110" s="148"/>
      <c r="IU110" s="148"/>
      <c r="IV110" s="148"/>
      <c r="IW110" s="148"/>
      <c r="IX110" s="148"/>
      <c r="IY110" s="148"/>
      <c r="IZ110" s="148"/>
      <c r="JA110" s="148"/>
      <c r="JB110" s="148"/>
    </row>
    <row r="111" spans="22:262" s="15" customFormat="1">
      <c r="V111" s="148"/>
      <c r="W111" s="148"/>
      <c r="X111" s="148"/>
      <c r="Y111" s="148"/>
      <c r="Z111" s="148"/>
      <c r="AA111" s="148"/>
      <c r="AB111" s="148"/>
      <c r="AC111" s="148"/>
      <c r="AD111" s="148"/>
      <c r="AE111" s="148"/>
      <c r="AF111" s="148"/>
      <c r="AG111" s="148"/>
      <c r="AH111" s="148"/>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c r="BI111" s="148"/>
      <c r="BJ111" s="148"/>
      <c r="BK111" s="148"/>
      <c r="BL111" s="148"/>
      <c r="BM111" s="148"/>
      <c r="BN111" s="148"/>
      <c r="BO111" s="148"/>
      <c r="BP111" s="148"/>
      <c r="BQ111" s="148"/>
      <c r="BR111" s="148"/>
      <c r="BS111" s="148"/>
      <c r="BT111" s="148"/>
      <c r="BU111" s="148"/>
      <c r="BV111" s="148"/>
      <c r="BW111" s="148"/>
      <c r="BX111" s="148"/>
      <c r="BY111" s="148"/>
      <c r="BZ111" s="148"/>
      <c r="CA111" s="148"/>
      <c r="CB111" s="148"/>
      <c r="CC111" s="148"/>
      <c r="CD111" s="148"/>
      <c r="CE111" s="148"/>
      <c r="CF111" s="148"/>
      <c r="CG111" s="148"/>
      <c r="CH111" s="148"/>
      <c r="CI111" s="148"/>
      <c r="CJ111" s="148"/>
      <c r="CK111" s="148"/>
      <c r="CL111" s="148"/>
      <c r="CM111" s="148"/>
      <c r="CN111" s="148"/>
      <c r="CO111" s="148"/>
      <c r="CP111" s="148"/>
      <c r="CQ111" s="148"/>
      <c r="CR111" s="148"/>
      <c r="CS111" s="148"/>
      <c r="CT111" s="148"/>
      <c r="CU111" s="148"/>
      <c r="CV111" s="148"/>
      <c r="CW111" s="148"/>
      <c r="CX111" s="148"/>
      <c r="CY111" s="148"/>
      <c r="CZ111" s="148"/>
      <c r="DA111" s="148"/>
      <c r="DB111" s="148"/>
      <c r="DC111" s="148"/>
      <c r="DD111" s="148"/>
      <c r="DE111" s="148"/>
      <c r="DF111" s="148"/>
      <c r="DG111" s="148"/>
      <c r="DH111" s="148"/>
      <c r="DI111" s="148"/>
      <c r="DJ111" s="148"/>
      <c r="DK111" s="148"/>
      <c r="DL111" s="148"/>
      <c r="DM111" s="148"/>
      <c r="DN111" s="148"/>
      <c r="DO111" s="148"/>
      <c r="DP111" s="148"/>
      <c r="DQ111" s="148"/>
      <c r="DR111" s="148"/>
      <c r="DS111" s="148"/>
      <c r="DT111" s="148"/>
      <c r="DU111" s="148"/>
      <c r="DV111" s="148"/>
      <c r="DW111" s="148"/>
      <c r="DX111" s="148"/>
      <c r="DY111" s="148"/>
      <c r="DZ111" s="148"/>
      <c r="EA111" s="148"/>
      <c r="EB111" s="148"/>
      <c r="EC111" s="148"/>
      <c r="ED111" s="148"/>
      <c r="EE111" s="148"/>
      <c r="EF111" s="148"/>
      <c r="EG111" s="148"/>
      <c r="EH111" s="148"/>
      <c r="EI111" s="148"/>
      <c r="EJ111" s="148"/>
      <c r="EK111" s="148"/>
      <c r="EL111" s="148"/>
      <c r="EM111" s="148"/>
      <c r="EN111" s="148"/>
      <c r="EO111" s="148"/>
      <c r="EP111" s="148"/>
      <c r="EQ111" s="148"/>
      <c r="ER111" s="148"/>
      <c r="ES111" s="148"/>
      <c r="ET111" s="148"/>
      <c r="EU111" s="148"/>
      <c r="EV111" s="148"/>
      <c r="EW111" s="148"/>
      <c r="EX111" s="148"/>
      <c r="EY111" s="148"/>
      <c r="EZ111" s="148"/>
      <c r="FA111" s="148"/>
      <c r="FB111" s="148"/>
      <c r="FC111" s="148"/>
      <c r="FD111" s="148"/>
      <c r="FE111" s="148"/>
      <c r="FF111" s="148"/>
      <c r="FG111" s="148"/>
      <c r="FH111" s="148"/>
      <c r="FI111" s="148"/>
      <c r="FJ111" s="148"/>
      <c r="FK111" s="148"/>
      <c r="FL111" s="148"/>
      <c r="FM111" s="148"/>
      <c r="FN111" s="148"/>
      <c r="FO111" s="148"/>
      <c r="FP111" s="148"/>
      <c r="FQ111" s="148"/>
      <c r="FR111" s="148"/>
      <c r="FS111" s="148"/>
      <c r="FT111" s="148"/>
      <c r="FU111" s="148"/>
      <c r="FV111" s="148"/>
      <c r="FW111" s="148"/>
      <c r="FX111" s="148"/>
      <c r="FY111" s="148"/>
      <c r="FZ111" s="148"/>
      <c r="GA111" s="148"/>
      <c r="GB111" s="148"/>
      <c r="GC111" s="148"/>
      <c r="GD111" s="148"/>
      <c r="GE111" s="148"/>
      <c r="GF111" s="148"/>
      <c r="GG111" s="148"/>
      <c r="GH111" s="148"/>
      <c r="GI111" s="148"/>
      <c r="GJ111" s="148"/>
      <c r="GK111" s="148"/>
      <c r="GL111" s="148"/>
      <c r="GM111" s="148"/>
      <c r="GN111" s="148"/>
      <c r="GO111" s="148"/>
      <c r="GP111" s="148"/>
      <c r="GQ111" s="148"/>
      <c r="GR111" s="148"/>
      <c r="GS111" s="148"/>
      <c r="GT111" s="148"/>
      <c r="GU111" s="148"/>
      <c r="GV111" s="148"/>
      <c r="GW111" s="148"/>
      <c r="GX111" s="148"/>
      <c r="GY111" s="148"/>
      <c r="GZ111" s="148"/>
      <c r="HA111" s="148"/>
      <c r="HB111" s="148"/>
      <c r="HC111" s="148"/>
      <c r="HD111" s="148"/>
      <c r="HE111" s="148"/>
      <c r="HF111" s="148"/>
      <c r="HG111" s="148"/>
      <c r="HH111" s="148"/>
      <c r="HI111" s="148"/>
      <c r="HJ111" s="148"/>
      <c r="HK111" s="148"/>
      <c r="HL111" s="148"/>
      <c r="HM111" s="148"/>
      <c r="HN111" s="148"/>
      <c r="HO111" s="148"/>
      <c r="HP111" s="148"/>
      <c r="HQ111" s="148"/>
      <c r="HR111" s="148"/>
      <c r="HS111" s="148"/>
      <c r="HT111" s="148"/>
      <c r="HU111" s="148"/>
      <c r="HV111" s="148"/>
      <c r="HW111" s="148"/>
      <c r="HX111" s="148"/>
      <c r="HY111" s="148"/>
      <c r="HZ111" s="148"/>
      <c r="IA111" s="148"/>
      <c r="IB111" s="148"/>
      <c r="IC111" s="148"/>
      <c r="ID111" s="148"/>
      <c r="IE111" s="148"/>
      <c r="IF111" s="148"/>
      <c r="IG111" s="148"/>
      <c r="IH111" s="148"/>
      <c r="II111" s="148"/>
      <c r="IJ111" s="148"/>
      <c r="IK111" s="148"/>
      <c r="IL111" s="148"/>
      <c r="IM111" s="148"/>
      <c r="IN111" s="148"/>
      <c r="IO111" s="148"/>
      <c r="IP111" s="148"/>
      <c r="IQ111" s="148"/>
      <c r="IR111" s="148"/>
      <c r="IS111" s="148"/>
      <c r="IT111" s="148"/>
      <c r="IU111" s="148"/>
      <c r="IV111" s="148"/>
      <c r="IW111" s="148"/>
      <c r="IX111" s="148"/>
      <c r="IY111" s="148"/>
      <c r="IZ111" s="148"/>
      <c r="JA111" s="148"/>
      <c r="JB111" s="148"/>
    </row>
    <row r="112" spans="22:262" s="15" customFormat="1">
      <c r="V112" s="148"/>
      <c r="W112" s="148"/>
      <c r="X112" s="148"/>
      <c r="Y112" s="148"/>
      <c r="Z112" s="148"/>
      <c r="AA112" s="148"/>
      <c r="AB112" s="148"/>
      <c r="AC112" s="148"/>
      <c r="AD112" s="148"/>
      <c r="AE112" s="148"/>
      <c r="AF112" s="148"/>
      <c r="AG112" s="148"/>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8"/>
      <c r="BR112" s="148"/>
      <c r="BS112" s="148"/>
      <c r="BT112" s="148"/>
      <c r="BU112" s="148"/>
      <c r="BV112" s="148"/>
      <c r="BW112" s="148"/>
      <c r="BX112" s="148"/>
      <c r="BY112" s="148"/>
      <c r="BZ112" s="148"/>
      <c r="CA112" s="148"/>
      <c r="CB112" s="148"/>
      <c r="CC112" s="148"/>
      <c r="CD112" s="148"/>
      <c r="CE112" s="148"/>
      <c r="CF112" s="148"/>
      <c r="CG112" s="148"/>
      <c r="CH112" s="148"/>
      <c r="CI112" s="148"/>
      <c r="CJ112" s="148"/>
      <c r="CK112" s="148"/>
      <c r="CL112" s="148"/>
      <c r="CM112" s="148"/>
      <c r="CN112" s="148"/>
      <c r="CO112" s="148"/>
      <c r="CP112" s="148"/>
      <c r="CQ112" s="148"/>
      <c r="CR112" s="148"/>
      <c r="CS112" s="148"/>
      <c r="CT112" s="148"/>
      <c r="CU112" s="148"/>
      <c r="CV112" s="148"/>
      <c r="CW112" s="148"/>
      <c r="CX112" s="148"/>
      <c r="CY112" s="148"/>
      <c r="CZ112" s="148"/>
      <c r="DA112" s="148"/>
      <c r="DB112" s="148"/>
      <c r="DC112" s="148"/>
      <c r="DD112" s="148"/>
      <c r="DE112" s="148"/>
      <c r="DF112" s="148"/>
      <c r="DG112" s="148"/>
      <c r="DH112" s="148"/>
      <c r="DI112" s="148"/>
      <c r="DJ112" s="148"/>
      <c r="DK112" s="148"/>
      <c r="DL112" s="148"/>
      <c r="DM112" s="148"/>
      <c r="DN112" s="148"/>
      <c r="DO112" s="148"/>
      <c r="DP112" s="148"/>
      <c r="DQ112" s="148"/>
      <c r="DR112" s="148"/>
      <c r="DS112" s="148"/>
      <c r="DT112" s="148"/>
      <c r="DU112" s="148"/>
      <c r="DV112" s="148"/>
      <c r="DW112" s="148"/>
      <c r="DX112" s="148"/>
      <c r="DY112" s="148"/>
      <c r="DZ112" s="148"/>
      <c r="EA112" s="148"/>
      <c r="EB112" s="148"/>
      <c r="EC112" s="148"/>
      <c r="ED112" s="148"/>
      <c r="EE112" s="148"/>
      <c r="EF112" s="148"/>
      <c r="EG112" s="148"/>
      <c r="EH112" s="148"/>
      <c r="EI112" s="148"/>
      <c r="EJ112" s="148"/>
      <c r="EK112" s="148"/>
      <c r="EL112" s="148"/>
      <c r="EM112" s="148"/>
      <c r="EN112" s="148"/>
      <c r="EO112" s="148"/>
      <c r="EP112" s="148"/>
      <c r="EQ112" s="148"/>
      <c r="ER112" s="148"/>
      <c r="ES112" s="148"/>
      <c r="ET112" s="148"/>
      <c r="EU112" s="148"/>
      <c r="EV112" s="148"/>
      <c r="EW112" s="148"/>
      <c r="EX112" s="148"/>
      <c r="EY112" s="148"/>
      <c r="EZ112" s="148"/>
      <c r="FA112" s="148"/>
      <c r="FB112" s="148"/>
      <c r="FC112" s="148"/>
      <c r="FD112" s="148"/>
      <c r="FE112" s="148"/>
      <c r="FF112" s="148"/>
      <c r="FG112" s="148"/>
      <c r="FH112" s="148"/>
      <c r="FI112" s="148"/>
      <c r="FJ112" s="148"/>
      <c r="FK112" s="148"/>
      <c r="FL112" s="148"/>
      <c r="FM112" s="148"/>
      <c r="FN112" s="148"/>
      <c r="FO112" s="148"/>
      <c r="FP112" s="148"/>
      <c r="FQ112" s="148"/>
      <c r="FR112" s="148"/>
      <c r="FS112" s="148"/>
      <c r="FT112" s="148"/>
      <c r="FU112" s="148"/>
      <c r="FV112" s="148"/>
      <c r="FW112" s="148"/>
      <c r="FX112" s="148"/>
      <c r="FY112" s="148"/>
      <c r="FZ112" s="148"/>
      <c r="GA112" s="148"/>
      <c r="GB112" s="148"/>
      <c r="GC112" s="148"/>
      <c r="GD112" s="148"/>
      <c r="GE112" s="148"/>
      <c r="GF112" s="148"/>
      <c r="GG112" s="148"/>
      <c r="GH112" s="148"/>
      <c r="GI112" s="148"/>
      <c r="GJ112" s="148"/>
      <c r="GK112" s="148"/>
      <c r="GL112" s="148"/>
      <c r="GM112" s="148"/>
      <c r="GN112" s="148"/>
      <c r="GO112" s="148"/>
      <c r="GP112" s="148"/>
      <c r="GQ112" s="148"/>
      <c r="GR112" s="148"/>
      <c r="GS112" s="148"/>
      <c r="GT112" s="148"/>
      <c r="GU112" s="148"/>
      <c r="GV112" s="148"/>
      <c r="GW112" s="148"/>
      <c r="GX112" s="148"/>
      <c r="GY112" s="148"/>
      <c r="GZ112" s="148"/>
      <c r="HA112" s="148"/>
      <c r="HB112" s="148"/>
      <c r="HC112" s="148"/>
      <c r="HD112" s="148"/>
      <c r="HE112" s="148"/>
      <c r="HF112" s="148"/>
      <c r="HG112" s="148"/>
      <c r="HH112" s="148"/>
      <c r="HI112" s="148"/>
      <c r="HJ112" s="148"/>
      <c r="HK112" s="148"/>
      <c r="HL112" s="148"/>
      <c r="HM112" s="148"/>
      <c r="HN112" s="148"/>
      <c r="HO112" s="148"/>
      <c r="HP112" s="148"/>
      <c r="HQ112" s="148"/>
      <c r="HR112" s="148"/>
      <c r="HS112" s="148"/>
      <c r="HT112" s="148"/>
      <c r="HU112" s="148"/>
      <c r="HV112" s="148"/>
      <c r="HW112" s="148"/>
      <c r="HX112" s="148"/>
      <c r="HY112" s="148"/>
      <c r="HZ112" s="148"/>
      <c r="IA112" s="148"/>
      <c r="IB112" s="148"/>
      <c r="IC112" s="148"/>
      <c r="ID112" s="148"/>
      <c r="IE112" s="148"/>
      <c r="IF112" s="148"/>
      <c r="IG112" s="148"/>
      <c r="IH112" s="148"/>
      <c r="II112" s="148"/>
      <c r="IJ112" s="148"/>
      <c r="IK112" s="148"/>
      <c r="IL112" s="148"/>
      <c r="IM112" s="148"/>
      <c r="IN112" s="148"/>
      <c r="IO112" s="148"/>
      <c r="IP112" s="148"/>
      <c r="IQ112" s="148"/>
      <c r="IR112" s="148"/>
      <c r="IS112" s="148"/>
      <c r="IT112" s="148"/>
      <c r="IU112" s="148"/>
      <c r="IV112" s="148"/>
      <c r="IW112" s="148"/>
      <c r="IX112" s="148"/>
      <c r="IY112" s="148"/>
      <c r="IZ112" s="148"/>
      <c r="JA112" s="148"/>
      <c r="JB112" s="148"/>
    </row>
    <row r="113" spans="22:262" s="15" customFormat="1">
      <c r="V113" s="148"/>
      <c r="W113" s="148"/>
      <c r="X113" s="148"/>
      <c r="Y113" s="148"/>
      <c r="Z113" s="148"/>
      <c r="AA113" s="148"/>
      <c r="AB113" s="148"/>
      <c r="AC113" s="148"/>
      <c r="AD113" s="148"/>
      <c r="AE113" s="148"/>
      <c r="AF113" s="148"/>
      <c r="AG113" s="148"/>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8"/>
      <c r="BR113" s="148"/>
      <c r="BS113" s="148"/>
      <c r="BT113" s="148"/>
      <c r="BU113" s="148"/>
      <c r="BV113" s="148"/>
      <c r="BW113" s="148"/>
      <c r="BX113" s="148"/>
      <c r="BY113" s="148"/>
      <c r="BZ113" s="148"/>
      <c r="CA113" s="148"/>
      <c r="CB113" s="148"/>
      <c r="CC113" s="148"/>
      <c r="CD113" s="148"/>
      <c r="CE113" s="148"/>
      <c r="CF113" s="148"/>
      <c r="CG113" s="148"/>
      <c r="CH113" s="148"/>
      <c r="CI113" s="148"/>
      <c r="CJ113" s="148"/>
      <c r="CK113" s="148"/>
      <c r="CL113" s="148"/>
      <c r="CM113" s="148"/>
      <c r="CN113" s="148"/>
      <c r="CO113" s="148"/>
      <c r="CP113" s="148"/>
      <c r="CQ113" s="148"/>
      <c r="CR113" s="148"/>
      <c r="CS113" s="148"/>
      <c r="CT113" s="148"/>
      <c r="CU113" s="148"/>
      <c r="CV113" s="148"/>
      <c r="CW113" s="148"/>
      <c r="CX113" s="148"/>
      <c r="CY113" s="148"/>
      <c r="CZ113" s="148"/>
      <c r="DA113" s="148"/>
      <c r="DB113" s="148"/>
      <c r="DC113" s="148"/>
      <c r="DD113" s="148"/>
      <c r="DE113" s="148"/>
      <c r="DF113" s="148"/>
      <c r="DG113" s="148"/>
      <c r="DH113" s="148"/>
      <c r="DI113" s="148"/>
      <c r="DJ113" s="148"/>
      <c r="DK113" s="148"/>
      <c r="DL113" s="148"/>
      <c r="DM113" s="148"/>
      <c r="DN113" s="148"/>
      <c r="DO113" s="148"/>
      <c r="DP113" s="148"/>
      <c r="DQ113" s="148"/>
      <c r="DR113" s="148"/>
      <c r="DS113" s="148"/>
      <c r="DT113" s="148"/>
      <c r="DU113" s="148"/>
      <c r="DV113" s="148"/>
      <c r="DW113" s="148"/>
      <c r="DX113" s="148"/>
      <c r="DY113" s="148"/>
      <c r="DZ113" s="148"/>
      <c r="EA113" s="148"/>
      <c r="EB113" s="148"/>
      <c r="EC113" s="148"/>
      <c r="ED113" s="148"/>
      <c r="EE113" s="148"/>
      <c r="EF113" s="148"/>
      <c r="EG113" s="148"/>
      <c r="EH113" s="148"/>
      <c r="EI113" s="148"/>
      <c r="EJ113" s="148"/>
      <c r="EK113" s="148"/>
      <c r="EL113" s="148"/>
      <c r="EM113" s="148"/>
      <c r="EN113" s="148"/>
      <c r="EO113" s="148"/>
      <c r="EP113" s="148"/>
      <c r="EQ113" s="148"/>
      <c r="ER113" s="148"/>
      <c r="ES113" s="148"/>
      <c r="ET113" s="148"/>
      <c r="EU113" s="148"/>
      <c r="EV113" s="148"/>
      <c r="EW113" s="148"/>
      <c r="EX113" s="148"/>
      <c r="EY113" s="148"/>
      <c r="EZ113" s="148"/>
      <c r="FA113" s="148"/>
      <c r="FB113" s="148"/>
      <c r="FC113" s="148"/>
      <c r="FD113" s="148"/>
      <c r="FE113" s="148"/>
      <c r="FF113" s="148"/>
      <c r="FG113" s="148"/>
      <c r="FH113" s="148"/>
      <c r="FI113" s="148"/>
      <c r="FJ113" s="148"/>
      <c r="FK113" s="148"/>
      <c r="FL113" s="148"/>
      <c r="FM113" s="148"/>
      <c r="FN113" s="148"/>
      <c r="FO113" s="148"/>
      <c r="FP113" s="148"/>
      <c r="FQ113" s="148"/>
      <c r="FR113" s="148"/>
      <c r="FS113" s="148"/>
      <c r="FT113" s="148"/>
      <c r="FU113" s="148"/>
      <c r="FV113" s="148"/>
      <c r="FW113" s="148"/>
      <c r="FX113" s="148"/>
      <c r="FY113" s="148"/>
      <c r="FZ113" s="148"/>
      <c r="GA113" s="148"/>
      <c r="GB113" s="148"/>
      <c r="GC113" s="148"/>
      <c r="GD113" s="148"/>
      <c r="GE113" s="148"/>
      <c r="GF113" s="148"/>
      <c r="GG113" s="148"/>
      <c r="GH113" s="148"/>
      <c r="GI113" s="148"/>
      <c r="GJ113" s="148"/>
      <c r="GK113" s="148"/>
      <c r="GL113" s="148"/>
      <c r="GM113" s="148"/>
      <c r="GN113" s="148"/>
      <c r="GO113" s="148"/>
      <c r="GP113" s="148"/>
      <c r="GQ113" s="148"/>
      <c r="GR113" s="148"/>
      <c r="GS113" s="148"/>
      <c r="GT113" s="148"/>
      <c r="GU113" s="148"/>
      <c r="GV113" s="148"/>
      <c r="GW113" s="148"/>
      <c r="GX113" s="148"/>
      <c r="GY113" s="148"/>
      <c r="GZ113" s="148"/>
      <c r="HA113" s="148"/>
      <c r="HB113" s="148"/>
      <c r="HC113" s="148"/>
      <c r="HD113" s="148"/>
      <c r="HE113" s="148"/>
      <c r="HF113" s="148"/>
      <c r="HG113" s="148"/>
      <c r="HH113" s="148"/>
      <c r="HI113" s="148"/>
      <c r="HJ113" s="148"/>
      <c r="HK113" s="148"/>
      <c r="HL113" s="148"/>
      <c r="HM113" s="148"/>
      <c r="HN113" s="148"/>
      <c r="HO113" s="148"/>
      <c r="HP113" s="148"/>
      <c r="HQ113" s="148"/>
      <c r="HR113" s="148"/>
      <c r="HS113" s="148"/>
      <c r="HT113" s="148"/>
      <c r="HU113" s="148"/>
      <c r="HV113" s="148"/>
      <c r="HW113" s="148"/>
      <c r="HX113" s="148"/>
      <c r="HY113" s="148"/>
      <c r="HZ113" s="148"/>
      <c r="IA113" s="148"/>
      <c r="IB113" s="148"/>
      <c r="IC113" s="148"/>
      <c r="ID113" s="148"/>
      <c r="IE113" s="148"/>
      <c r="IF113" s="148"/>
      <c r="IG113" s="148"/>
      <c r="IH113" s="148"/>
      <c r="II113" s="148"/>
      <c r="IJ113" s="148"/>
      <c r="IK113" s="148"/>
      <c r="IL113" s="148"/>
      <c r="IM113" s="148"/>
      <c r="IN113" s="148"/>
      <c r="IO113" s="148"/>
      <c r="IP113" s="148"/>
      <c r="IQ113" s="148"/>
      <c r="IR113" s="148"/>
      <c r="IS113" s="148"/>
      <c r="IT113" s="148"/>
      <c r="IU113" s="148"/>
      <c r="IV113" s="148"/>
      <c r="IW113" s="148"/>
      <c r="IX113" s="148"/>
      <c r="IY113" s="148"/>
      <c r="IZ113" s="148"/>
      <c r="JA113" s="148"/>
      <c r="JB113" s="148"/>
    </row>
    <row r="114" spans="22:262" s="15" customFormat="1">
      <c r="V114" s="148"/>
      <c r="W114" s="148"/>
      <c r="X114" s="148"/>
      <c r="Y114" s="148"/>
      <c r="Z114" s="148"/>
      <c r="AA114" s="148"/>
      <c r="AB114" s="148"/>
      <c r="AC114" s="148"/>
      <c r="AD114" s="148"/>
      <c r="AE114" s="148"/>
      <c r="AF114" s="148"/>
      <c r="AG114" s="148"/>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8"/>
      <c r="BR114" s="148"/>
      <c r="BS114" s="148"/>
      <c r="BT114" s="148"/>
      <c r="BU114" s="148"/>
      <c r="BV114" s="148"/>
      <c r="BW114" s="148"/>
      <c r="BX114" s="148"/>
      <c r="BY114" s="148"/>
      <c r="BZ114" s="148"/>
      <c r="CA114" s="148"/>
      <c r="CB114" s="148"/>
      <c r="CC114" s="148"/>
      <c r="CD114" s="148"/>
      <c r="CE114" s="148"/>
      <c r="CF114" s="148"/>
      <c r="CG114" s="148"/>
      <c r="CH114" s="148"/>
      <c r="CI114" s="148"/>
      <c r="CJ114" s="148"/>
      <c r="CK114" s="148"/>
      <c r="CL114" s="148"/>
      <c r="CM114" s="148"/>
      <c r="CN114" s="148"/>
      <c r="CO114" s="148"/>
      <c r="CP114" s="148"/>
      <c r="CQ114" s="148"/>
      <c r="CR114" s="148"/>
      <c r="CS114" s="148"/>
      <c r="CT114" s="148"/>
      <c r="CU114" s="148"/>
      <c r="CV114" s="148"/>
      <c r="CW114" s="148"/>
      <c r="CX114" s="148"/>
      <c r="CY114" s="148"/>
      <c r="CZ114" s="148"/>
      <c r="DA114" s="148"/>
      <c r="DB114" s="148"/>
      <c r="DC114" s="148"/>
      <c r="DD114" s="148"/>
      <c r="DE114" s="148"/>
      <c r="DF114" s="148"/>
      <c r="DG114" s="148"/>
      <c r="DH114" s="148"/>
      <c r="DI114" s="148"/>
      <c r="DJ114" s="148"/>
      <c r="DK114" s="148"/>
      <c r="DL114" s="148"/>
      <c r="DM114" s="148"/>
      <c r="DN114" s="148"/>
      <c r="DO114" s="148"/>
      <c r="DP114" s="148"/>
      <c r="DQ114" s="148"/>
      <c r="DR114" s="148"/>
      <c r="DS114" s="148"/>
      <c r="DT114" s="148"/>
      <c r="DU114" s="148"/>
      <c r="DV114" s="148"/>
      <c r="DW114" s="148"/>
      <c r="DX114" s="148"/>
      <c r="DY114" s="148"/>
      <c r="DZ114" s="148"/>
      <c r="EA114" s="148"/>
      <c r="EB114" s="148"/>
      <c r="EC114" s="148"/>
      <c r="ED114" s="148"/>
      <c r="EE114" s="148"/>
      <c r="EF114" s="148"/>
      <c r="EG114" s="148"/>
      <c r="EH114" s="148"/>
      <c r="EI114" s="148"/>
      <c r="EJ114" s="148"/>
      <c r="EK114" s="148"/>
      <c r="EL114" s="148"/>
      <c r="EM114" s="148"/>
      <c r="EN114" s="148"/>
      <c r="EO114" s="148"/>
      <c r="EP114" s="148"/>
      <c r="EQ114" s="148"/>
      <c r="ER114" s="148"/>
      <c r="ES114" s="148"/>
      <c r="ET114" s="148"/>
      <c r="EU114" s="148"/>
      <c r="EV114" s="148"/>
      <c r="EW114" s="148"/>
      <c r="EX114" s="148"/>
      <c r="EY114" s="148"/>
      <c r="EZ114" s="148"/>
      <c r="FA114" s="148"/>
      <c r="FB114" s="148"/>
      <c r="FC114" s="148"/>
      <c r="FD114" s="148"/>
      <c r="FE114" s="148"/>
      <c r="FF114" s="148"/>
      <c r="FG114" s="148"/>
      <c r="FH114" s="148"/>
      <c r="FI114" s="148"/>
      <c r="FJ114" s="148"/>
      <c r="FK114" s="148"/>
      <c r="FL114" s="148"/>
      <c r="FM114" s="148"/>
      <c r="FN114" s="148"/>
      <c r="FO114" s="148"/>
      <c r="FP114" s="148"/>
      <c r="FQ114" s="148"/>
      <c r="FR114" s="148"/>
      <c r="FS114" s="148"/>
      <c r="FT114" s="148"/>
      <c r="FU114" s="148"/>
      <c r="FV114" s="148"/>
      <c r="FW114" s="148"/>
      <c r="FX114" s="148"/>
      <c r="FY114" s="148"/>
      <c r="FZ114" s="148"/>
      <c r="GA114" s="148"/>
      <c r="GB114" s="148"/>
      <c r="GC114" s="148"/>
      <c r="GD114" s="148"/>
      <c r="GE114" s="148"/>
      <c r="GF114" s="148"/>
      <c r="GG114" s="148"/>
      <c r="GH114" s="148"/>
      <c r="GI114" s="148"/>
      <c r="GJ114" s="148"/>
      <c r="GK114" s="148"/>
      <c r="GL114" s="148"/>
      <c r="GM114" s="148"/>
      <c r="GN114" s="148"/>
      <c r="GO114" s="148"/>
      <c r="GP114" s="148"/>
      <c r="GQ114" s="148"/>
      <c r="GR114" s="148"/>
      <c r="GS114" s="148"/>
      <c r="GT114" s="148"/>
      <c r="GU114" s="148"/>
      <c r="GV114" s="148"/>
      <c r="GW114" s="148"/>
      <c r="GX114" s="148"/>
      <c r="GY114" s="148"/>
      <c r="GZ114" s="148"/>
      <c r="HA114" s="148"/>
      <c r="HB114" s="148"/>
      <c r="HC114" s="148"/>
      <c r="HD114" s="148"/>
      <c r="HE114" s="148"/>
      <c r="HF114" s="148"/>
      <c r="HG114" s="148"/>
      <c r="HH114" s="148"/>
      <c r="HI114" s="148"/>
      <c r="HJ114" s="148"/>
      <c r="HK114" s="148"/>
      <c r="HL114" s="148"/>
      <c r="HM114" s="148"/>
      <c r="HN114" s="148"/>
      <c r="HO114" s="148"/>
      <c r="HP114" s="148"/>
      <c r="HQ114" s="148"/>
      <c r="HR114" s="148"/>
      <c r="HS114" s="148"/>
      <c r="HT114" s="148"/>
      <c r="HU114" s="148"/>
      <c r="HV114" s="148"/>
      <c r="HW114" s="148"/>
      <c r="HX114" s="148"/>
      <c r="HY114" s="148"/>
      <c r="HZ114" s="148"/>
      <c r="IA114" s="148"/>
      <c r="IB114" s="148"/>
      <c r="IC114" s="148"/>
      <c r="ID114" s="148"/>
      <c r="IE114" s="148"/>
      <c r="IF114" s="148"/>
      <c r="IG114" s="148"/>
      <c r="IH114" s="148"/>
      <c r="II114" s="148"/>
      <c r="IJ114" s="148"/>
      <c r="IK114" s="148"/>
      <c r="IL114" s="148"/>
      <c r="IM114" s="148"/>
      <c r="IN114" s="148"/>
      <c r="IO114" s="148"/>
      <c r="IP114" s="148"/>
      <c r="IQ114" s="148"/>
      <c r="IR114" s="148"/>
      <c r="IS114" s="148"/>
      <c r="IT114" s="148"/>
      <c r="IU114" s="148"/>
      <c r="IV114" s="148"/>
      <c r="IW114" s="148"/>
      <c r="IX114" s="148"/>
      <c r="IY114" s="148"/>
      <c r="IZ114" s="148"/>
      <c r="JA114" s="148"/>
      <c r="JB114" s="148"/>
    </row>
    <row r="115" spans="22:262" s="15" customFormat="1">
      <c r="V115" s="148"/>
      <c r="W115" s="148"/>
      <c r="X115" s="148"/>
      <c r="Y115" s="148"/>
      <c r="Z115" s="148"/>
      <c r="AA115" s="148"/>
      <c r="AB115" s="148"/>
      <c r="AC115" s="148"/>
      <c r="AD115" s="148"/>
      <c r="AE115" s="148"/>
      <c r="AF115" s="148"/>
      <c r="AG115" s="148"/>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c r="BI115" s="148"/>
      <c r="BJ115" s="148"/>
      <c r="BK115" s="148"/>
      <c r="BL115" s="148"/>
      <c r="BM115" s="148"/>
      <c r="BN115" s="148"/>
      <c r="BO115" s="148"/>
      <c r="BP115" s="148"/>
      <c r="BQ115" s="148"/>
      <c r="BR115" s="148"/>
      <c r="BS115" s="148"/>
      <c r="BT115" s="148"/>
      <c r="BU115" s="148"/>
      <c r="BV115" s="148"/>
      <c r="BW115" s="148"/>
      <c r="BX115" s="148"/>
      <c r="BY115" s="148"/>
      <c r="BZ115" s="148"/>
      <c r="CA115" s="148"/>
      <c r="CB115" s="148"/>
      <c r="CC115" s="148"/>
      <c r="CD115" s="148"/>
      <c r="CE115" s="148"/>
      <c r="CF115" s="148"/>
      <c r="CG115" s="148"/>
      <c r="CH115" s="148"/>
      <c r="CI115" s="148"/>
      <c r="CJ115" s="148"/>
      <c r="CK115" s="148"/>
      <c r="CL115" s="148"/>
      <c r="CM115" s="148"/>
      <c r="CN115" s="148"/>
      <c r="CO115" s="148"/>
      <c r="CP115" s="148"/>
      <c r="CQ115" s="148"/>
      <c r="CR115" s="148"/>
      <c r="CS115" s="148"/>
      <c r="CT115" s="148"/>
      <c r="CU115" s="148"/>
      <c r="CV115" s="148"/>
      <c r="CW115" s="148"/>
      <c r="CX115" s="148"/>
      <c r="CY115" s="148"/>
      <c r="CZ115" s="148"/>
      <c r="DA115" s="148"/>
      <c r="DB115" s="148"/>
      <c r="DC115" s="148"/>
      <c r="DD115" s="148"/>
      <c r="DE115" s="148"/>
      <c r="DF115" s="148"/>
      <c r="DG115" s="148"/>
      <c r="DH115" s="148"/>
      <c r="DI115" s="148"/>
      <c r="DJ115" s="148"/>
      <c r="DK115" s="148"/>
      <c r="DL115" s="148"/>
      <c r="DM115" s="148"/>
      <c r="DN115" s="148"/>
      <c r="DO115" s="148"/>
      <c r="DP115" s="148"/>
      <c r="DQ115" s="148"/>
      <c r="DR115" s="148"/>
      <c r="DS115" s="148"/>
      <c r="DT115" s="148"/>
      <c r="DU115" s="148"/>
      <c r="DV115" s="148"/>
      <c r="DW115" s="148"/>
      <c r="DX115" s="148"/>
      <c r="DY115" s="148"/>
      <c r="DZ115" s="148"/>
      <c r="EA115" s="148"/>
      <c r="EB115" s="148"/>
      <c r="EC115" s="148"/>
      <c r="ED115" s="148"/>
      <c r="EE115" s="148"/>
      <c r="EF115" s="148"/>
      <c r="EG115" s="148"/>
      <c r="EH115" s="148"/>
      <c r="EI115" s="148"/>
      <c r="EJ115" s="148"/>
      <c r="EK115" s="148"/>
      <c r="EL115" s="148"/>
      <c r="EM115" s="148"/>
      <c r="EN115" s="148"/>
      <c r="EO115" s="148"/>
      <c r="EP115" s="148"/>
      <c r="EQ115" s="148"/>
      <c r="ER115" s="148"/>
      <c r="ES115" s="148"/>
      <c r="ET115" s="148"/>
      <c r="EU115" s="148"/>
      <c r="EV115" s="148"/>
      <c r="EW115" s="148"/>
      <c r="EX115" s="148"/>
      <c r="EY115" s="148"/>
      <c r="EZ115" s="148"/>
      <c r="FA115" s="148"/>
      <c r="FB115" s="148"/>
      <c r="FC115" s="148"/>
      <c r="FD115" s="148"/>
      <c r="FE115" s="148"/>
      <c r="FF115" s="148"/>
      <c r="FG115" s="148"/>
      <c r="FH115" s="148"/>
      <c r="FI115" s="148"/>
      <c r="FJ115" s="148"/>
      <c r="FK115" s="148"/>
      <c r="FL115" s="148"/>
      <c r="FM115" s="148"/>
      <c r="FN115" s="148"/>
      <c r="FO115" s="148"/>
      <c r="FP115" s="148"/>
      <c r="FQ115" s="148"/>
      <c r="FR115" s="148"/>
      <c r="FS115" s="148"/>
      <c r="FT115" s="148"/>
      <c r="FU115" s="148"/>
      <c r="FV115" s="148"/>
      <c r="FW115" s="148"/>
      <c r="FX115" s="148"/>
      <c r="FY115" s="148"/>
      <c r="FZ115" s="148"/>
      <c r="GA115" s="148"/>
      <c r="GB115" s="148"/>
      <c r="GC115" s="148"/>
      <c r="GD115" s="148"/>
      <c r="GE115" s="148"/>
      <c r="GF115" s="148"/>
      <c r="GG115" s="148"/>
      <c r="GH115" s="148"/>
      <c r="GI115" s="148"/>
      <c r="GJ115" s="148"/>
      <c r="GK115" s="148"/>
      <c r="GL115" s="148"/>
      <c r="GM115" s="148"/>
      <c r="GN115" s="148"/>
      <c r="GO115" s="148"/>
      <c r="GP115" s="148"/>
      <c r="GQ115" s="148"/>
      <c r="GR115" s="148"/>
      <c r="GS115" s="148"/>
      <c r="GT115" s="148"/>
      <c r="GU115" s="148"/>
      <c r="GV115" s="148"/>
      <c r="GW115" s="148"/>
      <c r="GX115" s="148"/>
      <c r="GY115" s="148"/>
      <c r="GZ115" s="148"/>
      <c r="HA115" s="148"/>
      <c r="HB115" s="148"/>
      <c r="HC115" s="148"/>
      <c r="HD115" s="148"/>
      <c r="HE115" s="148"/>
      <c r="HF115" s="148"/>
      <c r="HG115" s="148"/>
      <c r="HH115" s="148"/>
      <c r="HI115" s="148"/>
      <c r="HJ115" s="148"/>
      <c r="HK115" s="148"/>
      <c r="HL115" s="148"/>
      <c r="HM115" s="148"/>
      <c r="HN115" s="148"/>
      <c r="HO115" s="148"/>
      <c r="HP115" s="148"/>
      <c r="HQ115" s="148"/>
      <c r="HR115" s="148"/>
      <c r="HS115" s="148"/>
      <c r="HT115" s="148"/>
      <c r="HU115" s="148"/>
      <c r="HV115" s="148"/>
      <c r="HW115" s="148"/>
      <c r="HX115" s="148"/>
      <c r="HY115" s="148"/>
      <c r="HZ115" s="148"/>
      <c r="IA115" s="148"/>
      <c r="IB115" s="148"/>
      <c r="IC115" s="148"/>
      <c r="ID115" s="148"/>
      <c r="IE115" s="148"/>
      <c r="IF115" s="148"/>
      <c r="IG115" s="148"/>
      <c r="IH115" s="148"/>
      <c r="II115" s="148"/>
      <c r="IJ115" s="148"/>
      <c r="IK115" s="148"/>
      <c r="IL115" s="148"/>
      <c r="IM115" s="148"/>
      <c r="IN115" s="148"/>
      <c r="IO115" s="148"/>
      <c r="IP115" s="148"/>
      <c r="IQ115" s="148"/>
      <c r="IR115" s="148"/>
      <c r="IS115" s="148"/>
      <c r="IT115" s="148"/>
      <c r="IU115" s="148"/>
      <c r="IV115" s="148"/>
      <c r="IW115" s="148"/>
      <c r="IX115" s="148"/>
      <c r="IY115" s="148"/>
      <c r="IZ115" s="148"/>
      <c r="JA115" s="148"/>
      <c r="JB115" s="148"/>
    </row>
    <row r="116" spans="22:262" s="15" customFormat="1">
      <c r="V116" s="148"/>
      <c r="W116" s="148"/>
      <c r="X116" s="148"/>
      <c r="Y116" s="148"/>
      <c r="Z116" s="148"/>
      <c r="AA116" s="148"/>
      <c r="AB116" s="148"/>
      <c r="AC116" s="148"/>
      <c r="AD116" s="148"/>
      <c r="AE116" s="148"/>
      <c r="AF116" s="148"/>
      <c r="AG116" s="148"/>
      <c r="AH116" s="148"/>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c r="BI116" s="148"/>
      <c r="BJ116" s="148"/>
      <c r="BK116" s="148"/>
      <c r="BL116" s="148"/>
      <c r="BM116" s="148"/>
      <c r="BN116" s="148"/>
      <c r="BO116" s="148"/>
      <c r="BP116" s="148"/>
      <c r="BQ116" s="148"/>
      <c r="BR116" s="148"/>
      <c r="BS116" s="148"/>
      <c r="BT116" s="148"/>
      <c r="BU116" s="148"/>
      <c r="BV116" s="148"/>
      <c r="BW116" s="148"/>
      <c r="BX116" s="148"/>
      <c r="BY116" s="148"/>
      <c r="BZ116" s="148"/>
      <c r="CA116" s="148"/>
      <c r="CB116" s="148"/>
      <c r="CC116" s="148"/>
      <c r="CD116" s="148"/>
      <c r="CE116" s="148"/>
      <c r="CF116" s="148"/>
      <c r="CG116" s="148"/>
      <c r="CH116" s="148"/>
      <c r="CI116" s="148"/>
      <c r="CJ116" s="148"/>
      <c r="CK116" s="148"/>
      <c r="CL116" s="148"/>
      <c r="CM116" s="148"/>
      <c r="CN116" s="148"/>
      <c r="CO116" s="148"/>
      <c r="CP116" s="148"/>
      <c r="CQ116" s="148"/>
      <c r="CR116" s="148"/>
      <c r="CS116" s="148"/>
      <c r="CT116" s="148"/>
      <c r="CU116" s="148"/>
      <c r="CV116" s="148"/>
      <c r="CW116" s="148"/>
      <c r="CX116" s="148"/>
      <c r="CY116" s="148"/>
      <c r="CZ116" s="148"/>
      <c r="DA116" s="148"/>
      <c r="DB116" s="148"/>
      <c r="DC116" s="148"/>
      <c r="DD116" s="148"/>
      <c r="DE116" s="148"/>
      <c r="DF116" s="148"/>
      <c r="DG116" s="148"/>
      <c r="DH116" s="148"/>
      <c r="DI116" s="148"/>
      <c r="DJ116" s="148"/>
      <c r="DK116" s="148"/>
      <c r="DL116" s="148"/>
      <c r="DM116" s="148"/>
      <c r="DN116" s="148"/>
      <c r="DO116" s="148"/>
      <c r="DP116" s="148"/>
      <c r="DQ116" s="148"/>
      <c r="DR116" s="148"/>
      <c r="DS116" s="148"/>
      <c r="DT116" s="148"/>
      <c r="DU116" s="148"/>
      <c r="DV116" s="148"/>
      <c r="DW116" s="148"/>
      <c r="DX116" s="148"/>
      <c r="DY116" s="148"/>
      <c r="DZ116" s="148"/>
      <c r="EA116" s="148"/>
      <c r="EB116" s="148"/>
      <c r="EC116" s="148"/>
      <c r="ED116" s="148"/>
      <c r="EE116" s="148"/>
      <c r="EF116" s="148"/>
      <c r="EG116" s="148"/>
      <c r="EH116" s="148"/>
      <c r="EI116" s="148"/>
      <c r="EJ116" s="148"/>
      <c r="EK116" s="148"/>
      <c r="EL116" s="148"/>
      <c r="EM116" s="148"/>
      <c r="EN116" s="148"/>
      <c r="EO116" s="148"/>
      <c r="EP116" s="148"/>
      <c r="EQ116" s="148"/>
      <c r="ER116" s="148"/>
      <c r="ES116" s="148"/>
      <c r="ET116" s="148"/>
      <c r="EU116" s="148"/>
      <c r="EV116" s="148"/>
      <c r="EW116" s="148"/>
      <c r="EX116" s="148"/>
      <c r="EY116" s="148"/>
      <c r="EZ116" s="148"/>
      <c r="FA116" s="148"/>
      <c r="FB116" s="148"/>
      <c r="FC116" s="148"/>
      <c r="FD116" s="148"/>
      <c r="FE116" s="148"/>
      <c r="FF116" s="148"/>
      <c r="FG116" s="148"/>
      <c r="FH116" s="148"/>
      <c r="FI116" s="148"/>
      <c r="FJ116" s="148"/>
      <c r="FK116" s="148"/>
      <c r="FL116" s="148"/>
      <c r="FM116" s="148"/>
      <c r="FN116" s="148"/>
      <c r="FO116" s="148"/>
      <c r="FP116" s="148"/>
      <c r="FQ116" s="148"/>
      <c r="FR116" s="148"/>
      <c r="FS116" s="148"/>
      <c r="FT116" s="148"/>
      <c r="FU116" s="148"/>
      <c r="FV116" s="148"/>
      <c r="FW116" s="148"/>
      <c r="FX116" s="148"/>
      <c r="FY116" s="148"/>
      <c r="FZ116" s="148"/>
      <c r="GA116" s="148"/>
      <c r="GB116" s="148"/>
      <c r="GC116" s="148"/>
      <c r="GD116" s="148"/>
      <c r="GE116" s="148"/>
      <c r="GF116" s="148"/>
      <c r="GG116" s="148"/>
      <c r="GH116" s="148"/>
      <c r="GI116" s="148"/>
      <c r="GJ116" s="148"/>
      <c r="GK116" s="148"/>
      <c r="GL116" s="148"/>
      <c r="GM116" s="148"/>
      <c r="GN116" s="148"/>
      <c r="GO116" s="148"/>
      <c r="GP116" s="148"/>
      <c r="GQ116" s="148"/>
      <c r="GR116" s="148"/>
      <c r="GS116" s="148"/>
      <c r="GT116" s="148"/>
      <c r="GU116" s="148"/>
      <c r="GV116" s="148"/>
      <c r="GW116" s="148"/>
      <c r="GX116" s="148"/>
      <c r="GY116" s="148"/>
      <c r="GZ116" s="148"/>
      <c r="HA116" s="148"/>
      <c r="HB116" s="148"/>
      <c r="HC116" s="148"/>
      <c r="HD116" s="148"/>
      <c r="HE116" s="148"/>
      <c r="HF116" s="148"/>
      <c r="HG116" s="148"/>
      <c r="HH116" s="148"/>
      <c r="HI116" s="148"/>
      <c r="HJ116" s="148"/>
      <c r="HK116" s="148"/>
      <c r="HL116" s="148"/>
      <c r="HM116" s="148"/>
      <c r="HN116" s="148"/>
      <c r="HO116" s="148"/>
      <c r="HP116" s="148"/>
      <c r="HQ116" s="148"/>
      <c r="HR116" s="148"/>
      <c r="HS116" s="148"/>
      <c r="HT116" s="148"/>
      <c r="HU116" s="148"/>
      <c r="HV116" s="148"/>
      <c r="HW116" s="148"/>
      <c r="HX116" s="148"/>
      <c r="HY116" s="148"/>
      <c r="HZ116" s="148"/>
      <c r="IA116" s="148"/>
      <c r="IB116" s="148"/>
      <c r="IC116" s="148"/>
      <c r="ID116" s="148"/>
      <c r="IE116" s="148"/>
      <c r="IF116" s="148"/>
      <c r="IG116" s="148"/>
      <c r="IH116" s="148"/>
      <c r="II116" s="148"/>
      <c r="IJ116" s="148"/>
      <c r="IK116" s="148"/>
      <c r="IL116" s="148"/>
      <c r="IM116" s="148"/>
      <c r="IN116" s="148"/>
      <c r="IO116" s="148"/>
      <c r="IP116" s="148"/>
      <c r="IQ116" s="148"/>
      <c r="IR116" s="148"/>
      <c r="IS116" s="148"/>
      <c r="IT116" s="148"/>
      <c r="IU116" s="148"/>
      <c r="IV116" s="148"/>
      <c r="IW116" s="148"/>
      <c r="IX116" s="148"/>
      <c r="IY116" s="148"/>
      <c r="IZ116" s="148"/>
      <c r="JA116" s="148"/>
      <c r="JB116" s="148"/>
    </row>
    <row r="117" spans="22:262" s="15" customFormat="1">
      <c r="V117" s="148"/>
      <c r="W117" s="148"/>
      <c r="X117" s="148"/>
      <c r="Y117" s="148"/>
      <c r="Z117" s="148"/>
      <c r="AA117" s="148"/>
      <c r="AB117" s="148"/>
      <c r="AC117" s="148"/>
      <c r="AD117" s="148"/>
      <c r="AE117" s="148"/>
      <c r="AF117" s="148"/>
      <c r="AG117" s="148"/>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c r="BI117" s="148"/>
      <c r="BJ117" s="148"/>
      <c r="BK117" s="148"/>
      <c r="BL117" s="148"/>
      <c r="BM117" s="148"/>
      <c r="BN117" s="148"/>
      <c r="BO117" s="148"/>
      <c r="BP117" s="148"/>
      <c r="BQ117" s="148"/>
      <c r="BR117" s="148"/>
      <c r="BS117" s="148"/>
      <c r="BT117" s="148"/>
      <c r="BU117" s="148"/>
      <c r="BV117" s="148"/>
      <c r="BW117" s="148"/>
      <c r="BX117" s="148"/>
      <c r="BY117" s="148"/>
      <c r="BZ117" s="148"/>
      <c r="CA117" s="148"/>
      <c r="CB117" s="148"/>
      <c r="CC117" s="148"/>
      <c r="CD117" s="148"/>
      <c r="CE117" s="148"/>
      <c r="CF117" s="148"/>
      <c r="CG117" s="148"/>
      <c r="CH117" s="148"/>
      <c r="CI117" s="148"/>
      <c r="CJ117" s="148"/>
      <c r="CK117" s="148"/>
      <c r="CL117" s="148"/>
      <c r="CM117" s="148"/>
      <c r="CN117" s="148"/>
      <c r="CO117" s="148"/>
      <c r="CP117" s="148"/>
      <c r="CQ117" s="148"/>
      <c r="CR117" s="148"/>
      <c r="CS117" s="148"/>
      <c r="CT117" s="148"/>
      <c r="CU117" s="148"/>
      <c r="CV117" s="148"/>
      <c r="CW117" s="148"/>
      <c r="CX117" s="148"/>
      <c r="CY117" s="148"/>
      <c r="CZ117" s="148"/>
      <c r="DA117" s="148"/>
      <c r="DB117" s="148"/>
      <c r="DC117" s="148"/>
      <c r="DD117" s="148"/>
      <c r="DE117" s="148"/>
      <c r="DF117" s="148"/>
      <c r="DG117" s="148"/>
      <c r="DH117" s="148"/>
      <c r="DI117" s="148"/>
      <c r="DJ117" s="148"/>
      <c r="DK117" s="148"/>
      <c r="DL117" s="148"/>
      <c r="DM117" s="148"/>
      <c r="DN117" s="148"/>
      <c r="DO117" s="148"/>
      <c r="DP117" s="148"/>
      <c r="DQ117" s="148"/>
      <c r="DR117" s="148"/>
      <c r="DS117" s="148"/>
      <c r="DT117" s="148"/>
      <c r="DU117" s="148"/>
      <c r="DV117" s="148"/>
      <c r="DW117" s="148"/>
      <c r="DX117" s="148"/>
      <c r="DY117" s="148"/>
      <c r="DZ117" s="148"/>
      <c r="EA117" s="148"/>
      <c r="EB117" s="148"/>
      <c r="EC117" s="148"/>
      <c r="ED117" s="148"/>
      <c r="EE117" s="148"/>
      <c r="EF117" s="148"/>
      <c r="EG117" s="148"/>
      <c r="EH117" s="148"/>
      <c r="EI117" s="148"/>
      <c r="EJ117" s="148"/>
      <c r="EK117" s="148"/>
      <c r="EL117" s="148"/>
      <c r="EM117" s="148"/>
      <c r="EN117" s="148"/>
      <c r="EO117" s="148"/>
      <c r="EP117" s="148"/>
      <c r="EQ117" s="148"/>
      <c r="ER117" s="148"/>
      <c r="ES117" s="148"/>
      <c r="ET117" s="148"/>
      <c r="EU117" s="148"/>
      <c r="EV117" s="148"/>
      <c r="EW117" s="148"/>
      <c r="EX117" s="148"/>
      <c r="EY117" s="148"/>
      <c r="EZ117" s="148"/>
      <c r="FA117" s="148"/>
      <c r="FB117" s="148"/>
      <c r="FC117" s="148"/>
      <c r="FD117" s="148"/>
      <c r="FE117" s="148"/>
      <c r="FF117" s="148"/>
      <c r="FG117" s="148"/>
      <c r="FH117" s="148"/>
      <c r="FI117" s="148"/>
      <c r="FJ117" s="148"/>
      <c r="FK117" s="148"/>
      <c r="FL117" s="148"/>
      <c r="FM117" s="148"/>
      <c r="FN117" s="148"/>
      <c r="FO117" s="148"/>
      <c r="FP117" s="148"/>
      <c r="FQ117" s="148"/>
      <c r="FR117" s="148"/>
      <c r="FS117" s="148"/>
      <c r="FT117" s="148"/>
      <c r="FU117" s="148"/>
      <c r="FV117" s="148"/>
      <c r="FW117" s="148"/>
      <c r="FX117" s="148"/>
      <c r="FY117" s="148"/>
      <c r="FZ117" s="148"/>
      <c r="GA117" s="148"/>
      <c r="GB117" s="148"/>
      <c r="GC117" s="148"/>
      <c r="GD117" s="148"/>
      <c r="GE117" s="148"/>
      <c r="GF117" s="148"/>
      <c r="GG117" s="148"/>
      <c r="GH117" s="148"/>
      <c r="GI117" s="148"/>
      <c r="GJ117" s="148"/>
      <c r="GK117" s="148"/>
      <c r="GL117" s="148"/>
      <c r="GM117" s="148"/>
      <c r="GN117" s="148"/>
      <c r="GO117" s="148"/>
      <c r="GP117" s="148"/>
      <c r="GQ117" s="148"/>
      <c r="GR117" s="148"/>
      <c r="GS117" s="148"/>
      <c r="GT117" s="148"/>
      <c r="GU117" s="148"/>
      <c r="GV117" s="148"/>
      <c r="GW117" s="148"/>
      <c r="GX117" s="148"/>
      <c r="GY117" s="148"/>
      <c r="GZ117" s="148"/>
      <c r="HA117" s="148"/>
      <c r="HB117" s="148"/>
      <c r="HC117" s="148"/>
      <c r="HD117" s="148"/>
      <c r="HE117" s="148"/>
      <c r="HF117" s="148"/>
      <c r="HG117" s="148"/>
      <c r="HH117" s="148"/>
      <c r="HI117" s="148"/>
      <c r="HJ117" s="148"/>
      <c r="HK117" s="148"/>
      <c r="HL117" s="148"/>
      <c r="HM117" s="148"/>
      <c r="HN117" s="148"/>
      <c r="HO117" s="148"/>
      <c r="HP117" s="148"/>
      <c r="HQ117" s="148"/>
      <c r="HR117" s="148"/>
      <c r="HS117" s="148"/>
      <c r="HT117" s="148"/>
      <c r="HU117" s="148"/>
      <c r="HV117" s="148"/>
      <c r="HW117" s="148"/>
      <c r="HX117" s="148"/>
      <c r="HY117" s="148"/>
      <c r="HZ117" s="148"/>
      <c r="IA117" s="148"/>
      <c r="IB117" s="148"/>
      <c r="IC117" s="148"/>
      <c r="ID117" s="148"/>
      <c r="IE117" s="148"/>
      <c r="IF117" s="148"/>
      <c r="IG117" s="148"/>
      <c r="IH117" s="148"/>
      <c r="II117" s="148"/>
      <c r="IJ117" s="148"/>
      <c r="IK117" s="148"/>
      <c r="IL117" s="148"/>
      <c r="IM117" s="148"/>
      <c r="IN117" s="148"/>
      <c r="IO117" s="148"/>
      <c r="IP117" s="148"/>
      <c r="IQ117" s="148"/>
      <c r="IR117" s="148"/>
      <c r="IS117" s="148"/>
      <c r="IT117" s="148"/>
      <c r="IU117" s="148"/>
      <c r="IV117" s="148"/>
      <c r="IW117" s="148"/>
      <c r="IX117" s="148"/>
      <c r="IY117" s="148"/>
      <c r="IZ117" s="148"/>
      <c r="JA117" s="148"/>
      <c r="JB117" s="148"/>
    </row>
    <row r="118" spans="22:262" s="15" customFormat="1">
      <c r="V118" s="148"/>
      <c r="W118" s="148"/>
      <c r="X118" s="148"/>
      <c r="Y118" s="148"/>
      <c r="Z118" s="148"/>
      <c r="AA118" s="148"/>
      <c r="AB118" s="148"/>
      <c r="AC118" s="148"/>
      <c r="AD118" s="148"/>
      <c r="AE118" s="148"/>
      <c r="AF118" s="148"/>
      <c r="AG118" s="148"/>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c r="BI118" s="148"/>
      <c r="BJ118" s="148"/>
      <c r="BK118" s="148"/>
      <c r="BL118" s="148"/>
      <c r="BM118" s="148"/>
      <c r="BN118" s="148"/>
      <c r="BO118" s="148"/>
      <c r="BP118" s="148"/>
      <c r="BQ118" s="148"/>
      <c r="BR118" s="148"/>
      <c r="BS118" s="148"/>
      <c r="BT118" s="148"/>
      <c r="BU118" s="148"/>
      <c r="BV118" s="148"/>
      <c r="BW118" s="148"/>
      <c r="BX118" s="148"/>
      <c r="BY118" s="148"/>
      <c r="BZ118" s="148"/>
      <c r="CA118" s="148"/>
      <c r="CB118" s="148"/>
      <c r="CC118" s="148"/>
      <c r="CD118" s="148"/>
      <c r="CE118" s="148"/>
      <c r="CF118" s="148"/>
      <c r="CG118" s="148"/>
      <c r="CH118" s="148"/>
      <c r="CI118" s="148"/>
      <c r="CJ118" s="148"/>
      <c r="CK118" s="148"/>
      <c r="CL118" s="148"/>
      <c r="CM118" s="148"/>
      <c r="CN118" s="148"/>
      <c r="CO118" s="148"/>
      <c r="CP118" s="148"/>
      <c r="CQ118" s="148"/>
      <c r="CR118" s="148"/>
      <c r="CS118" s="148"/>
      <c r="CT118" s="148"/>
      <c r="CU118" s="148"/>
      <c r="CV118" s="148"/>
      <c r="CW118" s="148"/>
      <c r="CX118" s="148"/>
      <c r="CY118" s="148"/>
      <c r="CZ118" s="148"/>
      <c r="DA118" s="148"/>
      <c r="DB118" s="148"/>
      <c r="DC118" s="148"/>
      <c r="DD118" s="148"/>
      <c r="DE118" s="148"/>
      <c r="DF118" s="148"/>
      <c r="DG118" s="148"/>
      <c r="DH118" s="148"/>
      <c r="DI118" s="148"/>
      <c r="DJ118" s="148"/>
      <c r="DK118" s="148"/>
      <c r="DL118" s="148"/>
      <c r="DM118" s="148"/>
      <c r="DN118" s="148"/>
      <c r="DO118" s="148"/>
      <c r="DP118" s="148"/>
      <c r="DQ118" s="148"/>
      <c r="DR118" s="148"/>
      <c r="DS118" s="148"/>
      <c r="DT118" s="148"/>
      <c r="DU118" s="148"/>
      <c r="DV118" s="148"/>
      <c r="DW118" s="148"/>
      <c r="DX118" s="148"/>
      <c r="DY118" s="148"/>
      <c r="DZ118" s="148"/>
      <c r="EA118" s="148"/>
      <c r="EB118" s="148"/>
      <c r="EC118" s="148"/>
      <c r="ED118" s="148"/>
      <c r="EE118" s="148"/>
      <c r="EF118" s="148"/>
      <c r="EG118" s="148"/>
      <c r="EH118" s="148"/>
      <c r="EI118" s="148"/>
      <c r="EJ118" s="148"/>
      <c r="EK118" s="148"/>
      <c r="EL118" s="148"/>
      <c r="EM118" s="148"/>
      <c r="EN118" s="148"/>
      <c r="EO118" s="148"/>
      <c r="EP118" s="148"/>
      <c r="EQ118" s="148"/>
      <c r="ER118" s="148"/>
      <c r="ES118" s="148"/>
      <c r="ET118" s="148"/>
      <c r="EU118" s="148"/>
      <c r="EV118" s="148"/>
      <c r="EW118" s="148"/>
      <c r="EX118" s="148"/>
      <c r="EY118" s="148"/>
      <c r="EZ118" s="148"/>
      <c r="FA118" s="148"/>
      <c r="FB118" s="148"/>
      <c r="FC118" s="148"/>
      <c r="FD118" s="148"/>
      <c r="FE118" s="148"/>
      <c r="FF118" s="148"/>
      <c r="FG118" s="148"/>
      <c r="FH118" s="148"/>
      <c r="FI118" s="148"/>
      <c r="FJ118" s="148"/>
      <c r="FK118" s="148"/>
      <c r="FL118" s="148"/>
      <c r="FM118" s="148"/>
      <c r="FN118" s="148"/>
      <c r="FO118" s="148"/>
      <c r="FP118" s="148"/>
      <c r="FQ118" s="148"/>
      <c r="FR118" s="148"/>
      <c r="FS118" s="148"/>
      <c r="FT118" s="148"/>
      <c r="FU118" s="148"/>
      <c r="FV118" s="148"/>
      <c r="FW118" s="148"/>
      <c r="FX118" s="148"/>
      <c r="FY118" s="148"/>
      <c r="FZ118" s="148"/>
      <c r="GA118" s="148"/>
      <c r="GB118" s="148"/>
      <c r="GC118" s="148"/>
      <c r="GD118" s="148"/>
      <c r="GE118" s="148"/>
      <c r="GF118" s="148"/>
      <c r="GG118" s="148"/>
      <c r="GH118" s="148"/>
      <c r="GI118" s="148"/>
      <c r="GJ118" s="148"/>
      <c r="GK118" s="148"/>
      <c r="GL118" s="148"/>
      <c r="GM118" s="148"/>
      <c r="GN118" s="148"/>
      <c r="GO118" s="148"/>
      <c r="GP118" s="148"/>
      <c r="GQ118" s="148"/>
      <c r="GR118" s="148"/>
      <c r="GS118" s="148"/>
      <c r="GT118" s="148"/>
      <c r="GU118" s="148"/>
      <c r="GV118" s="148"/>
      <c r="GW118" s="148"/>
      <c r="GX118" s="148"/>
      <c r="GY118" s="148"/>
      <c r="GZ118" s="148"/>
      <c r="HA118" s="148"/>
      <c r="HB118" s="148"/>
      <c r="HC118" s="148"/>
      <c r="HD118" s="148"/>
      <c r="HE118" s="148"/>
      <c r="HF118" s="148"/>
      <c r="HG118" s="148"/>
      <c r="HH118" s="148"/>
      <c r="HI118" s="148"/>
      <c r="HJ118" s="148"/>
      <c r="HK118" s="148"/>
      <c r="HL118" s="148"/>
      <c r="HM118" s="148"/>
      <c r="HN118" s="148"/>
      <c r="HO118" s="148"/>
      <c r="HP118" s="148"/>
      <c r="HQ118" s="148"/>
      <c r="HR118" s="148"/>
      <c r="HS118" s="148"/>
      <c r="HT118" s="148"/>
      <c r="HU118" s="148"/>
      <c r="HV118" s="148"/>
      <c r="HW118" s="148"/>
      <c r="HX118" s="148"/>
      <c r="HY118" s="148"/>
      <c r="HZ118" s="148"/>
      <c r="IA118" s="148"/>
      <c r="IB118" s="148"/>
      <c r="IC118" s="148"/>
      <c r="ID118" s="148"/>
      <c r="IE118" s="148"/>
      <c r="IF118" s="148"/>
      <c r="IG118" s="148"/>
      <c r="IH118" s="148"/>
      <c r="II118" s="148"/>
      <c r="IJ118" s="148"/>
      <c r="IK118" s="148"/>
      <c r="IL118" s="148"/>
      <c r="IM118" s="148"/>
      <c r="IN118" s="148"/>
      <c r="IO118" s="148"/>
      <c r="IP118" s="148"/>
      <c r="IQ118" s="148"/>
      <c r="IR118" s="148"/>
      <c r="IS118" s="148"/>
      <c r="IT118" s="148"/>
      <c r="IU118" s="148"/>
      <c r="IV118" s="148"/>
      <c r="IW118" s="148"/>
      <c r="IX118" s="148"/>
      <c r="IY118" s="148"/>
      <c r="IZ118" s="148"/>
      <c r="JA118" s="148"/>
      <c r="JB118" s="148"/>
    </row>
    <row r="119" spans="22:262" s="15" customFormat="1">
      <c r="V119" s="148"/>
      <c r="W119" s="148"/>
      <c r="X119" s="148"/>
      <c r="Y119" s="148"/>
      <c r="Z119" s="148"/>
      <c r="AA119" s="148"/>
      <c r="AB119" s="148"/>
      <c r="AC119" s="148"/>
      <c r="AD119" s="148"/>
      <c r="AE119" s="148"/>
      <c r="AF119" s="148"/>
      <c r="AG119" s="148"/>
      <c r="AH119" s="148"/>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8"/>
      <c r="BR119" s="148"/>
      <c r="BS119" s="148"/>
      <c r="BT119" s="148"/>
      <c r="BU119" s="148"/>
      <c r="BV119" s="148"/>
      <c r="BW119" s="148"/>
      <c r="BX119" s="148"/>
      <c r="BY119" s="148"/>
      <c r="BZ119" s="148"/>
      <c r="CA119" s="148"/>
      <c r="CB119" s="148"/>
      <c r="CC119" s="148"/>
      <c r="CD119" s="148"/>
      <c r="CE119" s="148"/>
      <c r="CF119" s="148"/>
      <c r="CG119" s="148"/>
      <c r="CH119" s="148"/>
      <c r="CI119" s="148"/>
      <c r="CJ119" s="148"/>
      <c r="CK119" s="148"/>
      <c r="CL119" s="148"/>
      <c r="CM119" s="148"/>
      <c r="CN119" s="148"/>
      <c r="CO119" s="148"/>
      <c r="CP119" s="148"/>
      <c r="CQ119" s="148"/>
      <c r="CR119" s="148"/>
      <c r="CS119" s="148"/>
      <c r="CT119" s="148"/>
      <c r="CU119" s="148"/>
      <c r="CV119" s="148"/>
      <c r="CW119" s="148"/>
      <c r="CX119" s="148"/>
      <c r="CY119" s="148"/>
      <c r="CZ119" s="148"/>
      <c r="DA119" s="148"/>
      <c r="DB119" s="148"/>
      <c r="DC119" s="148"/>
      <c r="DD119" s="148"/>
      <c r="DE119" s="148"/>
      <c r="DF119" s="148"/>
      <c r="DG119" s="148"/>
      <c r="DH119" s="148"/>
      <c r="DI119" s="148"/>
      <c r="DJ119" s="148"/>
      <c r="DK119" s="148"/>
      <c r="DL119" s="148"/>
      <c r="DM119" s="148"/>
      <c r="DN119" s="148"/>
      <c r="DO119" s="148"/>
      <c r="DP119" s="148"/>
      <c r="DQ119" s="148"/>
      <c r="DR119" s="148"/>
      <c r="DS119" s="148"/>
      <c r="DT119" s="148"/>
      <c r="DU119" s="148"/>
      <c r="DV119" s="148"/>
      <c r="DW119" s="148"/>
      <c r="DX119" s="148"/>
      <c r="DY119" s="148"/>
      <c r="DZ119" s="148"/>
      <c r="EA119" s="148"/>
      <c r="EB119" s="148"/>
      <c r="EC119" s="148"/>
      <c r="ED119" s="148"/>
      <c r="EE119" s="148"/>
      <c r="EF119" s="148"/>
      <c r="EG119" s="148"/>
      <c r="EH119" s="148"/>
      <c r="EI119" s="148"/>
      <c r="EJ119" s="148"/>
      <c r="EK119" s="148"/>
      <c r="EL119" s="148"/>
      <c r="EM119" s="148"/>
      <c r="EN119" s="148"/>
      <c r="EO119" s="148"/>
      <c r="EP119" s="148"/>
      <c r="EQ119" s="148"/>
      <c r="ER119" s="148"/>
      <c r="ES119" s="148"/>
      <c r="ET119" s="148"/>
      <c r="EU119" s="148"/>
      <c r="EV119" s="148"/>
      <c r="EW119" s="148"/>
      <c r="EX119" s="148"/>
      <c r="EY119" s="148"/>
      <c r="EZ119" s="148"/>
      <c r="FA119" s="148"/>
      <c r="FB119" s="148"/>
      <c r="FC119" s="148"/>
      <c r="FD119" s="148"/>
      <c r="FE119" s="148"/>
      <c r="FF119" s="148"/>
      <c r="FG119" s="148"/>
      <c r="FH119" s="148"/>
      <c r="FI119" s="148"/>
      <c r="FJ119" s="148"/>
      <c r="FK119" s="148"/>
      <c r="FL119" s="148"/>
      <c r="FM119" s="148"/>
      <c r="FN119" s="148"/>
      <c r="FO119" s="148"/>
      <c r="FP119" s="148"/>
      <c r="FQ119" s="148"/>
      <c r="FR119" s="148"/>
      <c r="FS119" s="148"/>
      <c r="FT119" s="148"/>
      <c r="FU119" s="148"/>
      <c r="FV119" s="148"/>
      <c r="FW119" s="148"/>
      <c r="FX119" s="148"/>
      <c r="FY119" s="148"/>
      <c r="FZ119" s="148"/>
      <c r="GA119" s="148"/>
      <c r="GB119" s="148"/>
      <c r="GC119" s="148"/>
      <c r="GD119" s="148"/>
      <c r="GE119" s="148"/>
      <c r="GF119" s="148"/>
      <c r="GG119" s="148"/>
      <c r="GH119" s="148"/>
      <c r="GI119" s="148"/>
      <c r="GJ119" s="148"/>
      <c r="GK119" s="148"/>
      <c r="GL119" s="148"/>
      <c r="GM119" s="148"/>
      <c r="GN119" s="148"/>
      <c r="GO119" s="148"/>
      <c r="GP119" s="148"/>
      <c r="GQ119" s="148"/>
      <c r="GR119" s="148"/>
      <c r="GS119" s="148"/>
      <c r="GT119" s="148"/>
      <c r="GU119" s="148"/>
      <c r="GV119" s="148"/>
      <c r="GW119" s="148"/>
      <c r="GX119" s="148"/>
      <c r="GY119" s="148"/>
      <c r="GZ119" s="148"/>
      <c r="HA119" s="148"/>
      <c r="HB119" s="148"/>
      <c r="HC119" s="148"/>
      <c r="HD119" s="148"/>
      <c r="HE119" s="148"/>
      <c r="HF119" s="148"/>
      <c r="HG119" s="148"/>
      <c r="HH119" s="148"/>
      <c r="HI119" s="148"/>
      <c r="HJ119" s="148"/>
      <c r="HK119" s="148"/>
      <c r="HL119" s="148"/>
      <c r="HM119" s="148"/>
      <c r="HN119" s="148"/>
      <c r="HO119" s="148"/>
      <c r="HP119" s="148"/>
      <c r="HQ119" s="148"/>
      <c r="HR119" s="148"/>
      <c r="HS119" s="148"/>
      <c r="HT119" s="148"/>
      <c r="HU119" s="148"/>
      <c r="HV119" s="148"/>
      <c r="HW119" s="148"/>
      <c r="HX119" s="148"/>
      <c r="HY119" s="148"/>
      <c r="HZ119" s="148"/>
      <c r="IA119" s="148"/>
      <c r="IB119" s="148"/>
      <c r="IC119" s="148"/>
      <c r="ID119" s="148"/>
      <c r="IE119" s="148"/>
      <c r="IF119" s="148"/>
      <c r="IG119" s="148"/>
      <c r="IH119" s="148"/>
      <c r="II119" s="148"/>
      <c r="IJ119" s="148"/>
      <c r="IK119" s="148"/>
      <c r="IL119" s="148"/>
      <c r="IM119" s="148"/>
      <c r="IN119" s="148"/>
      <c r="IO119" s="148"/>
      <c r="IP119" s="148"/>
      <c r="IQ119" s="148"/>
      <c r="IR119" s="148"/>
      <c r="IS119" s="148"/>
      <c r="IT119" s="148"/>
      <c r="IU119" s="148"/>
      <c r="IV119" s="148"/>
      <c r="IW119" s="148"/>
      <c r="IX119" s="148"/>
      <c r="IY119" s="148"/>
      <c r="IZ119" s="148"/>
      <c r="JA119" s="148"/>
      <c r="JB119" s="148"/>
    </row>
    <row r="120" spans="22:262" s="15" customFormat="1">
      <c r="V120" s="148"/>
      <c r="W120" s="148"/>
      <c r="X120" s="148"/>
      <c r="Y120" s="148"/>
      <c r="Z120" s="148"/>
      <c r="AA120" s="148"/>
      <c r="AB120" s="148"/>
      <c r="AC120" s="148"/>
      <c r="AD120" s="148"/>
      <c r="AE120" s="148"/>
      <c r="AF120" s="148"/>
      <c r="AG120" s="148"/>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8"/>
      <c r="BR120" s="148"/>
      <c r="BS120" s="148"/>
      <c r="BT120" s="148"/>
      <c r="BU120" s="148"/>
      <c r="BV120" s="148"/>
      <c r="BW120" s="148"/>
      <c r="BX120" s="148"/>
      <c r="BY120" s="148"/>
      <c r="BZ120" s="148"/>
      <c r="CA120" s="148"/>
      <c r="CB120" s="148"/>
      <c r="CC120" s="148"/>
      <c r="CD120" s="148"/>
      <c r="CE120" s="148"/>
      <c r="CF120" s="148"/>
      <c r="CG120" s="148"/>
      <c r="CH120" s="148"/>
      <c r="CI120" s="148"/>
      <c r="CJ120" s="148"/>
      <c r="CK120" s="148"/>
      <c r="CL120" s="148"/>
      <c r="CM120" s="148"/>
      <c r="CN120" s="148"/>
      <c r="CO120" s="148"/>
      <c r="CP120" s="148"/>
      <c r="CQ120" s="148"/>
      <c r="CR120" s="148"/>
      <c r="CS120" s="148"/>
      <c r="CT120" s="148"/>
      <c r="CU120" s="148"/>
      <c r="CV120" s="148"/>
      <c r="CW120" s="148"/>
      <c r="CX120" s="148"/>
      <c r="CY120" s="148"/>
      <c r="CZ120" s="148"/>
      <c r="DA120" s="148"/>
      <c r="DB120" s="148"/>
      <c r="DC120" s="148"/>
      <c r="DD120" s="148"/>
      <c r="DE120" s="148"/>
      <c r="DF120" s="148"/>
      <c r="DG120" s="148"/>
      <c r="DH120" s="148"/>
      <c r="DI120" s="148"/>
      <c r="DJ120" s="148"/>
      <c r="DK120" s="148"/>
      <c r="DL120" s="148"/>
      <c r="DM120" s="148"/>
      <c r="DN120" s="148"/>
      <c r="DO120" s="148"/>
      <c r="DP120" s="148"/>
      <c r="DQ120" s="148"/>
      <c r="DR120" s="148"/>
      <c r="DS120" s="148"/>
      <c r="DT120" s="148"/>
      <c r="DU120" s="148"/>
      <c r="DV120" s="148"/>
      <c r="DW120" s="148"/>
      <c r="DX120" s="148"/>
      <c r="DY120" s="148"/>
      <c r="DZ120" s="148"/>
      <c r="EA120" s="148"/>
      <c r="EB120" s="148"/>
      <c r="EC120" s="148"/>
      <c r="ED120" s="148"/>
      <c r="EE120" s="148"/>
      <c r="EF120" s="148"/>
      <c r="EG120" s="148"/>
      <c r="EH120" s="148"/>
      <c r="EI120" s="148"/>
      <c r="EJ120" s="148"/>
      <c r="EK120" s="148"/>
      <c r="EL120" s="148"/>
      <c r="EM120" s="148"/>
      <c r="EN120" s="148"/>
      <c r="EO120" s="148"/>
      <c r="EP120" s="148"/>
      <c r="EQ120" s="148"/>
      <c r="ER120" s="148"/>
      <c r="ES120" s="148"/>
      <c r="ET120" s="148"/>
      <c r="EU120" s="148"/>
      <c r="EV120" s="148"/>
      <c r="EW120" s="148"/>
      <c r="EX120" s="148"/>
      <c r="EY120" s="148"/>
      <c r="EZ120" s="148"/>
      <c r="FA120" s="148"/>
      <c r="FB120" s="148"/>
      <c r="FC120" s="148"/>
      <c r="FD120" s="148"/>
      <c r="FE120" s="148"/>
      <c r="FF120" s="148"/>
      <c r="FG120" s="148"/>
      <c r="FH120" s="148"/>
      <c r="FI120" s="148"/>
      <c r="FJ120" s="148"/>
      <c r="FK120" s="148"/>
      <c r="FL120" s="148"/>
      <c r="FM120" s="148"/>
      <c r="FN120" s="148"/>
      <c r="FO120" s="148"/>
      <c r="FP120" s="148"/>
      <c r="FQ120" s="148"/>
      <c r="FR120" s="148"/>
      <c r="FS120" s="148"/>
      <c r="FT120" s="148"/>
      <c r="FU120" s="148"/>
      <c r="FV120" s="148"/>
      <c r="FW120" s="148"/>
      <c r="FX120" s="148"/>
      <c r="FY120" s="148"/>
      <c r="FZ120" s="148"/>
      <c r="GA120" s="148"/>
      <c r="GB120" s="148"/>
      <c r="GC120" s="148"/>
      <c r="GD120" s="148"/>
      <c r="GE120" s="148"/>
      <c r="GF120" s="148"/>
      <c r="GG120" s="148"/>
      <c r="GH120" s="148"/>
      <c r="GI120" s="148"/>
      <c r="GJ120" s="148"/>
      <c r="GK120" s="148"/>
      <c r="GL120" s="148"/>
      <c r="GM120" s="148"/>
      <c r="GN120" s="148"/>
      <c r="GO120" s="148"/>
      <c r="GP120" s="148"/>
      <c r="GQ120" s="148"/>
      <c r="GR120" s="148"/>
      <c r="GS120" s="148"/>
      <c r="GT120" s="148"/>
      <c r="GU120" s="148"/>
      <c r="GV120" s="148"/>
      <c r="GW120" s="148"/>
      <c r="GX120" s="148"/>
      <c r="GY120" s="148"/>
      <c r="GZ120" s="148"/>
      <c r="HA120" s="148"/>
      <c r="HB120" s="148"/>
      <c r="HC120" s="148"/>
      <c r="HD120" s="148"/>
      <c r="HE120" s="148"/>
      <c r="HF120" s="148"/>
      <c r="HG120" s="148"/>
      <c r="HH120" s="148"/>
      <c r="HI120" s="148"/>
      <c r="HJ120" s="148"/>
      <c r="HK120" s="148"/>
      <c r="HL120" s="148"/>
      <c r="HM120" s="148"/>
      <c r="HN120" s="148"/>
      <c r="HO120" s="148"/>
      <c r="HP120" s="148"/>
      <c r="HQ120" s="148"/>
      <c r="HR120" s="148"/>
      <c r="HS120" s="148"/>
      <c r="HT120" s="148"/>
      <c r="HU120" s="148"/>
      <c r="HV120" s="148"/>
      <c r="HW120" s="148"/>
      <c r="HX120" s="148"/>
      <c r="HY120" s="148"/>
      <c r="HZ120" s="148"/>
      <c r="IA120" s="148"/>
      <c r="IB120" s="148"/>
      <c r="IC120" s="148"/>
      <c r="ID120" s="148"/>
      <c r="IE120" s="148"/>
      <c r="IF120" s="148"/>
      <c r="IG120" s="148"/>
      <c r="IH120" s="148"/>
      <c r="II120" s="148"/>
      <c r="IJ120" s="148"/>
      <c r="IK120" s="148"/>
      <c r="IL120" s="148"/>
      <c r="IM120" s="148"/>
      <c r="IN120" s="148"/>
      <c r="IO120" s="148"/>
      <c r="IP120" s="148"/>
      <c r="IQ120" s="148"/>
      <c r="IR120" s="148"/>
      <c r="IS120" s="148"/>
      <c r="IT120" s="148"/>
      <c r="IU120" s="148"/>
      <c r="IV120" s="148"/>
      <c r="IW120" s="148"/>
      <c r="IX120" s="148"/>
      <c r="IY120" s="148"/>
      <c r="IZ120" s="148"/>
      <c r="JA120" s="148"/>
      <c r="JB120" s="148"/>
    </row>
    <row r="121" spans="22:262" s="15" customFormat="1">
      <c r="V121" s="148"/>
      <c r="W121" s="148"/>
      <c r="X121" s="148"/>
      <c r="Y121" s="148"/>
      <c r="Z121" s="148"/>
      <c r="AA121" s="148"/>
      <c r="AB121" s="148"/>
      <c r="AC121" s="148"/>
      <c r="AD121" s="148"/>
      <c r="AE121" s="148"/>
      <c r="AF121" s="148"/>
      <c r="AG121" s="148"/>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c r="BI121" s="148"/>
      <c r="BJ121" s="148"/>
      <c r="BK121" s="148"/>
      <c r="BL121" s="148"/>
      <c r="BM121" s="148"/>
      <c r="BN121" s="148"/>
      <c r="BO121" s="148"/>
      <c r="BP121" s="148"/>
      <c r="BQ121" s="148"/>
      <c r="BR121" s="148"/>
      <c r="BS121" s="148"/>
      <c r="BT121" s="148"/>
      <c r="BU121" s="148"/>
      <c r="BV121" s="148"/>
      <c r="BW121" s="148"/>
      <c r="BX121" s="148"/>
      <c r="BY121" s="148"/>
      <c r="BZ121" s="148"/>
      <c r="CA121" s="148"/>
      <c r="CB121" s="148"/>
      <c r="CC121" s="148"/>
      <c r="CD121" s="148"/>
      <c r="CE121" s="148"/>
      <c r="CF121" s="148"/>
      <c r="CG121" s="148"/>
      <c r="CH121" s="148"/>
      <c r="CI121" s="148"/>
      <c r="CJ121" s="148"/>
      <c r="CK121" s="148"/>
      <c r="CL121" s="148"/>
      <c r="CM121" s="148"/>
      <c r="CN121" s="148"/>
      <c r="CO121" s="148"/>
      <c r="CP121" s="148"/>
      <c r="CQ121" s="148"/>
      <c r="CR121" s="148"/>
      <c r="CS121" s="148"/>
      <c r="CT121" s="148"/>
      <c r="CU121" s="148"/>
      <c r="CV121" s="148"/>
      <c r="CW121" s="148"/>
      <c r="CX121" s="148"/>
      <c r="CY121" s="148"/>
      <c r="CZ121" s="148"/>
      <c r="DA121" s="148"/>
      <c r="DB121" s="148"/>
      <c r="DC121" s="148"/>
      <c r="DD121" s="148"/>
      <c r="DE121" s="148"/>
      <c r="DF121" s="148"/>
      <c r="DG121" s="148"/>
      <c r="DH121" s="148"/>
      <c r="DI121" s="148"/>
      <c r="DJ121" s="148"/>
      <c r="DK121" s="148"/>
      <c r="DL121" s="148"/>
      <c r="DM121" s="148"/>
      <c r="DN121" s="148"/>
      <c r="DO121" s="148"/>
      <c r="DP121" s="148"/>
      <c r="DQ121" s="148"/>
      <c r="DR121" s="148"/>
      <c r="DS121" s="148"/>
      <c r="DT121" s="148"/>
      <c r="DU121" s="148"/>
      <c r="DV121" s="148"/>
      <c r="DW121" s="148"/>
      <c r="DX121" s="148"/>
      <c r="DY121" s="148"/>
      <c r="DZ121" s="148"/>
      <c r="EA121" s="148"/>
      <c r="EB121" s="148"/>
      <c r="EC121" s="148"/>
      <c r="ED121" s="148"/>
      <c r="EE121" s="148"/>
      <c r="EF121" s="148"/>
      <c r="EG121" s="148"/>
      <c r="EH121" s="148"/>
      <c r="EI121" s="148"/>
      <c r="EJ121" s="148"/>
      <c r="EK121" s="148"/>
      <c r="EL121" s="148"/>
      <c r="EM121" s="148"/>
      <c r="EN121" s="148"/>
      <c r="EO121" s="148"/>
      <c r="EP121" s="148"/>
      <c r="EQ121" s="148"/>
      <c r="ER121" s="148"/>
      <c r="ES121" s="148"/>
      <c r="ET121" s="148"/>
      <c r="EU121" s="148"/>
      <c r="EV121" s="148"/>
      <c r="EW121" s="148"/>
      <c r="EX121" s="148"/>
      <c r="EY121" s="148"/>
      <c r="EZ121" s="148"/>
      <c r="FA121" s="148"/>
      <c r="FB121" s="148"/>
      <c r="FC121" s="148"/>
      <c r="FD121" s="148"/>
      <c r="FE121" s="148"/>
      <c r="FF121" s="148"/>
      <c r="FG121" s="148"/>
      <c r="FH121" s="148"/>
      <c r="FI121" s="148"/>
      <c r="FJ121" s="148"/>
      <c r="FK121" s="148"/>
      <c r="FL121" s="148"/>
      <c r="FM121" s="148"/>
      <c r="FN121" s="148"/>
      <c r="FO121" s="148"/>
      <c r="FP121" s="148"/>
      <c r="FQ121" s="148"/>
      <c r="FR121" s="148"/>
      <c r="FS121" s="148"/>
      <c r="FT121" s="148"/>
      <c r="FU121" s="148"/>
      <c r="FV121" s="148"/>
      <c r="FW121" s="148"/>
      <c r="FX121" s="148"/>
      <c r="FY121" s="148"/>
      <c r="FZ121" s="148"/>
      <c r="GA121" s="148"/>
      <c r="GB121" s="148"/>
      <c r="GC121" s="148"/>
      <c r="GD121" s="148"/>
      <c r="GE121" s="148"/>
      <c r="GF121" s="148"/>
      <c r="GG121" s="148"/>
      <c r="GH121" s="148"/>
      <c r="GI121" s="148"/>
      <c r="GJ121" s="148"/>
      <c r="GK121" s="148"/>
      <c r="GL121" s="148"/>
      <c r="GM121" s="148"/>
      <c r="GN121" s="148"/>
      <c r="GO121" s="148"/>
      <c r="GP121" s="148"/>
      <c r="GQ121" s="148"/>
      <c r="GR121" s="148"/>
      <c r="GS121" s="148"/>
      <c r="GT121" s="148"/>
      <c r="GU121" s="148"/>
      <c r="GV121" s="148"/>
      <c r="GW121" s="148"/>
      <c r="GX121" s="148"/>
      <c r="GY121" s="148"/>
      <c r="GZ121" s="148"/>
      <c r="HA121" s="148"/>
      <c r="HB121" s="148"/>
      <c r="HC121" s="148"/>
      <c r="HD121" s="148"/>
      <c r="HE121" s="148"/>
      <c r="HF121" s="148"/>
      <c r="HG121" s="148"/>
      <c r="HH121" s="148"/>
      <c r="HI121" s="148"/>
      <c r="HJ121" s="148"/>
      <c r="HK121" s="148"/>
      <c r="HL121" s="148"/>
      <c r="HM121" s="148"/>
      <c r="HN121" s="148"/>
      <c r="HO121" s="148"/>
      <c r="HP121" s="148"/>
      <c r="HQ121" s="148"/>
      <c r="HR121" s="148"/>
      <c r="HS121" s="148"/>
      <c r="HT121" s="148"/>
      <c r="HU121" s="148"/>
      <c r="HV121" s="148"/>
      <c r="HW121" s="148"/>
      <c r="HX121" s="148"/>
      <c r="HY121" s="148"/>
      <c r="HZ121" s="148"/>
      <c r="IA121" s="148"/>
      <c r="IB121" s="148"/>
      <c r="IC121" s="148"/>
      <c r="ID121" s="148"/>
      <c r="IE121" s="148"/>
      <c r="IF121" s="148"/>
      <c r="IG121" s="148"/>
      <c r="IH121" s="148"/>
      <c r="II121" s="148"/>
      <c r="IJ121" s="148"/>
      <c r="IK121" s="148"/>
      <c r="IL121" s="148"/>
      <c r="IM121" s="148"/>
      <c r="IN121" s="148"/>
      <c r="IO121" s="148"/>
      <c r="IP121" s="148"/>
      <c r="IQ121" s="148"/>
      <c r="IR121" s="148"/>
      <c r="IS121" s="148"/>
      <c r="IT121" s="148"/>
      <c r="IU121" s="148"/>
      <c r="IV121" s="148"/>
      <c r="IW121" s="148"/>
      <c r="IX121" s="148"/>
      <c r="IY121" s="148"/>
      <c r="IZ121" s="148"/>
      <c r="JA121" s="148"/>
      <c r="JB121" s="148"/>
    </row>
    <row r="122" spans="22:262" s="15" customFormat="1">
      <c r="V122" s="148"/>
      <c r="W122" s="148"/>
      <c r="X122" s="148"/>
      <c r="Y122" s="148"/>
      <c r="Z122" s="148"/>
      <c r="AA122" s="148"/>
      <c r="AB122" s="148"/>
      <c r="AC122" s="148"/>
      <c r="AD122" s="148"/>
      <c r="AE122" s="148"/>
      <c r="AF122" s="148"/>
      <c r="AG122" s="148"/>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c r="BI122" s="148"/>
      <c r="BJ122" s="148"/>
      <c r="BK122" s="148"/>
      <c r="BL122" s="148"/>
      <c r="BM122" s="148"/>
      <c r="BN122" s="148"/>
      <c r="BO122" s="148"/>
      <c r="BP122" s="148"/>
      <c r="BQ122" s="148"/>
      <c r="BR122" s="148"/>
      <c r="BS122" s="148"/>
      <c r="BT122" s="148"/>
      <c r="BU122" s="148"/>
      <c r="BV122" s="148"/>
      <c r="BW122" s="148"/>
      <c r="BX122" s="148"/>
      <c r="BY122" s="148"/>
      <c r="BZ122" s="148"/>
      <c r="CA122" s="148"/>
      <c r="CB122" s="148"/>
      <c r="CC122" s="148"/>
      <c r="CD122" s="148"/>
      <c r="CE122" s="148"/>
      <c r="CF122" s="148"/>
      <c r="CG122" s="148"/>
      <c r="CH122" s="148"/>
      <c r="CI122" s="148"/>
      <c r="CJ122" s="148"/>
      <c r="CK122" s="148"/>
      <c r="CL122" s="148"/>
      <c r="CM122" s="148"/>
      <c r="CN122" s="148"/>
      <c r="CO122" s="148"/>
      <c r="CP122" s="148"/>
      <c r="CQ122" s="148"/>
      <c r="CR122" s="148"/>
      <c r="CS122" s="148"/>
      <c r="CT122" s="148"/>
      <c r="CU122" s="148"/>
      <c r="CV122" s="148"/>
      <c r="CW122" s="148"/>
      <c r="CX122" s="148"/>
      <c r="CY122" s="148"/>
      <c r="CZ122" s="148"/>
      <c r="DA122" s="148"/>
      <c r="DB122" s="148"/>
      <c r="DC122" s="148"/>
      <c r="DD122" s="148"/>
      <c r="DE122" s="148"/>
      <c r="DF122" s="148"/>
      <c r="DG122" s="148"/>
      <c r="DH122" s="148"/>
      <c r="DI122" s="148"/>
      <c r="DJ122" s="148"/>
      <c r="DK122" s="148"/>
      <c r="DL122" s="148"/>
      <c r="DM122" s="148"/>
      <c r="DN122" s="148"/>
      <c r="DO122" s="148"/>
      <c r="DP122" s="148"/>
      <c r="DQ122" s="148"/>
      <c r="DR122" s="148"/>
      <c r="DS122" s="148"/>
      <c r="DT122" s="148"/>
      <c r="DU122" s="148"/>
      <c r="DV122" s="148"/>
      <c r="DW122" s="148"/>
      <c r="DX122" s="148"/>
      <c r="DY122" s="148"/>
      <c r="DZ122" s="148"/>
      <c r="EA122" s="148"/>
      <c r="EB122" s="148"/>
      <c r="EC122" s="148"/>
      <c r="ED122" s="148"/>
      <c r="EE122" s="148"/>
      <c r="EF122" s="148"/>
      <c r="EG122" s="148"/>
      <c r="EH122" s="148"/>
      <c r="EI122" s="148"/>
      <c r="EJ122" s="148"/>
      <c r="EK122" s="148"/>
      <c r="EL122" s="148"/>
      <c r="EM122" s="148"/>
      <c r="EN122" s="148"/>
      <c r="EO122" s="148"/>
      <c r="EP122" s="148"/>
      <c r="EQ122" s="148"/>
      <c r="ER122" s="148"/>
      <c r="ES122" s="148"/>
      <c r="ET122" s="148"/>
      <c r="EU122" s="148"/>
      <c r="EV122" s="148"/>
      <c r="EW122" s="148"/>
      <c r="EX122" s="148"/>
      <c r="EY122" s="148"/>
      <c r="EZ122" s="148"/>
      <c r="FA122" s="148"/>
      <c r="FB122" s="148"/>
      <c r="FC122" s="148"/>
      <c r="FD122" s="148"/>
      <c r="FE122" s="148"/>
      <c r="FF122" s="148"/>
      <c r="FG122" s="148"/>
      <c r="FH122" s="148"/>
      <c r="FI122" s="148"/>
      <c r="FJ122" s="148"/>
      <c r="FK122" s="148"/>
      <c r="FL122" s="148"/>
      <c r="FM122" s="148"/>
      <c r="FN122" s="148"/>
      <c r="FO122" s="148"/>
      <c r="FP122" s="148"/>
      <c r="FQ122" s="148"/>
      <c r="FR122" s="148"/>
      <c r="FS122" s="148"/>
      <c r="FT122" s="148"/>
      <c r="FU122" s="148"/>
      <c r="FV122" s="148"/>
      <c r="FW122" s="148"/>
      <c r="FX122" s="148"/>
      <c r="FY122" s="148"/>
      <c r="FZ122" s="148"/>
      <c r="GA122" s="148"/>
      <c r="GB122" s="148"/>
      <c r="GC122" s="148"/>
      <c r="GD122" s="148"/>
      <c r="GE122" s="148"/>
      <c r="GF122" s="148"/>
      <c r="GG122" s="148"/>
      <c r="GH122" s="148"/>
      <c r="GI122" s="148"/>
      <c r="GJ122" s="148"/>
      <c r="GK122" s="148"/>
      <c r="GL122" s="148"/>
      <c r="GM122" s="148"/>
      <c r="GN122" s="148"/>
      <c r="GO122" s="148"/>
      <c r="GP122" s="148"/>
      <c r="GQ122" s="148"/>
      <c r="GR122" s="148"/>
      <c r="GS122" s="148"/>
      <c r="GT122" s="148"/>
      <c r="GU122" s="148"/>
      <c r="GV122" s="148"/>
      <c r="GW122" s="148"/>
      <c r="GX122" s="148"/>
      <c r="GY122" s="148"/>
      <c r="GZ122" s="148"/>
      <c r="HA122" s="148"/>
      <c r="HB122" s="148"/>
      <c r="HC122" s="148"/>
      <c r="HD122" s="148"/>
      <c r="HE122" s="148"/>
      <c r="HF122" s="148"/>
      <c r="HG122" s="148"/>
      <c r="HH122" s="148"/>
      <c r="HI122" s="148"/>
      <c r="HJ122" s="148"/>
      <c r="HK122" s="148"/>
      <c r="HL122" s="148"/>
      <c r="HM122" s="148"/>
      <c r="HN122" s="148"/>
      <c r="HO122" s="148"/>
      <c r="HP122" s="148"/>
      <c r="HQ122" s="148"/>
      <c r="HR122" s="148"/>
      <c r="HS122" s="148"/>
      <c r="HT122" s="148"/>
      <c r="HU122" s="148"/>
      <c r="HV122" s="148"/>
      <c r="HW122" s="148"/>
      <c r="HX122" s="148"/>
      <c r="HY122" s="148"/>
      <c r="HZ122" s="148"/>
      <c r="IA122" s="148"/>
      <c r="IB122" s="148"/>
      <c r="IC122" s="148"/>
      <c r="ID122" s="148"/>
      <c r="IE122" s="148"/>
      <c r="IF122" s="148"/>
      <c r="IG122" s="148"/>
      <c r="IH122" s="148"/>
      <c r="II122" s="148"/>
      <c r="IJ122" s="148"/>
      <c r="IK122" s="148"/>
      <c r="IL122" s="148"/>
      <c r="IM122" s="148"/>
      <c r="IN122" s="148"/>
      <c r="IO122" s="148"/>
      <c r="IP122" s="148"/>
      <c r="IQ122" s="148"/>
      <c r="IR122" s="148"/>
      <c r="IS122" s="148"/>
      <c r="IT122" s="148"/>
      <c r="IU122" s="148"/>
      <c r="IV122" s="148"/>
      <c r="IW122" s="148"/>
      <c r="IX122" s="148"/>
      <c r="IY122" s="148"/>
      <c r="IZ122" s="148"/>
      <c r="JA122" s="148"/>
      <c r="JB122" s="148"/>
    </row>
    <row r="123" spans="22:262" s="15" customFormat="1">
      <c r="V123" s="148"/>
      <c r="W123" s="148"/>
      <c r="X123" s="148"/>
      <c r="Y123" s="148"/>
      <c r="Z123" s="148"/>
      <c r="AA123" s="148"/>
      <c r="AB123" s="148"/>
      <c r="AC123" s="148"/>
      <c r="AD123" s="148"/>
      <c r="AE123" s="148"/>
      <c r="AF123" s="148"/>
      <c r="AG123" s="148"/>
      <c r="AH123" s="148"/>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c r="BI123" s="148"/>
      <c r="BJ123" s="148"/>
      <c r="BK123" s="148"/>
      <c r="BL123" s="148"/>
      <c r="BM123" s="148"/>
      <c r="BN123" s="148"/>
      <c r="BO123" s="148"/>
      <c r="BP123" s="148"/>
      <c r="BQ123" s="148"/>
      <c r="BR123" s="148"/>
      <c r="BS123" s="148"/>
      <c r="BT123" s="148"/>
      <c r="BU123" s="148"/>
      <c r="BV123" s="148"/>
      <c r="BW123" s="148"/>
      <c r="BX123" s="148"/>
      <c r="BY123" s="148"/>
      <c r="BZ123" s="148"/>
      <c r="CA123" s="148"/>
      <c r="CB123" s="148"/>
      <c r="CC123" s="148"/>
      <c r="CD123" s="148"/>
      <c r="CE123" s="148"/>
      <c r="CF123" s="148"/>
      <c r="CG123" s="148"/>
      <c r="CH123" s="148"/>
      <c r="CI123" s="148"/>
      <c r="CJ123" s="148"/>
      <c r="CK123" s="148"/>
      <c r="CL123" s="148"/>
      <c r="CM123" s="148"/>
      <c r="CN123" s="148"/>
      <c r="CO123" s="148"/>
      <c r="CP123" s="148"/>
      <c r="CQ123" s="148"/>
      <c r="CR123" s="148"/>
      <c r="CS123" s="148"/>
      <c r="CT123" s="148"/>
      <c r="CU123" s="148"/>
      <c r="CV123" s="148"/>
      <c r="CW123" s="148"/>
      <c r="CX123" s="148"/>
      <c r="CY123" s="148"/>
      <c r="CZ123" s="148"/>
      <c r="DA123" s="148"/>
      <c r="DB123" s="148"/>
      <c r="DC123" s="148"/>
      <c r="DD123" s="148"/>
      <c r="DE123" s="148"/>
      <c r="DF123" s="148"/>
      <c r="DG123" s="148"/>
      <c r="DH123" s="148"/>
      <c r="DI123" s="148"/>
      <c r="DJ123" s="148"/>
      <c r="DK123" s="148"/>
      <c r="DL123" s="148"/>
      <c r="DM123" s="148"/>
      <c r="DN123" s="148"/>
      <c r="DO123" s="148"/>
      <c r="DP123" s="148"/>
      <c r="DQ123" s="148"/>
      <c r="DR123" s="148"/>
      <c r="DS123" s="148"/>
      <c r="DT123" s="148"/>
      <c r="DU123" s="148"/>
      <c r="DV123" s="148"/>
      <c r="DW123" s="148"/>
      <c r="DX123" s="148"/>
      <c r="DY123" s="148"/>
      <c r="DZ123" s="148"/>
      <c r="EA123" s="148"/>
      <c r="EB123" s="148"/>
      <c r="EC123" s="148"/>
      <c r="ED123" s="148"/>
      <c r="EE123" s="148"/>
      <c r="EF123" s="148"/>
      <c r="EG123" s="148"/>
      <c r="EH123" s="148"/>
      <c r="EI123" s="148"/>
      <c r="EJ123" s="148"/>
      <c r="EK123" s="148"/>
      <c r="EL123" s="148"/>
      <c r="EM123" s="148"/>
      <c r="EN123" s="148"/>
      <c r="EO123" s="148"/>
      <c r="EP123" s="148"/>
      <c r="EQ123" s="148"/>
      <c r="ER123" s="148"/>
      <c r="ES123" s="148"/>
      <c r="ET123" s="148"/>
      <c r="EU123" s="148"/>
      <c r="EV123" s="148"/>
      <c r="EW123" s="148"/>
      <c r="EX123" s="148"/>
      <c r="EY123" s="148"/>
      <c r="EZ123" s="148"/>
      <c r="FA123" s="148"/>
      <c r="FB123" s="148"/>
      <c r="FC123" s="148"/>
      <c r="FD123" s="148"/>
      <c r="FE123" s="148"/>
      <c r="FF123" s="148"/>
      <c r="FG123" s="148"/>
      <c r="FH123" s="148"/>
      <c r="FI123" s="148"/>
      <c r="FJ123" s="148"/>
      <c r="FK123" s="148"/>
      <c r="FL123" s="148"/>
      <c r="FM123" s="148"/>
      <c r="FN123" s="148"/>
      <c r="FO123" s="148"/>
      <c r="FP123" s="148"/>
      <c r="FQ123" s="148"/>
      <c r="FR123" s="148"/>
      <c r="FS123" s="148"/>
      <c r="FT123" s="148"/>
      <c r="FU123" s="148"/>
      <c r="FV123" s="148"/>
      <c r="FW123" s="148"/>
      <c r="FX123" s="148"/>
      <c r="FY123" s="148"/>
      <c r="FZ123" s="148"/>
      <c r="GA123" s="148"/>
      <c r="GB123" s="148"/>
      <c r="GC123" s="148"/>
      <c r="GD123" s="148"/>
      <c r="GE123" s="148"/>
      <c r="GF123" s="148"/>
      <c r="GG123" s="148"/>
      <c r="GH123" s="148"/>
      <c r="GI123" s="148"/>
      <c r="GJ123" s="148"/>
      <c r="GK123" s="148"/>
      <c r="GL123" s="148"/>
      <c r="GM123" s="148"/>
      <c r="GN123" s="148"/>
      <c r="GO123" s="148"/>
      <c r="GP123" s="148"/>
      <c r="GQ123" s="148"/>
      <c r="GR123" s="148"/>
      <c r="GS123" s="148"/>
      <c r="GT123" s="148"/>
      <c r="GU123" s="148"/>
      <c r="GV123" s="148"/>
      <c r="GW123" s="148"/>
      <c r="GX123" s="148"/>
      <c r="GY123" s="148"/>
      <c r="GZ123" s="148"/>
      <c r="HA123" s="148"/>
      <c r="HB123" s="148"/>
      <c r="HC123" s="148"/>
      <c r="HD123" s="148"/>
      <c r="HE123" s="148"/>
      <c r="HF123" s="148"/>
      <c r="HG123" s="148"/>
      <c r="HH123" s="148"/>
      <c r="HI123" s="148"/>
      <c r="HJ123" s="148"/>
      <c r="HK123" s="148"/>
      <c r="HL123" s="148"/>
      <c r="HM123" s="148"/>
      <c r="HN123" s="148"/>
      <c r="HO123" s="148"/>
      <c r="HP123" s="148"/>
      <c r="HQ123" s="148"/>
      <c r="HR123" s="148"/>
      <c r="HS123" s="148"/>
      <c r="HT123" s="148"/>
      <c r="HU123" s="148"/>
      <c r="HV123" s="148"/>
      <c r="HW123" s="148"/>
      <c r="HX123" s="148"/>
      <c r="HY123" s="148"/>
      <c r="HZ123" s="148"/>
      <c r="IA123" s="148"/>
      <c r="IB123" s="148"/>
      <c r="IC123" s="148"/>
      <c r="ID123" s="148"/>
      <c r="IE123" s="148"/>
      <c r="IF123" s="148"/>
      <c r="IG123" s="148"/>
      <c r="IH123" s="148"/>
      <c r="II123" s="148"/>
      <c r="IJ123" s="148"/>
      <c r="IK123" s="148"/>
      <c r="IL123" s="148"/>
      <c r="IM123" s="148"/>
      <c r="IN123" s="148"/>
      <c r="IO123" s="148"/>
      <c r="IP123" s="148"/>
      <c r="IQ123" s="148"/>
      <c r="IR123" s="148"/>
      <c r="IS123" s="148"/>
      <c r="IT123" s="148"/>
      <c r="IU123" s="148"/>
      <c r="IV123" s="148"/>
      <c r="IW123" s="148"/>
      <c r="IX123" s="148"/>
      <c r="IY123" s="148"/>
      <c r="IZ123" s="148"/>
      <c r="JA123" s="148"/>
      <c r="JB123" s="148"/>
    </row>
    <row r="124" spans="22:262" s="15" customFormat="1">
      <c r="V124" s="148"/>
      <c r="W124" s="148"/>
      <c r="X124" s="148"/>
      <c r="Y124" s="148"/>
      <c r="Z124" s="148"/>
      <c r="AA124" s="148"/>
      <c r="AB124" s="148"/>
      <c r="AC124" s="148"/>
      <c r="AD124" s="148"/>
      <c r="AE124" s="148"/>
      <c r="AF124" s="148"/>
      <c r="AG124" s="148"/>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c r="BI124" s="148"/>
      <c r="BJ124" s="148"/>
      <c r="BK124" s="148"/>
      <c r="BL124" s="148"/>
      <c r="BM124" s="148"/>
      <c r="BN124" s="148"/>
      <c r="BO124" s="148"/>
      <c r="BP124" s="148"/>
      <c r="BQ124" s="148"/>
      <c r="BR124" s="148"/>
      <c r="BS124" s="148"/>
      <c r="BT124" s="148"/>
      <c r="BU124" s="148"/>
      <c r="BV124" s="148"/>
      <c r="BW124" s="148"/>
      <c r="BX124" s="148"/>
      <c r="BY124" s="148"/>
      <c r="BZ124" s="148"/>
      <c r="CA124" s="148"/>
      <c r="CB124" s="148"/>
      <c r="CC124" s="148"/>
      <c r="CD124" s="148"/>
      <c r="CE124" s="148"/>
      <c r="CF124" s="148"/>
      <c r="CG124" s="148"/>
      <c r="CH124" s="148"/>
      <c r="CI124" s="148"/>
      <c r="CJ124" s="148"/>
      <c r="CK124" s="148"/>
      <c r="CL124" s="148"/>
      <c r="CM124" s="148"/>
      <c r="CN124" s="148"/>
      <c r="CO124" s="148"/>
      <c r="CP124" s="148"/>
      <c r="CQ124" s="148"/>
      <c r="CR124" s="148"/>
      <c r="CS124" s="148"/>
      <c r="CT124" s="148"/>
      <c r="CU124" s="148"/>
      <c r="CV124" s="148"/>
      <c r="CW124" s="148"/>
      <c r="CX124" s="148"/>
      <c r="CY124" s="148"/>
      <c r="CZ124" s="148"/>
      <c r="DA124" s="148"/>
      <c r="DB124" s="148"/>
      <c r="DC124" s="148"/>
      <c r="DD124" s="148"/>
      <c r="DE124" s="148"/>
      <c r="DF124" s="148"/>
      <c r="DG124" s="148"/>
      <c r="DH124" s="148"/>
      <c r="DI124" s="148"/>
      <c r="DJ124" s="148"/>
      <c r="DK124" s="148"/>
      <c r="DL124" s="148"/>
      <c r="DM124" s="148"/>
      <c r="DN124" s="148"/>
      <c r="DO124" s="148"/>
      <c r="DP124" s="148"/>
      <c r="DQ124" s="148"/>
      <c r="DR124" s="148"/>
      <c r="DS124" s="148"/>
      <c r="DT124" s="148"/>
      <c r="DU124" s="148"/>
      <c r="DV124" s="148"/>
      <c r="DW124" s="148"/>
      <c r="DX124" s="148"/>
      <c r="DY124" s="148"/>
      <c r="DZ124" s="148"/>
      <c r="EA124" s="148"/>
      <c r="EB124" s="148"/>
      <c r="EC124" s="148"/>
      <c r="ED124" s="148"/>
      <c r="EE124" s="148"/>
      <c r="EF124" s="148"/>
      <c r="EG124" s="148"/>
      <c r="EH124" s="148"/>
      <c r="EI124" s="148"/>
      <c r="EJ124" s="148"/>
      <c r="EK124" s="148"/>
      <c r="EL124" s="148"/>
      <c r="EM124" s="148"/>
      <c r="EN124" s="148"/>
      <c r="EO124" s="148"/>
      <c r="EP124" s="148"/>
      <c r="EQ124" s="148"/>
      <c r="ER124" s="148"/>
      <c r="ES124" s="148"/>
      <c r="ET124" s="148"/>
      <c r="EU124" s="148"/>
      <c r="EV124" s="148"/>
      <c r="EW124" s="148"/>
      <c r="EX124" s="148"/>
      <c r="EY124" s="148"/>
      <c r="EZ124" s="148"/>
      <c r="FA124" s="148"/>
      <c r="FB124" s="148"/>
      <c r="FC124" s="148"/>
      <c r="FD124" s="148"/>
      <c r="FE124" s="148"/>
      <c r="FF124" s="148"/>
      <c r="FG124" s="148"/>
      <c r="FH124" s="148"/>
      <c r="FI124" s="148"/>
      <c r="FJ124" s="148"/>
      <c r="FK124" s="148"/>
      <c r="FL124" s="148"/>
      <c r="FM124" s="148"/>
      <c r="FN124" s="148"/>
      <c r="FO124" s="148"/>
      <c r="FP124" s="148"/>
      <c r="FQ124" s="148"/>
      <c r="FR124" s="148"/>
      <c r="FS124" s="148"/>
      <c r="FT124" s="148"/>
      <c r="FU124" s="148"/>
      <c r="FV124" s="148"/>
      <c r="FW124" s="148"/>
      <c r="FX124" s="148"/>
      <c r="FY124" s="148"/>
      <c r="FZ124" s="148"/>
      <c r="GA124" s="148"/>
      <c r="GB124" s="148"/>
      <c r="GC124" s="148"/>
      <c r="GD124" s="148"/>
      <c r="GE124" s="148"/>
      <c r="GF124" s="148"/>
      <c r="GG124" s="148"/>
      <c r="GH124" s="148"/>
      <c r="GI124" s="148"/>
      <c r="GJ124" s="148"/>
      <c r="GK124" s="148"/>
      <c r="GL124" s="148"/>
      <c r="GM124" s="148"/>
      <c r="GN124" s="148"/>
      <c r="GO124" s="148"/>
      <c r="GP124" s="148"/>
      <c r="GQ124" s="148"/>
      <c r="GR124" s="148"/>
      <c r="GS124" s="148"/>
      <c r="GT124" s="148"/>
      <c r="GU124" s="148"/>
      <c r="GV124" s="148"/>
      <c r="GW124" s="148"/>
      <c r="GX124" s="148"/>
      <c r="GY124" s="148"/>
      <c r="GZ124" s="148"/>
      <c r="HA124" s="148"/>
      <c r="HB124" s="148"/>
      <c r="HC124" s="148"/>
      <c r="HD124" s="148"/>
      <c r="HE124" s="148"/>
      <c r="HF124" s="148"/>
      <c r="HG124" s="148"/>
      <c r="HH124" s="148"/>
      <c r="HI124" s="148"/>
      <c r="HJ124" s="148"/>
      <c r="HK124" s="148"/>
      <c r="HL124" s="148"/>
      <c r="HM124" s="148"/>
      <c r="HN124" s="148"/>
      <c r="HO124" s="148"/>
      <c r="HP124" s="148"/>
      <c r="HQ124" s="148"/>
      <c r="HR124" s="148"/>
      <c r="HS124" s="148"/>
      <c r="HT124" s="148"/>
      <c r="HU124" s="148"/>
      <c r="HV124" s="148"/>
      <c r="HW124" s="148"/>
      <c r="HX124" s="148"/>
      <c r="HY124" s="148"/>
      <c r="HZ124" s="148"/>
      <c r="IA124" s="148"/>
      <c r="IB124" s="148"/>
      <c r="IC124" s="148"/>
      <c r="ID124" s="148"/>
      <c r="IE124" s="148"/>
      <c r="IF124" s="148"/>
      <c r="IG124" s="148"/>
      <c r="IH124" s="148"/>
      <c r="II124" s="148"/>
      <c r="IJ124" s="148"/>
      <c r="IK124" s="148"/>
      <c r="IL124" s="148"/>
      <c r="IM124" s="148"/>
      <c r="IN124" s="148"/>
      <c r="IO124" s="148"/>
      <c r="IP124" s="148"/>
      <c r="IQ124" s="148"/>
      <c r="IR124" s="148"/>
      <c r="IS124" s="148"/>
      <c r="IT124" s="148"/>
      <c r="IU124" s="148"/>
      <c r="IV124" s="148"/>
      <c r="IW124" s="148"/>
      <c r="IX124" s="148"/>
      <c r="IY124" s="148"/>
      <c r="IZ124" s="148"/>
      <c r="JA124" s="148"/>
      <c r="JB124" s="148"/>
    </row>
    <row r="125" spans="22:262" s="15" customFormat="1">
      <c r="V125" s="148"/>
      <c r="W125" s="148"/>
      <c r="X125" s="148"/>
      <c r="Y125" s="148"/>
      <c r="Z125" s="148"/>
      <c r="AA125" s="148"/>
      <c r="AB125" s="148"/>
      <c r="AC125" s="148"/>
      <c r="AD125" s="148"/>
      <c r="AE125" s="148"/>
      <c r="AF125" s="148"/>
      <c r="AG125" s="148"/>
      <c r="AH125" s="148"/>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c r="BI125" s="148"/>
      <c r="BJ125" s="148"/>
      <c r="BK125" s="148"/>
      <c r="BL125" s="148"/>
      <c r="BM125" s="148"/>
      <c r="BN125" s="148"/>
      <c r="BO125" s="148"/>
      <c r="BP125" s="148"/>
      <c r="BQ125" s="148"/>
      <c r="BR125" s="148"/>
      <c r="BS125" s="148"/>
      <c r="BT125" s="148"/>
      <c r="BU125" s="148"/>
      <c r="BV125" s="148"/>
      <c r="BW125" s="148"/>
      <c r="BX125" s="148"/>
      <c r="BY125" s="148"/>
      <c r="BZ125" s="148"/>
      <c r="CA125" s="148"/>
      <c r="CB125" s="148"/>
      <c r="CC125" s="148"/>
      <c r="CD125" s="148"/>
      <c r="CE125" s="148"/>
      <c r="CF125" s="148"/>
      <c r="CG125" s="148"/>
      <c r="CH125" s="148"/>
      <c r="CI125" s="148"/>
      <c r="CJ125" s="148"/>
      <c r="CK125" s="148"/>
      <c r="CL125" s="148"/>
      <c r="CM125" s="148"/>
      <c r="CN125" s="148"/>
      <c r="CO125" s="148"/>
      <c r="CP125" s="148"/>
      <c r="CQ125" s="148"/>
      <c r="CR125" s="148"/>
      <c r="CS125" s="148"/>
      <c r="CT125" s="148"/>
      <c r="CU125" s="148"/>
      <c r="CV125" s="148"/>
      <c r="CW125" s="148"/>
      <c r="CX125" s="148"/>
      <c r="CY125" s="148"/>
      <c r="CZ125" s="148"/>
      <c r="DA125" s="148"/>
      <c r="DB125" s="148"/>
      <c r="DC125" s="148"/>
      <c r="DD125" s="148"/>
      <c r="DE125" s="148"/>
      <c r="DF125" s="148"/>
      <c r="DG125" s="148"/>
      <c r="DH125" s="148"/>
      <c r="DI125" s="148"/>
      <c r="DJ125" s="148"/>
      <c r="DK125" s="148"/>
      <c r="DL125" s="148"/>
      <c r="DM125" s="148"/>
      <c r="DN125" s="148"/>
      <c r="DO125" s="148"/>
      <c r="DP125" s="148"/>
      <c r="DQ125" s="148"/>
      <c r="DR125" s="148"/>
      <c r="DS125" s="148"/>
      <c r="DT125" s="148"/>
      <c r="DU125" s="148"/>
      <c r="DV125" s="148"/>
      <c r="DW125" s="148"/>
      <c r="DX125" s="148"/>
      <c r="DY125" s="148"/>
      <c r="DZ125" s="148"/>
      <c r="EA125" s="148"/>
      <c r="EB125" s="148"/>
      <c r="EC125" s="148"/>
      <c r="ED125" s="148"/>
      <c r="EE125" s="148"/>
      <c r="EF125" s="148"/>
      <c r="EG125" s="148"/>
      <c r="EH125" s="148"/>
      <c r="EI125" s="148"/>
      <c r="EJ125" s="148"/>
      <c r="EK125" s="148"/>
      <c r="EL125" s="148"/>
      <c r="EM125" s="148"/>
      <c r="EN125" s="148"/>
      <c r="EO125" s="148"/>
      <c r="EP125" s="148"/>
      <c r="EQ125" s="148"/>
      <c r="ER125" s="148"/>
      <c r="ES125" s="148"/>
      <c r="ET125" s="148"/>
      <c r="EU125" s="148"/>
      <c r="EV125" s="148"/>
      <c r="EW125" s="148"/>
      <c r="EX125" s="148"/>
      <c r="EY125" s="148"/>
      <c r="EZ125" s="148"/>
      <c r="FA125" s="148"/>
      <c r="FB125" s="148"/>
      <c r="FC125" s="148"/>
      <c r="FD125" s="148"/>
      <c r="FE125" s="148"/>
      <c r="FF125" s="148"/>
      <c r="FG125" s="148"/>
      <c r="FH125" s="148"/>
      <c r="FI125" s="148"/>
      <c r="FJ125" s="148"/>
      <c r="FK125" s="148"/>
      <c r="FL125" s="148"/>
      <c r="FM125" s="148"/>
      <c r="FN125" s="148"/>
      <c r="FO125" s="148"/>
      <c r="FP125" s="148"/>
      <c r="FQ125" s="148"/>
      <c r="FR125" s="148"/>
      <c r="FS125" s="148"/>
      <c r="FT125" s="148"/>
      <c r="FU125" s="148"/>
      <c r="FV125" s="148"/>
      <c r="FW125" s="148"/>
      <c r="FX125" s="148"/>
      <c r="FY125" s="148"/>
      <c r="FZ125" s="148"/>
      <c r="GA125" s="148"/>
      <c r="GB125" s="148"/>
      <c r="GC125" s="148"/>
      <c r="GD125" s="148"/>
      <c r="GE125" s="148"/>
      <c r="GF125" s="148"/>
      <c r="GG125" s="148"/>
      <c r="GH125" s="148"/>
      <c r="GI125" s="148"/>
      <c r="GJ125" s="148"/>
      <c r="GK125" s="148"/>
      <c r="GL125" s="148"/>
      <c r="GM125" s="148"/>
      <c r="GN125" s="148"/>
      <c r="GO125" s="148"/>
      <c r="GP125" s="148"/>
      <c r="GQ125" s="148"/>
      <c r="GR125" s="148"/>
      <c r="GS125" s="148"/>
      <c r="GT125" s="148"/>
      <c r="GU125" s="148"/>
      <c r="GV125" s="148"/>
      <c r="GW125" s="148"/>
      <c r="GX125" s="148"/>
      <c r="GY125" s="148"/>
      <c r="GZ125" s="148"/>
      <c r="HA125" s="148"/>
      <c r="HB125" s="148"/>
      <c r="HC125" s="148"/>
      <c r="HD125" s="148"/>
      <c r="HE125" s="148"/>
      <c r="HF125" s="148"/>
      <c r="HG125" s="148"/>
      <c r="HH125" s="148"/>
      <c r="HI125" s="148"/>
      <c r="HJ125" s="148"/>
      <c r="HK125" s="148"/>
      <c r="HL125" s="148"/>
      <c r="HM125" s="148"/>
      <c r="HN125" s="148"/>
      <c r="HO125" s="148"/>
      <c r="HP125" s="148"/>
      <c r="HQ125" s="148"/>
      <c r="HR125" s="148"/>
      <c r="HS125" s="148"/>
      <c r="HT125" s="148"/>
      <c r="HU125" s="148"/>
      <c r="HV125" s="148"/>
      <c r="HW125" s="148"/>
      <c r="HX125" s="148"/>
      <c r="HY125" s="148"/>
      <c r="HZ125" s="148"/>
      <c r="IA125" s="148"/>
      <c r="IB125" s="148"/>
      <c r="IC125" s="148"/>
      <c r="ID125" s="148"/>
      <c r="IE125" s="148"/>
      <c r="IF125" s="148"/>
      <c r="IG125" s="148"/>
      <c r="IH125" s="148"/>
      <c r="II125" s="148"/>
      <c r="IJ125" s="148"/>
      <c r="IK125" s="148"/>
      <c r="IL125" s="148"/>
      <c r="IM125" s="148"/>
      <c r="IN125" s="148"/>
      <c r="IO125" s="148"/>
      <c r="IP125" s="148"/>
      <c r="IQ125" s="148"/>
      <c r="IR125" s="148"/>
      <c r="IS125" s="148"/>
      <c r="IT125" s="148"/>
      <c r="IU125" s="148"/>
      <c r="IV125" s="148"/>
      <c r="IW125" s="148"/>
      <c r="IX125" s="148"/>
      <c r="IY125" s="148"/>
      <c r="IZ125" s="148"/>
      <c r="JA125" s="148"/>
      <c r="JB125" s="148"/>
    </row>
    <row r="126" spans="22:262" s="15" customFormat="1">
      <c r="V126" s="148"/>
      <c r="W126" s="148"/>
      <c r="X126" s="148"/>
      <c r="Y126" s="148"/>
      <c r="Z126" s="148"/>
      <c r="AA126" s="148"/>
      <c r="AB126" s="148"/>
      <c r="AC126" s="148"/>
      <c r="AD126" s="148"/>
      <c r="AE126" s="148"/>
      <c r="AF126" s="148"/>
      <c r="AG126" s="148"/>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c r="BI126" s="148"/>
      <c r="BJ126" s="148"/>
      <c r="BK126" s="148"/>
      <c r="BL126" s="148"/>
      <c r="BM126" s="148"/>
      <c r="BN126" s="148"/>
      <c r="BO126" s="148"/>
      <c r="BP126" s="148"/>
      <c r="BQ126" s="148"/>
      <c r="BR126" s="148"/>
      <c r="BS126" s="148"/>
      <c r="BT126" s="148"/>
      <c r="BU126" s="148"/>
      <c r="BV126" s="148"/>
      <c r="BW126" s="148"/>
      <c r="BX126" s="148"/>
      <c r="BY126" s="148"/>
      <c r="BZ126" s="148"/>
      <c r="CA126" s="148"/>
      <c r="CB126" s="148"/>
      <c r="CC126" s="148"/>
      <c r="CD126" s="148"/>
      <c r="CE126" s="148"/>
      <c r="CF126" s="148"/>
      <c r="CG126" s="148"/>
      <c r="CH126" s="148"/>
      <c r="CI126" s="148"/>
      <c r="CJ126" s="148"/>
      <c r="CK126" s="148"/>
      <c r="CL126" s="148"/>
      <c r="CM126" s="148"/>
      <c r="CN126" s="148"/>
      <c r="CO126" s="148"/>
      <c r="CP126" s="148"/>
      <c r="CQ126" s="148"/>
      <c r="CR126" s="148"/>
      <c r="CS126" s="148"/>
      <c r="CT126" s="148"/>
      <c r="CU126" s="148"/>
      <c r="CV126" s="148"/>
      <c r="CW126" s="148"/>
      <c r="CX126" s="148"/>
      <c r="CY126" s="148"/>
      <c r="CZ126" s="148"/>
      <c r="DA126" s="148"/>
      <c r="DB126" s="148"/>
      <c r="DC126" s="148"/>
      <c r="DD126" s="148"/>
      <c r="DE126" s="148"/>
      <c r="DF126" s="148"/>
      <c r="DG126" s="148"/>
      <c r="DH126" s="148"/>
      <c r="DI126" s="148"/>
      <c r="DJ126" s="148"/>
      <c r="DK126" s="148"/>
      <c r="DL126" s="148"/>
      <c r="DM126" s="148"/>
      <c r="DN126" s="148"/>
      <c r="DO126" s="148"/>
      <c r="DP126" s="148"/>
      <c r="DQ126" s="148"/>
      <c r="DR126" s="148"/>
      <c r="DS126" s="148"/>
      <c r="DT126" s="148"/>
      <c r="DU126" s="148"/>
      <c r="DV126" s="148"/>
      <c r="DW126" s="148"/>
      <c r="DX126" s="148"/>
      <c r="DY126" s="148"/>
      <c r="DZ126" s="148"/>
      <c r="EA126" s="148"/>
      <c r="EB126" s="148"/>
      <c r="EC126" s="148"/>
      <c r="ED126" s="148"/>
      <c r="EE126" s="148"/>
      <c r="EF126" s="148"/>
      <c r="EG126" s="148"/>
      <c r="EH126" s="148"/>
      <c r="EI126" s="148"/>
      <c r="EJ126" s="148"/>
      <c r="EK126" s="148"/>
      <c r="EL126" s="148"/>
      <c r="EM126" s="148"/>
      <c r="EN126" s="148"/>
      <c r="EO126" s="148"/>
      <c r="EP126" s="148"/>
      <c r="EQ126" s="148"/>
      <c r="ER126" s="148"/>
      <c r="ES126" s="148"/>
      <c r="ET126" s="148"/>
      <c r="EU126" s="148"/>
      <c r="EV126" s="148"/>
      <c r="EW126" s="148"/>
      <c r="EX126" s="148"/>
      <c r="EY126" s="148"/>
      <c r="EZ126" s="148"/>
      <c r="FA126" s="148"/>
      <c r="FB126" s="148"/>
      <c r="FC126" s="148"/>
      <c r="FD126" s="148"/>
      <c r="FE126" s="148"/>
      <c r="FF126" s="148"/>
      <c r="FG126" s="148"/>
      <c r="FH126" s="148"/>
      <c r="FI126" s="148"/>
      <c r="FJ126" s="148"/>
      <c r="FK126" s="148"/>
      <c r="FL126" s="148"/>
      <c r="FM126" s="148"/>
      <c r="FN126" s="148"/>
      <c r="FO126" s="148"/>
      <c r="FP126" s="148"/>
      <c r="FQ126" s="148"/>
      <c r="FR126" s="148"/>
      <c r="FS126" s="148"/>
      <c r="FT126" s="148"/>
      <c r="FU126" s="148"/>
      <c r="FV126" s="148"/>
      <c r="FW126" s="148"/>
      <c r="FX126" s="148"/>
      <c r="FY126" s="148"/>
      <c r="FZ126" s="148"/>
      <c r="GA126" s="148"/>
      <c r="GB126" s="148"/>
      <c r="GC126" s="148"/>
      <c r="GD126" s="148"/>
      <c r="GE126" s="148"/>
      <c r="GF126" s="148"/>
      <c r="GG126" s="148"/>
      <c r="GH126" s="148"/>
      <c r="GI126" s="148"/>
      <c r="GJ126" s="148"/>
      <c r="GK126" s="148"/>
      <c r="GL126" s="148"/>
      <c r="GM126" s="148"/>
      <c r="GN126" s="148"/>
      <c r="GO126" s="148"/>
      <c r="GP126" s="148"/>
      <c r="GQ126" s="148"/>
      <c r="GR126" s="148"/>
      <c r="GS126" s="148"/>
      <c r="GT126" s="148"/>
      <c r="GU126" s="148"/>
      <c r="GV126" s="148"/>
      <c r="GW126" s="148"/>
      <c r="GX126" s="148"/>
      <c r="GY126" s="148"/>
      <c r="GZ126" s="148"/>
      <c r="HA126" s="148"/>
      <c r="HB126" s="148"/>
      <c r="HC126" s="148"/>
      <c r="HD126" s="148"/>
      <c r="HE126" s="148"/>
      <c r="HF126" s="148"/>
      <c r="HG126" s="148"/>
      <c r="HH126" s="148"/>
      <c r="HI126" s="148"/>
      <c r="HJ126" s="148"/>
      <c r="HK126" s="148"/>
      <c r="HL126" s="148"/>
      <c r="HM126" s="148"/>
      <c r="HN126" s="148"/>
      <c r="HO126" s="148"/>
      <c r="HP126" s="148"/>
      <c r="HQ126" s="148"/>
      <c r="HR126" s="148"/>
      <c r="HS126" s="148"/>
      <c r="HT126" s="148"/>
      <c r="HU126" s="148"/>
      <c r="HV126" s="148"/>
      <c r="HW126" s="148"/>
      <c r="HX126" s="148"/>
      <c r="HY126" s="148"/>
      <c r="HZ126" s="148"/>
      <c r="IA126" s="148"/>
      <c r="IB126" s="148"/>
      <c r="IC126" s="148"/>
      <c r="ID126" s="148"/>
      <c r="IE126" s="148"/>
      <c r="IF126" s="148"/>
      <c r="IG126" s="148"/>
      <c r="IH126" s="148"/>
      <c r="II126" s="148"/>
      <c r="IJ126" s="148"/>
      <c r="IK126" s="148"/>
      <c r="IL126" s="148"/>
      <c r="IM126" s="148"/>
      <c r="IN126" s="148"/>
      <c r="IO126" s="148"/>
      <c r="IP126" s="148"/>
      <c r="IQ126" s="148"/>
      <c r="IR126" s="148"/>
      <c r="IS126" s="148"/>
      <c r="IT126" s="148"/>
      <c r="IU126" s="148"/>
      <c r="IV126" s="148"/>
      <c r="IW126" s="148"/>
      <c r="IX126" s="148"/>
      <c r="IY126" s="148"/>
      <c r="IZ126" s="148"/>
      <c r="JA126" s="148"/>
      <c r="JB126" s="148"/>
    </row>
    <row r="127" spans="22:262" s="15" customFormat="1">
      <c r="V127" s="148"/>
      <c r="W127" s="148"/>
      <c r="X127" s="148"/>
      <c r="Y127" s="148"/>
      <c r="Z127" s="148"/>
      <c r="AA127" s="148"/>
      <c r="AB127" s="148"/>
      <c r="AC127" s="148"/>
      <c r="AD127" s="148"/>
      <c r="AE127" s="148"/>
      <c r="AF127" s="148"/>
      <c r="AG127" s="148"/>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c r="BI127" s="148"/>
      <c r="BJ127" s="148"/>
      <c r="BK127" s="148"/>
      <c r="BL127" s="148"/>
      <c r="BM127" s="148"/>
      <c r="BN127" s="148"/>
      <c r="BO127" s="148"/>
      <c r="BP127" s="148"/>
      <c r="BQ127" s="148"/>
      <c r="BR127" s="148"/>
      <c r="BS127" s="148"/>
      <c r="BT127" s="148"/>
      <c r="BU127" s="148"/>
      <c r="BV127" s="148"/>
      <c r="BW127" s="148"/>
      <c r="BX127" s="148"/>
      <c r="BY127" s="148"/>
      <c r="BZ127" s="148"/>
      <c r="CA127" s="148"/>
      <c r="CB127" s="148"/>
      <c r="CC127" s="148"/>
      <c r="CD127" s="148"/>
      <c r="CE127" s="148"/>
      <c r="CF127" s="148"/>
      <c r="CG127" s="148"/>
      <c r="CH127" s="148"/>
      <c r="CI127" s="148"/>
      <c r="CJ127" s="148"/>
      <c r="CK127" s="148"/>
      <c r="CL127" s="148"/>
      <c r="CM127" s="148"/>
      <c r="CN127" s="148"/>
      <c r="CO127" s="148"/>
      <c r="CP127" s="148"/>
      <c r="CQ127" s="148"/>
      <c r="CR127" s="148"/>
      <c r="CS127" s="148"/>
      <c r="CT127" s="148"/>
      <c r="CU127" s="148"/>
      <c r="CV127" s="148"/>
      <c r="CW127" s="148"/>
      <c r="CX127" s="148"/>
      <c r="CY127" s="148"/>
      <c r="CZ127" s="148"/>
      <c r="DA127" s="148"/>
      <c r="DB127" s="148"/>
      <c r="DC127" s="148"/>
      <c r="DD127" s="148"/>
      <c r="DE127" s="148"/>
      <c r="DF127" s="148"/>
      <c r="DG127" s="148"/>
      <c r="DH127" s="148"/>
      <c r="DI127" s="148"/>
      <c r="DJ127" s="148"/>
      <c r="DK127" s="148"/>
      <c r="DL127" s="148"/>
      <c r="DM127" s="148"/>
      <c r="DN127" s="148"/>
      <c r="DO127" s="148"/>
      <c r="DP127" s="148"/>
      <c r="DQ127" s="148"/>
      <c r="DR127" s="148"/>
      <c r="DS127" s="148"/>
      <c r="DT127" s="148"/>
      <c r="DU127" s="148"/>
      <c r="DV127" s="148"/>
      <c r="DW127" s="148"/>
      <c r="DX127" s="148"/>
      <c r="DY127" s="148"/>
      <c r="DZ127" s="148"/>
      <c r="EA127" s="148"/>
      <c r="EB127" s="148"/>
      <c r="EC127" s="148"/>
      <c r="ED127" s="148"/>
      <c r="EE127" s="148"/>
      <c r="EF127" s="148"/>
      <c r="EG127" s="148"/>
      <c r="EH127" s="148"/>
      <c r="EI127" s="148"/>
      <c r="EJ127" s="148"/>
      <c r="EK127" s="148"/>
      <c r="EL127" s="148"/>
      <c r="EM127" s="148"/>
      <c r="EN127" s="148"/>
      <c r="EO127" s="148"/>
      <c r="EP127" s="148"/>
      <c r="EQ127" s="148"/>
      <c r="ER127" s="148"/>
      <c r="ES127" s="148"/>
      <c r="ET127" s="148"/>
      <c r="EU127" s="148"/>
      <c r="EV127" s="148"/>
      <c r="EW127" s="148"/>
      <c r="EX127" s="148"/>
      <c r="EY127" s="148"/>
      <c r="EZ127" s="148"/>
      <c r="FA127" s="148"/>
      <c r="FB127" s="148"/>
      <c r="FC127" s="148"/>
      <c r="FD127" s="148"/>
      <c r="FE127" s="148"/>
      <c r="FF127" s="148"/>
      <c r="FG127" s="148"/>
      <c r="FH127" s="148"/>
      <c r="FI127" s="148"/>
      <c r="FJ127" s="148"/>
      <c r="FK127" s="148"/>
      <c r="FL127" s="148"/>
      <c r="FM127" s="148"/>
      <c r="FN127" s="148"/>
      <c r="FO127" s="148"/>
      <c r="FP127" s="148"/>
      <c r="FQ127" s="148"/>
      <c r="FR127" s="148"/>
      <c r="FS127" s="148"/>
      <c r="FT127" s="148"/>
      <c r="FU127" s="148"/>
      <c r="FV127" s="148"/>
      <c r="FW127" s="148"/>
      <c r="FX127" s="148"/>
      <c r="FY127" s="148"/>
      <c r="FZ127" s="148"/>
      <c r="GA127" s="148"/>
      <c r="GB127" s="148"/>
      <c r="GC127" s="148"/>
      <c r="GD127" s="148"/>
      <c r="GE127" s="148"/>
      <c r="GF127" s="148"/>
      <c r="GG127" s="148"/>
      <c r="GH127" s="148"/>
      <c r="GI127" s="148"/>
      <c r="GJ127" s="148"/>
      <c r="GK127" s="148"/>
      <c r="GL127" s="148"/>
      <c r="GM127" s="148"/>
      <c r="GN127" s="148"/>
      <c r="GO127" s="148"/>
      <c r="GP127" s="148"/>
      <c r="GQ127" s="148"/>
      <c r="GR127" s="148"/>
      <c r="GS127" s="148"/>
      <c r="GT127" s="148"/>
      <c r="GU127" s="148"/>
      <c r="GV127" s="148"/>
      <c r="GW127" s="148"/>
      <c r="GX127" s="148"/>
      <c r="GY127" s="148"/>
      <c r="GZ127" s="148"/>
      <c r="HA127" s="148"/>
      <c r="HB127" s="148"/>
      <c r="HC127" s="148"/>
      <c r="HD127" s="148"/>
      <c r="HE127" s="148"/>
      <c r="HF127" s="148"/>
      <c r="HG127" s="148"/>
      <c r="HH127" s="148"/>
      <c r="HI127" s="148"/>
      <c r="HJ127" s="148"/>
      <c r="HK127" s="148"/>
      <c r="HL127" s="148"/>
      <c r="HM127" s="148"/>
      <c r="HN127" s="148"/>
      <c r="HO127" s="148"/>
      <c r="HP127" s="148"/>
      <c r="HQ127" s="148"/>
      <c r="HR127" s="148"/>
      <c r="HS127" s="148"/>
      <c r="HT127" s="148"/>
      <c r="HU127" s="148"/>
      <c r="HV127" s="148"/>
      <c r="HW127" s="148"/>
      <c r="HX127" s="148"/>
      <c r="HY127" s="148"/>
      <c r="HZ127" s="148"/>
      <c r="IA127" s="148"/>
      <c r="IB127" s="148"/>
      <c r="IC127" s="148"/>
      <c r="ID127" s="148"/>
      <c r="IE127" s="148"/>
      <c r="IF127" s="148"/>
      <c r="IG127" s="148"/>
      <c r="IH127" s="148"/>
      <c r="II127" s="148"/>
      <c r="IJ127" s="148"/>
      <c r="IK127" s="148"/>
      <c r="IL127" s="148"/>
      <c r="IM127" s="148"/>
      <c r="IN127" s="148"/>
      <c r="IO127" s="148"/>
      <c r="IP127" s="148"/>
      <c r="IQ127" s="148"/>
      <c r="IR127" s="148"/>
      <c r="IS127" s="148"/>
      <c r="IT127" s="148"/>
      <c r="IU127" s="148"/>
      <c r="IV127" s="148"/>
      <c r="IW127" s="148"/>
      <c r="IX127" s="148"/>
      <c r="IY127" s="148"/>
      <c r="IZ127" s="148"/>
      <c r="JA127" s="148"/>
      <c r="JB127" s="148"/>
    </row>
    <row r="128" spans="22:262" s="15" customFormat="1">
      <c r="V128" s="148"/>
      <c r="W128" s="148"/>
      <c r="X128" s="148"/>
      <c r="Y128" s="148"/>
      <c r="Z128" s="148"/>
      <c r="AA128" s="148"/>
      <c r="AB128" s="148"/>
      <c r="AC128" s="148"/>
      <c r="AD128" s="148"/>
      <c r="AE128" s="148"/>
      <c r="AF128" s="148"/>
      <c r="AG128" s="148"/>
      <c r="AH128" s="148"/>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8"/>
      <c r="BR128" s="148"/>
      <c r="BS128" s="148"/>
      <c r="BT128" s="148"/>
      <c r="BU128" s="148"/>
      <c r="BV128" s="148"/>
      <c r="BW128" s="148"/>
      <c r="BX128" s="148"/>
      <c r="BY128" s="148"/>
      <c r="BZ128" s="148"/>
      <c r="CA128" s="148"/>
      <c r="CB128" s="148"/>
      <c r="CC128" s="148"/>
      <c r="CD128" s="148"/>
      <c r="CE128" s="148"/>
      <c r="CF128" s="148"/>
      <c r="CG128" s="148"/>
      <c r="CH128" s="148"/>
      <c r="CI128" s="148"/>
      <c r="CJ128" s="148"/>
      <c r="CK128" s="148"/>
      <c r="CL128" s="148"/>
      <c r="CM128" s="148"/>
      <c r="CN128" s="148"/>
      <c r="CO128" s="148"/>
      <c r="CP128" s="148"/>
      <c r="CQ128" s="148"/>
      <c r="CR128" s="148"/>
      <c r="CS128" s="148"/>
      <c r="CT128" s="148"/>
      <c r="CU128" s="148"/>
      <c r="CV128" s="148"/>
      <c r="CW128" s="148"/>
      <c r="CX128" s="148"/>
      <c r="CY128" s="148"/>
      <c r="CZ128" s="148"/>
      <c r="DA128" s="148"/>
      <c r="DB128" s="148"/>
      <c r="DC128" s="148"/>
      <c r="DD128" s="148"/>
      <c r="DE128" s="148"/>
      <c r="DF128" s="148"/>
      <c r="DG128" s="148"/>
      <c r="DH128" s="148"/>
      <c r="DI128" s="148"/>
      <c r="DJ128" s="148"/>
      <c r="DK128" s="148"/>
      <c r="DL128" s="148"/>
      <c r="DM128" s="148"/>
      <c r="DN128" s="148"/>
      <c r="DO128" s="148"/>
      <c r="DP128" s="148"/>
      <c r="DQ128" s="148"/>
      <c r="DR128" s="148"/>
      <c r="DS128" s="148"/>
      <c r="DT128" s="148"/>
      <c r="DU128" s="148"/>
      <c r="DV128" s="148"/>
      <c r="DW128" s="148"/>
      <c r="DX128" s="148"/>
      <c r="DY128" s="148"/>
      <c r="DZ128" s="148"/>
      <c r="EA128" s="148"/>
      <c r="EB128" s="148"/>
      <c r="EC128" s="148"/>
      <c r="ED128" s="148"/>
      <c r="EE128" s="148"/>
      <c r="EF128" s="148"/>
      <c r="EG128" s="148"/>
      <c r="EH128" s="148"/>
      <c r="EI128" s="148"/>
      <c r="EJ128" s="148"/>
      <c r="EK128" s="148"/>
      <c r="EL128" s="148"/>
      <c r="EM128" s="148"/>
      <c r="EN128" s="148"/>
      <c r="EO128" s="148"/>
      <c r="EP128" s="148"/>
      <c r="EQ128" s="148"/>
      <c r="ER128" s="148"/>
      <c r="ES128" s="148"/>
      <c r="ET128" s="148"/>
      <c r="EU128" s="148"/>
      <c r="EV128" s="148"/>
      <c r="EW128" s="148"/>
      <c r="EX128" s="148"/>
      <c r="EY128" s="148"/>
      <c r="EZ128" s="148"/>
      <c r="FA128" s="148"/>
      <c r="FB128" s="148"/>
      <c r="FC128" s="148"/>
      <c r="FD128" s="148"/>
      <c r="FE128" s="148"/>
      <c r="FF128" s="148"/>
      <c r="FG128" s="148"/>
      <c r="FH128" s="148"/>
      <c r="FI128" s="148"/>
      <c r="FJ128" s="148"/>
      <c r="FK128" s="148"/>
      <c r="FL128" s="148"/>
      <c r="FM128" s="148"/>
      <c r="FN128" s="148"/>
      <c r="FO128" s="148"/>
      <c r="FP128" s="148"/>
      <c r="FQ128" s="148"/>
      <c r="FR128" s="148"/>
      <c r="FS128" s="148"/>
      <c r="FT128" s="148"/>
      <c r="FU128" s="148"/>
      <c r="FV128" s="148"/>
      <c r="FW128" s="148"/>
      <c r="FX128" s="148"/>
      <c r="FY128" s="148"/>
      <c r="FZ128" s="148"/>
      <c r="GA128" s="148"/>
      <c r="GB128" s="148"/>
      <c r="GC128" s="148"/>
      <c r="GD128" s="148"/>
      <c r="GE128" s="148"/>
      <c r="GF128" s="148"/>
      <c r="GG128" s="148"/>
      <c r="GH128" s="148"/>
      <c r="GI128" s="148"/>
      <c r="GJ128" s="148"/>
      <c r="GK128" s="148"/>
      <c r="GL128" s="148"/>
      <c r="GM128" s="148"/>
      <c r="GN128" s="148"/>
      <c r="GO128" s="148"/>
      <c r="GP128" s="148"/>
      <c r="GQ128" s="148"/>
      <c r="GR128" s="148"/>
      <c r="GS128" s="148"/>
      <c r="GT128" s="148"/>
      <c r="GU128" s="148"/>
      <c r="GV128" s="148"/>
      <c r="GW128" s="148"/>
      <c r="GX128" s="148"/>
      <c r="GY128" s="148"/>
      <c r="GZ128" s="148"/>
      <c r="HA128" s="148"/>
      <c r="HB128" s="148"/>
      <c r="HC128" s="148"/>
      <c r="HD128" s="148"/>
      <c r="HE128" s="148"/>
      <c r="HF128" s="148"/>
      <c r="HG128" s="148"/>
      <c r="HH128" s="148"/>
      <c r="HI128" s="148"/>
      <c r="HJ128" s="148"/>
      <c r="HK128" s="148"/>
      <c r="HL128" s="148"/>
      <c r="HM128" s="148"/>
      <c r="HN128" s="148"/>
      <c r="HO128" s="148"/>
      <c r="HP128" s="148"/>
      <c r="HQ128" s="148"/>
      <c r="HR128" s="148"/>
      <c r="HS128" s="148"/>
      <c r="HT128" s="148"/>
      <c r="HU128" s="148"/>
      <c r="HV128" s="148"/>
      <c r="HW128" s="148"/>
      <c r="HX128" s="148"/>
      <c r="HY128" s="148"/>
      <c r="HZ128" s="148"/>
      <c r="IA128" s="148"/>
      <c r="IB128" s="148"/>
      <c r="IC128" s="148"/>
      <c r="ID128" s="148"/>
      <c r="IE128" s="148"/>
      <c r="IF128" s="148"/>
      <c r="IG128" s="148"/>
      <c r="IH128" s="148"/>
      <c r="II128" s="148"/>
      <c r="IJ128" s="148"/>
      <c r="IK128" s="148"/>
      <c r="IL128" s="148"/>
      <c r="IM128" s="148"/>
      <c r="IN128" s="148"/>
      <c r="IO128" s="148"/>
      <c r="IP128" s="148"/>
      <c r="IQ128" s="148"/>
      <c r="IR128" s="148"/>
      <c r="IS128" s="148"/>
      <c r="IT128" s="148"/>
      <c r="IU128" s="148"/>
      <c r="IV128" s="148"/>
      <c r="IW128" s="148"/>
      <c r="IX128" s="148"/>
      <c r="IY128" s="148"/>
      <c r="IZ128" s="148"/>
      <c r="JA128" s="148"/>
      <c r="JB128" s="148"/>
    </row>
    <row r="129" spans="22:262" s="15" customFormat="1">
      <c r="V129" s="148"/>
      <c r="W129" s="148"/>
      <c r="X129" s="148"/>
      <c r="Y129" s="148"/>
      <c r="Z129" s="148"/>
      <c r="AA129" s="148"/>
      <c r="AB129" s="148"/>
      <c r="AC129" s="148"/>
      <c r="AD129" s="148"/>
      <c r="AE129" s="148"/>
      <c r="AF129" s="148"/>
      <c r="AG129" s="148"/>
      <c r="AH129" s="148"/>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8"/>
      <c r="BR129" s="148"/>
      <c r="BS129" s="148"/>
      <c r="BT129" s="148"/>
      <c r="BU129" s="148"/>
      <c r="BV129" s="148"/>
      <c r="BW129" s="148"/>
      <c r="BX129" s="148"/>
      <c r="BY129" s="148"/>
      <c r="BZ129" s="148"/>
      <c r="CA129" s="148"/>
      <c r="CB129" s="148"/>
      <c r="CC129" s="148"/>
      <c r="CD129" s="148"/>
      <c r="CE129" s="148"/>
      <c r="CF129" s="148"/>
      <c r="CG129" s="148"/>
      <c r="CH129" s="148"/>
      <c r="CI129" s="148"/>
      <c r="CJ129" s="148"/>
      <c r="CK129" s="148"/>
      <c r="CL129" s="148"/>
      <c r="CM129" s="148"/>
      <c r="CN129" s="148"/>
      <c r="CO129" s="148"/>
      <c r="CP129" s="148"/>
      <c r="CQ129" s="148"/>
      <c r="CR129" s="148"/>
      <c r="CS129" s="148"/>
      <c r="CT129" s="148"/>
      <c r="CU129" s="148"/>
      <c r="CV129" s="148"/>
      <c r="CW129" s="148"/>
      <c r="CX129" s="148"/>
      <c r="CY129" s="148"/>
      <c r="CZ129" s="148"/>
      <c r="DA129" s="148"/>
      <c r="DB129" s="148"/>
      <c r="DC129" s="148"/>
      <c r="DD129" s="148"/>
      <c r="DE129" s="148"/>
      <c r="DF129" s="148"/>
      <c r="DG129" s="148"/>
      <c r="DH129" s="148"/>
      <c r="DI129" s="148"/>
      <c r="DJ129" s="148"/>
      <c r="DK129" s="148"/>
      <c r="DL129" s="148"/>
      <c r="DM129" s="148"/>
      <c r="DN129" s="148"/>
      <c r="DO129" s="148"/>
      <c r="DP129" s="148"/>
      <c r="DQ129" s="148"/>
      <c r="DR129" s="148"/>
      <c r="DS129" s="148"/>
      <c r="DT129" s="148"/>
      <c r="DU129" s="148"/>
      <c r="DV129" s="148"/>
      <c r="DW129" s="148"/>
      <c r="DX129" s="148"/>
      <c r="DY129" s="148"/>
      <c r="DZ129" s="148"/>
      <c r="EA129" s="148"/>
      <c r="EB129" s="148"/>
      <c r="EC129" s="148"/>
      <c r="ED129" s="148"/>
      <c r="EE129" s="148"/>
      <c r="EF129" s="148"/>
      <c r="EG129" s="148"/>
      <c r="EH129" s="148"/>
      <c r="EI129" s="148"/>
      <c r="EJ129" s="148"/>
      <c r="EK129" s="148"/>
      <c r="EL129" s="148"/>
      <c r="EM129" s="148"/>
      <c r="EN129" s="148"/>
      <c r="EO129" s="148"/>
      <c r="EP129" s="148"/>
      <c r="EQ129" s="148"/>
      <c r="ER129" s="148"/>
      <c r="ES129" s="148"/>
      <c r="ET129" s="148"/>
      <c r="EU129" s="148"/>
      <c r="EV129" s="148"/>
      <c r="EW129" s="148"/>
      <c r="EX129" s="148"/>
      <c r="EY129" s="148"/>
      <c r="EZ129" s="148"/>
      <c r="FA129" s="148"/>
      <c r="FB129" s="148"/>
      <c r="FC129" s="148"/>
      <c r="FD129" s="148"/>
      <c r="FE129" s="148"/>
      <c r="FF129" s="148"/>
      <c r="FG129" s="148"/>
      <c r="FH129" s="148"/>
      <c r="FI129" s="148"/>
      <c r="FJ129" s="148"/>
      <c r="FK129" s="148"/>
      <c r="FL129" s="148"/>
      <c r="FM129" s="148"/>
      <c r="FN129" s="148"/>
      <c r="FO129" s="148"/>
      <c r="FP129" s="148"/>
      <c r="FQ129" s="148"/>
      <c r="FR129" s="148"/>
      <c r="FS129" s="148"/>
      <c r="FT129" s="148"/>
      <c r="FU129" s="148"/>
      <c r="FV129" s="148"/>
      <c r="FW129" s="148"/>
      <c r="FX129" s="148"/>
      <c r="FY129" s="148"/>
      <c r="FZ129" s="148"/>
      <c r="GA129" s="148"/>
      <c r="GB129" s="148"/>
      <c r="GC129" s="148"/>
      <c r="GD129" s="148"/>
      <c r="GE129" s="148"/>
      <c r="GF129" s="148"/>
      <c r="GG129" s="148"/>
      <c r="GH129" s="148"/>
      <c r="GI129" s="148"/>
      <c r="GJ129" s="148"/>
      <c r="GK129" s="148"/>
      <c r="GL129" s="148"/>
      <c r="GM129" s="148"/>
      <c r="GN129" s="148"/>
      <c r="GO129" s="148"/>
      <c r="GP129" s="148"/>
      <c r="GQ129" s="148"/>
      <c r="GR129" s="148"/>
      <c r="GS129" s="148"/>
      <c r="GT129" s="148"/>
      <c r="GU129" s="148"/>
      <c r="GV129" s="148"/>
      <c r="GW129" s="148"/>
      <c r="GX129" s="148"/>
      <c r="GY129" s="148"/>
      <c r="GZ129" s="148"/>
      <c r="HA129" s="148"/>
      <c r="HB129" s="148"/>
      <c r="HC129" s="148"/>
      <c r="HD129" s="148"/>
      <c r="HE129" s="148"/>
      <c r="HF129" s="148"/>
      <c r="HG129" s="148"/>
      <c r="HH129" s="148"/>
      <c r="HI129" s="148"/>
      <c r="HJ129" s="148"/>
      <c r="HK129" s="148"/>
      <c r="HL129" s="148"/>
      <c r="HM129" s="148"/>
      <c r="HN129" s="148"/>
      <c r="HO129" s="148"/>
      <c r="HP129" s="148"/>
      <c r="HQ129" s="148"/>
      <c r="HR129" s="148"/>
      <c r="HS129" s="148"/>
      <c r="HT129" s="148"/>
      <c r="HU129" s="148"/>
      <c r="HV129" s="148"/>
      <c r="HW129" s="148"/>
      <c r="HX129" s="148"/>
      <c r="HY129" s="148"/>
      <c r="HZ129" s="148"/>
      <c r="IA129" s="148"/>
      <c r="IB129" s="148"/>
      <c r="IC129" s="148"/>
      <c r="ID129" s="148"/>
      <c r="IE129" s="148"/>
      <c r="IF129" s="148"/>
      <c r="IG129" s="148"/>
      <c r="IH129" s="148"/>
      <c r="II129" s="148"/>
      <c r="IJ129" s="148"/>
      <c r="IK129" s="148"/>
      <c r="IL129" s="148"/>
      <c r="IM129" s="148"/>
      <c r="IN129" s="148"/>
      <c r="IO129" s="148"/>
      <c r="IP129" s="148"/>
      <c r="IQ129" s="148"/>
      <c r="IR129" s="148"/>
      <c r="IS129" s="148"/>
      <c r="IT129" s="148"/>
      <c r="IU129" s="148"/>
      <c r="IV129" s="148"/>
      <c r="IW129" s="148"/>
      <c r="IX129" s="148"/>
      <c r="IY129" s="148"/>
      <c r="IZ129" s="148"/>
      <c r="JA129" s="148"/>
      <c r="JB129" s="148"/>
    </row>
    <row r="130" spans="22:262" s="15" customFormat="1">
      <c r="V130" s="148"/>
      <c r="W130" s="148"/>
      <c r="X130" s="148"/>
      <c r="Y130" s="148"/>
      <c r="Z130" s="148"/>
      <c r="AA130" s="148"/>
      <c r="AB130" s="148"/>
      <c r="AC130" s="148"/>
      <c r="AD130" s="148"/>
      <c r="AE130" s="148"/>
      <c r="AF130" s="148"/>
      <c r="AG130" s="148"/>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c r="BI130" s="148"/>
      <c r="BJ130" s="148"/>
      <c r="BK130" s="148"/>
      <c r="BL130" s="148"/>
      <c r="BM130" s="148"/>
      <c r="BN130" s="148"/>
      <c r="BO130" s="148"/>
      <c r="BP130" s="148"/>
      <c r="BQ130" s="148"/>
      <c r="BR130" s="148"/>
      <c r="BS130" s="148"/>
      <c r="BT130" s="148"/>
      <c r="BU130" s="148"/>
      <c r="BV130" s="148"/>
      <c r="BW130" s="148"/>
      <c r="BX130" s="148"/>
      <c r="BY130" s="148"/>
      <c r="BZ130" s="148"/>
      <c r="CA130" s="148"/>
      <c r="CB130" s="148"/>
      <c r="CC130" s="148"/>
      <c r="CD130" s="148"/>
      <c r="CE130" s="148"/>
      <c r="CF130" s="148"/>
      <c r="CG130" s="148"/>
      <c r="CH130" s="148"/>
      <c r="CI130" s="148"/>
      <c r="CJ130" s="148"/>
      <c r="CK130" s="148"/>
      <c r="CL130" s="148"/>
      <c r="CM130" s="148"/>
      <c r="CN130" s="148"/>
      <c r="CO130" s="148"/>
      <c r="CP130" s="148"/>
      <c r="CQ130" s="148"/>
      <c r="CR130" s="148"/>
      <c r="CS130" s="148"/>
      <c r="CT130" s="148"/>
      <c r="CU130" s="148"/>
      <c r="CV130" s="148"/>
      <c r="CW130" s="148"/>
      <c r="CX130" s="148"/>
      <c r="CY130" s="148"/>
      <c r="CZ130" s="148"/>
      <c r="DA130" s="148"/>
      <c r="DB130" s="148"/>
      <c r="DC130" s="148"/>
      <c r="DD130" s="148"/>
      <c r="DE130" s="148"/>
      <c r="DF130" s="148"/>
      <c r="DG130" s="148"/>
      <c r="DH130" s="148"/>
      <c r="DI130" s="148"/>
      <c r="DJ130" s="148"/>
      <c r="DK130" s="148"/>
      <c r="DL130" s="148"/>
      <c r="DM130" s="148"/>
      <c r="DN130" s="148"/>
      <c r="DO130" s="148"/>
      <c r="DP130" s="148"/>
      <c r="DQ130" s="148"/>
      <c r="DR130" s="148"/>
      <c r="DS130" s="148"/>
      <c r="DT130" s="148"/>
      <c r="DU130" s="148"/>
      <c r="DV130" s="148"/>
      <c r="DW130" s="148"/>
      <c r="DX130" s="148"/>
      <c r="DY130" s="148"/>
      <c r="DZ130" s="148"/>
      <c r="EA130" s="148"/>
      <c r="EB130" s="148"/>
      <c r="EC130" s="148"/>
      <c r="ED130" s="148"/>
      <c r="EE130" s="148"/>
      <c r="EF130" s="148"/>
      <c r="EG130" s="148"/>
      <c r="EH130" s="148"/>
      <c r="EI130" s="148"/>
      <c r="EJ130" s="148"/>
      <c r="EK130" s="148"/>
      <c r="EL130" s="148"/>
      <c r="EM130" s="148"/>
      <c r="EN130" s="148"/>
      <c r="EO130" s="148"/>
      <c r="EP130" s="148"/>
      <c r="EQ130" s="148"/>
      <c r="ER130" s="148"/>
      <c r="ES130" s="148"/>
      <c r="ET130" s="148"/>
      <c r="EU130" s="148"/>
      <c r="EV130" s="148"/>
      <c r="EW130" s="148"/>
      <c r="EX130" s="148"/>
      <c r="EY130" s="148"/>
      <c r="EZ130" s="148"/>
      <c r="FA130" s="148"/>
      <c r="FB130" s="148"/>
      <c r="FC130" s="148"/>
      <c r="FD130" s="148"/>
      <c r="FE130" s="148"/>
      <c r="FF130" s="148"/>
      <c r="FG130" s="148"/>
      <c r="FH130" s="148"/>
      <c r="FI130" s="148"/>
      <c r="FJ130" s="148"/>
      <c r="FK130" s="148"/>
      <c r="FL130" s="148"/>
      <c r="FM130" s="148"/>
      <c r="FN130" s="148"/>
      <c r="FO130" s="148"/>
      <c r="FP130" s="148"/>
      <c r="FQ130" s="148"/>
      <c r="FR130" s="148"/>
      <c r="FS130" s="148"/>
      <c r="FT130" s="148"/>
      <c r="FU130" s="148"/>
      <c r="FV130" s="148"/>
      <c r="FW130" s="148"/>
      <c r="FX130" s="148"/>
      <c r="FY130" s="148"/>
      <c r="FZ130" s="148"/>
      <c r="GA130" s="148"/>
      <c r="GB130" s="148"/>
      <c r="GC130" s="148"/>
      <c r="GD130" s="148"/>
      <c r="GE130" s="148"/>
      <c r="GF130" s="148"/>
      <c r="GG130" s="148"/>
      <c r="GH130" s="148"/>
      <c r="GI130" s="148"/>
      <c r="GJ130" s="148"/>
      <c r="GK130" s="148"/>
      <c r="GL130" s="148"/>
      <c r="GM130" s="148"/>
      <c r="GN130" s="148"/>
      <c r="GO130" s="148"/>
      <c r="GP130" s="148"/>
      <c r="GQ130" s="148"/>
      <c r="GR130" s="148"/>
      <c r="GS130" s="148"/>
      <c r="GT130" s="148"/>
      <c r="GU130" s="148"/>
      <c r="GV130" s="148"/>
      <c r="GW130" s="148"/>
      <c r="GX130" s="148"/>
      <c r="GY130" s="148"/>
      <c r="GZ130" s="148"/>
      <c r="HA130" s="148"/>
      <c r="HB130" s="148"/>
      <c r="HC130" s="148"/>
      <c r="HD130" s="148"/>
      <c r="HE130" s="148"/>
      <c r="HF130" s="148"/>
      <c r="HG130" s="148"/>
      <c r="HH130" s="148"/>
      <c r="HI130" s="148"/>
      <c r="HJ130" s="148"/>
      <c r="HK130" s="148"/>
      <c r="HL130" s="148"/>
      <c r="HM130" s="148"/>
      <c r="HN130" s="148"/>
      <c r="HO130" s="148"/>
      <c r="HP130" s="148"/>
      <c r="HQ130" s="148"/>
      <c r="HR130" s="148"/>
      <c r="HS130" s="148"/>
      <c r="HT130" s="148"/>
      <c r="HU130" s="148"/>
      <c r="HV130" s="148"/>
      <c r="HW130" s="148"/>
      <c r="HX130" s="148"/>
      <c r="HY130" s="148"/>
      <c r="HZ130" s="148"/>
      <c r="IA130" s="148"/>
      <c r="IB130" s="148"/>
      <c r="IC130" s="148"/>
      <c r="ID130" s="148"/>
      <c r="IE130" s="148"/>
      <c r="IF130" s="148"/>
      <c r="IG130" s="148"/>
      <c r="IH130" s="148"/>
      <c r="II130" s="148"/>
      <c r="IJ130" s="148"/>
      <c r="IK130" s="148"/>
      <c r="IL130" s="148"/>
      <c r="IM130" s="148"/>
      <c r="IN130" s="148"/>
      <c r="IO130" s="148"/>
      <c r="IP130" s="148"/>
      <c r="IQ130" s="148"/>
      <c r="IR130" s="148"/>
      <c r="IS130" s="148"/>
      <c r="IT130" s="148"/>
      <c r="IU130" s="148"/>
      <c r="IV130" s="148"/>
      <c r="IW130" s="148"/>
      <c r="IX130" s="148"/>
      <c r="IY130" s="148"/>
      <c r="IZ130" s="148"/>
      <c r="JA130" s="148"/>
      <c r="JB130" s="148"/>
    </row>
    <row r="131" spans="22:262" s="15" customFormat="1">
      <c r="V131" s="148"/>
      <c r="W131" s="148"/>
      <c r="X131" s="148"/>
      <c r="Y131" s="148"/>
      <c r="Z131" s="148"/>
      <c r="AA131" s="148"/>
      <c r="AB131" s="148"/>
      <c r="AC131" s="148"/>
      <c r="AD131" s="148"/>
      <c r="AE131" s="148"/>
      <c r="AF131" s="148"/>
      <c r="AG131" s="148"/>
      <c r="AH131" s="148"/>
      <c r="AI131" s="148"/>
      <c r="AJ131" s="148"/>
      <c r="AK131" s="148"/>
      <c r="AL131" s="148"/>
      <c r="AM131" s="148"/>
      <c r="AN131" s="148"/>
      <c r="AO131" s="148"/>
      <c r="AP131" s="148"/>
      <c r="AQ131" s="148"/>
      <c r="AR131" s="148"/>
      <c r="AS131" s="148"/>
      <c r="AT131" s="148"/>
      <c r="AU131" s="148"/>
      <c r="AV131" s="148"/>
      <c r="AW131" s="148"/>
      <c r="AX131" s="148"/>
      <c r="AY131" s="148"/>
      <c r="AZ131" s="148"/>
      <c r="BA131" s="148"/>
      <c r="BB131" s="148"/>
      <c r="BC131" s="148"/>
      <c r="BD131" s="148"/>
      <c r="BE131" s="148"/>
      <c r="BF131" s="148"/>
      <c r="BG131" s="148"/>
      <c r="BH131" s="148"/>
      <c r="BI131" s="148"/>
      <c r="BJ131" s="148"/>
      <c r="BK131" s="148"/>
      <c r="BL131" s="148"/>
      <c r="BM131" s="148"/>
      <c r="BN131" s="148"/>
      <c r="BO131" s="148"/>
      <c r="BP131" s="148"/>
      <c r="BQ131" s="148"/>
      <c r="BR131" s="148"/>
      <c r="BS131" s="148"/>
      <c r="BT131" s="148"/>
      <c r="BU131" s="148"/>
      <c r="BV131" s="148"/>
      <c r="BW131" s="148"/>
      <c r="BX131" s="148"/>
      <c r="BY131" s="148"/>
      <c r="BZ131" s="148"/>
      <c r="CA131" s="148"/>
      <c r="CB131" s="148"/>
      <c r="CC131" s="148"/>
      <c r="CD131" s="148"/>
      <c r="CE131" s="148"/>
      <c r="CF131" s="148"/>
      <c r="CG131" s="148"/>
      <c r="CH131" s="148"/>
      <c r="CI131" s="148"/>
      <c r="CJ131" s="148"/>
      <c r="CK131" s="148"/>
      <c r="CL131" s="148"/>
      <c r="CM131" s="148"/>
      <c r="CN131" s="148"/>
      <c r="CO131" s="148"/>
      <c r="CP131" s="148"/>
      <c r="CQ131" s="148"/>
      <c r="CR131" s="148"/>
      <c r="CS131" s="148"/>
      <c r="CT131" s="148"/>
      <c r="CU131" s="148"/>
      <c r="CV131" s="148"/>
      <c r="CW131" s="148"/>
      <c r="CX131" s="148"/>
      <c r="CY131" s="148"/>
      <c r="CZ131" s="148"/>
      <c r="DA131" s="148"/>
      <c r="DB131" s="148"/>
      <c r="DC131" s="148"/>
      <c r="DD131" s="148"/>
      <c r="DE131" s="148"/>
      <c r="DF131" s="148"/>
      <c r="DG131" s="148"/>
      <c r="DH131" s="148"/>
      <c r="DI131" s="148"/>
      <c r="DJ131" s="148"/>
      <c r="DK131" s="148"/>
      <c r="DL131" s="148"/>
      <c r="DM131" s="148"/>
      <c r="DN131" s="148"/>
      <c r="DO131" s="148"/>
      <c r="DP131" s="148"/>
      <c r="DQ131" s="148"/>
      <c r="DR131" s="148"/>
      <c r="DS131" s="148"/>
      <c r="DT131" s="148"/>
      <c r="DU131" s="148"/>
      <c r="DV131" s="148"/>
      <c r="DW131" s="148"/>
      <c r="DX131" s="148"/>
      <c r="DY131" s="148"/>
      <c r="DZ131" s="148"/>
      <c r="EA131" s="148"/>
      <c r="EB131" s="148"/>
      <c r="EC131" s="148"/>
      <c r="ED131" s="148"/>
      <c r="EE131" s="148"/>
      <c r="EF131" s="148"/>
      <c r="EG131" s="148"/>
      <c r="EH131" s="148"/>
      <c r="EI131" s="148"/>
      <c r="EJ131" s="148"/>
      <c r="EK131" s="148"/>
      <c r="EL131" s="148"/>
      <c r="EM131" s="148"/>
      <c r="EN131" s="148"/>
      <c r="EO131" s="148"/>
      <c r="EP131" s="148"/>
      <c r="EQ131" s="148"/>
      <c r="ER131" s="148"/>
      <c r="ES131" s="148"/>
      <c r="ET131" s="148"/>
      <c r="EU131" s="148"/>
      <c r="EV131" s="148"/>
      <c r="EW131" s="148"/>
      <c r="EX131" s="148"/>
      <c r="EY131" s="148"/>
      <c r="EZ131" s="148"/>
      <c r="FA131" s="148"/>
      <c r="FB131" s="148"/>
      <c r="FC131" s="148"/>
      <c r="FD131" s="148"/>
      <c r="FE131" s="148"/>
      <c r="FF131" s="148"/>
      <c r="FG131" s="148"/>
      <c r="FH131" s="148"/>
      <c r="FI131" s="148"/>
      <c r="FJ131" s="148"/>
      <c r="FK131" s="148"/>
      <c r="FL131" s="148"/>
      <c r="FM131" s="148"/>
      <c r="FN131" s="148"/>
      <c r="FO131" s="148"/>
      <c r="FP131" s="148"/>
      <c r="FQ131" s="148"/>
      <c r="FR131" s="148"/>
      <c r="FS131" s="148"/>
      <c r="FT131" s="148"/>
      <c r="FU131" s="148"/>
      <c r="FV131" s="148"/>
      <c r="FW131" s="148"/>
      <c r="FX131" s="148"/>
      <c r="FY131" s="148"/>
      <c r="FZ131" s="148"/>
      <c r="GA131" s="148"/>
      <c r="GB131" s="148"/>
      <c r="GC131" s="148"/>
      <c r="GD131" s="148"/>
      <c r="GE131" s="148"/>
      <c r="GF131" s="148"/>
      <c r="GG131" s="148"/>
      <c r="GH131" s="148"/>
      <c r="GI131" s="148"/>
      <c r="GJ131" s="148"/>
      <c r="GK131" s="148"/>
      <c r="GL131" s="148"/>
      <c r="GM131" s="148"/>
      <c r="GN131" s="148"/>
      <c r="GO131" s="148"/>
      <c r="GP131" s="148"/>
      <c r="GQ131" s="148"/>
      <c r="GR131" s="148"/>
      <c r="GS131" s="148"/>
      <c r="GT131" s="148"/>
      <c r="GU131" s="148"/>
      <c r="GV131" s="148"/>
      <c r="GW131" s="148"/>
      <c r="GX131" s="148"/>
      <c r="GY131" s="148"/>
      <c r="GZ131" s="148"/>
      <c r="HA131" s="148"/>
      <c r="HB131" s="148"/>
      <c r="HC131" s="148"/>
      <c r="HD131" s="148"/>
      <c r="HE131" s="148"/>
      <c r="HF131" s="148"/>
      <c r="HG131" s="148"/>
      <c r="HH131" s="148"/>
      <c r="HI131" s="148"/>
      <c r="HJ131" s="148"/>
      <c r="HK131" s="148"/>
      <c r="HL131" s="148"/>
      <c r="HM131" s="148"/>
      <c r="HN131" s="148"/>
      <c r="HO131" s="148"/>
      <c r="HP131" s="148"/>
      <c r="HQ131" s="148"/>
      <c r="HR131" s="148"/>
      <c r="HS131" s="148"/>
      <c r="HT131" s="148"/>
      <c r="HU131" s="148"/>
      <c r="HV131" s="148"/>
      <c r="HW131" s="148"/>
      <c r="HX131" s="148"/>
      <c r="HY131" s="148"/>
      <c r="HZ131" s="148"/>
      <c r="IA131" s="148"/>
      <c r="IB131" s="148"/>
      <c r="IC131" s="148"/>
      <c r="ID131" s="148"/>
      <c r="IE131" s="148"/>
      <c r="IF131" s="148"/>
      <c r="IG131" s="148"/>
      <c r="IH131" s="148"/>
      <c r="II131" s="148"/>
      <c r="IJ131" s="148"/>
      <c r="IK131" s="148"/>
      <c r="IL131" s="148"/>
      <c r="IM131" s="148"/>
      <c r="IN131" s="148"/>
      <c r="IO131" s="148"/>
      <c r="IP131" s="148"/>
      <c r="IQ131" s="148"/>
      <c r="IR131" s="148"/>
      <c r="IS131" s="148"/>
      <c r="IT131" s="148"/>
      <c r="IU131" s="148"/>
      <c r="IV131" s="148"/>
      <c r="IW131" s="148"/>
      <c r="IX131" s="148"/>
      <c r="IY131" s="148"/>
      <c r="IZ131" s="148"/>
      <c r="JA131" s="148"/>
      <c r="JB131" s="148"/>
    </row>
    <row r="132" spans="22:262" s="15" customFormat="1">
      <c r="V132" s="148"/>
      <c r="W132" s="148"/>
      <c r="X132" s="148"/>
      <c r="Y132" s="148"/>
      <c r="Z132" s="148"/>
      <c r="AA132" s="148"/>
      <c r="AB132" s="148"/>
      <c r="AC132" s="148"/>
      <c r="AD132" s="148"/>
      <c r="AE132" s="148"/>
      <c r="AF132" s="148"/>
      <c r="AG132" s="148"/>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c r="BI132" s="148"/>
      <c r="BJ132" s="148"/>
      <c r="BK132" s="148"/>
      <c r="BL132" s="148"/>
      <c r="BM132" s="148"/>
      <c r="BN132" s="148"/>
      <c r="BO132" s="148"/>
      <c r="BP132" s="148"/>
      <c r="BQ132" s="148"/>
      <c r="BR132" s="148"/>
      <c r="BS132" s="148"/>
      <c r="BT132" s="148"/>
      <c r="BU132" s="148"/>
      <c r="BV132" s="148"/>
      <c r="BW132" s="148"/>
      <c r="BX132" s="148"/>
      <c r="BY132" s="148"/>
      <c r="BZ132" s="148"/>
      <c r="CA132" s="148"/>
      <c r="CB132" s="148"/>
      <c r="CC132" s="148"/>
      <c r="CD132" s="148"/>
      <c r="CE132" s="148"/>
      <c r="CF132" s="148"/>
      <c r="CG132" s="148"/>
      <c r="CH132" s="148"/>
      <c r="CI132" s="148"/>
      <c r="CJ132" s="148"/>
      <c r="CK132" s="148"/>
      <c r="CL132" s="148"/>
      <c r="CM132" s="148"/>
      <c r="CN132" s="148"/>
      <c r="CO132" s="148"/>
      <c r="CP132" s="148"/>
      <c r="CQ132" s="148"/>
      <c r="CR132" s="148"/>
      <c r="CS132" s="148"/>
      <c r="CT132" s="148"/>
      <c r="CU132" s="148"/>
      <c r="CV132" s="148"/>
      <c r="CW132" s="148"/>
      <c r="CX132" s="148"/>
      <c r="CY132" s="148"/>
      <c r="CZ132" s="148"/>
      <c r="DA132" s="148"/>
      <c r="DB132" s="148"/>
      <c r="DC132" s="148"/>
      <c r="DD132" s="148"/>
      <c r="DE132" s="148"/>
      <c r="DF132" s="148"/>
      <c r="DG132" s="148"/>
      <c r="DH132" s="148"/>
      <c r="DI132" s="148"/>
      <c r="DJ132" s="148"/>
      <c r="DK132" s="148"/>
      <c r="DL132" s="148"/>
      <c r="DM132" s="148"/>
      <c r="DN132" s="148"/>
      <c r="DO132" s="148"/>
      <c r="DP132" s="148"/>
      <c r="DQ132" s="148"/>
      <c r="DR132" s="148"/>
      <c r="DS132" s="148"/>
      <c r="DT132" s="148"/>
      <c r="DU132" s="148"/>
      <c r="DV132" s="148"/>
      <c r="DW132" s="148"/>
      <c r="DX132" s="148"/>
      <c r="DY132" s="148"/>
      <c r="DZ132" s="148"/>
      <c r="EA132" s="148"/>
      <c r="EB132" s="148"/>
      <c r="EC132" s="148"/>
      <c r="ED132" s="148"/>
      <c r="EE132" s="148"/>
      <c r="EF132" s="148"/>
      <c r="EG132" s="148"/>
      <c r="EH132" s="148"/>
      <c r="EI132" s="148"/>
      <c r="EJ132" s="148"/>
      <c r="EK132" s="148"/>
      <c r="EL132" s="148"/>
      <c r="EM132" s="148"/>
      <c r="EN132" s="148"/>
      <c r="EO132" s="148"/>
      <c r="EP132" s="148"/>
      <c r="EQ132" s="148"/>
      <c r="ER132" s="148"/>
      <c r="ES132" s="148"/>
      <c r="ET132" s="148"/>
      <c r="EU132" s="148"/>
      <c r="EV132" s="148"/>
      <c r="EW132" s="148"/>
      <c r="EX132" s="148"/>
      <c r="EY132" s="148"/>
      <c r="EZ132" s="148"/>
      <c r="FA132" s="148"/>
      <c r="FB132" s="148"/>
      <c r="FC132" s="148"/>
      <c r="FD132" s="148"/>
      <c r="FE132" s="148"/>
      <c r="FF132" s="148"/>
      <c r="FG132" s="148"/>
      <c r="FH132" s="148"/>
      <c r="FI132" s="148"/>
      <c r="FJ132" s="148"/>
      <c r="FK132" s="148"/>
      <c r="FL132" s="148"/>
      <c r="FM132" s="148"/>
      <c r="FN132" s="148"/>
      <c r="FO132" s="148"/>
      <c r="FP132" s="148"/>
      <c r="FQ132" s="148"/>
      <c r="FR132" s="148"/>
      <c r="FS132" s="148"/>
      <c r="FT132" s="148"/>
      <c r="FU132" s="148"/>
      <c r="FV132" s="148"/>
      <c r="FW132" s="148"/>
      <c r="FX132" s="148"/>
      <c r="FY132" s="148"/>
      <c r="FZ132" s="148"/>
      <c r="GA132" s="148"/>
      <c r="GB132" s="148"/>
      <c r="GC132" s="148"/>
      <c r="GD132" s="148"/>
      <c r="GE132" s="148"/>
      <c r="GF132" s="148"/>
      <c r="GG132" s="148"/>
      <c r="GH132" s="148"/>
      <c r="GI132" s="148"/>
      <c r="GJ132" s="148"/>
      <c r="GK132" s="148"/>
      <c r="GL132" s="148"/>
      <c r="GM132" s="148"/>
      <c r="GN132" s="148"/>
      <c r="GO132" s="148"/>
      <c r="GP132" s="148"/>
      <c r="GQ132" s="148"/>
      <c r="GR132" s="148"/>
      <c r="GS132" s="148"/>
      <c r="GT132" s="148"/>
      <c r="GU132" s="148"/>
      <c r="GV132" s="148"/>
      <c r="GW132" s="148"/>
      <c r="GX132" s="148"/>
      <c r="GY132" s="148"/>
      <c r="GZ132" s="148"/>
      <c r="HA132" s="148"/>
      <c r="HB132" s="148"/>
      <c r="HC132" s="148"/>
      <c r="HD132" s="148"/>
      <c r="HE132" s="148"/>
      <c r="HF132" s="148"/>
      <c r="HG132" s="148"/>
      <c r="HH132" s="148"/>
      <c r="HI132" s="148"/>
      <c r="HJ132" s="148"/>
      <c r="HK132" s="148"/>
      <c r="HL132" s="148"/>
      <c r="HM132" s="148"/>
      <c r="HN132" s="148"/>
      <c r="HO132" s="148"/>
      <c r="HP132" s="148"/>
      <c r="HQ132" s="148"/>
      <c r="HR132" s="148"/>
      <c r="HS132" s="148"/>
      <c r="HT132" s="148"/>
      <c r="HU132" s="148"/>
      <c r="HV132" s="148"/>
      <c r="HW132" s="148"/>
      <c r="HX132" s="148"/>
      <c r="HY132" s="148"/>
      <c r="HZ132" s="148"/>
      <c r="IA132" s="148"/>
      <c r="IB132" s="148"/>
      <c r="IC132" s="148"/>
      <c r="ID132" s="148"/>
      <c r="IE132" s="148"/>
      <c r="IF132" s="148"/>
      <c r="IG132" s="148"/>
      <c r="IH132" s="148"/>
      <c r="II132" s="148"/>
      <c r="IJ132" s="148"/>
      <c r="IK132" s="148"/>
      <c r="IL132" s="148"/>
      <c r="IM132" s="148"/>
      <c r="IN132" s="148"/>
      <c r="IO132" s="148"/>
      <c r="IP132" s="148"/>
      <c r="IQ132" s="148"/>
      <c r="IR132" s="148"/>
      <c r="IS132" s="148"/>
      <c r="IT132" s="148"/>
      <c r="IU132" s="148"/>
      <c r="IV132" s="148"/>
      <c r="IW132" s="148"/>
      <c r="IX132" s="148"/>
      <c r="IY132" s="148"/>
      <c r="IZ132" s="148"/>
      <c r="JA132" s="148"/>
      <c r="JB132" s="148"/>
    </row>
    <row r="133" spans="22:262" s="15" customFormat="1">
      <c r="V133" s="148"/>
      <c r="W133" s="148"/>
      <c r="X133" s="148"/>
      <c r="Y133" s="148"/>
      <c r="Z133" s="148"/>
      <c r="AA133" s="148"/>
      <c r="AB133" s="148"/>
      <c r="AC133" s="148"/>
      <c r="AD133" s="148"/>
      <c r="AE133" s="148"/>
      <c r="AF133" s="148"/>
      <c r="AG133" s="148"/>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c r="BI133" s="148"/>
      <c r="BJ133" s="148"/>
      <c r="BK133" s="148"/>
      <c r="BL133" s="148"/>
      <c r="BM133" s="148"/>
      <c r="BN133" s="148"/>
      <c r="BO133" s="148"/>
      <c r="BP133" s="148"/>
      <c r="BQ133" s="148"/>
      <c r="BR133" s="148"/>
      <c r="BS133" s="148"/>
      <c r="BT133" s="148"/>
      <c r="BU133" s="148"/>
      <c r="BV133" s="148"/>
      <c r="BW133" s="148"/>
      <c r="BX133" s="148"/>
      <c r="BY133" s="148"/>
      <c r="BZ133" s="148"/>
      <c r="CA133" s="148"/>
      <c r="CB133" s="148"/>
      <c r="CC133" s="148"/>
      <c r="CD133" s="148"/>
      <c r="CE133" s="148"/>
      <c r="CF133" s="148"/>
      <c r="CG133" s="148"/>
      <c r="CH133" s="148"/>
      <c r="CI133" s="148"/>
      <c r="CJ133" s="148"/>
      <c r="CK133" s="148"/>
      <c r="CL133" s="148"/>
      <c r="CM133" s="148"/>
      <c r="CN133" s="148"/>
      <c r="CO133" s="148"/>
      <c r="CP133" s="148"/>
      <c r="CQ133" s="148"/>
      <c r="CR133" s="148"/>
      <c r="CS133" s="148"/>
      <c r="CT133" s="148"/>
      <c r="CU133" s="148"/>
      <c r="CV133" s="148"/>
      <c r="CW133" s="148"/>
      <c r="CX133" s="148"/>
      <c r="CY133" s="148"/>
      <c r="CZ133" s="148"/>
      <c r="DA133" s="148"/>
      <c r="DB133" s="148"/>
      <c r="DC133" s="148"/>
      <c r="DD133" s="148"/>
      <c r="DE133" s="148"/>
      <c r="DF133" s="148"/>
      <c r="DG133" s="148"/>
      <c r="DH133" s="148"/>
      <c r="DI133" s="148"/>
      <c r="DJ133" s="148"/>
      <c r="DK133" s="148"/>
      <c r="DL133" s="148"/>
      <c r="DM133" s="148"/>
      <c r="DN133" s="148"/>
      <c r="DO133" s="148"/>
      <c r="DP133" s="148"/>
      <c r="DQ133" s="148"/>
      <c r="DR133" s="148"/>
      <c r="DS133" s="148"/>
      <c r="DT133" s="148"/>
      <c r="DU133" s="148"/>
      <c r="DV133" s="148"/>
      <c r="DW133" s="148"/>
      <c r="DX133" s="148"/>
      <c r="DY133" s="148"/>
      <c r="DZ133" s="148"/>
      <c r="EA133" s="148"/>
      <c r="EB133" s="148"/>
      <c r="EC133" s="148"/>
      <c r="ED133" s="148"/>
      <c r="EE133" s="148"/>
      <c r="EF133" s="148"/>
      <c r="EG133" s="148"/>
      <c r="EH133" s="148"/>
      <c r="EI133" s="148"/>
      <c r="EJ133" s="148"/>
      <c r="EK133" s="148"/>
      <c r="EL133" s="148"/>
      <c r="EM133" s="148"/>
      <c r="EN133" s="148"/>
      <c r="EO133" s="148"/>
      <c r="EP133" s="148"/>
      <c r="EQ133" s="148"/>
      <c r="ER133" s="148"/>
      <c r="ES133" s="148"/>
      <c r="ET133" s="148"/>
      <c r="EU133" s="148"/>
      <c r="EV133" s="148"/>
      <c r="EW133" s="148"/>
      <c r="EX133" s="148"/>
      <c r="EY133" s="148"/>
      <c r="EZ133" s="148"/>
      <c r="FA133" s="148"/>
      <c r="FB133" s="148"/>
      <c r="FC133" s="148"/>
      <c r="FD133" s="148"/>
      <c r="FE133" s="148"/>
      <c r="FF133" s="148"/>
      <c r="FG133" s="148"/>
      <c r="FH133" s="148"/>
      <c r="FI133" s="148"/>
      <c r="FJ133" s="148"/>
      <c r="FK133" s="148"/>
      <c r="FL133" s="148"/>
      <c r="FM133" s="148"/>
      <c r="FN133" s="148"/>
      <c r="FO133" s="148"/>
      <c r="FP133" s="148"/>
      <c r="FQ133" s="148"/>
      <c r="FR133" s="148"/>
      <c r="FS133" s="148"/>
      <c r="FT133" s="148"/>
      <c r="FU133" s="148"/>
      <c r="FV133" s="148"/>
      <c r="FW133" s="148"/>
      <c r="FX133" s="148"/>
      <c r="FY133" s="148"/>
      <c r="FZ133" s="148"/>
      <c r="GA133" s="148"/>
      <c r="GB133" s="148"/>
      <c r="GC133" s="148"/>
      <c r="GD133" s="148"/>
      <c r="GE133" s="148"/>
      <c r="GF133" s="148"/>
      <c r="GG133" s="148"/>
      <c r="GH133" s="148"/>
      <c r="GI133" s="148"/>
      <c r="GJ133" s="148"/>
      <c r="GK133" s="148"/>
      <c r="GL133" s="148"/>
      <c r="GM133" s="148"/>
      <c r="GN133" s="148"/>
      <c r="GO133" s="148"/>
      <c r="GP133" s="148"/>
      <c r="GQ133" s="148"/>
      <c r="GR133" s="148"/>
      <c r="GS133" s="148"/>
      <c r="GT133" s="148"/>
      <c r="GU133" s="148"/>
      <c r="GV133" s="148"/>
      <c r="GW133" s="148"/>
      <c r="GX133" s="148"/>
      <c r="GY133" s="148"/>
      <c r="GZ133" s="148"/>
      <c r="HA133" s="148"/>
      <c r="HB133" s="148"/>
      <c r="HC133" s="148"/>
      <c r="HD133" s="148"/>
      <c r="HE133" s="148"/>
      <c r="HF133" s="148"/>
      <c r="HG133" s="148"/>
      <c r="HH133" s="148"/>
      <c r="HI133" s="148"/>
      <c r="HJ133" s="148"/>
      <c r="HK133" s="148"/>
      <c r="HL133" s="148"/>
      <c r="HM133" s="148"/>
      <c r="HN133" s="148"/>
      <c r="HO133" s="148"/>
      <c r="HP133" s="148"/>
      <c r="HQ133" s="148"/>
      <c r="HR133" s="148"/>
      <c r="HS133" s="148"/>
      <c r="HT133" s="148"/>
      <c r="HU133" s="148"/>
      <c r="HV133" s="148"/>
      <c r="HW133" s="148"/>
      <c r="HX133" s="148"/>
      <c r="HY133" s="148"/>
      <c r="HZ133" s="148"/>
      <c r="IA133" s="148"/>
      <c r="IB133" s="148"/>
      <c r="IC133" s="148"/>
      <c r="ID133" s="148"/>
      <c r="IE133" s="148"/>
      <c r="IF133" s="148"/>
      <c r="IG133" s="148"/>
      <c r="IH133" s="148"/>
      <c r="II133" s="148"/>
      <c r="IJ133" s="148"/>
      <c r="IK133" s="148"/>
      <c r="IL133" s="148"/>
      <c r="IM133" s="148"/>
      <c r="IN133" s="148"/>
      <c r="IO133" s="148"/>
      <c r="IP133" s="148"/>
      <c r="IQ133" s="148"/>
      <c r="IR133" s="148"/>
      <c r="IS133" s="148"/>
      <c r="IT133" s="148"/>
      <c r="IU133" s="148"/>
      <c r="IV133" s="148"/>
      <c r="IW133" s="148"/>
      <c r="IX133" s="148"/>
      <c r="IY133" s="148"/>
      <c r="IZ133" s="148"/>
      <c r="JA133" s="148"/>
      <c r="JB133" s="148"/>
    </row>
    <row r="134" spans="22:262" s="15" customFormat="1">
      <c r="V134" s="148"/>
      <c r="W134" s="148"/>
      <c r="X134" s="148"/>
      <c r="Y134" s="148"/>
      <c r="Z134" s="148"/>
      <c r="AA134" s="148"/>
      <c r="AB134" s="148"/>
      <c r="AC134" s="148"/>
      <c r="AD134" s="148"/>
      <c r="AE134" s="148"/>
      <c r="AF134" s="148"/>
      <c r="AG134" s="148"/>
      <c r="AH134" s="148"/>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c r="BI134" s="148"/>
      <c r="BJ134" s="148"/>
      <c r="BK134" s="148"/>
      <c r="BL134" s="148"/>
      <c r="BM134" s="148"/>
      <c r="BN134" s="148"/>
      <c r="BO134" s="148"/>
      <c r="BP134" s="148"/>
      <c r="BQ134" s="148"/>
      <c r="BR134" s="148"/>
      <c r="BS134" s="148"/>
      <c r="BT134" s="148"/>
      <c r="BU134" s="148"/>
      <c r="BV134" s="148"/>
      <c r="BW134" s="148"/>
      <c r="BX134" s="148"/>
      <c r="BY134" s="148"/>
      <c r="BZ134" s="148"/>
      <c r="CA134" s="148"/>
      <c r="CB134" s="148"/>
      <c r="CC134" s="148"/>
      <c r="CD134" s="148"/>
      <c r="CE134" s="148"/>
      <c r="CF134" s="148"/>
      <c r="CG134" s="148"/>
      <c r="CH134" s="148"/>
      <c r="CI134" s="148"/>
      <c r="CJ134" s="148"/>
      <c r="CK134" s="148"/>
      <c r="CL134" s="148"/>
      <c r="CM134" s="148"/>
      <c r="CN134" s="148"/>
      <c r="CO134" s="148"/>
      <c r="CP134" s="148"/>
      <c r="CQ134" s="148"/>
      <c r="CR134" s="148"/>
      <c r="CS134" s="148"/>
      <c r="CT134" s="148"/>
      <c r="CU134" s="148"/>
      <c r="CV134" s="148"/>
      <c r="CW134" s="148"/>
      <c r="CX134" s="148"/>
      <c r="CY134" s="148"/>
      <c r="CZ134" s="148"/>
      <c r="DA134" s="148"/>
      <c r="DB134" s="148"/>
      <c r="DC134" s="148"/>
      <c r="DD134" s="148"/>
      <c r="DE134" s="148"/>
      <c r="DF134" s="148"/>
      <c r="DG134" s="148"/>
      <c r="DH134" s="148"/>
      <c r="DI134" s="148"/>
      <c r="DJ134" s="148"/>
      <c r="DK134" s="148"/>
      <c r="DL134" s="148"/>
      <c r="DM134" s="148"/>
      <c r="DN134" s="148"/>
      <c r="DO134" s="148"/>
      <c r="DP134" s="148"/>
      <c r="DQ134" s="148"/>
      <c r="DR134" s="148"/>
      <c r="DS134" s="148"/>
      <c r="DT134" s="148"/>
      <c r="DU134" s="148"/>
      <c r="DV134" s="148"/>
      <c r="DW134" s="148"/>
      <c r="DX134" s="148"/>
      <c r="DY134" s="148"/>
      <c r="DZ134" s="148"/>
      <c r="EA134" s="148"/>
      <c r="EB134" s="148"/>
      <c r="EC134" s="148"/>
      <c r="ED134" s="148"/>
      <c r="EE134" s="148"/>
      <c r="EF134" s="148"/>
      <c r="EG134" s="148"/>
      <c r="EH134" s="148"/>
      <c r="EI134" s="148"/>
      <c r="EJ134" s="148"/>
      <c r="EK134" s="148"/>
      <c r="EL134" s="148"/>
      <c r="EM134" s="148"/>
      <c r="EN134" s="148"/>
      <c r="EO134" s="148"/>
      <c r="EP134" s="148"/>
      <c r="EQ134" s="148"/>
      <c r="ER134" s="148"/>
      <c r="ES134" s="148"/>
      <c r="ET134" s="148"/>
      <c r="EU134" s="148"/>
      <c r="EV134" s="148"/>
      <c r="EW134" s="148"/>
      <c r="EX134" s="148"/>
      <c r="EY134" s="148"/>
      <c r="EZ134" s="148"/>
      <c r="FA134" s="148"/>
      <c r="FB134" s="148"/>
      <c r="FC134" s="148"/>
      <c r="FD134" s="148"/>
      <c r="FE134" s="148"/>
      <c r="FF134" s="148"/>
      <c r="FG134" s="148"/>
      <c r="FH134" s="148"/>
      <c r="FI134" s="148"/>
      <c r="FJ134" s="148"/>
      <c r="FK134" s="148"/>
      <c r="FL134" s="148"/>
      <c r="FM134" s="148"/>
      <c r="FN134" s="148"/>
      <c r="FO134" s="148"/>
      <c r="FP134" s="148"/>
      <c r="FQ134" s="148"/>
      <c r="FR134" s="148"/>
      <c r="FS134" s="148"/>
      <c r="FT134" s="148"/>
      <c r="FU134" s="148"/>
      <c r="FV134" s="148"/>
      <c r="FW134" s="148"/>
      <c r="FX134" s="148"/>
      <c r="FY134" s="148"/>
      <c r="FZ134" s="148"/>
      <c r="GA134" s="148"/>
      <c r="GB134" s="148"/>
      <c r="GC134" s="148"/>
      <c r="GD134" s="148"/>
      <c r="GE134" s="148"/>
      <c r="GF134" s="148"/>
      <c r="GG134" s="148"/>
      <c r="GH134" s="148"/>
      <c r="GI134" s="148"/>
      <c r="GJ134" s="148"/>
      <c r="GK134" s="148"/>
      <c r="GL134" s="148"/>
      <c r="GM134" s="148"/>
      <c r="GN134" s="148"/>
      <c r="GO134" s="148"/>
      <c r="GP134" s="148"/>
      <c r="GQ134" s="148"/>
      <c r="GR134" s="148"/>
      <c r="GS134" s="148"/>
      <c r="GT134" s="148"/>
      <c r="GU134" s="148"/>
      <c r="GV134" s="148"/>
      <c r="GW134" s="148"/>
      <c r="GX134" s="148"/>
      <c r="GY134" s="148"/>
      <c r="GZ134" s="148"/>
      <c r="HA134" s="148"/>
      <c r="HB134" s="148"/>
      <c r="HC134" s="148"/>
      <c r="HD134" s="148"/>
      <c r="HE134" s="148"/>
      <c r="HF134" s="148"/>
      <c r="HG134" s="148"/>
      <c r="HH134" s="148"/>
      <c r="HI134" s="148"/>
      <c r="HJ134" s="148"/>
      <c r="HK134" s="148"/>
      <c r="HL134" s="148"/>
      <c r="HM134" s="148"/>
      <c r="HN134" s="148"/>
      <c r="HO134" s="148"/>
      <c r="HP134" s="148"/>
      <c r="HQ134" s="148"/>
      <c r="HR134" s="148"/>
      <c r="HS134" s="148"/>
      <c r="HT134" s="148"/>
      <c r="HU134" s="148"/>
      <c r="HV134" s="148"/>
      <c r="HW134" s="148"/>
      <c r="HX134" s="148"/>
      <c r="HY134" s="148"/>
      <c r="HZ134" s="148"/>
      <c r="IA134" s="148"/>
      <c r="IB134" s="148"/>
      <c r="IC134" s="148"/>
      <c r="ID134" s="148"/>
      <c r="IE134" s="148"/>
      <c r="IF134" s="148"/>
      <c r="IG134" s="148"/>
      <c r="IH134" s="148"/>
      <c r="II134" s="148"/>
      <c r="IJ134" s="148"/>
      <c r="IK134" s="148"/>
      <c r="IL134" s="148"/>
      <c r="IM134" s="148"/>
      <c r="IN134" s="148"/>
      <c r="IO134" s="148"/>
      <c r="IP134" s="148"/>
      <c r="IQ134" s="148"/>
      <c r="IR134" s="148"/>
      <c r="IS134" s="148"/>
      <c r="IT134" s="148"/>
      <c r="IU134" s="148"/>
      <c r="IV134" s="148"/>
      <c r="IW134" s="148"/>
      <c r="IX134" s="148"/>
      <c r="IY134" s="148"/>
      <c r="IZ134" s="148"/>
      <c r="JA134" s="148"/>
      <c r="JB134" s="148"/>
    </row>
    <row r="135" spans="22:262" s="15" customFormat="1">
      <c r="V135" s="148"/>
      <c r="W135" s="148"/>
      <c r="X135" s="148"/>
      <c r="Y135" s="148"/>
      <c r="Z135" s="148"/>
      <c r="AA135" s="148"/>
      <c r="AB135" s="148"/>
      <c r="AC135" s="148"/>
      <c r="AD135" s="148"/>
      <c r="AE135" s="148"/>
      <c r="AF135" s="148"/>
      <c r="AG135" s="148"/>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c r="BI135" s="148"/>
      <c r="BJ135" s="148"/>
      <c r="BK135" s="148"/>
      <c r="BL135" s="148"/>
      <c r="BM135" s="148"/>
      <c r="BN135" s="148"/>
      <c r="BO135" s="148"/>
      <c r="BP135" s="148"/>
      <c r="BQ135" s="148"/>
      <c r="BR135" s="148"/>
      <c r="BS135" s="148"/>
      <c r="BT135" s="148"/>
      <c r="BU135" s="148"/>
      <c r="BV135" s="148"/>
      <c r="BW135" s="148"/>
      <c r="BX135" s="148"/>
      <c r="BY135" s="148"/>
      <c r="BZ135" s="148"/>
      <c r="CA135" s="148"/>
      <c r="CB135" s="148"/>
      <c r="CC135" s="148"/>
      <c r="CD135" s="148"/>
      <c r="CE135" s="148"/>
      <c r="CF135" s="148"/>
      <c r="CG135" s="148"/>
      <c r="CH135" s="148"/>
      <c r="CI135" s="148"/>
      <c r="CJ135" s="148"/>
      <c r="CK135" s="148"/>
      <c r="CL135" s="148"/>
      <c r="CM135" s="148"/>
      <c r="CN135" s="148"/>
      <c r="CO135" s="148"/>
      <c r="CP135" s="148"/>
      <c r="CQ135" s="148"/>
      <c r="CR135" s="148"/>
      <c r="CS135" s="148"/>
      <c r="CT135" s="148"/>
      <c r="CU135" s="148"/>
      <c r="CV135" s="148"/>
      <c r="CW135" s="148"/>
      <c r="CX135" s="148"/>
      <c r="CY135" s="148"/>
      <c r="CZ135" s="148"/>
      <c r="DA135" s="148"/>
      <c r="DB135" s="148"/>
      <c r="DC135" s="148"/>
      <c r="DD135" s="148"/>
      <c r="DE135" s="148"/>
      <c r="DF135" s="148"/>
      <c r="DG135" s="148"/>
      <c r="DH135" s="148"/>
      <c r="DI135" s="148"/>
      <c r="DJ135" s="148"/>
      <c r="DK135" s="148"/>
      <c r="DL135" s="148"/>
      <c r="DM135" s="148"/>
      <c r="DN135" s="148"/>
      <c r="DO135" s="148"/>
      <c r="DP135" s="148"/>
      <c r="DQ135" s="148"/>
      <c r="DR135" s="148"/>
      <c r="DS135" s="148"/>
      <c r="DT135" s="148"/>
      <c r="DU135" s="148"/>
      <c r="DV135" s="148"/>
      <c r="DW135" s="148"/>
      <c r="DX135" s="148"/>
      <c r="DY135" s="148"/>
      <c r="DZ135" s="148"/>
      <c r="EA135" s="148"/>
      <c r="EB135" s="148"/>
      <c r="EC135" s="148"/>
      <c r="ED135" s="148"/>
      <c r="EE135" s="148"/>
      <c r="EF135" s="148"/>
      <c r="EG135" s="148"/>
      <c r="EH135" s="148"/>
      <c r="EI135" s="148"/>
      <c r="EJ135" s="148"/>
      <c r="EK135" s="148"/>
      <c r="EL135" s="148"/>
      <c r="EM135" s="148"/>
      <c r="EN135" s="148"/>
      <c r="EO135" s="148"/>
      <c r="EP135" s="148"/>
      <c r="EQ135" s="148"/>
      <c r="ER135" s="148"/>
      <c r="ES135" s="148"/>
      <c r="ET135" s="148"/>
      <c r="EU135" s="148"/>
      <c r="EV135" s="148"/>
      <c r="EW135" s="148"/>
      <c r="EX135" s="148"/>
      <c r="EY135" s="148"/>
      <c r="EZ135" s="148"/>
      <c r="FA135" s="148"/>
      <c r="FB135" s="148"/>
      <c r="FC135" s="148"/>
      <c r="FD135" s="148"/>
      <c r="FE135" s="148"/>
      <c r="FF135" s="148"/>
      <c r="FG135" s="148"/>
      <c r="FH135" s="148"/>
      <c r="FI135" s="148"/>
      <c r="FJ135" s="148"/>
      <c r="FK135" s="148"/>
      <c r="FL135" s="148"/>
      <c r="FM135" s="148"/>
      <c r="FN135" s="148"/>
      <c r="FO135" s="148"/>
      <c r="FP135" s="148"/>
      <c r="FQ135" s="148"/>
      <c r="FR135" s="148"/>
      <c r="FS135" s="148"/>
      <c r="FT135" s="148"/>
      <c r="FU135" s="148"/>
      <c r="FV135" s="148"/>
      <c r="FW135" s="148"/>
      <c r="FX135" s="148"/>
      <c r="FY135" s="148"/>
      <c r="FZ135" s="148"/>
      <c r="GA135" s="148"/>
      <c r="GB135" s="148"/>
      <c r="GC135" s="148"/>
      <c r="GD135" s="148"/>
      <c r="GE135" s="148"/>
      <c r="GF135" s="148"/>
      <c r="GG135" s="148"/>
      <c r="GH135" s="148"/>
      <c r="GI135" s="148"/>
      <c r="GJ135" s="148"/>
      <c r="GK135" s="148"/>
      <c r="GL135" s="148"/>
      <c r="GM135" s="148"/>
      <c r="GN135" s="148"/>
      <c r="GO135" s="148"/>
      <c r="GP135" s="148"/>
      <c r="GQ135" s="148"/>
      <c r="GR135" s="148"/>
      <c r="GS135" s="148"/>
      <c r="GT135" s="148"/>
      <c r="GU135" s="148"/>
      <c r="GV135" s="148"/>
      <c r="GW135" s="148"/>
      <c r="GX135" s="148"/>
      <c r="GY135" s="148"/>
      <c r="GZ135" s="148"/>
      <c r="HA135" s="148"/>
      <c r="HB135" s="148"/>
      <c r="HC135" s="148"/>
      <c r="HD135" s="148"/>
      <c r="HE135" s="148"/>
      <c r="HF135" s="148"/>
      <c r="HG135" s="148"/>
      <c r="HH135" s="148"/>
      <c r="HI135" s="148"/>
      <c r="HJ135" s="148"/>
      <c r="HK135" s="148"/>
      <c r="HL135" s="148"/>
      <c r="HM135" s="148"/>
      <c r="HN135" s="148"/>
      <c r="HO135" s="148"/>
      <c r="HP135" s="148"/>
      <c r="HQ135" s="148"/>
      <c r="HR135" s="148"/>
      <c r="HS135" s="148"/>
      <c r="HT135" s="148"/>
      <c r="HU135" s="148"/>
      <c r="HV135" s="148"/>
      <c r="HW135" s="148"/>
      <c r="HX135" s="148"/>
      <c r="HY135" s="148"/>
      <c r="HZ135" s="148"/>
      <c r="IA135" s="148"/>
      <c r="IB135" s="148"/>
      <c r="IC135" s="148"/>
      <c r="ID135" s="148"/>
      <c r="IE135" s="148"/>
      <c r="IF135" s="148"/>
      <c r="IG135" s="148"/>
      <c r="IH135" s="148"/>
      <c r="II135" s="148"/>
      <c r="IJ135" s="148"/>
      <c r="IK135" s="148"/>
      <c r="IL135" s="148"/>
      <c r="IM135" s="148"/>
      <c r="IN135" s="148"/>
      <c r="IO135" s="148"/>
      <c r="IP135" s="148"/>
      <c r="IQ135" s="148"/>
      <c r="IR135" s="148"/>
      <c r="IS135" s="148"/>
      <c r="IT135" s="148"/>
      <c r="IU135" s="148"/>
      <c r="IV135" s="148"/>
      <c r="IW135" s="148"/>
      <c r="IX135" s="148"/>
      <c r="IY135" s="148"/>
      <c r="IZ135" s="148"/>
      <c r="JA135" s="148"/>
      <c r="JB135" s="148"/>
    </row>
    <row r="136" spans="22:262" s="15" customFormat="1">
      <c r="V136" s="148"/>
      <c r="W136" s="148"/>
      <c r="X136" s="148"/>
      <c r="Y136" s="148"/>
      <c r="Z136" s="148"/>
      <c r="AA136" s="148"/>
      <c r="AB136" s="148"/>
      <c r="AC136" s="148"/>
      <c r="AD136" s="148"/>
      <c r="AE136" s="148"/>
      <c r="AF136" s="148"/>
      <c r="AG136" s="148"/>
      <c r="AH136" s="148"/>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c r="BI136" s="148"/>
      <c r="BJ136" s="148"/>
      <c r="BK136" s="148"/>
      <c r="BL136" s="148"/>
      <c r="BM136" s="148"/>
      <c r="BN136" s="148"/>
      <c r="BO136" s="148"/>
      <c r="BP136" s="148"/>
      <c r="BQ136" s="148"/>
      <c r="BR136" s="148"/>
      <c r="BS136" s="148"/>
      <c r="BT136" s="148"/>
      <c r="BU136" s="148"/>
      <c r="BV136" s="148"/>
      <c r="BW136" s="148"/>
      <c r="BX136" s="148"/>
      <c r="BY136" s="148"/>
      <c r="BZ136" s="148"/>
      <c r="CA136" s="148"/>
      <c r="CB136" s="148"/>
      <c r="CC136" s="148"/>
      <c r="CD136" s="148"/>
      <c r="CE136" s="148"/>
      <c r="CF136" s="148"/>
      <c r="CG136" s="148"/>
      <c r="CH136" s="148"/>
      <c r="CI136" s="148"/>
      <c r="CJ136" s="148"/>
      <c r="CK136" s="148"/>
      <c r="CL136" s="148"/>
      <c r="CM136" s="148"/>
      <c r="CN136" s="148"/>
      <c r="CO136" s="148"/>
      <c r="CP136" s="148"/>
      <c r="CQ136" s="148"/>
      <c r="CR136" s="148"/>
      <c r="CS136" s="148"/>
      <c r="CT136" s="148"/>
      <c r="CU136" s="148"/>
      <c r="CV136" s="148"/>
      <c r="CW136" s="148"/>
      <c r="CX136" s="148"/>
      <c r="CY136" s="148"/>
      <c r="CZ136" s="148"/>
      <c r="DA136" s="148"/>
      <c r="DB136" s="148"/>
      <c r="DC136" s="148"/>
      <c r="DD136" s="148"/>
      <c r="DE136" s="148"/>
      <c r="DF136" s="148"/>
      <c r="DG136" s="148"/>
      <c r="DH136" s="148"/>
      <c r="DI136" s="148"/>
      <c r="DJ136" s="148"/>
      <c r="DK136" s="148"/>
      <c r="DL136" s="148"/>
      <c r="DM136" s="148"/>
      <c r="DN136" s="148"/>
      <c r="DO136" s="148"/>
      <c r="DP136" s="148"/>
      <c r="DQ136" s="148"/>
      <c r="DR136" s="148"/>
      <c r="DS136" s="148"/>
      <c r="DT136" s="148"/>
      <c r="DU136" s="148"/>
      <c r="DV136" s="148"/>
      <c r="DW136" s="148"/>
      <c r="DX136" s="148"/>
      <c r="DY136" s="148"/>
      <c r="DZ136" s="148"/>
      <c r="EA136" s="148"/>
      <c r="EB136" s="148"/>
      <c r="EC136" s="148"/>
      <c r="ED136" s="148"/>
      <c r="EE136" s="148"/>
      <c r="EF136" s="148"/>
      <c r="EG136" s="148"/>
      <c r="EH136" s="148"/>
      <c r="EI136" s="148"/>
      <c r="EJ136" s="148"/>
      <c r="EK136" s="148"/>
      <c r="EL136" s="148"/>
      <c r="EM136" s="148"/>
      <c r="EN136" s="148"/>
      <c r="EO136" s="148"/>
      <c r="EP136" s="148"/>
      <c r="EQ136" s="148"/>
      <c r="ER136" s="148"/>
      <c r="ES136" s="148"/>
      <c r="ET136" s="148"/>
      <c r="EU136" s="148"/>
      <c r="EV136" s="148"/>
      <c r="EW136" s="148"/>
      <c r="EX136" s="148"/>
      <c r="EY136" s="148"/>
      <c r="EZ136" s="148"/>
      <c r="FA136" s="148"/>
      <c r="FB136" s="148"/>
      <c r="FC136" s="148"/>
      <c r="FD136" s="148"/>
      <c r="FE136" s="148"/>
      <c r="FF136" s="148"/>
      <c r="FG136" s="148"/>
      <c r="FH136" s="148"/>
      <c r="FI136" s="148"/>
      <c r="FJ136" s="148"/>
      <c r="FK136" s="148"/>
      <c r="FL136" s="148"/>
      <c r="FM136" s="148"/>
      <c r="FN136" s="148"/>
      <c r="FO136" s="148"/>
      <c r="FP136" s="148"/>
      <c r="FQ136" s="148"/>
      <c r="FR136" s="148"/>
      <c r="FS136" s="148"/>
      <c r="FT136" s="148"/>
      <c r="FU136" s="148"/>
      <c r="FV136" s="148"/>
      <c r="FW136" s="148"/>
      <c r="FX136" s="148"/>
      <c r="FY136" s="148"/>
      <c r="FZ136" s="148"/>
      <c r="GA136" s="148"/>
      <c r="GB136" s="148"/>
      <c r="GC136" s="148"/>
      <c r="GD136" s="148"/>
      <c r="GE136" s="148"/>
      <c r="GF136" s="148"/>
      <c r="GG136" s="148"/>
      <c r="GH136" s="148"/>
      <c r="GI136" s="148"/>
      <c r="GJ136" s="148"/>
      <c r="GK136" s="148"/>
      <c r="GL136" s="148"/>
      <c r="GM136" s="148"/>
      <c r="GN136" s="148"/>
      <c r="GO136" s="148"/>
      <c r="GP136" s="148"/>
      <c r="GQ136" s="148"/>
      <c r="GR136" s="148"/>
      <c r="GS136" s="148"/>
      <c r="GT136" s="148"/>
      <c r="GU136" s="148"/>
      <c r="GV136" s="148"/>
      <c r="GW136" s="148"/>
      <c r="GX136" s="148"/>
      <c r="GY136" s="148"/>
      <c r="GZ136" s="148"/>
      <c r="HA136" s="148"/>
      <c r="HB136" s="148"/>
      <c r="HC136" s="148"/>
      <c r="HD136" s="148"/>
      <c r="HE136" s="148"/>
      <c r="HF136" s="148"/>
      <c r="HG136" s="148"/>
      <c r="HH136" s="148"/>
      <c r="HI136" s="148"/>
      <c r="HJ136" s="148"/>
      <c r="HK136" s="148"/>
      <c r="HL136" s="148"/>
      <c r="HM136" s="148"/>
      <c r="HN136" s="148"/>
      <c r="HO136" s="148"/>
      <c r="HP136" s="148"/>
      <c r="HQ136" s="148"/>
      <c r="HR136" s="148"/>
      <c r="HS136" s="148"/>
      <c r="HT136" s="148"/>
      <c r="HU136" s="148"/>
      <c r="HV136" s="148"/>
      <c r="HW136" s="148"/>
      <c r="HX136" s="148"/>
      <c r="HY136" s="148"/>
      <c r="HZ136" s="148"/>
      <c r="IA136" s="148"/>
      <c r="IB136" s="148"/>
      <c r="IC136" s="148"/>
      <c r="ID136" s="148"/>
      <c r="IE136" s="148"/>
      <c r="IF136" s="148"/>
      <c r="IG136" s="148"/>
      <c r="IH136" s="148"/>
      <c r="II136" s="148"/>
      <c r="IJ136" s="148"/>
      <c r="IK136" s="148"/>
      <c r="IL136" s="148"/>
      <c r="IM136" s="148"/>
      <c r="IN136" s="148"/>
      <c r="IO136" s="148"/>
      <c r="IP136" s="148"/>
      <c r="IQ136" s="148"/>
      <c r="IR136" s="148"/>
      <c r="IS136" s="148"/>
      <c r="IT136" s="148"/>
      <c r="IU136" s="148"/>
      <c r="IV136" s="148"/>
      <c r="IW136" s="148"/>
      <c r="IX136" s="148"/>
      <c r="IY136" s="148"/>
      <c r="IZ136" s="148"/>
      <c r="JA136" s="148"/>
      <c r="JB136" s="148"/>
    </row>
    <row r="137" spans="22:262" s="15" customFormat="1">
      <c r="V137" s="148"/>
      <c r="W137" s="148"/>
      <c r="X137" s="148"/>
      <c r="Y137" s="148"/>
      <c r="Z137" s="148"/>
      <c r="AA137" s="148"/>
      <c r="AB137" s="148"/>
      <c r="AC137" s="148"/>
      <c r="AD137" s="148"/>
      <c r="AE137" s="148"/>
      <c r="AF137" s="148"/>
      <c r="AG137" s="148"/>
      <c r="AH137" s="148"/>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c r="BI137" s="148"/>
      <c r="BJ137" s="148"/>
      <c r="BK137" s="148"/>
      <c r="BL137" s="148"/>
      <c r="BM137" s="148"/>
      <c r="BN137" s="148"/>
      <c r="BO137" s="148"/>
      <c r="BP137" s="148"/>
      <c r="BQ137" s="148"/>
      <c r="BR137" s="148"/>
      <c r="BS137" s="148"/>
      <c r="BT137" s="148"/>
      <c r="BU137" s="148"/>
      <c r="BV137" s="148"/>
      <c r="BW137" s="148"/>
      <c r="BX137" s="148"/>
      <c r="BY137" s="148"/>
      <c r="BZ137" s="148"/>
      <c r="CA137" s="148"/>
      <c r="CB137" s="148"/>
      <c r="CC137" s="148"/>
      <c r="CD137" s="148"/>
      <c r="CE137" s="148"/>
      <c r="CF137" s="148"/>
      <c r="CG137" s="148"/>
      <c r="CH137" s="148"/>
      <c r="CI137" s="148"/>
      <c r="CJ137" s="148"/>
      <c r="CK137" s="148"/>
      <c r="CL137" s="148"/>
      <c r="CM137" s="148"/>
      <c r="CN137" s="148"/>
      <c r="CO137" s="148"/>
      <c r="CP137" s="148"/>
      <c r="CQ137" s="148"/>
      <c r="CR137" s="148"/>
      <c r="CS137" s="148"/>
      <c r="CT137" s="148"/>
      <c r="CU137" s="148"/>
      <c r="CV137" s="148"/>
      <c r="CW137" s="148"/>
      <c r="CX137" s="148"/>
      <c r="CY137" s="148"/>
      <c r="CZ137" s="148"/>
      <c r="DA137" s="148"/>
      <c r="DB137" s="148"/>
      <c r="DC137" s="148"/>
      <c r="DD137" s="148"/>
      <c r="DE137" s="148"/>
      <c r="DF137" s="148"/>
      <c r="DG137" s="148"/>
      <c r="DH137" s="148"/>
      <c r="DI137" s="148"/>
      <c r="DJ137" s="148"/>
      <c r="DK137" s="148"/>
      <c r="DL137" s="148"/>
      <c r="DM137" s="148"/>
      <c r="DN137" s="148"/>
      <c r="DO137" s="148"/>
      <c r="DP137" s="148"/>
      <c r="DQ137" s="148"/>
      <c r="DR137" s="148"/>
      <c r="DS137" s="148"/>
      <c r="DT137" s="148"/>
      <c r="DU137" s="148"/>
      <c r="DV137" s="148"/>
      <c r="DW137" s="148"/>
      <c r="DX137" s="148"/>
      <c r="DY137" s="148"/>
      <c r="DZ137" s="148"/>
      <c r="EA137" s="148"/>
      <c r="EB137" s="148"/>
      <c r="EC137" s="148"/>
      <c r="ED137" s="148"/>
      <c r="EE137" s="148"/>
      <c r="EF137" s="148"/>
      <c r="EG137" s="148"/>
      <c r="EH137" s="148"/>
      <c r="EI137" s="148"/>
      <c r="EJ137" s="148"/>
      <c r="EK137" s="148"/>
      <c r="EL137" s="148"/>
      <c r="EM137" s="148"/>
      <c r="EN137" s="148"/>
      <c r="EO137" s="148"/>
      <c r="EP137" s="148"/>
      <c r="EQ137" s="148"/>
      <c r="ER137" s="148"/>
      <c r="ES137" s="148"/>
      <c r="ET137" s="148"/>
      <c r="EU137" s="148"/>
      <c r="EV137" s="148"/>
      <c r="EW137" s="148"/>
      <c r="EX137" s="148"/>
      <c r="EY137" s="148"/>
      <c r="EZ137" s="148"/>
      <c r="FA137" s="148"/>
      <c r="FB137" s="148"/>
      <c r="FC137" s="148"/>
      <c r="FD137" s="148"/>
      <c r="FE137" s="148"/>
      <c r="FF137" s="148"/>
      <c r="FG137" s="148"/>
      <c r="FH137" s="148"/>
      <c r="FI137" s="148"/>
      <c r="FJ137" s="148"/>
      <c r="FK137" s="148"/>
      <c r="FL137" s="148"/>
      <c r="FM137" s="148"/>
      <c r="FN137" s="148"/>
      <c r="FO137" s="148"/>
      <c r="FP137" s="148"/>
      <c r="FQ137" s="148"/>
      <c r="FR137" s="148"/>
      <c r="FS137" s="148"/>
      <c r="FT137" s="148"/>
      <c r="FU137" s="148"/>
      <c r="FV137" s="148"/>
      <c r="FW137" s="148"/>
      <c r="FX137" s="148"/>
      <c r="FY137" s="148"/>
      <c r="FZ137" s="148"/>
      <c r="GA137" s="148"/>
      <c r="GB137" s="148"/>
      <c r="GC137" s="148"/>
      <c r="GD137" s="148"/>
      <c r="GE137" s="148"/>
      <c r="GF137" s="148"/>
      <c r="GG137" s="148"/>
      <c r="GH137" s="148"/>
      <c r="GI137" s="148"/>
      <c r="GJ137" s="148"/>
      <c r="GK137" s="148"/>
      <c r="GL137" s="148"/>
      <c r="GM137" s="148"/>
      <c r="GN137" s="148"/>
      <c r="GO137" s="148"/>
      <c r="GP137" s="148"/>
      <c r="GQ137" s="148"/>
      <c r="GR137" s="148"/>
      <c r="GS137" s="148"/>
      <c r="GT137" s="148"/>
      <c r="GU137" s="148"/>
      <c r="GV137" s="148"/>
      <c r="GW137" s="148"/>
      <c r="GX137" s="148"/>
      <c r="GY137" s="148"/>
      <c r="GZ137" s="148"/>
      <c r="HA137" s="148"/>
      <c r="HB137" s="148"/>
      <c r="HC137" s="148"/>
      <c r="HD137" s="148"/>
      <c r="HE137" s="148"/>
      <c r="HF137" s="148"/>
      <c r="HG137" s="148"/>
      <c r="HH137" s="148"/>
      <c r="HI137" s="148"/>
      <c r="HJ137" s="148"/>
      <c r="HK137" s="148"/>
      <c r="HL137" s="148"/>
      <c r="HM137" s="148"/>
      <c r="HN137" s="148"/>
      <c r="HO137" s="148"/>
      <c r="HP137" s="148"/>
      <c r="HQ137" s="148"/>
      <c r="HR137" s="148"/>
      <c r="HS137" s="148"/>
      <c r="HT137" s="148"/>
      <c r="HU137" s="148"/>
      <c r="HV137" s="148"/>
      <c r="HW137" s="148"/>
      <c r="HX137" s="148"/>
      <c r="HY137" s="148"/>
      <c r="HZ137" s="148"/>
      <c r="IA137" s="148"/>
      <c r="IB137" s="148"/>
      <c r="IC137" s="148"/>
      <c r="ID137" s="148"/>
      <c r="IE137" s="148"/>
      <c r="IF137" s="148"/>
      <c r="IG137" s="148"/>
      <c r="IH137" s="148"/>
      <c r="II137" s="148"/>
      <c r="IJ137" s="148"/>
      <c r="IK137" s="148"/>
      <c r="IL137" s="148"/>
      <c r="IM137" s="148"/>
      <c r="IN137" s="148"/>
      <c r="IO137" s="148"/>
      <c r="IP137" s="148"/>
      <c r="IQ137" s="148"/>
      <c r="IR137" s="148"/>
      <c r="IS137" s="148"/>
      <c r="IT137" s="148"/>
      <c r="IU137" s="148"/>
      <c r="IV137" s="148"/>
      <c r="IW137" s="148"/>
      <c r="IX137" s="148"/>
      <c r="IY137" s="148"/>
      <c r="IZ137" s="148"/>
      <c r="JA137" s="148"/>
      <c r="JB137" s="148"/>
    </row>
    <row r="138" spans="22:262" s="15" customFormat="1">
      <c r="V138" s="148"/>
      <c r="W138" s="148"/>
      <c r="X138" s="148"/>
      <c r="Y138" s="148"/>
      <c r="Z138" s="148"/>
      <c r="AA138" s="148"/>
      <c r="AB138" s="148"/>
      <c r="AC138" s="148"/>
      <c r="AD138" s="148"/>
      <c r="AE138" s="148"/>
      <c r="AF138" s="148"/>
      <c r="AG138" s="148"/>
      <c r="AH138" s="148"/>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c r="BI138" s="148"/>
      <c r="BJ138" s="148"/>
      <c r="BK138" s="148"/>
      <c r="BL138" s="148"/>
      <c r="BM138" s="148"/>
      <c r="BN138" s="148"/>
      <c r="BO138" s="148"/>
      <c r="BP138" s="148"/>
      <c r="BQ138" s="148"/>
      <c r="BR138" s="148"/>
      <c r="BS138" s="148"/>
      <c r="BT138" s="148"/>
      <c r="BU138" s="148"/>
      <c r="BV138" s="148"/>
      <c r="BW138" s="148"/>
      <c r="BX138" s="148"/>
      <c r="BY138" s="148"/>
      <c r="BZ138" s="148"/>
      <c r="CA138" s="148"/>
      <c r="CB138" s="148"/>
      <c r="CC138" s="148"/>
      <c r="CD138" s="148"/>
      <c r="CE138" s="148"/>
      <c r="CF138" s="148"/>
      <c r="CG138" s="148"/>
      <c r="CH138" s="148"/>
      <c r="CI138" s="148"/>
      <c r="CJ138" s="148"/>
      <c r="CK138" s="148"/>
      <c r="CL138" s="148"/>
      <c r="CM138" s="148"/>
      <c r="CN138" s="148"/>
      <c r="CO138" s="148"/>
      <c r="CP138" s="148"/>
      <c r="CQ138" s="148"/>
      <c r="CR138" s="148"/>
      <c r="CS138" s="148"/>
      <c r="CT138" s="148"/>
      <c r="CU138" s="148"/>
      <c r="CV138" s="148"/>
      <c r="CW138" s="148"/>
      <c r="CX138" s="148"/>
      <c r="CY138" s="148"/>
      <c r="CZ138" s="148"/>
      <c r="DA138" s="148"/>
      <c r="DB138" s="148"/>
      <c r="DC138" s="148"/>
      <c r="DD138" s="148"/>
      <c r="DE138" s="148"/>
      <c r="DF138" s="148"/>
      <c r="DG138" s="148"/>
      <c r="DH138" s="148"/>
      <c r="DI138" s="148"/>
      <c r="DJ138" s="148"/>
      <c r="DK138" s="148"/>
      <c r="DL138" s="148"/>
      <c r="DM138" s="148"/>
      <c r="DN138" s="148"/>
      <c r="DO138" s="148"/>
      <c r="DP138" s="148"/>
      <c r="DQ138" s="148"/>
      <c r="DR138" s="148"/>
      <c r="DS138" s="148"/>
      <c r="DT138" s="148"/>
      <c r="DU138" s="148"/>
      <c r="DV138" s="148"/>
      <c r="DW138" s="148"/>
      <c r="DX138" s="148"/>
      <c r="DY138" s="148"/>
      <c r="DZ138" s="148"/>
      <c r="EA138" s="148"/>
      <c r="EB138" s="148"/>
      <c r="EC138" s="148"/>
      <c r="ED138" s="148"/>
      <c r="EE138" s="148"/>
      <c r="EF138" s="148"/>
      <c r="EG138" s="148"/>
      <c r="EH138" s="148"/>
      <c r="EI138" s="148"/>
      <c r="EJ138" s="148"/>
      <c r="EK138" s="148"/>
      <c r="EL138" s="148"/>
      <c r="EM138" s="148"/>
      <c r="EN138" s="148"/>
      <c r="EO138" s="148"/>
      <c r="EP138" s="148"/>
      <c r="EQ138" s="148"/>
      <c r="ER138" s="148"/>
      <c r="ES138" s="148"/>
      <c r="ET138" s="148"/>
      <c r="EU138" s="148"/>
      <c r="EV138" s="148"/>
      <c r="EW138" s="148"/>
      <c r="EX138" s="148"/>
      <c r="EY138" s="148"/>
      <c r="EZ138" s="148"/>
      <c r="FA138" s="148"/>
      <c r="FB138" s="148"/>
      <c r="FC138" s="148"/>
      <c r="FD138" s="148"/>
      <c r="FE138" s="148"/>
      <c r="FF138" s="148"/>
      <c r="FG138" s="148"/>
      <c r="FH138" s="148"/>
      <c r="FI138" s="148"/>
      <c r="FJ138" s="148"/>
      <c r="FK138" s="148"/>
      <c r="FL138" s="148"/>
      <c r="FM138" s="148"/>
      <c r="FN138" s="148"/>
      <c r="FO138" s="148"/>
      <c r="FP138" s="148"/>
      <c r="FQ138" s="148"/>
      <c r="FR138" s="148"/>
      <c r="FS138" s="148"/>
      <c r="FT138" s="148"/>
      <c r="FU138" s="148"/>
      <c r="FV138" s="148"/>
      <c r="FW138" s="148"/>
      <c r="FX138" s="148"/>
      <c r="FY138" s="148"/>
      <c r="FZ138" s="148"/>
      <c r="GA138" s="148"/>
      <c r="GB138" s="148"/>
      <c r="GC138" s="148"/>
      <c r="GD138" s="148"/>
      <c r="GE138" s="148"/>
      <c r="GF138" s="148"/>
      <c r="GG138" s="148"/>
      <c r="GH138" s="148"/>
      <c r="GI138" s="148"/>
      <c r="GJ138" s="148"/>
      <c r="GK138" s="148"/>
      <c r="GL138" s="148"/>
      <c r="GM138" s="148"/>
      <c r="GN138" s="148"/>
      <c r="GO138" s="148"/>
      <c r="GP138" s="148"/>
      <c r="GQ138" s="148"/>
      <c r="GR138" s="148"/>
      <c r="GS138" s="148"/>
      <c r="GT138" s="148"/>
      <c r="GU138" s="148"/>
      <c r="GV138" s="148"/>
      <c r="GW138" s="148"/>
      <c r="GX138" s="148"/>
      <c r="GY138" s="148"/>
      <c r="GZ138" s="148"/>
      <c r="HA138" s="148"/>
      <c r="HB138" s="148"/>
      <c r="HC138" s="148"/>
      <c r="HD138" s="148"/>
      <c r="HE138" s="148"/>
      <c r="HF138" s="148"/>
      <c r="HG138" s="148"/>
      <c r="HH138" s="148"/>
      <c r="HI138" s="148"/>
      <c r="HJ138" s="148"/>
      <c r="HK138" s="148"/>
      <c r="HL138" s="148"/>
      <c r="HM138" s="148"/>
      <c r="HN138" s="148"/>
      <c r="HO138" s="148"/>
      <c r="HP138" s="148"/>
      <c r="HQ138" s="148"/>
      <c r="HR138" s="148"/>
      <c r="HS138" s="148"/>
      <c r="HT138" s="148"/>
      <c r="HU138" s="148"/>
      <c r="HV138" s="148"/>
      <c r="HW138" s="148"/>
      <c r="HX138" s="148"/>
      <c r="HY138" s="148"/>
      <c r="HZ138" s="148"/>
      <c r="IA138" s="148"/>
      <c r="IB138" s="148"/>
      <c r="IC138" s="148"/>
      <c r="ID138" s="148"/>
      <c r="IE138" s="148"/>
      <c r="IF138" s="148"/>
      <c r="IG138" s="148"/>
      <c r="IH138" s="148"/>
      <c r="II138" s="148"/>
      <c r="IJ138" s="148"/>
      <c r="IK138" s="148"/>
      <c r="IL138" s="148"/>
      <c r="IM138" s="148"/>
      <c r="IN138" s="148"/>
      <c r="IO138" s="148"/>
      <c r="IP138" s="148"/>
      <c r="IQ138" s="148"/>
      <c r="IR138" s="148"/>
      <c r="IS138" s="148"/>
      <c r="IT138" s="148"/>
      <c r="IU138" s="148"/>
      <c r="IV138" s="148"/>
      <c r="IW138" s="148"/>
      <c r="IX138" s="148"/>
      <c r="IY138" s="148"/>
      <c r="IZ138" s="148"/>
      <c r="JA138" s="148"/>
      <c r="JB138" s="148"/>
    </row>
    <row r="139" spans="22:262" s="15" customFormat="1">
      <c r="V139" s="148"/>
      <c r="W139" s="148"/>
      <c r="X139" s="148"/>
      <c r="Y139" s="148"/>
      <c r="Z139" s="148"/>
      <c r="AA139" s="148"/>
      <c r="AB139" s="148"/>
      <c r="AC139" s="148"/>
      <c r="AD139" s="148"/>
      <c r="AE139" s="148"/>
      <c r="AF139" s="148"/>
      <c r="AG139" s="148"/>
      <c r="AH139" s="148"/>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c r="BI139" s="148"/>
      <c r="BJ139" s="148"/>
      <c r="BK139" s="148"/>
      <c r="BL139" s="148"/>
      <c r="BM139" s="148"/>
      <c r="BN139" s="148"/>
      <c r="BO139" s="148"/>
      <c r="BP139" s="148"/>
      <c r="BQ139" s="148"/>
      <c r="BR139" s="148"/>
      <c r="BS139" s="148"/>
      <c r="BT139" s="148"/>
      <c r="BU139" s="148"/>
      <c r="BV139" s="148"/>
      <c r="BW139" s="148"/>
      <c r="BX139" s="148"/>
      <c r="BY139" s="148"/>
      <c r="BZ139" s="148"/>
      <c r="CA139" s="148"/>
      <c r="CB139" s="148"/>
      <c r="CC139" s="148"/>
      <c r="CD139" s="148"/>
      <c r="CE139" s="148"/>
      <c r="CF139" s="148"/>
      <c r="CG139" s="148"/>
      <c r="CH139" s="148"/>
      <c r="CI139" s="148"/>
      <c r="CJ139" s="148"/>
      <c r="CK139" s="148"/>
      <c r="CL139" s="148"/>
      <c r="CM139" s="148"/>
      <c r="CN139" s="148"/>
      <c r="CO139" s="148"/>
      <c r="CP139" s="148"/>
      <c r="CQ139" s="148"/>
      <c r="CR139" s="148"/>
      <c r="CS139" s="148"/>
      <c r="CT139" s="148"/>
      <c r="CU139" s="148"/>
      <c r="CV139" s="148"/>
      <c r="CW139" s="148"/>
      <c r="CX139" s="148"/>
      <c r="CY139" s="148"/>
      <c r="CZ139" s="148"/>
      <c r="DA139" s="148"/>
      <c r="DB139" s="148"/>
      <c r="DC139" s="148"/>
      <c r="DD139" s="148"/>
      <c r="DE139" s="148"/>
      <c r="DF139" s="148"/>
      <c r="DG139" s="148"/>
      <c r="DH139" s="148"/>
      <c r="DI139" s="148"/>
      <c r="DJ139" s="148"/>
      <c r="DK139" s="148"/>
      <c r="DL139" s="148"/>
      <c r="DM139" s="148"/>
      <c r="DN139" s="148"/>
      <c r="DO139" s="148"/>
      <c r="DP139" s="148"/>
      <c r="DQ139" s="148"/>
      <c r="DR139" s="148"/>
      <c r="DS139" s="148"/>
      <c r="DT139" s="148"/>
      <c r="DU139" s="148"/>
      <c r="DV139" s="148"/>
      <c r="DW139" s="148"/>
      <c r="DX139" s="148"/>
      <c r="DY139" s="148"/>
      <c r="DZ139" s="148"/>
      <c r="EA139" s="148"/>
      <c r="EB139" s="148"/>
      <c r="EC139" s="148"/>
      <c r="ED139" s="148"/>
      <c r="EE139" s="148"/>
      <c r="EF139" s="148"/>
      <c r="EG139" s="148"/>
      <c r="EH139" s="148"/>
      <c r="EI139" s="148"/>
      <c r="EJ139" s="148"/>
      <c r="EK139" s="148"/>
      <c r="EL139" s="148"/>
      <c r="EM139" s="148"/>
      <c r="EN139" s="148"/>
      <c r="EO139" s="148"/>
      <c r="EP139" s="148"/>
      <c r="EQ139" s="148"/>
      <c r="ER139" s="148"/>
      <c r="ES139" s="148"/>
      <c r="ET139" s="148"/>
      <c r="EU139" s="148"/>
      <c r="EV139" s="148"/>
      <c r="EW139" s="148"/>
      <c r="EX139" s="148"/>
      <c r="EY139" s="148"/>
      <c r="EZ139" s="148"/>
      <c r="FA139" s="148"/>
      <c r="FB139" s="148"/>
      <c r="FC139" s="148"/>
      <c r="FD139" s="148"/>
      <c r="FE139" s="148"/>
      <c r="FF139" s="148"/>
      <c r="FG139" s="148"/>
      <c r="FH139" s="148"/>
      <c r="FI139" s="148"/>
      <c r="FJ139" s="148"/>
      <c r="FK139" s="148"/>
      <c r="FL139" s="148"/>
      <c r="FM139" s="148"/>
      <c r="FN139" s="148"/>
      <c r="FO139" s="148"/>
      <c r="FP139" s="148"/>
      <c r="FQ139" s="148"/>
      <c r="FR139" s="148"/>
      <c r="FS139" s="148"/>
      <c r="FT139" s="148"/>
      <c r="FU139" s="148"/>
      <c r="FV139" s="148"/>
      <c r="FW139" s="148"/>
      <c r="FX139" s="148"/>
      <c r="FY139" s="148"/>
      <c r="FZ139" s="148"/>
      <c r="GA139" s="148"/>
      <c r="GB139" s="148"/>
      <c r="GC139" s="148"/>
      <c r="GD139" s="148"/>
      <c r="GE139" s="148"/>
      <c r="GF139" s="148"/>
      <c r="GG139" s="148"/>
      <c r="GH139" s="148"/>
      <c r="GI139" s="148"/>
      <c r="GJ139" s="148"/>
      <c r="GK139" s="148"/>
      <c r="GL139" s="148"/>
      <c r="GM139" s="148"/>
      <c r="GN139" s="148"/>
      <c r="GO139" s="148"/>
      <c r="GP139" s="148"/>
      <c r="GQ139" s="148"/>
      <c r="GR139" s="148"/>
      <c r="GS139" s="148"/>
      <c r="GT139" s="148"/>
      <c r="GU139" s="148"/>
      <c r="GV139" s="148"/>
      <c r="GW139" s="148"/>
      <c r="GX139" s="148"/>
      <c r="GY139" s="148"/>
      <c r="GZ139" s="148"/>
      <c r="HA139" s="148"/>
      <c r="HB139" s="148"/>
      <c r="HC139" s="148"/>
      <c r="HD139" s="148"/>
      <c r="HE139" s="148"/>
      <c r="HF139" s="148"/>
      <c r="HG139" s="148"/>
      <c r="HH139" s="148"/>
      <c r="HI139" s="148"/>
      <c r="HJ139" s="148"/>
      <c r="HK139" s="148"/>
      <c r="HL139" s="148"/>
      <c r="HM139" s="148"/>
      <c r="HN139" s="148"/>
      <c r="HO139" s="148"/>
      <c r="HP139" s="148"/>
      <c r="HQ139" s="148"/>
      <c r="HR139" s="148"/>
      <c r="HS139" s="148"/>
      <c r="HT139" s="148"/>
      <c r="HU139" s="148"/>
      <c r="HV139" s="148"/>
      <c r="HW139" s="148"/>
      <c r="HX139" s="148"/>
      <c r="HY139" s="148"/>
      <c r="HZ139" s="148"/>
      <c r="IA139" s="148"/>
      <c r="IB139" s="148"/>
      <c r="IC139" s="148"/>
      <c r="ID139" s="148"/>
      <c r="IE139" s="148"/>
      <c r="IF139" s="148"/>
      <c r="IG139" s="148"/>
      <c r="IH139" s="148"/>
      <c r="II139" s="148"/>
      <c r="IJ139" s="148"/>
      <c r="IK139" s="148"/>
      <c r="IL139" s="148"/>
      <c r="IM139" s="148"/>
      <c r="IN139" s="148"/>
      <c r="IO139" s="148"/>
      <c r="IP139" s="148"/>
      <c r="IQ139" s="148"/>
      <c r="IR139" s="148"/>
      <c r="IS139" s="148"/>
      <c r="IT139" s="148"/>
      <c r="IU139" s="148"/>
      <c r="IV139" s="148"/>
      <c r="IW139" s="148"/>
      <c r="IX139" s="148"/>
      <c r="IY139" s="148"/>
      <c r="IZ139" s="148"/>
      <c r="JA139" s="148"/>
      <c r="JB139" s="148"/>
    </row>
    <row r="140" spans="22:262" s="15" customFormat="1">
      <c r="V140" s="148"/>
      <c r="W140" s="148"/>
      <c r="X140" s="148"/>
      <c r="Y140" s="148"/>
      <c r="Z140" s="148"/>
      <c r="AA140" s="148"/>
      <c r="AB140" s="148"/>
      <c r="AC140" s="148"/>
      <c r="AD140" s="148"/>
      <c r="AE140" s="148"/>
      <c r="AF140" s="148"/>
      <c r="AG140" s="148"/>
      <c r="AH140" s="148"/>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c r="BI140" s="148"/>
      <c r="BJ140" s="148"/>
      <c r="BK140" s="148"/>
      <c r="BL140" s="148"/>
      <c r="BM140" s="148"/>
      <c r="BN140" s="148"/>
      <c r="BO140" s="148"/>
      <c r="BP140" s="148"/>
      <c r="BQ140" s="148"/>
      <c r="BR140" s="148"/>
      <c r="BS140" s="148"/>
      <c r="BT140" s="148"/>
      <c r="BU140" s="148"/>
      <c r="BV140" s="148"/>
      <c r="BW140" s="148"/>
      <c r="BX140" s="148"/>
      <c r="BY140" s="148"/>
      <c r="BZ140" s="148"/>
      <c r="CA140" s="148"/>
      <c r="CB140" s="148"/>
      <c r="CC140" s="148"/>
      <c r="CD140" s="148"/>
      <c r="CE140" s="148"/>
      <c r="CF140" s="148"/>
      <c r="CG140" s="148"/>
      <c r="CH140" s="148"/>
      <c r="CI140" s="148"/>
      <c r="CJ140" s="148"/>
      <c r="CK140" s="148"/>
      <c r="CL140" s="148"/>
      <c r="CM140" s="148"/>
      <c r="CN140" s="148"/>
      <c r="CO140" s="148"/>
      <c r="CP140" s="148"/>
      <c r="CQ140" s="148"/>
      <c r="CR140" s="148"/>
      <c r="CS140" s="148"/>
      <c r="CT140" s="148"/>
      <c r="CU140" s="148"/>
      <c r="CV140" s="148"/>
      <c r="CW140" s="148"/>
      <c r="CX140" s="148"/>
      <c r="CY140" s="148"/>
      <c r="CZ140" s="148"/>
      <c r="DA140" s="148"/>
      <c r="DB140" s="148"/>
      <c r="DC140" s="148"/>
      <c r="DD140" s="148"/>
      <c r="DE140" s="148"/>
      <c r="DF140" s="148"/>
      <c r="DG140" s="148"/>
      <c r="DH140" s="148"/>
      <c r="DI140" s="148"/>
      <c r="DJ140" s="148"/>
      <c r="DK140" s="148"/>
      <c r="DL140" s="148"/>
      <c r="DM140" s="148"/>
      <c r="DN140" s="148"/>
      <c r="DO140" s="148"/>
      <c r="DP140" s="148"/>
      <c r="DQ140" s="148"/>
      <c r="DR140" s="148"/>
      <c r="DS140" s="148"/>
      <c r="DT140" s="148"/>
      <c r="DU140" s="148"/>
      <c r="DV140" s="148"/>
      <c r="DW140" s="148"/>
      <c r="DX140" s="148"/>
      <c r="DY140" s="148"/>
      <c r="DZ140" s="148"/>
      <c r="EA140" s="148"/>
      <c r="EB140" s="148"/>
      <c r="EC140" s="148"/>
      <c r="ED140" s="148"/>
      <c r="EE140" s="148"/>
      <c r="EF140" s="148"/>
      <c r="EG140" s="148"/>
      <c r="EH140" s="148"/>
      <c r="EI140" s="148"/>
      <c r="EJ140" s="148"/>
      <c r="EK140" s="148"/>
      <c r="EL140" s="148"/>
      <c r="EM140" s="148"/>
      <c r="EN140" s="148"/>
      <c r="EO140" s="148"/>
      <c r="EP140" s="148"/>
      <c r="EQ140" s="148"/>
      <c r="ER140" s="148"/>
      <c r="ES140" s="148"/>
      <c r="ET140" s="148"/>
      <c r="EU140" s="148"/>
      <c r="EV140" s="148"/>
      <c r="EW140" s="148"/>
      <c r="EX140" s="148"/>
      <c r="EY140" s="148"/>
      <c r="EZ140" s="148"/>
      <c r="FA140" s="148"/>
      <c r="FB140" s="148"/>
      <c r="FC140" s="148"/>
      <c r="FD140" s="148"/>
      <c r="FE140" s="148"/>
      <c r="FF140" s="148"/>
      <c r="FG140" s="148"/>
      <c r="FH140" s="148"/>
      <c r="FI140" s="148"/>
      <c r="FJ140" s="148"/>
      <c r="FK140" s="148"/>
      <c r="FL140" s="148"/>
      <c r="FM140" s="148"/>
      <c r="FN140" s="148"/>
      <c r="FO140" s="148"/>
      <c r="FP140" s="148"/>
      <c r="FQ140" s="148"/>
      <c r="FR140" s="148"/>
      <c r="FS140" s="148"/>
      <c r="FT140" s="148"/>
      <c r="FU140" s="148"/>
      <c r="FV140" s="148"/>
      <c r="FW140" s="148"/>
      <c r="FX140" s="148"/>
      <c r="FY140" s="148"/>
      <c r="FZ140" s="148"/>
      <c r="GA140" s="148"/>
      <c r="GB140" s="148"/>
      <c r="GC140" s="148"/>
      <c r="GD140" s="148"/>
      <c r="GE140" s="148"/>
      <c r="GF140" s="148"/>
      <c r="GG140" s="148"/>
      <c r="GH140" s="148"/>
      <c r="GI140" s="148"/>
      <c r="GJ140" s="148"/>
      <c r="GK140" s="148"/>
      <c r="GL140" s="148"/>
      <c r="GM140" s="148"/>
      <c r="GN140" s="148"/>
      <c r="GO140" s="148"/>
      <c r="GP140" s="148"/>
      <c r="GQ140" s="148"/>
      <c r="GR140" s="148"/>
      <c r="GS140" s="148"/>
      <c r="GT140" s="148"/>
      <c r="GU140" s="148"/>
      <c r="GV140" s="148"/>
      <c r="GW140" s="148"/>
      <c r="GX140" s="148"/>
      <c r="GY140" s="148"/>
      <c r="GZ140" s="148"/>
      <c r="HA140" s="148"/>
      <c r="HB140" s="148"/>
      <c r="HC140" s="148"/>
      <c r="HD140" s="148"/>
      <c r="HE140" s="148"/>
      <c r="HF140" s="148"/>
      <c r="HG140" s="148"/>
      <c r="HH140" s="148"/>
      <c r="HI140" s="148"/>
      <c r="HJ140" s="148"/>
      <c r="HK140" s="148"/>
      <c r="HL140" s="148"/>
      <c r="HM140" s="148"/>
      <c r="HN140" s="148"/>
      <c r="HO140" s="148"/>
      <c r="HP140" s="148"/>
      <c r="HQ140" s="148"/>
      <c r="HR140" s="148"/>
      <c r="HS140" s="148"/>
      <c r="HT140" s="148"/>
      <c r="HU140" s="148"/>
      <c r="HV140" s="148"/>
      <c r="HW140" s="148"/>
      <c r="HX140" s="148"/>
      <c r="HY140" s="148"/>
      <c r="HZ140" s="148"/>
      <c r="IA140" s="148"/>
      <c r="IB140" s="148"/>
      <c r="IC140" s="148"/>
      <c r="ID140" s="148"/>
      <c r="IE140" s="148"/>
      <c r="IF140" s="148"/>
      <c r="IG140" s="148"/>
      <c r="IH140" s="148"/>
      <c r="II140" s="148"/>
      <c r="IJ140" s="148"/>
      <c r="IK140" s="148"/>
      <c r="IL140" s="148"/>
      <c r="IM140" s="148"/>
      <c r="IN140" s="148"/>
      <c r="IO140" s="148"/>
      <c r="IP140" s="148"/>
      <c r="IQ140" s="148"/>
      <c r="IR140" s="148"/>
      <c r="IS140" s="148"/>
      <c r="IT140" s="148"/>
      <c r="IU140" s="148"/>
      <c r="IV140" s="148"/>
      <c r="IW140" s="148"/>
      <c r="IX140" s="148"/>
      <c r="IY140" s="148"/>
      <c r="IZ140" s="148"/>
      <c r="JA140" s="148"/>
      <c r="JB140" s="148"/>
    </row>
    <row r="141" spans="22:262" s="15" customFormat="1">
      <c r="V141" s="148"/>
      <c r="W141" s="148"/>
      <c r="X141" s="148"/>
      <c r="Y141" s="148"/>
      <c r="Z141" s="148"/>
      <c r="AA141" s="148"/>
      <c r="AB141" s="148"/>
      <c r="AC141" s="148"/>
      <c r="AD141" s="148"/>
      <c r="AE141" s="148"/>
      <c r="AF141" s="148"/>
      <c r="AG141" s="148"/>
      <c r="AH141" s="148"/>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c r="BI141" s="148"/>
      <c r="BJ141" s="148"/>
      <c r="BK141" s="148"/>
      <c r="BL141" s="148"/>
      <c r="BM141" s="148"/>
      <c r="BN141" s="148"/>
      <c r="BO141" s="148"/>
      <c r="BP141" s="148"/>
      <c r="BQ141" s="148"/>
      <c r="BR141" s="148"/>
      <c r="BS141" s="148"/>
      <c r="BT141" s="148"/>
      <c r="BU141" s="148"/>
      <c r="BV141" s="148"/>
      <c r="BW141" s="148"/>
      <c r="BX141" s="148"/>
      <c r="BY141" s="148"/>
      <c r="BZ141" s="148"/>
      <c r="CA141" s="148"/>
      <c r="CB141" s="148"/>
      <c r="CC141" s="148"/>
      <c r="CD141" s="148"/>
      <c r="CE141" s="148"/>
      <c r="CF141" s="148"/>
      <c r="CG141" s="148"/>
      <c r="CH141" s="148"/>
      <c r="CI141" s="148"/>
      <c r="CJ141" s="148"/>
      <c r="CK141" s="148"/>
      <c r="CL141" s="148"/>
      <c r="CM141" s="148"/>
      <c r="CN141" s="148"/>
      <c r="CO141" s="148"/>
      <c r="CP141" s="148"/>
      <c r="CQ141" s="148"/>
      <c r="CR141" s="148"/>
      <c r="CS141" s="148"/>
      <c r="CT141" s="148"/>
      <c r="CU141" s="148"/>
      <c r="CV141" s="148"/>
      <c r="CW141" s="148"/>
      <c r="CX141" s="148"/>
      <c r="CY141" s="148"/>
      <c r="CZ141" s="148"/>
      <c r="DA141" s="148"/>
      <c r="DB141" s="148"/>
      <c r="DC141" s="148"/>
      <c r="DD141" s="148"/>
      <c r="DE141" s="148"/>
      <c r="DF141" s="148"/>
      <c r="DG141" s="148"/>
      <c r="DH141" s="148"/>
      <c r="DI141" s="148"/>
      <c r="DJ141" s="148"/>
      <c r="DK141" s="148"/>
      <c r="DL141" s="148"/>
      <c r="DM141" s="148"/>
      <c r="DN141" s="148"/>
      <c r="DO141" s="148"/>
      <c r="DP141" s="148"/>
      <c r="DQ141" s="148"/>
      <c r="DR141" s="148"/>
      <c r="DS141" s="148"/>
      <c r="DT141" s="148"/>
      <c r="DU141" s="148"/>
      <c r="DV141" s="148"/>
      <c r="DW141" s="148"/>
      <c r="DX141" s="148"/>
      <c r="DY141" s="148"/>
      <c r="DZ141" s="148"/>
      <c r="EA141" s="148"/>
      <c r="EB141" s="148"/>
      <c r="EC141" s="148"/>
      <c r="ED141" s="148"/>
      <c r="EE141" s="148"/>
      <c r="EF141" s="148"/>
      <c r="EG141" s="148"/>
      <c r="EH141" s="148"/>
      <c r="EI141" s="148"/>
      <c r="EJ141" s="148"/>
      <c r="EK141" s="148"/>
      <c r="EL141" s="148"/>
      <c r="EM141" s="148"/>
      <c r="EN141" s="148"/>
      <c r="EO141" s="148"/>
      <c r="EP141" s="148"/>
      <c r="EQ141" s="148"/>
      <c r="ER141" s="148"/>
      <c r="ES141" s="148"/>
      <c r="ET141" s="148"/>
      <c r="EU141" s="148"/>
      <c r="EV141" s="148"/>
      <c r="EW141" s="148"/>
      <c r="EX141" s="148"/>
      <c r="EY141" s="148"/>
      <c r="EZ141" s="148"/>
      <c r="FA141" s="148"/>
      <c r="FB141" s="148"/>
      <c r="FC141" s="148"/>
      <c r="FD141" s="148"/>
      <c r="FE141" s="148"/>
      <c r="FF141" s="148"/>
      <c r="FG141" s="148"/>
      <c r="FH141" s="148"/>
      <c r="FI141" s="148"/>
      <c r="FJ141" s="148"/>
      <c r="FK141" s="148"/>
      <c r="FL141" s="148"/>
      <c r="FM141" s="148"/>
      <c r="FN141" s="148"/>
      <c r="FO141" s="148"/>
      <c r="FP141" s="148"/>
      <c r="FQ141" s="148"/>
      <c r="FR141" s="148"/>
      <c r="FS141" s="148"/>
      <c r="FT141" s="148"/>
      <c r="FU141" s="148"/>
      <c r="FV141" s="148"/>
      <c r="FW141" s="148"/>
      <c r="FX141" s="148"/>
      <c r="FY141" s="148"/>
      <c r="FZ141" s="148"/>
      <c r="GA141" s="148"/>
      <c r="GB141" s="148"/>
      <c r="GC141" s="148"/>
      <c r="GD141" s="148"/>
      <c r="GE141" s="148"/>
      <c r="GF141" s="148"/>
      <c r="GG141" s="148"/>
      <c r="GH141" s="148"/>
      <c r="GI141" s="148"/>
      <c r="GJ141" s="148"/>
      <c r="GK141" s="148"/>
      <c r="GL141" s="148"/>
      <c r="GM141" s="148"/>
      <c r="GN141" s="148"/>
      <c r="GO141" s="148"/>
      <c r="GP141" s="148"/>
      <c r="GQ141" s="148"/>
      <c r="GR141" s="148"/>
      <c r="GS141" s="148"/>
      <c r="GT141" s="148"/>
      <c r="GU141" s="148"/>
      <c r="GV141" s="148"/>
      <c r="GW141" s="148"/>
      <c r="GX141" s="148"/>
      <c r="GY141" s="148"/>
      <c r="GZ141" s="148"/>
      <c r="HA141" s="148"/>
      <c r="HB141" s="148"/>
      <c r="HC141" s="148"/>
      <c r="HD141" s="148"/>
      <c r="HE141" s="148"/>
      <c r="HF141" s="148"/>
      <c r="HG141" s="148"/>
      <c r="HH141" s="148"/>
      <c r="HI141" s="148"/>
      <c r="HJ141" s="148"/>
      <c r="HK141" s="148"/>
      <c r="HL141" s="148"/>
      <c r="HM141" s="148"/>
      <c r="HN141" s="148"/>
      <c r="HO141" s="148"/>
      <c r="HP141" s="148"/>
      <c r="HQ141" s="148"/>
      <c r="HR141" s="148"/>
      <c r="HS141" s="148"/>
      <c r="HT141" s="148"/>
      <c r="HU141" s="148"/>
      <c r="HV141" s="148"/>
      <c r="HW141" s="148"/>
      <c r="HX141" s="148"/>
      <c r="HY141" s="148"/>
      <c r="HZ141" s="148"/>
      <c r="IA141" s="148"/>
      <c r="IB141" s="148"/>
      <c r="IC141" s="148"/>
      <c r="ID141" s="148"/>
      <c r="IE141" s="148"/>
      <c r="IF141" s="148"/>
      <c r="IG141" s="148"/>
      <c r="IH141" s="148"/>
      <c r="II141" s="148"/>
      <c r="IJ141" s="148"/>
      <c r="IK141" s="148"/>
      <c r="IL141" s="148"/>
      <c r="IM141" s="148"/>
      <c r="IN141" s="148"/>
      <c r="IO141" s="148"/>
      <c r="IP141" s="148"/>
      <c r="IQ141" s="148"/>
      <c r="IR141" s="148"/>
      <c r="IS141" s="148"/>
      <c r="IT141" s="148"/>
      <c r="IU141" s="148"/>
      <c r="IV141" s="148"/>
      <c r="IW141" s="148"/>
      <c r="IX141" s="148"/>
      <c r="IY141" s="148"/>
      <c r="IZ141" s="148"/>
      <c r="JA141" s="148"/>
      <c r="JB141" s="148"/>
    </row>
    <row r="142" spans="22:262" s="15" customFormat="1">
      <c r="V142" s="148"/>
      <c r="W142" s="148"/>
      <c r="X142" s="148"/>
      <c r="Y142" s="148"/>
      <c r="Z142" s="148"/>
      <c r="AA142" s="148"/>
      <c r="AB142" s="148"/>
      <c r="AC142" s="148"/>
      <c r="AD142" s="148"/>
      <c r="AE142" s="148"/>
      <c r="AF142" s="148"/>
      <c r="AG142" s="148"/>
      <c r="AH142" s="148"/>
      <c r="AI142" s="148"/>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c r="BI142" s="148"/>
      <c r="BJ142" s="148"/>
      <c r="BK142" s="148"/>
      <c r="BL142" s="148"/>
      <c r="BM142" s="148"/>
      <c r="BN142" s="148"/>
      <c r="BO142" s="148"/>
      <c r="BP142" s="148"/>
      <c r="BQ142" s="148"/>
      <c r="BR142" s="148"/>
      <c r="BS142" s="148"/>
      <c r="BT142" s="148"/>
      <c r="BU142" s="148"/>
      <c r="BV142" s="148"/>
      <c r="BW142" s="148"/>
      <c r="BX142" s="148"/>
      <c r="BY142" s="148"/>
      <c r="BZ142" s="148"/>
      <c r="CA142" s="148"/>
      <c r="CB142" s="148"/>
      <c r="CC142" s="148"/>
      <c r="CD142" s="148"/>
      <c r="CE142" s="148"/>
      <c r="CF142" s="148"/>
      <c r="CG142" s="148"/>
      <c r="CH142" s="148"/>
      <c r="CI142" s="148"/>
      <c r="CJ142" s="148"/>
      <c r="CK142" s="148"/>
      <c r="CL142" s="148"/>
      <c r="CM142" s="148"/>
      <c r="CN142" s="148"/>
      <c r="CO142" s="148"/>
      <c r="CP142" s="148"/>
      <c r="CQ142" s="148"/>
      <c r="CR142" s="148"/>
      <c r="CS142" s="148"/>
      <c r="CT142" s="148"/>
      <c r="CU142" s="148"/>
      <c r="CV142" s="148"/>
      <c r="CW142" s="148"/>
      <c r="CX142" s="148"/>
      <c r="CY142" s="148"/>
      <c r="CZ142" s="148"/>
      <c r="DA142" s="148"/>
      <c r="DB142" s="148"/>
      <c r="DC142" s="148"/>
      <c r="DD142" s="148"/>
      <c r="DE142" s="148"/>
      <c r="DF142" s="148"/>
      <c r="DG142" s="148"/>
      <c r="DH142" s="148"/>
      <c r="DI142" s="148"/>
      <c r="DJ142" s="148"/>
      <c r="DK142" s="148"/>
      <c r="DL142" s="148"/>
      <c r="DM142" s="148"/>
      <c r="DN142" s="148"/>
      <c r="DO142" s="148"/>
      <c r="DP142" s="148"/>
      <c r="DQ142" s="148"/>
      <c r="DR142" s="148"/>
      <c r="DS142" s="148"/>
      <c r="DT142" s="148"/>
      <c r="DU142" s="148"/>
      <c r="DV142" s="148"/>
      <c r="DW142" s="148"/>
      <c r="DX142" s="148"/>
      <c r="DY142" s="148"/>
      <c r="DZ142" s="148"/>
      <c r="EA142" s="148"/>
      <c r="EB142" s="148"/>
      <c r="EC142" s="148"/>
      <c r="ED142" s="148"/>
      <c r="EE142" s="148"/>
      <c r="EF142" s="148"/>
      <c r="EG142" s="148"/>
      <c r="EH142" s="148"/>
      <c r="EI142" s="148"/>
      <c r="EJ142" s="148"/>
      <c r="EK142" s="148"/>
      <c r="EL142" s="148"/>
      <c r="EM142" s="148"/>
      <c r="EN142" s="148"/>
      <c r="EO142" s="148"/>
      <c r="EP142" s="148"/>
      <c r="EQ142" s="148"/>
      <c r="ER142" s="148"/>
      <c r="ES142" s="148"/>
      <c r="ET142" s="148"/>
      <c r="EU142" s="148"/>
      <c r="EV142" s="148"/>
      <c r="EW142" s="148"/>
      <c r="EX142" s="148"/>
      <c r="EY142" s="148"/>
      <c r="EZ142" s="148"/>
      <c r="FA142" s="148"/>
      <c r="FB142" s="148"/>
      <c r="FC142" s="148"/>
      <c r="FD142" s="148"/>
      <c r="FE142" s="148"/>
      <c r="FF142" s="148"/>
      <c r="FG142" s="148"/>
      <c r="FH142" s="148"/>
      <c r="FI142" s="148"/>
      <c r="FJ142" s="148"/>
      <c r="FK142" s="148"/>
      <c r="FL142" s="148"/>
      <c r="FM142" s="148"/>
      <c r="FN142" s="148"/>
      <c r="FO142" s="148"/>
      <c r="FP142" s="148"/>
      <c r="FQ142" s="148"/>
      <c r="FR142" s="148"/>
      <c r="FS142" s="148"/>
      <c r="FT142" s="148"/>
      <c r="FU142" s="148"/>
      <c r="FV142" s="148"/>
      <c r="FW142" s="148"/>
      <c r="FX142" s="148"/>
      <c r="FY142" s="148"/>
      <c r="FZ142" s="148"/>
      <c r="GA142" s="148"/>
      <c r="GB142" s="148"/>
      <c r="GC142" s="148"/>
      <c r="GD142" s="148"/>
      <c r="GE142" s="148"/>
      <c r="GF142" s="148"/>
      <c r="GG142" s="148"/>
      <c r="GH142" s="148"/>
      <c r="GI142" s="148"/>
      <c r="GJ142" s="148"/>
      <c r="GK142" s="148"/>
      <c r="GL142" s="148"/>
      <c r="GM142" s="148"/>
      <c r="GN142" s="148"/>
      <c r="GO142" s="148"/>
      <c r="GP142" s="148"/>
      <c r="GQ142" s="148"/>
      <c r="GR142" s="148"/>
      <c r="GS142" s="148"/>
      <c r="GT142" s="148"/>
      <c r="GU142" s="148"/>
      <c r="GV142" s="148"/>
      <c r="GW142" s="148"/>
      <c r="GX142" s="148"/>
      <c r="GY142" s="148"/>
      <c r="GZ142" s="148"/>
      <c r="HA142" s="148"/>
      <c r="HB142" s="148"/>
      <c r="HC142" s="148"/>
      <c r="HD142" s="148"/>
      <c r="HE142" s="148"/>
      <c r="HF142" s="148"/>
      <c r="HG142" s="148"/>
      <c r="HH142" s="148"/>
      <c r="HI142" s="148"/>
      <c r="HJ142" s="148"/>
      <c r="HK142" s="148"/>
      <c r="HL142" s="148"/>
      <c r="HM142" s="148"/>
      <c r="HN142" s="148"/>
      <c r="HO142" s="148"/>
      <c r="HP142" s="148"/>
      <c r="HQ142" s="148"/>
      <c r="HR142" s="148"/>
      <c r="HS142" s="148"/>
      <c r="HT142" s="148"/>
      <c r="HU142" s="148"/>
      <c r="HV142" s="148"/>
      <c r="HW142" s="148"/>
      <c r="HX142" s="148"/>
      <c r="HY142" s="148"/>
      <c r="HZ142" s="148"/>
      <c r="IA142" s="148"/>
      <c r="IB142" s="148"/>
      <c r="IC142" s="148"/>
      <c r="ID142" s="148"/>
      <c r="IE142" s="148"/>
      <c r="IF142" s="148"/>
      <c r="IG142" s="148"/>
      <c r="IH142" s="148"/>
      <c r="II142" s="148"/>
      <c r="IJ142" s="148"/>
      <c r="IK142" s="148"/>
      <c r="IL142" s="148"/>
      <c r="IM142" s="148"/>
      <c r="IN142" s="148"/>
      <c r="IO142" s="148"/>
      <c r="IP142" s="148"/>
      <c r="IQ142" s="148"/>
      <c r="IR142" s="148"/>
      <c r="IS142" s="148"/>
      <c r="IT142" s="148"/>
      <c r="IU142" s="148"/>
      <c r="IV142" s="148"/>
      <c r="IW142" s="148"/>
      <c r="IX142" s="148"/>
      <c r="IY142" s="148"/>
      <c r="IZ142" s="148"/>
      <c r="JA142" s="148"/>
      <c r="JB142" s="148"/>
    </row>
    <row r="143" spans="22:262" s="15" customFormat="1">
      <c r="V143" s="148"/>
      <c r="W143" s="148"/>
      <c r="X143" s="148"/>
      <c r="Y143" s="148"/>
      <c r="Z143" s="148"/>
      <c r="AA143" s="148"/>
      <c r="AB143" s="148"/>
      <c r="AC143" s="148"/>
      <c r="AD143" s="148"/>
      <c r="AE143" s="148"/>
      <c r="AF143" s="148"/>
      <c r="AG143" s="148"/>
      <c r="AH143" s="148"/>
      <c r="AI143" s="148"/>
      <c r="AJ143" s="148"/>
      <c r="AK143" s="148"/>
      <c r="AL143" s="148"/>
      <c r="AM143" s="148"/>
      <c r="AN143" s="148"/>
      <c r="AO143" s="148"/>
      <c r="AP143" s="148"/>
      <c r="AQ143" s="148"/>
      <c r="AR143" s="148"/>
      <c r="AS143" s="148"/>
      <c r="AT143" s="148"/>
      <c r="AU143" s="148"/>
      <c r="AV143" s="148"/>
      <c r="AW143" s="148"/>
      <c r="AX143" s="148"/>
      <c r="AY143" s="148"/>
      <c r="AZ143" s="148"/>
      <c r="BA143" s="148"/>
      <c r="BB143" s="148"/>
      <c r="BC143" s="148"/>
      <c r="BD143" s="148"/>
      <c r="BE143" s="148"/>
      <c r="BF143" s="148"/>
      <c r="BG143" s="148"/>
      <c r="BH143" s="148"/>
      <c r="BI143" s="148"/>
      <c r="BJ143" s="148"/>
      <c r="BK143" s="148"/>
      <c r="BL143" s="148"/>
      <c r="BM143" s="148"/>
      <c r="BN143" s="148"/>
      <c r="BO143" s="148"/>
      <c r="BP143" s="148"/>
      <c r="BQ143" s="148"/>
      <c r="BR143" s="148"/>
      <c r="BS143" s="148"/>
      <c r="BT143" s="148"/>
      <c r="BU143" s="148"/>
      <c r="BV143" s="148"/>
      <c r="BW143" s="148"/>
      <c r="BX143" s="148"/>
      <c r="BY143" s="148"/>
      <c r="BZ143" s="148"/>
      <c r="CA143" s="148"/>
      <c r="CB143" s="148"/>
      <c r="CC143" s="148"/>
      <c r="CD143" s="148"/>
      <c r="CE143" s="148"/>
      <c r="CF143" s="148"/>
      <c r="CG143" s="148"/>
      <c r="CH143" s="148"/>
      <c r="CI143" s="148"/>
      <c r="CJ143" s="148"/>
      <c r="CK143" s="148"/>
      <c r="CL143" s="148"/>
      <c r="CM143" s="148"/>
      <c r="CN143" s="148"/>
      <c r="CO143" s="148"/>
      <c r="CP143" s="148"/>
      <c r="CQ143" s="148"/>
      <c r="CR143" s="148"/>
      <c r="CS143" s="148"/>
      <c r="CT143" s="148"/>
      <c r="CU143" s="148"/>
      <c r="CV143" s="148"/>
      <c r="CW143" s="148"/>
      <c r="CX143" s="148"/>
      <c r="CY143" s="148"/>
      <c r="CZ143" s="148"/>
      <c r="DA143" s="148"/>
      <c r="DB143" s="148"/>
      <c r="DC143" s="148"/>
      <c r="DD143" s="148"/>
      <c r="DE143" s="148"/>
      <c r="DF143" s="148"/>
      <c r="DG143" s="148"/>
      <c r="DH143" s="148"/>
      <c r="DI143" s="148"/>
      <c r="DJ143" s="148"/>
      <c r="DK143" s="148"/>
      <c r="DL143" s="148"/>
      <c r="DM143" s="148"/>
      <c r="DN143" s="148"/>
      <c r="DO143" s="148"/>
      <c r="DP143" s="148"/>
      <c r="DQ143" s="148"/>
      <c r="DR143" s="148"/>
      <c r="DS143" s="148"/>
      <c r="DT143" s="148"/>
      <c r="DU143" s="148"/>
      <c r="DV143" s="148"/>
      <c r="DW143" s="148"/>
      <c r="DX143" s="148"/>
      <c r="DY143" s="148"/>
      <c r="DZ143" s="148"/>
      <c r="EA143" s="148"/>
      <c r="EB143" s="148"/>
      <c r="EC143" s="148"/>
      <c r="ED143" s="148"/>
      <c r="EE143" s="148"/>
      <c r="EF143" s="148"/>
      <c r="EG143" s="148"/>
      <c r="EH143" s="148"/>
      <c r="EI143" s="148"/>
      <c r="EJ143" s="148"/>
      <c r="EK143" s="148"/>
      <c r="EL143" s="148"/>
      <c r="EM143" s="148"/>
      <c r="EN143" s="148"/>
      <c r="EO143" s="148"/>
      <c r="EP143" s="148"/>
      <c r="EQ143" s="148"/>
      <c r="ER143" s="148"/>
      <c r="ES143" s="148"/>
      <c r="ET143" s="148"/>
      <c r="EU143" s="148"/>
      <c r="EV143" s="148"/>
      <c r="EW143" s="148"/>
      <c r="EX143" s="148"/>
      <c r="EY143" s="148"/>
      <c r="EZ143" s="148"/>
      <c r="FA143" s="148"/>
      <c r="FB143" s="148"/>
      <c r="FC143" s="148"/>
      <c r="FD143" s="148"/>
      <c r="FE143" s="148"/>
      <c r="FF143" s="148"/>
      <c r="FG143" s="148"/>
      <c r="FH143" s="148"/>
      <c r="FI143" s="148"/>
      <c r="FJ143" s="148"/>
      <c r="FK143" s="148"/>
      <c r="FL143" s="148"/>
      <c r="FM143" s="148"/>
      <c r="FN143" s="148"/>
      <c r="FO143" s="148"/>
      <c r="FP143" s="148"/>
      <c r="FQ143" s="148"/>
      <c r="FR143" s="148"/>
      <c r="FS143" s="148"/>
      <c r="FT143" s="148"/>
      <c r="FU143" s="148"/>
      <c r="FV143" s="148"/>
      <c r="FW143" s="148"/>
      <c r="FX143" s="148"/>
      <c r="FY143" s="148"/>
      <c r="FZ143" s="148"/>
      <c r="GA143" s="148"/>
      <c r="GB143" s="148"/>
      <c r="GC143" s="148"/>
      <c r="GD143" s="148"/>
      <c r="GE143" s="148"/>
      <c r="GF143" s="148"/>
      <c r="GG143" s="148"/>
      <c r="GH143" s="148"/>
      <c r="GI143" s="148"/>
      <c r="GJ143" s="148"/>
      <c r="GK143" s="148"/>
      <c r="GL143" s="148"/>
      <c r="GM143" s="148"/>
      <c r="GN143" s="148"/>
      <c r="GO143" s="148"/>
      <c r="GP143" s="148"/>
      <c r="GQ143" s="148"/>
      <c r="GR143" s="148"/>
      <c r="GS143" s="148"/>
      <c r="GT143" s="148"/>
      <c r="GU143" s="148"/>
      <c r="GV143" s="148"/>
      <c r="GW143" s="148"/>
      <c r="GX143" s="148"/>
      <c r="GY143" s="148"/>
      <c r="GZ143" s="148"/>
      <c r="HA143" s="148"/>
      <c r="HB143" s="148"/>
      <c r="HC143" s="148"/>
      <c r="HD143" s="148"/>
      <c r="HE143" s="148"/>
      <c r="HF143" s="148"/>
      <c r="HG143" s="148"/>
      <c r="HH143" s="148"/>
      <c r="HI143" s="148"/>
      <c r="HJ143" s="148"/>
      <c r="HK143" s="148"/>
      <c r="HL143" s="148"/>
      <c r="HM143" s="148"/>
      <c r="HN143" s="148"/>
      <c r="HO143" s="148"/>
      <c r="HP143" s="148"/>
      <c r="HQ143" s="148"/>
      <c r="HR143" s="148"/>
      <c r="HS143" s="148"/>
      <c r="HT143" s="148"/>
      <c r="HU143" s="148"/>
      <c r="HV143" s="148"/>
      <c r="HW143" s="148"/>
      <c r="HX143" s="148"/>
      <c r="HY143" s="148"/>
      <c r="HZ143" s="148"/>
      <c r="IA143" s="148"/>
      <c r="IB143" s="148"/>
      <c r="IC143" s="148"/>
      <c r="ID143" s="148"/>
      <c r="IE143" s="148"/>
      <c r="IF143" s="148"/>
      <c r="IG143" s="148"/>
      <c r="IH143" s="148"/>
      <c r="II143" s="148"/>
      <c r="IJ143" s="148"/>
      <c r="IK143" s="148"/>
      <c r="IL143" s="148"/>
      <c r="IM143" s="148"/>
      <c r="IN143" s="148"/>
      <c r="IO143" s="148"/>
      <c r="IP143" s="148"/>
      <c r="IQ143" s="148"/>
      <c r="IR143" s="148"/>
      <c r="IS143" s="148"/>
      <c r="IT143" s="148"/>
      <c r="IU143" s="148"/>
      <c r="IV143" s="148"/>
      <c r="IW143" s="148"/>
      <c r="IX143" s="148"/>
      <c r="IY143" s="148"/>
      <c r="IZ143" s="148"/>
      <c r="JA143" s="148"/>
      <c r="JB143" s="148"/>
    </row>
    <row r="144" spans="22:262" s="15" customFormat="1">
      <c r="V144" s="148"/>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c r="BI144" s="148"/>
      <c r="BJ144" s="148"/>
      <c r="BK144" s="148"/>
      <c r="BL144" s="148"/>
      <c r="BM144" s="148"/>
      <c r="BN144" s="148"/>
      <c r="BO144" s="148"/>
      <c r="BP144" s="148"/>
      <c r="BQ144" s="148"/>
      <c r="BR144" s="148"/>
      <c r="BS144" s="148"/>
      <c r="BT144" s="148"/>
      <c r="BU144" s="148"/>
      <c r="BV144" s="148"/>
      <c r="BW144" s="148"/>
      <c r="BX144" s="148"/>
      <c r="BY144" s="148"/>
      <c r="BZ144" s="148"/>
      <c r="CA144" s="148"/>
      <c r="CB144" s="148"/>
      <c r="CC144" s="148"/>
      <c r="CD144" s="148"/>
      <c r="CE144" s="148"/>
      <c r="CF144" s="148"/>
      <c r="CG144" s="148"/>
      <c r="CH144" s="148"/>
      <c r="CI144" s="148"/>
      <c r="CJ144" s="148"/>
      <c r="CK144" s="148"/>
      <c r="CL144" s="148"/>
      <c r="CM144" s="148"/>
      <c r="CN144" s="148"/>
      <c r="CO144" s="148"/>
      <c r="CP144" s="148"/>
      <c r="CQ144" s="148"/>
      <c r="CR144" s="148"/>
      <c r="CS144" s="148"/>
      <c r="CT144" s="148"/>
      <c r="CU144" s="148"/>
      <c r="CV144" s="148"/>
      <c r="CW144" s="148"/>
      <c r="CX144" s="148"/>
      <c r="CY144" s="148"/>
      <c r="CZ144" s="148"/>
      <c r="DA144" s="148"/>
      <c r="DB144" s="148"/>
      <c r="DC144" s="148"/>
      <c r="DD144" s="148"/>
      <c r="DE144" s="148"/>
      <c r="DF144" s="148"/>
      <c r="DG144" s="148"/>
      <c r="DH144" s="148"/>
      <c r="DI144" s="148"/>
      <c r="DJ144" s="148"/>
      <c r="DK144" s="148"/>
      <c r="DL144" s="148"/>
      <c r="DM144" s="148"/>
      <c r="DN144" s="148"/>
      <c r="DO144" s="148"/>
      <c r="DP144" s="148"/>
      <c r="DQ144" s="148"/>
      <c r="DR144" s="148"/>
      <c r="DS144" s="148"/>
      <c r="DT144" s="148"/>
      <c r="DU144" s="148"/>
      <c r="DV144" s="148"/>
      <c r="DW144" s="148"/>
      <c r="DX144" s="148"/>
      <c r="DY144" s="148"/>
      <c r="DZ144" s="148"/>
      <c r="EA144" s="148"/>
      <c r="EB144" s="148"/>
      <c r="EC144" s="148"/>
      <c r="ED144" s="148"/>
      <c r="EE144" s="148"/>
      <c r="EF144" s="148"/>
      <c r="EG144" s="148"/>
      <c r="EH144" s="148"/>
      <c r="EI144" s="148"/>
      <c r="EJ144" s="148"/>
      <c r="EK144" s="148"/>
      <c r="EL144" s="148"/>
      <c r="EM144" s="148"/>
      <c r="EN144" s="148"/>
      <c r="EO144" s="148"/>
      <c r="EP144" s="148"/>
      <c r="EQ144" s="148"/>
      <c r="ER144" s="148"/>
      <c r="ES144" s="148"/>
      <c r="ET144" s="148"/>
      <c r="EU144" s="148"/>
      <c r="EV144" s="148"/>
      <c r="EW144" s="148"/>
      <c r="EX144" s="148"/>
      <c r="EY144" s="148"/>
      <c r="EZ144" s="148"/>
      <c r="FA144" s="148"/>
      <c r="FB144" s="148"/>
      <c r="FC144" s="148"/>
      <c r="FD144" s="148"/>
      <c r="FE144" s="148"/>
      <c r="FF144" s="148"/>
      <c r="FG144" s="148"/>
      <c r="FH144" s="148"/>
      <c r="FI144" s="148"/>
      <c r="FJ144" s="148"/>
      <c r="FK144" s="148"/>
      <c r="FL144" s="148"/>
      <c r="FM144" s="148"/>
      <c r="FN144" s="148"/>
      <c r="FO144" s="148"/>
      <c r="FP144" s="148"/>
      <c r="FQ144" s="148"/>
      <c r="FR144" s="148"/>
      <c r="FS144" s="148"/>
      <c r="FT144" s="148"/>
      <c r="FU144" s="148"/>
      <c r="FV144" s="148"/>
      <c r="FW144" s="148"/>
      <c r="FX144" s="148"/>
      <c r="FY144" s="148"/>
      <c r="FZ144" s="148"/>
      <c r="GA144" s="148"/>
      <c r="GB144" s="148"/>
      <c r="GC144" s="148"/>
      <c r="GD144" s="148"/>
      <c r="GE144" s="148"/>
      <c r="GF144" s="148"/>
      <c r="GG144" s="148"/>
      <c r="GH144" s="148"/>
      <c r="GI144" s="148"/>
      <c r="GJ144" s="148"/>
      <c r="GK144" s="148"/>
      <c r="GL144" s="148"/>
      <c r="GM144" s="148"/>
      <c r="GN144" s="148"/>
      <c r="GO144" s="148"/>
      <c r="GP144" s="148"/>
      <c r="GQ144" s="148"/>
      <c r="GR144" s="148"/>
      <c r="GS144" s="148"/>
      <c r="GT144" s="148"/>
      <c r="GU144" s="148"/>
      <c r="GV144" s="148"/>
      <c r="GW144" s="148"/>
      <c r="GX144" s="148"/>
      <c r="GY144" s="148"/>
      <c r="GZ144" s="148"/>
      <c r="HA144" s="148"/>
      <c r="HB144" s="148"/>
      <c r="HC144" s="148"/>
      <c r="HD144" s="148"/>
      <c r="HE144" s="148"/>
      <c r="HF144" s="148"/>
      <c r="HG144" s="148"/>
      <c r="HH144" s="148"/>
      <c r="HI144" s="148"/>
      <c r="HJ144" s="148"/>
      <c r="HK144" s="148"/>
      <c r="HL144" s="148"/>
      <c r="HM144" s="148"/>
      <c r="HN144" s="148"/>
      <c r="HO144" s="148"/>
      <c r="HP144" s="148"/>
      <c r="HQ144" s="148"/>
      <c r="HR144" s="148"/>
      <c r="HS144" s="148"/>
      <c r="HT144" s="148"/>
      <c r="HU144" s="148"/>
      <c r="HV144" s="148"/>
      <c r="HW144" s="148"/>
      <c r="HX144" s="148"/>
      <c r="HY144" s="148"/>
      <c r="HZ144" s="148"/>
      <c r="IA144" s="148"/>
      <c r="IB144" s="148"/>
      <c r="IC144" s="148"/>
      <c r="ID144" s="148"/>
      <c r="IE144" s="148"/>
      <c r="IF144" s="148"/>
      <c r="IG144" s="148"/>
      <c r="IH144" s="148"/>
      <c r="II144" s="148"/>
      <c r="IJ144" s="148"/>
      <c r="IK144" s="148"/>
      <c r="IL144" s="148"/>
      <c r="IM144" s="148"/>
      <c r="IN144" s="148"/>
      <c r="IO144" s="148"/>
      <c r="IP144" s="148"/>
      <c r="IQ144" s="148"/>
      <c r="IR144" s="148"/>
      <c r="IS144" s="148"/>
      <c r="IT144" s="148"/>
      <c r="IU144" s="148"/>
      <c r="IV144" s="148"/>
      <c r="IW144" s="148"/>
      <c r="IX144" s="148"/>
      <c r="IY144" s="148"/>
      <c r="IZ144" s="148"/>
      <c r="JA144" s="148"/>
      <c r="JB144" s="148"/>
    </row>
    <row r="145" spans="22:262" s="15" customFormat="1">
      <c r="V145" s="148"/>
      <c r="W145" s="148"/>
      <c r="X145" s="148"/>
      <c r="Y145" s="148"/>
      <c r="Z145" s="148"/>
      <c r="AA145" s="148"/>
      <c r="AB145" s="148"/>
      <c r="AC145" s="148"/>
      <c r="AD145" s="148"/>
      <c r="AE145" s="148"/>
      <c r="AF145" s="148"/>
      <c r="AG145" s="148"/>
      <c r="AH145" s="148"/>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c r="BI145" s="148"/>
      <c r="BJ145" s="148"/>
      <c r="BK145" s="148"/>
      <c r="BL145" s="148"/>
      <c r="BM145" s="148"/>
      <c r="BN145" s="148"/>
      <c r="BO145" s="148"/>
      <c r="BP145" s="148"/>
      <c r="BQ145" s="148"/>
      <c r="BR145" s="148"/>
      <c r="BS145" s="148"/>
      <c r="BT145" s="148"/>
      <c r="BU145" s="148"/>
      <c r="BV145" s="148"/>
      <c r="BW145" s="148"/>
      <c r="BX145" s="148"/>
      <c r="BY145" s="148"/>
      <c r="BZ145" s="148"/>
      <c r="CA145" s="148"/>
      <c r="CB145" s="148"/>
      <c r="CC145" s="148"/>
      <c r="CD145" s="148"/>
      <c r="CE145" s="148"/>
      <c r="CF145" s="148"/>
      <c r="CG145" s="148"/>
      <c r="CH145" s="148"/>
      <c r="CI145" s="148"/>
      <c r="CJ145" s="148"/>
      <c r="CK145" s="148"/>
      <c r="CL145" s="148"/>
      <c r="CM145" s="148"/>
      <c r="CN145" s="148"/>
      <c r="CO145" s="148"/>
      <c r="CP145" s="148"/>
      <c r="CQ145" s="148"/>
      <c r="CR145" s="148"/>
      <c r="CS145" s="148"/>
      <c r="CT145" s="148"/>
      <c r="CU145" s="148"/>
      <c r="CV145" s="148"/>
      <c r="CW145" s="148"/>
      <c r="CX145" s="148"/>
      <c r="CY145" s="148"/>
      <c r="CZ145" s="148"/>
      <c r="DA145" s="148"/>
      <c r="DB145" s="148"/>
      <c r="DC145" s="148"/>
      <c r="DD145" s="148"/>
      <c r="DE145" s="148"/>
      <c r="DF145" s="148"/>
      <c r="DG145" s="148"/>
      <c r="DH145" s="148"/>
      <c r="DI145" s="148"/>
      <c r="DJ145" s="148"/>
      <c r="DK145" s="148"/>
      <c r="DL145" s="148"/>
      <c r="DM145" s="148"/>
      <c r="DN145" s="148"/>
      <c r="DO145" s="148"/>
      <c r="DP145" s="148"/>
      <c r="DQ145" s="148"/>
      <c r="DR145" s="148"/>
      <c r="DS145" s="148"/>
      <c r="DT145" s="148"/>
      <c r="DU145" s="148"/>
      <c r="DV145" s="148"/>
      <c r="DW145" s="148"/>
      <c r="DX145" s="148"/>
      <c r="DY145" s="148"/>
      <c r="DZ145" s="148"/>
      <c r="EA145" s="148"/>
      <c r="EB145" s="148"/>
      <c r="EC145" s="148"/>
      <c r="ED145" s="148"/>
      <c r="EE145" s="148"/>
      <c r="EF145" s="148"/>
      <c r="EG145" s="148"/>
      <c r="EH145" s="148"/>
      <c r="EI145" s="148"/>
      <c r="EJ145" s="148"/>
      <c r="EK145" s="148"/>
      <c r="EL145" s="148"/>
      <c r="EM145" s="148"/>
      <c r="EN145" s="148"/>
      <c r="EO145" s="148"/>
      <c r="EP145" s="148"/>
      <c r="EQ145" s="148"/>
      <c r="ER145" s="148"/>
      <c r="ES145" s="148"/>
      <c r="ET145" s="148"/>
      <c r="EU145" s="148"/>
      <c r="EV145" s="148"/>
      <c r="EW145" s="148"/>
      <c r="EX145" s="148"/>
      <c r="EY145" s="148"/>
      <c r="EZ145" s="148"/>
      <c r="FA145" s="148"/>
      <c r="FB145" s="148"/>
      <c r="FC145" s="148"/>
      <c r="FD145" s="148"/>
      <c r="FE145" s="148"/>
      <c r="FF145" s="148"/>
      <c r="FG145" s="148"/>
      <c r="FH145" s="148"/>
      <c r="FI145" s="148"/>
      <c r="FJ145" s="148"/>
      <c r="FK145" s="148"/>
      <c r="FL145" s="148"/>
      <c r="FM145" s="148"/>
      <c r="FN145" s="148"/>
      <c r="FO145" s="148"/>
      <c r="FP145" s="148"/>
      <c r="FQ145" s="148"/>
      <c r="FR145" s="148"/>
      <c r="FS145" s="148"/>
      <c r="FT145" s="148"/>
      <c r="FU145" s="148"/>
      <c r="FV145" s="148"/>
      <c r="FW145" s="148"/>
      <c r="FX145" s="148"/>
      <c r="FY145" s="148"/>
      <c r="FZ145" s="148"/>
      <c r="GA145" s="148"/>
      <c r="GB145" s="148"/>
      <c r="GC145" s="148"/>
      <c r="GD145" s="148"/>
      <c r="GE145" s="148"/>
      <c r="GF145" s="148"/>
      <c r="GG145" s="148"/>
      <c r="GH145" s="148"/>
      <c r="GI145" s="148"/>
      <c r="GJ145" s="148"/>
      <c r="GK145" s="148"/>
      <c r="GL145" s="148"/>
      <c r="GM145" s="148"/>
      <c r="GN145" s="148"/>
      <c r="GO145" s="148"/>
      <c r="GP145" s="148"/>
      <c r="GQ145" s="148"/>
      <c r="GR145" s="148"/>
      <c r="GS145" s="148"/>
      <c r="GT145" s="148"/>
      <c r="GU145" s="148"/>
      <c r="GV145" s="148"/>
      <c r="GW145" s="148"/>
      <c r="GX145" s="148"/>
      <c r="GY145" s="148"/>
      <c r="GZ145" s="148"/>
      <c r="HA145" s="148"/>
      <c r="HB145" s="148"/>
      <c r="HC145" s="148"/>
      <c r="HD145" s="148"/>
      <c r="HE145" s="148"/>
      <c r="HF145" s="148"/>
      <c r="HG145" s="148"/>
      <c r="HH145" s="148"/>
      <c r="HI145" s="148"/>
      <c r="HJ145" s="148"/>
      <c r="HK145" s="148"/>
      <c r="HL145" s="148"/>
      <c r="HM145" s="148"/>
      <c r="HN145" s="148"/>
      <c r="HO145" s="148"/>
      <c r="HP145" s="148"/>
      <c r="HQ145" s="148"/>
      <c r="HR145" s="148"/>
      <c r="HS145" s="148"/>
      <c r="HT145" s="148"/>
      <c r="HU145" s="148"/>
      <c r="HV145" s="148"/>
      <c r="HW145" s="148"/>
      <c r="HX145" s="148"/>
      <c r="HY145" s="148"/>
      <c r="HZ145" s="148"/>
      <c r="IA145" s="148"/>
      <c r="IB145" s="148"/>
      <c r="IC145" s="148"/>
      <c r="ID145" s="148"/>
      <c r="IE145" s="148"/>
      <c r="IF145" s="148"/>
      <c r="IG145" s="148"/>
      <c r="IH145" s="148"/>
      <c r="II145" s="148"/>
      <c r="IJ145" s="148"/>
      <c r="IK145" s="148"/>
      <c r="IL145" s="148"/>
      <c r="IM145" s="148"/>
      <c r="IN145" s="148"/>
      <c r="IO145" s="148"/>
      <c r="IP145" s="148"/>
      <c r="IQ145" s="148"/>
      <c r="IR145" s="148"/>
      <c r="IS145" s="148"/>
      <c r="IT145" s="148"/>
      <c r="IU145" s="148"/>
      <c r="IV145" s="148"/>
      <c r="IW145" s="148"/>
      <c r="IX145" s="148"/>
      <c r="IY145" s="148"/>
      <c r="IZ145" s="148"/>
      <c r="JA145" s="148"/>
      <c r="JB145" s="148"/>
    </row>
    <row r="146" spans="22:262" s="15" customFormat="1">
      <c r="V146" s="148"/>
      <c r="W146" s="148"/>
      <c r="X146" s="148"/>
      <c r="Y146" s="148"/>
      <c r="Z146" s="148"/>
      <c r="AA146" s="148"/>
      <c r="AB146" s="148"/>
      <c r="AC146" s="148"/>
      <c r="AD146" s="148"/>
      <c r="AE146" s="148"/>
      <c r="AF146" s="148"/>
      <c r="AG146" s="148"/>
      <c r="AH146" s="148"/>
      <c r="AI146" s="148"/>
      <c r="AJ146" s="148"/>
      <c r="AK146" s="148"/>
      <c r="AL146" s="148"/>
      <c r="AM146" s="148"/>
      <c r="AN146" s="148"/>
      <c r="AO146" s="148"/>
      <c r="AP146" s="148"/>
      <c r="AQ146" s="148"/>
      <c r="AR146" s="148"/>
      <c r="AS146" s="148"/>
      <c r="AT146" s="148"/>
      <c r="AU146" s="148"/>
      <c r="AV146" s="148"/>
      <c r="AW146" s="148"/>
      <c r="AX146" s="148"/>
      <c r="AY146" s="148"/>
      <c r="AZ146" s="148"/>
      <c r="BA146" s="148"/>
      <c r="BB146" s="148"/>
      <c r="BC146" s="148"/>
      <c r="BD146" s="148"/>
      <c r="BE146" s="148"/>
      <c r="BF146" s="148"/>
      <c r="BG146" s="148"/>
      <c r="BH146" s="148"/>
      <c r="BI146" s="148"/>
      <c r="BJ146" s="148"/>
      <c r="BK146" s="148"/>
      <c r="BL146" s="148"/>
      <c r="BM146" s="148"/>
      <c r="BN146" s="148"/>
      <c r="BO146" s="148"/>
      <c r="BP146" s="148"/>
      <c r="BQ146" s="148"/>
      <c r="BR146" s="148"/>
      <c r="BS146" s="148"/>
      <c r="BT146" s="148"/>
      <c r="BU146" s="148"/>
      <c r="BV146" s="148"/>
      <c r="BW146" s="148"/>
      <c r="BX146" s="148"/>
      <c r="BY146" s="148"/>
      <c r="BZ146" s="148"/>
      <c r="CA146" s="148"/>
      <c r="CB146" s="148"/>
      <c r="CC146" s="148"/>
      <c r="CD146" s="148"/>
      <c r="CE146" s="148"/>
      <c r="CF146" s="148"/>
      <c r="CG146" s="148"/>
      <c r="CH146" s="148"/>
      <c r="CI146" s="148"/>
      <c r="CJ146" s="148"/>
      <c r="CK146" s="148"/>
      <c r="CL146" s="148"/>
      <c r="CM146" s="148"/>
      <c r="CN146" s="148"/>
      <c r="CO146" s="148"/>
      <c r="CP146" s="148"/>
      <c r="CQ146" s="148"/>
      <c r="CR146" s="148"/>
      <c r="CS146" s="148"/>
      <c r="CT146" s="148"/>
      <c r="CU146" s="148"/>
      <c r="CV146" s="148"/>
      <c r="CW146" s="148"/>
      <c r="CX146" s="148"/>
      <c r="CY146" s="148"/>
      <c r="CZ146" s="148"/>
      <c r="DA146" s="148"/>
      <c r="DB146" s="148"/>
      <c r="DC146" s="148"/>
      <c r="DD146" s="148"/>
      <c r="DE146" s="148"/>
      <c r="DF146" s="148"/>
      <c r="DG146" s="148"/>
      <c r="DH146" s="148"/>
      <c r="DI146" s="148"/>
      <c r="DJ146" s="148"/>
      <c r="DK146" s="148"/>
      <c r="DL146" s="148"/>
      <c r="DM146" s="148"/>
      <c r="DN146" s="148"/>
      <c r="DO146" s="148"/>
      <c r="DP146" s="148"/>
      <c r="DQ146" s="148"/>
      <c r="DR146" s="148"/>
      <c r="DS146" s="148"/>
      <c r="DT146" s="148"/>
      <c r="DU146" s="148"/>
      <c r="DV146" s="148"/>
      <c r="DW146" s="148"/>
      <c r="DX146" s="148"/>
      <c r="DY146" s="148"/>
      <c r="DZ146" s="148"/>
      <c r="EA146" s="148"/>
      <c r="EB146" s="148"/>
      <c r="EC146" s="148"/>
      <c r="ED146" s="148"/>
      <c r="EE146" s="148"/>
      <c r="EF146" s="148"/>
      <c r="EG146" s="148"/>
      <c r="EH146" s="148"/>
      <c r="EI146" s="148"/>
      <c r="EJ146" s="148"/>
      <c r="EK146" s="148"/>
      <c r="EL146" s="148"/>
      <c r="EM146" s="148"/>
      <c r="EN146" s="148"/>
      <c r="EO146" s="148"/>
      <c r="EP146" s="148"/>
      <c r="EQ146" s="148"/>
      <c r="ER146" s="148"/>
      <c r="ES146" s="148"/>
      <c r="ET146" s="148"/>
      <c r="EU146" s="148"/>
      <c r="EV146" s="148"/>
      <c r="EW146" s="148"/>
      <c r="EX146" s="148"/>
      <c r="EY146" s="148"/>
      <c r="EZ146" s="148"/>
      <c r="FA146" s="148"/>
      <c r="FB146" s="148"/>
      <c r="FC146" s="148"/>
      <c r="FD146" s="148"/>
      <c r="FE146" s="148"/>
      <c r="FF146" s="148"/>
      <c r="FG146" s="148"/>
      <c r="FH146" s="148"/>
      <c r="FI146" s="148"/>
      <c r="FJ146" s="148"/>
      <c r="FK146" s="148"/>
      <c r="FL146" s="148"/>
      <c r="FM146" s="148"/>
      <c r="FN146" s="148"/>
      <c r="FO146" s="148"/>
      <c r="FP146" s="148"/>
      <c r="FQ146" s="148"/>
      <c r="FR146" s="148"/>
      <c r="FS146" s="148"/>
      <c r="FT146" s="148"/>
      <c r="FU146" s="148"/>
      <c r="FV146" s="148"/>
      <c r="FW146" s="148"/>
      <c r="FX146" s="148"/>
      <c r="FY146" s="148"/>
      <c r="FZ146" s="148"/>
      <c r="GA146" s="148"/>
      <c r="GB146" s="148"/>
      <c r="GC146" s="148"/>
      <c r="GD146" s="148"/>
      <c r="GE146" s="148"/>
      <c r="GF146" s="148"/>
      <c r="GG146" s="148"/>
      <c r="GH146" s="148"/>
      <c r="GI146" s="148"/>
      <c r="GJ146" s="148"/>
      <c r="GK146" s="148"/>
      <c r="GL146" s="148"/>
      <c r="GM146" s="148"/>
      <c r="GN146" s="148"/>
      <c r="GO146" s="148"/>
      <c r="GP146" s="148"/>
      <c r="GQ146" s="148"/>
      <c r="GR146" s="148"/>
      <c r="GS146" s="148"/>
      <c r="GT146" s="148"/>
      <c r="GU146" s="148"/>
      <c r="GV146" s="148"/>
      <c r="GW146" s="148"/>
      <c r="GX146" s="148"/>
      <c r="GY146" s="148"/>
      <c r="GZ146" s="148"/>
      <c r="HA146" s="148"/>
      <c r="HB146" s="148"/>
      <c r="HC146" s="148"/>
      <c r="HD146" s="148"/>
      <c r="HE146" s="148"/>
      <c r="HF146" s="148"/>
      <c r="HG146" s="148"/>
      <c r="HH146" s="148"/>
      <c r="HI146" s="148"/>
      <c r="HJ146" s="148"/>
      <c r="HK146" s="148"/>
      <c r="HL146" s="148"/>
      <c r="HM146" s="148"/>
      <c r="HN146" s="148"/>
      <c r="HO146" s="148"/>
      <c r="HP146" s="148"/>
      <c r="HQ146" s="148"/>
      <c r="HR146" s="148"/>
      <c r="HS146" s="148"/>
      <c r="HT146" s="148"/>
      <c r="HU146" s="148"/>
      <c r="HV146" s="148"/>
      <c r="HW146" s="148"/>
      <c r="HX146" s="148"/>
      <c r="HY146" s="148"/>
      <c r="HZ146" s="148"/>
      <c r="IA146" s="148"/>
      <c r="IB146" s="148"/>
      <c r="IC146" s="148"/>
      <c r="ID146" s="148"/>
      <c r="IE146" s="148"/>
      <c r="IF146" s="148"/>
      <c r="IG146" s="148"/>
      <c r="IH146" s="148"/>
      <c r="II146" s="148"/>
      <c r="IJ146" s="148"/>
      <c r="IK146" s="148"/>
      <c r="IL146" s="148"/>
      <c r="IM146" s="148"/>
      <c r="IN146" s="148"/>
      <c r="IO146" s="148"/>
      <c r="IP146" s="148"/>
      <c r="IQ146" s="148"/>
      <c r="IR146" s="148"/>
      <c r="IS146" s="148"/>
      <c r="IT146" s="148"/>
      <c r="IU146" s="148"/>
      <c r="IV146" s="148"/>
      <c r="IW146" s="148"/>
      <c r="IX146" s="148"/>
      <c r="IY146" s="148"/>
      <c r="IZ146" s="148"/>
      <c r="JA146" s="148"/>
      <c r="JB146" s="148"/>
    </row>
    <row r="147" spans="22:262" s="15" customFormat="1">
      <c r="V147" s="148"/>
      <c r="W147" s="148"/>
      <c r="X147" s="148"/>
      <c r="Y147" s="148"/>
      <c r="Z147" s="148"/>
      <c r="AA147" s="148"/>
      <c r="AB147" s="148"/>
      <c r="AC147" s="148"/>
      <c r="AD147" s="148"/>
      <c r="AE147" s="148"/>
      <c r="AF147" s="148"/>
      <c r="AG147" s="148"/>
      <c r="AH147" s="148"/>
      <c r="AI147" s="148"/>
      <c r="AJ147" s="148"/>
      <c r="AK147" s="148"/>
      <c r="AL147" s="148"/>
      <c r="AM147" s="148"/>
      <c r="AN147" s="148"/>
      <c r="AO147" s="148"/>
      <c r="AP147" s="148"/>
      <c r="AQ147" s="148"/>
      <c r="AR147" s="148"/>
      <c r="AS147" s="148"/>
      <c r="AT147" s="148"/>
      <c r="AU147" s="148"/>
      <c r="AV147" s="148"/>
      <c r="AW147" s="148"/>
      <c r="AX147" s="148"/>
      <c r="AY147" s="148"/>
      <c r="AZ147" s="148"/>
      <c r="BA147" s="148"/>
      <c r="BB147" s="148"/>
      <c r="BC147" s="148"/>
      <c r="BD147" s="148"/>
      <c r="BE147" s="148"/>
      <c r="BF147" s="148"/>
      <c r="BG147" s="148"/>
      <c r="BH147" s="148"/>
      <c r="BI147" s="148"/>
      <c r="BJ147" s="148"/>
      <c r="BK147" s="148"/>
      <c r="BL147" s="148"/>
      <c r="BM147" s="148"/>
      <c r="BN147" s="148"/>
      <c r="BO147" s="148"/>
      <c r="BP147" s="148"/>
      <c r="BQ147" s="148"/>
      <c r="BR147" s="148"/>
      <c r="BS147" s="148"/>
      <c r="BT147" s="148"/>
      <c r="BU147" s="148"/>
      <c r="BV147" s="148"/>
      <c r="BW147" s="148"/>
      <c r="BX147" s="148"/>
      <c r="BY147" s="148"/>
      <c r="BZ147" s="148"/>
      <c r="CA147" s="148"/>
      <c r="CB147" s="148"/>
      <c r="CC147" s="148"/>
      <c r="CD147" s="148"/>
      <c r="CE147" s="148"/>
      <c r="CF147" s="148"/>
      <c r="CG147" s="148"/>
      <c r="CH147" s="148"/>
      <c r="CI147" s="148"/>
      <c r="CJ147" s="148"/>
      <c r="CK147" s="148"/>
      <c r="CL147" s="148"/>
      <c r="CM147" s="148"/>
      <c r="CN147" s="148"/>
      <c r="CO147" s="148"/>
      <c r="CP147" s="148"/>
      <c r="CQ147" s="148"/>
      <c r="CR147" s="148"/>
      <c r="CS147" s="148"/>
      <c r="CT147" s="148"/>
      <c r="CU147" s="148"/>
      <c r="CV147" s="148"/>
      <c r="CW147" s="148"/>
      <c r="CX147" s="148"/>
      <c r="CY147" s="148"/>
      <c r="CZ147" s="148"/>
      <c r="DA147" s="148"/>
      <c r="DB147" s="148"/>
      <c r="DC147" s="148"/>
      <c r="DD147" s="148"/>
      <c r="DE147" s="148"/>
      <c r="DF147" s="148"/>
      <c r="DG147" s="148"/>
      <c r="DH147" s="148"/>
      <c r="DI147" s="148"/>
      <c r="DJ147" s="148"/>
      <c r="DK147" s="148"/>
      <c r="DL147" s="148"/>
      <c r="DM147" s="148"/>
      <c r="DN147" s="148"/>
      <c r="DO147" s="148"/>
      <c r="DP147" s="148"/>
      <c r="DQ147" s="148"/>
      <c r="DR147" s="148"/>
      <c r="DS147" s="148"/>
      <c r="DT147" s="148"/>
      <c r="DU147" s="148"/>
      <c r="DV147" s="148"/>
      <c r="DW147" s="148"/>
      <c r="DX147" s="148"/>
      <c r="DY147" s="148"/>
      <c r="DZ147" s="148"/>
      <c r="EA147" s="148"/>
      <c r="EB147" s="148"/>
      <c r="EC147" s="148"/>
      <c r="ED147" s="148"/>
      <c r="EE147" s="148"/>
      <c r="EF147" s="148"/>
      <c r="EG147" s="148"/>
      <c r="EH147" s="148"/>
      <c r="EI147" s="148"/>
      <c r="EJ147" s="148"/>
      <c r="EK147" s="148"/>
      <c r="EL147" s="148"/>
      <c r="EM147" s="148"/>
      <c r="EN147" s="148"/>
      <c r="EO147" s="148"/>
      <c r="EP147" s="148"/>
      <c r="EQ147" s="148"/>
      <c r="ER147" s="148"/>
      <c r="ES147" s="148"/>
      <c r="ET147" s="148"/>
      <c r="EU147" s="148"/>
      <c r="EV147" s="148"/>
      <c r="EW147" s="148"/>
      <c r="EX147" s="148"/>
      <c r="EY147" s="148"/>
      <c r="EZ147" s="148"/>
      <c r="FA147" s="148"/>
      <c r="FB147" s="148"/>
      <c r="FC147" s="148"/>
      <c r="FD147" s="148"/>
      <c r="FE147" s="148"/>
      <c r="FF147" s="148"/>
      <c r="FG147" s="148"/>
      <c r="FH147" s="148"/>
      <c r="FI147" s="148"/>
      <c r="FJ147" s="148"/>
      <c r="FK147" s="148"/>
      <c r="FL147" s="148"/>
      <c r="FM147" s="148"/>
      <c r="FN147" s="148"/>
      <c r="FO147" s="148"/>
      <c r="FP147" s="148"/>
      <c r="FQ147" s="148"/>
      <c r="FR147" s="148"/>
      <c r="FS147" s="148"/>
      <c r="FT147" s="148"/>
      <c r="FU147" s="148"/>
      <c r="FV147" s="148"/>
      <c r="FW147" s="148"/>
      <c r="FX147" s="148"/>
      <c r="FY147" s="148"/>
      <c r="FZ147" s="148"/>
      <c r="GA147" s="148"/>
      <c r="GB147" s="148"/>
      <c r="GC147" s="148"/>
      <c r="GD147" s="148"/>
      <c r="GE147" s="148"/>
      <c r="GF147" s="148"/>
      <c r="GG147" s="148"/>
      <c r="GH147" s="148"/>
      <c r="GI147" s="148"/>
      <c r="GJ147" s="148"/>
      <c r="GK147" s="148"/>
      <c r="GL147" s="148"/>
      <c r="GM147" s="148"/>
      <c r="GN147" s="148"/>
      <c r="GO147" s="148"/>
      <c r="GP147" s="148"/>
      <c r="GQ147" s="148"/>
      <c r="GR147" s="148"/>
      <c r="GS147" s="148"/>
      <c r="GT147" s="148"/>
      <c r="GU147" s="148"/>
      <c r="GV147" s="148"/>
      <c r="GW147" s="148"/>
      <c r="GX147" s="148"/>
      <c r="GY147" s="148"/>
      <c r="GZ147" s="148"/>
      <c r="HA147" s="148"/>
      <c r="HB147" s="148"/>
      <c r="HC147" s="148"/>
      <c r="HD147" s="148"/>
      <c r="HE147" s="148"/>
      <c r="HF147" s="148"/>
      <c r="HG147" s="148"/>
      <c r="HH147" s="148"/>
      <c r="HI147" s="148"/>
      <c r="HJ147" s="148"/>
      <c r="HK147" s="148"/>
      <c r="HL147" s="148"/>
      <c r="HM147" s="148"/>
      <c r="HN147" s="148"/>
      <c r="HO147" s="148"/>
      <c r="HP147" s="148"/>
      <c r="HQ147" s="148"/>
      <c r="HR147" s="148"/>
      <c r="HS147" s="148"/>
      <c r="HT147" s="148"/>
      <c r="HU147" s="148"/>
      <c r="HV147" s="148"/>
      <c r="HW147" s="148"/>
      <c r="HX147" s="148"/>
      <c r="HY147" s="148"/>
      <c r="HZ147" s="148"/>
      <c r="IA147" s="148"/>
      <c r="IB147" s="148"/>
      <c r="IC147" s="148"/>
      <c r="ID147" s="148"/>
      <c r="IE147" s="148"/>
      <c r="IF147" s="148"/>
      <c r="IG147" s="148"/>
      <c r="IH147" s="148"/>
      <c r="II147" s="148"/>
      <c r="IJ147" s="148"/>
      <c r="IK147" s="148"/>
      <c r="IL147" s="148"/>
      <c r="IM147" s="148"/>
      <c r="IN147" s="148"/>
      <c r="IO147" s="148"/>
      <c r="IP147" s="148"/>
      <c r="IQ147" s="148"/>
      <c r="IR147" s="148"/>
      <c r="IS147" s="148"/>
      <c r="IT147" s="148"/>
      <c r="IU147" s="148"/>
      <c r="IV147" s="148"/>
      <c r="IW147" s="148"/>
      <c r="IX147" s="148"/>
      <c r="IY147" s="148"/>
      <c r="IZ147" s="148"/>
      <c r="JA147" s="148"/>
      <c r="JB147" s="148"/>
    </row>
    <row r="148" spans="22:262" s="15" customFormat="1">
      <c r="V148" s="148"/>
      <c r="W148" s="148"/>
      <c r="X148" s="148"/>
      <c r="Y148" s="148"/>
      <c r="Z148" s="148"/>
      <c r="AA148" s="148"/>
      <c r="AB148" s="148"/>
      <c r="AC148" s="148"/>
      <c r="AD148" s="148"/>
      <c r="AE148" s="148"/>
      <c r="AF148" s="148"/>
      <c r="AG148" s="148"/>
      <c r="AH148" s="148"/>
      <c r="AI148" s="148"/>
      <c r="AJ148" s="148"/>
      <c r="AK148" s="148"/>
      <c r="AL148" s="148"/>
      <c r="AM148" s="148"/>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8"/>
      <c r="BR148" s="148"/>
      <c r="BS148" s="148"/>
      <c r="BT148" s="148"/>
      <c r="BU148" s="148"/>
      <c r="BV148" s="148"/>
      <c r="BW148" s="148"/>
      <c r="BX148" s="148"/>
      <c r="BY148" s="148"/>
      <c r="BZ148" s="148"/>
      <c r="CA148" s="148"/>
      <c r="CB148" s="148"/>
      <c r="CC148" s="148"/>
      <c r="CD148" s="148"/>
      <c r="CE148" s="148"/>
      <c r="CF148" s="148"/>
      <c r="CG148" s="148"/>
      <c r="CH148" s="148"/>
      <c r="CI148" s="148"/>
      <c r="CJ148" s="148"/>
      <c r="CK148" s="148"/>
      <c r="CL148" s="148"/>
      <c r="CM148" s="148"/>
      <c r="CN148" s="148"/>
      <c r="CO148" s="148"/>
      <c r="CP148" s="148"/>
      <c r="CQ148" s="148"/>
      <c r="CR148" s="148"/>
      <c r="CS148" s="148"/>
      <c r="CT148" s="148"/>
      <c r="CU148" s="148"/>
      <c r="CV148" s="148"/>
      <c r="CW148" s="148"/>
      <c r="CX148" s="148"/>
      <c r="CY148" s="148"/>
      <c r="CZ148" s="148"/>
      <c r="DA148" s="148"/>
      <c r="DB148" s="148"/>
      <c r="DC148" s="148"/>
      <c r="DD148" s="148"/>
      <c r="DE148" s="148"/>
      <c r="DF148" s="148"/>
      <c r="DG148" s="148"/>
      <c r="DH148" s="148"/>
      <c r="DI148" s="148"/>
      <c r="DJ148" s="148"/>
      <c r="DK148" s="148"/>
      <c r="DL148" s="148"/>
      <c r="DM148" s="148"/>
      <c r="DN148" s="148"/>
      <c r="DO148" s="148"/>
      <c r="DP148" s="148"/>
      <c r="DQ148" s="148"/>
      <c r="DR148" s="148"/>
      <c r="DS148" s="148"/>
      <c r="DT148" s="148"/>
      <c r="DU148" s="148"/>
      <c r="DV148" s="148"/>
      <c r="DW148" s="148"/>
      <c r="DX148" s="148"/>
      <c r="DY148" s="148"/>
      <c r="DZ148" s="148"/>
      <c r="EA148" s="148"/>
      <c r="EB148" s="148"/>
      <c r="EC148" s="148"/>
      <c r="ED148" s="148"/>
      <c r="EE148" s="148"/>
      <c r="EF148" s="148"/>
      <c r="EG148" s="148"/>
      <c r="EH148" s="148"/>
      <c r="EI148" s="148"/>
      <c r="EJ148" s="148"/>
      <c r="EK148" s="148"/>
      <c r="EL148" s="148"/>
      <c r="EM148" s="148"/>
      <c r="EN148" s="148"/>
      <c r="EO148" s="148"/>
      <c r="EP148" s="148"/>
      <c r="EQ148" s="148"/>
      <c r="ER148" s="148"/>
      <c r="ES148" s="148"/>
      <c r="ET148" s="148"/>
      <c r="EU148" s="148"/>
      <c r="EV148" s="148"/>
      <c r="EW148" s="148"/>
      <c r="EX148" s="148"/>
      <c r="EY148" s="148"/>
      <c r="EZ148" s="148"/>
      <c r="FA148" s="148"/>
      <c r="FB148" s="148"/>
      <c r="FC148" s="148"/>
      <c r="FD148" s="148"/>
      <c r="FE148" s="148"/>
      <c r="FF148" s="148"/>
      <c r="FG148" s="148"/>
      <c r="FH148" s="148"/>
      <c r="FI148" s="148"/>
      <c r="FJ148" s="148"/>
      <c r="FK148" s="148"/>
      <c r="FL148" s="148"/>
      <c r="FM148" s="148"/>
      <c r="FN148" s="148"/>
      <c r="FO148" s="148"/>
      <c r="FP148" s="148"/>
      <c r="FQ148" s="148"/>
      <c r="FR148" s="148"/>
      <c r="FS148" s="148"/>
      <c r="FT148" s="148"/>
      <c r="FU148" s="148"/>
      <c r="FV148" s="148"/>
      <c r="FW148" s="148"/>
      <c r="FX148" s="148"/>
      <c r="FY148" s="148"/>
      <c r="FZ148" s="148"/>
      <c r="GA148" s="148"/>
      <c r="GB148" s="148"/>
      <c r="GC148" s="148"/>
      <c r="GD148" s="148"/>
      <c r="GE148" s="148"/>
      <c r="GF148" s="148"/>
      <c r="GG148" s="148"/>
      <c r="GH148" s="148"/>
      <c r="GI148" s="148"/>
      <c r="GJ148" s="148"/>
      <c r="GK148" s="148"/>
      <c r="GL148" s="148"/>
      <c r="GM148" s="148"/>
      <c r="GN148" s="148"/>
      <c r="GO148" s="148"/>
      <c r="GP148" s="148"/>
      <c r="GQ148" s="148"/>
      <c r="GR148" s="148"/>
      <c r="GS148" s="148"/>
      <c r="GT148" s="148"/>
      <c r="GU148" s="148"/>
      <c r="GV148" s="148"/>
      <c r="GW148" s="148"/>
      <c r="GX148" s="148"/>
      <c r="GY148" s="148"/>
      <c r="GZ148" s="148"/>
      <c r="HA148" s="148"/>
      <c r="HB148" s="148"/>
      <c r="HC148" s="148"/>
      <c r="HD148" s="148"/>
      <c r="HE148" s="148"/>
      <c r="HF148" s="148"/>
      <c r="HG148" s="148"/>
      <c r="HH148" s="148"/>
      <c r="HI148" s="148"/>
      <c r="HJ148" s="148"/>
      <c r="HK148" s="148"/>
      <c r="HL148" s="148"/>
      <c r="HM148" s="148"/>
      <c r="HN148" s="148"/>
      <c r="HO148" s="148"/>
      <c r="HP148" s="148"/>
      <c r="HQ148" s="148"/>
      <c r="HR148" s="148"/>
      <c r="HS148" s="148"/>
      <c r="HT148" s="148"/>
      <c r="HU148" s="148"/>
      <c r="HV148" s="148"/>
      <c r="HW148" s="148"/>
      <c r="HX148" s="148"/>
      <c r="HY148" s="148"/>
      <c r="HZ148" s="148"/>
      <c r="IA148" s="148"/>
      <c r="IB148" s="148"/>
      <c r="IC148" s="148"/>
      <c r="ID148" s="148"/>
      <c r="IE148" s="148"/>
      <c r="IF148" s="148"/>
      <c r="IG148" s="148"/>
      <c r="IH148" s="148"/>
      <c r="II148" s="148"/>
      <c r="IJ148" s="148"/>
      <c r="IK148" s="148"/>
      <c r="IL148" s="148"/>
      <c r="IM148" s="148"/>
      <c r="IN148" s="148"/>
      <c r="IO148" s="148"/>
      <c r="IP148" s="148"/>
      <c r="IQ148" s="148"/>
      <c r="IR148" s="148"/>
      <c r="IS148" s="148"/>
      <c r="IT148" s="148"/>
      <c r="IU148" s="148"/>
      <c r="IV148" s="148"/>
      <c r="IW148" s="148"/>
      <c r="IX148" s="148"/>
      <c r="IY148" s="148"/>
      <c r="IZ148" s="148"/>
      <c r="JA148" s="148"/>
      <c r="JB148" s="148"/>
    </row>
    <row r="149" spans="22:262" s="15" customFormat="1">
      <c r="V149" s="148"/>
      <c r="W149" s="148"/>
      <c r="X149" s="148"/>
      <c r="Y149" s="148"/>
      <c r="Z149" s="148"/>
      <c r="AA149" s="148"/>
      <c r="AB149" s="148"/>
      <c r="AC149" s="148"/>
      <c r="AD149" s="148"/>
      <c r="AE149" s="148"/>
      <c r="AF149" s="148"/>
      <c r="AG149" s="148"/>
      <c r="AH149" s="148"/>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8"/>
      <c r="BR149" s="148"/>
      <c r="BS149" s="148"/>
      <c r="BT149" s="148"/>
      <c r="BU149" s="148"/>
      <c r="BV149" s="148"/>
      <c r="BW149" s="148"/>
      <c r="BX149" s="148"/>
      <c r="BY149" s="148"/>
      <c r="BZ149" s="148"/>
      <c r="CA149" s="148"/>
      <c r="CB149" s="148"/>
      <c r="CC149" s="148"/>
      <c r="CD149" s="148"/>
      <c r="CE149" s="148"/>
      <c r="CF149" s="148"/>
      <c r="CG149" s="148"/>
      <c r="CH149" s="148"/>
      <c r="CI149" s="148"/>
      <c r="CJ149" s="148"/>
      <c r="CK149" s="148"/>
      <c r="CL149" s="148"/>
      <c r="CM149" s="148"/>
      <c r="CN149" s="148"/>
      <c r="CO149" s="148"/>
      <c r="CP149" s="148"/>
      <c r="CQ149" s="148"/>
      <c r="CR149" s="148"/>
      <c r="CS149" s="148"/>
      <c r="CT149" s="148"/>
      <c r="CU149" s="148"/>
      <c r="CV149" s="148"/>
      <c r="CW149" s="148"/>
      <c r="CX149" s="148"/>
      <c r="CY149" s="148"/>
      <c r="CZ149" s="148"/>
      <c r="DA149" s="148"/>
      <c r="DB149" s="148"/>
      <c r="DC149" s="148"/>
      <c r="DD149" s="148"/>
      <c r="DE149" s="148"/>
      <c r="DF149" s="148"/>
      <c r="DG149" s="148"/>
      <c r="DH149" s="148"/>
      <c r="DI149" s="148"/>
      <c r="DJ149" s="148"/>
      <c r="DK149" s="148"/>
      <c r="DL149" s="148"/>
      <c r="DM149" s="148"/>
      <c r="DN149" s="148"/>
      <c r="DO149" s="148"/>
      <c r="DP149" s="148"/>
      <c r="DQ149" s="148"/>
      <c r="DR149" s="148"/>
      <c r="DS149" s="148"/>
      <c r="DT149" s="148"/>
      <c r="DU149" s="148"/>
      <c r="DV149" s="148"/>
      <c r="DW149" s="148"/>
      <c r="DX149" s="148"/>
      <c r="DY149" s="148"/>
      <c r="DZ149" s="148"/>
      <c r="EA149" s="148"/>
      <c r="EB149" s="148"/>
      <c r="EC149" s="148"/>
      <c r="ED149" s="148"/>
      <c r="EE149" s="148"/>
      <c r="EF149" s="148"/>
      <c r="EG149" s="148"/>
      <c r="EH149" s="148"/>
      <c r="EI149" s="148"/>
      <c r="EJ149" s="148"/>
      <c r="EK149" s="148"/>
      <c r="EL149" s="148"/>
      <c r="EM149" s="148"/>
      <c r="EN149" s="148"/>
      <c r="EO149" s="148"/>
      <c r="EP149" s="148"/>
      <c r="EQ149" s="148"/>
      <c r="ER149" s="148"/>
      <c r="ES149" s="148"/>
      <c r="ET149" s="148"/>
      <c r="EU149" s="148"/>
      <c r="EV149" s="148"/>
      <c r="EW149" s="148"/>
      <c r="EX149" s="148"/>
      <c r="EY149" s="148"/>
      <c r="EZ149" s="148"/>
      <c r="FA149" s="148"/>
      <c r="FB149" s="148"/>
      <c r="FC149" s="148"/>
      <c r="FD149" s="148"/>
      <c r="FE149" s="148"/>
      <c r="FF149" s="148"/>
      <c r="FG149" s="148"/>
      <c r="FH149" s="148"/>
      <c r="FI149" s="148"/>
      <c r="FJ149" s="148"/>
      <c r="FK149" s="148"/>
      <c r="FL149" s="148"/>
      <c r="FM149" s="148"/>
      <c r="FN149" s="148"/>
      <c r="FO149" s="148"/>
      <c r="FP149" s="148"/>
      <c r="FQ149" s="148"/>
      <c r="FR149" s="148"/>
      <c r="FS149" s="148"/>
      <c r="FT149" s="148"/>
      <c r="FU149" s="148"/>
      <c r="FV149" s="148"/>
      <c r="FW149" s="148"/>
      <c r="FX149" s="148"/>
      <c r="FY149" s="148"/>
      <c r="FZ149" s="148"/>
      <c r="GA149" s="148"/>
      <c r="GB149" s="148"/>
      <c r="GC149" s="148"/>
      <c r="GD149" s="148"/>
      <c r="GE149" s="148"/>
      <c r="GF149" s="148"/>
      <c r="GG149" s="148"/>
      <c r="GH149" s="148"/>
      <c r="GI149" s="148"/>
      <c r="GJ149" s="148"/>
      <c r="GK149" s="148"/>
      <c r="GL149" s="148"/>
      <c r="GM149" s="148"/>
      <c r="GN149" s="148"/>
      <c r="GO149" s="148"/>
      <c r="GP149" s="148"/>
      <c r="GQ149" s="148"/>
      <c r="GR149" s="148"/>
      <c r="GS149" s="148"/>
      <c r="GT149" s="148"/>
      <c r="GU149" s="148"/>
      <c r="GV149" s="148"/>
      <c r="GW149" s="148"/>
      <c r="GX149" s="148"/>
      <c r="GY149" s="148"/>
      <c r="GZ149" s="148"/>
      <c r="HA149" s="148"/>
      <c r="HB149" s="148"/>
      <c r="HC149" s="148"/>
      <c r="HD149" s="148"/>
      <c r="HE149" s="148"/>
      <c r="HF149" s="148"/>
      <c r="HG149" s="148"/>
      <c r="HH149" s="148"/>
      <c r="HI149" s="148"/>
      <c r="HJ149" s="148"/>
      <c r="HK149" s="148"/>
      <c r="HL149" s="148"/>
      <c r="HM149" s="148"/>
      <c r="HN149" s="148"/>
      <c r="HO149" s="148"/>
      <c r="HP149" s="148"/>
      <c r="HQ149" s="148"/>
      <c r="HR149" s="148"/>
      <c r="HS149" s="148"/>
      <c r="HT149" s="148"/>
      <c r="HU149" s="148"/>
      <c r="HV149" s="148"/>
      <c r="HW149" s="148"/>
      <c r="HX149" s="148"/>
      <c r="HY149" s="148"/>
      <c r="HZ149" s="148"/>
      <c r="IA149" s="148"/>
      <c r="IB149" s="148"/>
      <c r="IC149" s="148"/>
      <c r="ID149" s="148"/>
      <c r="IE149" s="148"/>
      <c r="IF149" s="148"/>
      <c r="IG149" s="148"/>
      <c r="IH149" s="148"/>
      <c r="II149" s="148"/>
      <c r="IJ149" s="148"/>
      <c r="IK149" s="148"/>
      <c r="IL149" s="148"/>
      <c r="IM149" s="148"/>
      <c r="IN149" s="148"/>
      <c r="IO149" s="148"/>
      <c r="IP149" s="148"/>
      <c r="IQ149" s="148"/>
      <c r="IR149" s="148"/>
      <c r="IS149" s="148"/>
      <c r="IT149" s="148"/>
      <c r="IU149" s="148"/>
      <c r="IV149" s="148"/>
      <c r="IW149" s="148"/>
      <c r="IX149" s="148"/>
      <c r="IY149" s="148"/>
      <c r="IZ149" s="148"/>
      <c r="JA149" s="148"/>
      <c r="JB149" s="148"/>
    </row>
    <row r="150" spans="22:262" s="15" customFormat="1">
      <c r="V150" s="148"/>
      <c r="W150" s="148"/>
      <c r="X150" s="148"/>
      <c r="Y150" s="148"/>
      <c r="Z150" s="148"/>
      <c r="AA150" s="148"/>
      <c r="AB150" s="148"/>
      <c r="AC150" s="148"/>
      <c r="AD150" s="148"/>
      <c r="AE150" s="148"/>
      <c r="AF150" s="148"/>
      <c r="AG150" s="148"/>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8"/>
      <c r="BR150" s="148"/>
      <c r="BS150" s="148"/>
      <c r="BT150" s="148"/>
      <c r="BU150" s="148"/>
      <c r="BV150" s="148"/>
      <c r="BW150" s="148"/>
      <c r="BX150" s="148"/>
      <c r="BY150" s="148"/>
      <c r="BZ150" s="148"/>
      <c r="CA150" s="148"/>
      <c r="CB150" s="148"/>
      <c r="CC150" s="148"/>
      <c r="CD150" s="148"/>
      <c r="CE150" s="148"/>
      <c r="CF150" s="148"/>
      <c r="CG150" s="148"/>
      <c r="CH150" s="148"/>
      <c r="CI150" s="148"/>
      <c r="CJ150" s="148"/>
      <c r="CK150" s="148"/>
      <c r="CL150" s="148"/>
      <c r="CM150" s="148"/>
      <c r="CN150" s="148"/>
      <c r="CO150" s="148"/>
      <c r="CP150" s="148"/>
      <c r="CQ150" s="148"/>
      <c r="CR150" s="148"/>
      <c r="CS150" s="148"/>
      <c r="CT150" s="148"/>
      <c r="CU150" s="148"/>
      <c r="CV150" s="148"/>
      <c r="CW150" s="148"/>
      <c r="CX150" s="148"/>
      <c r="CY150" s="148"/>
      <c r="CZ150" s="148"/>
      <c r="DA150" s="148"/>
      <c r="DB150" s="148"/>
      <c r="DC150" s="148"/>
      <c r="DD150" s="148"/>
      <c r="DE150" s="148"/>
      <c r="DF150" s="148"/>
      <c r="DG150" s="148"/>
      <c r="DH150" s="148"/>
      <c r="DI150" s="148"/>
      <c r="DJ150" s="148"/>
      <c r="DK150" s="148"/>
      <c r="DL150" s="148"/>
      <c r="DM150" s="148"/>
      <c r="DN150" s="148"/>
      <c r="DO150" s="148"/>
      <c r="DP150" s="148"/>
      <c r="DQ150" s="148"/>
      <c r="DR150" s="148"/>
      <c r="DS150" s="148"/>
      <c r="DT150" s="148"/>
      <c r="DU150" s="148"/>
      <c r="DV150" s="148"/>
      <c r="DW150" s="148"/>
      <c r="DX150" s="148"/>
      <c r="DY150" s="148"/>
      <c r="DZ150" s="148"/>
      <c r="EA150" s="148"/>
      <c r="EB150" s="148"/>
      <c r="EC150" s="148"/>
      <c r="ED150" s="148"/>
      <c r="EE150" s="148"/>
      <c r="EF150" s="148"/>
      <c r="EG150" s="148"/>
      <c r="EH150" s="148"/>
      <c r="EI150" s="148"/>
      <c r="EJ150" s="148"/>
      <c r="EK150" s="148"/>
      <c r="EL150" s="148"/>
      <c r="EM150" s="148"/>
      <c r="EN150" s="148"/>
      <c r="EO150" s="148"/>
      <c r="EP150" s="148"/>
      <c r="EQ150" s="148"/>
      <c r="ER150" s="148"/>
      <c r="ES150" s="148"/>
      <c r="ET150" s="148"/>
      <c r="EU150" s="148"/>
      <c r="EV150" s="148"/>
      <c r="EW150" s="148"/>
      <c r="EX150" s="148"/>
      <c r="EY150" s="148"/>
      <c r="EZ150" s="148"/>
      <c r="FA150" s="148"/>
      <c r="FB150" s="148"/>
      <c r="FC150" s="148"/>
      <c r="FD150" s="148"/>
      <c r="FE150" s="148"/>
      <c r="FF150" s="148"/>
      <c r="FG150" s="148"/>
      <c r="FH150" s="148"/>
      <c r="FI150" s="148"/>
      <c r="FJ150" s="148"/>
      <c r="FK150" s="148"/>
      <c r="FL150" s="148"/>
      <c r="FM150" s="148"/>
      <c r="FN150" s="148"/>
      <c r="FO150" s="148"/>
      <c r="FP150" s="148"/>
      <c r="FQ150" s="148"/>
      <c r="FR150" s="148"/>
      <c r="FS150" s="148"/>
      <c r="FT150" s="148"/>
      <c r="FU150" s="148"/>
      <c r="FV150" s="148"/>
      <c r="FW150" s="148"/>
      <c r="FX150" s="148"/>
      <c r="FY150" s="148"/>
      <c r="FZ150" s="148"/>
      <c r="GA150" s="148"/>
      <c r="GB150" s="148"/>
      <c r="GC150" s="148"/>
      <c r="GD150" s="148"/>
      <c r="GE150" s="148"/>
      <c r="GF150" s="148"/>
      <c r="GG150" s="148"/>
      <c r="GH150" s="148"/>
      <c r="GI150" s="148"/>
      <c r="GJ150" s="148"/>
      <c r="GK150" s="148"/>
      <c r="GL150" s="148"/>
      <c r="GM150" s="148"/>
      <c r="GN150" s="148"/>
      <c r="GO150" s="148"/>
      <c r="GP150" s="148"/>
      <c r="GQ150" s="148"/>
      <c r="GR150" s="148"/>
      <c r="GS150" s="148"/>
      <c r="GT150" s="148"/>
      <c r="GU150" s="148"/>
      <c r="GV150" s="148"/>
      <c r="GW150" s="148"/>
      <c r="GX150" s="148"/>
      <c r="GY150" s="148"/>
      <c r="GZ150" s="148"/>
      <c r="HA150" s="148"/>
      <c r="HB150" s="148"/>
      <c r="HC150" s="148"/>
      <c r="HD150" s="148"/>
      <c r="HE150" s="148"/>
      <c r="HF150" s="148"/>
      <c r="HG150" s="148"/>
      <c r="HH150" s="148"/>
      <c r="HI150" s="148"/>
      <c r="HJ150" s="148"/>
      <c r="HK150" s="148"/>
      <c r="HL150" s="148"/>
      <c r="HM150" s="148"/>
      <c r="HN150" s="148"/>
      <c r="HO150" s="148"/>
      <c r="HP150" s="148"/>
      <c r="HQ150" s="148"/>
      <c r="HR150" s="148"/>
      <c r="HS150" s="148"/>
      <c r="HT150" s="148"/>
      <c r="HU150" s="148"/>
      <c r="HV150" s="148"/>
      <c r="HW150" s="148"/>
      <c r="HX150" s="148"/>
      <c r="HY150" s="148"/>
      <c r="HZ150" s="148"/>
      <c r="IA150" s="148"/>
      <c r="IB150" s="148"/>
      <c r="IC150" s="148"/>
      <c r="ID150" s="148"/>
      <c r="IE150" s="148"/>
      <c r="IF150" s="148"/>
      <c r="IG150" s="148"/>
      <c r="IH150" s="148"/>
      <c r="II150" s="148"/>
      <c r="IJ150" s="148"/>
      <c r="IK150" s="148"/>
      <c r="IL150" s="148"/>
      <c r="IM150" s="148"/>
      <c r="IN150" s="148"/>
      <c r="IO150" s="148"/>
      <c r="IP150" s="148"/>
      <c r="IQ150" s="148"/>
      <c r="IR150" s="148"/>
      <c r="IS150" s="148"/>
      <c r="IT150" s="148"/>
      <c r="IU150" s="148"/>
      <c r="IV150" s="148"/>
      <c r="IW150" s="148"/>
      <c r="IX150" s="148"/>
      <c r="IY150" s="148"/>
      <c r="IZ150" s="148"/>
      <c r="JA150" s="148"/>
      <c r="JB150" s="148"/>
    </row>
    <row r="151" spans="22:262" s="15" customFormat="1">
      <c r="V151" s="148"/>
      <c r="W151" s="148"/>
      <c r="X151" s="148"/>
      <c r="Y151" s="148"/>
      <c r="Z151" s="148"/>
      <c r="AA151" s="148"/>
      <c r="AB151" s="148"/>
      <c r="AC151" s="148"/>
      <c r="AD151" s="148"/>
      <c r="AE151" s="148"/>
      <c r="AF151" s="148"/>
      <c r="AG151" s="148"/>
      <c r="AH151" s="148"/>
      <c r="AI151" s="148"/>
      <c r="AJ151" s="148"/>
      <c r="AK151" s="148"/>
      <c r="AL151" s="148"/>
      <c r="AM151" s="148"/>
      <c r="AN151" s="148"/>
      <c r="AO151" s="148"/>
      <c r="AP151" s="148"/>
      <c r="AQ151" s="148"/>
      <c r="AR151" s="148"/>
      <c r="AS151" s="148"/>
      <c r="AT151" s="148"/>
      <c r="AU151" s="148"/>
      <c r="AV151" s="148"/>
      <c r="AW151" s="148"/>
      <c r="AX151" s="148"/>
      <c r="AY151" s="148"/>
      <c r="AZ151" s="148"/>
      <c r="BA151" s="148"/>
      <c r="BB151" s="148"/>
      <c r="BC151" s="148"/>
      <c r="BD151" s="148"/>
      <c r="BE151" s="148"/>
      <c r="BF151" s="148"/>
      <c r="BG151" s="148"/>
      <c r="BH151" s="148"/>
      <c r="BI151" s="148"/>
      <c r="BJ151" s="148"/>
      <c r="BK151" s="148"/>
      <c r="BL151" s="148"/>
      <c r="BM151" s="148"/>
      <c r="BN151" s="148"/>
      <c r="BO151" s="148"/>
      <c r="BP151" s="148"/>
      <c r="BQ151" s="148"/>
      <c r="BR151" s="148"/>
      <c r="BS151" s="148"/>
      <c r="BT151" s="148"/>
      <c r="BU151" s="148"/>
      <c r="BV151" s="148"/>
      <c r="BW151" s="148"/>
      <c r="BX151" s="148"/>
      <c r="BY151" s="148"/>
      <c r="BZ151" s="148"/>
      <c r="CA151" s="148"/>
      <c r="CB151" s="148"/>
      <c r="CC151" s="148"/>
      <c r="CD151" s="148"/>
      <c r="CE151" s="148"/>
      <c r="CF151" s="148"/>
      <c r="CG151" s="148"/>
      <c r="CH151" s="148"/>
      <c r="CI151" s="148"/>
      <c r="CJ151" s="148"/>
      <c r="CK151" s="148"/>
      <c r="CL151" s="148"/>
      <c r="CM151" s="148"/>
      <c r="CN151" s="148"/>
      <c r="CO151" s="148"/>
      <c r="CP151" s="148"/>
      <c r="CQ151" s="148"/>
      <c r="CR151" s="148"/>
      <c r="CS151" s="148"/>
      <c r="CT151" s="148"/>
      <c r="CU151" s="148"/>
      <c r="CV151" s="148"/>
      <c r="CW151" s="148"/>
      <c r="CX151" s="148"/>
      <c r="CY151" s="148"/>
      <c r="CZ151" s="148"/>
      <c r="DA151" s="148"/>
      <c r="DB151" s="148"/>
      <c r="DC151" s="148"/>
      <c r="DD151" s="148"/>
      <c r="DE151" s="148"/>
      <c r="DF151" s="148"/>
      <c r="DG151" s="148"/>
      <c r="DH151" s="148"/>
      <c r="DI151" s="148"/>
      <c r="DJ151" s="148"/>
      <c r="DK151" s="148"/>
      <c r="DL151" s="148"/>
      <c r="DM151" s="148"/>
      <c r="DN151" s="148"/>
      <c r="DO151" s="148"/>
      <c r="DP151" s="148"/>
      <c r="DQ151" s="148"/>
      <c r="DR151" s="148"/>
      <c r="DS151" s="148"/>
      <c r="DT151" s="148"/>
      <c r="DU151" s="148"/>
      <c r="DV151" s="148"/>
      <c r="DW151" s="148"/>
      <c r="DX151" s="148"/>
      <c r="DY151" s="148"/>
      <c r="DZ151" s="148"/>
      <c r="EA151" s="148"/>
      <c r="EB151" s="148"/>
      <c r="EC151" s="148"/>
      <c r="ED151" s="148"/>
      <c r="EE151" s="148"/>
      <c r="EF151" s="148"/>
      <c r="EG151" s="148"/>
      <c r="EH151" s="148"/>
      <c r="EI151" s="148"/>
      <c r="EJ151" s="148"/>
      <c r="EK151" s="148"/>
      <c r="EL151" s="148"/>
      <c r="EM151" s="148"/>
      <c r="EN151" s="148"/>
      <c r="EO151" s="148"/>
      <c r="EP151" s="148"/>
      <c r="EQ151" s="148"/>
      <c r="ER151" s="148"/>
      <c r="ES151" s="148"/>
      <c r="ET151" s="148"/>
      <c r="EU151" s="148"/>
      <c r="EV151" s="148"/>
      <c r="EW151" s="148"/>
      <c r="EX151" s="148"/>
      <c r="EY151" s="148"/>
      <c r="EZ151" s="148"/>
      <c r="FA151" s="148"/>
      <c r="FB151" s="148"/>
      <c r="FC151" s="148"/>
      <c r="FD151" s="148"/>
      <c r="FE151" s="148"/>
      <c r="FF151" s="148"/>
      <c r="FG151" s="148"/>
      <c r="FH151" s="148"/>
      <c r="FI151" s="148"/>
      <c r="FJ151" s="148"/>
      <c r="FK151" s="148"/>
      <c r="FL151" s="148"/>
      <c r="FM151" s="148"/>
      <c r="FN151" s="148"/>
      <c r="FO151" s="148"/>
      <c r="FP151" s="148"/>
      <c r="FQ151" s="148"/>
      <c r="FR151" s="148"/>
      <c r="FS151" s="148"/>
      <c r="FT151" s="148"/>
      <c r="FU151" s="148"/>
      <c r="FV151" s="148"/>
      <c r="FW151" s="148"/>
      <c r="FX151" s="148"/>
      <c r="FY151" s="148"/>
      <c r="FZ151" s="148"/>
      <c r="GA151" s="148"/>
      <c r="GB151" s="148"/>
      <c r="GC151" s="148"/>
      <c r="GD151" s="148"/>
      <c r="GE151" s="148"/>
      <c r="GF151" s="148"/>
      <c r="GG151" s="148"/>
      <c r="GH151" s="148"/>
      <c r="GI151" s="148"/>
      <c r="GJ151" s="148"/>
      <c r="GK151" s="148"/>
      <c r="GL151" s="148"/>
      <c r="GM151" s="148"/>
      <c r="GN151" s="148"/>
      <c r="GO151" s="148"/>
      <c r="GP151" s="148"/>
      <c r="GQ151" s="148"/>
      <c r="GR151" s="148"/>
      <c r="GS151" s="148"/>
      <c r="GT151" s="148"/>
      <c r="GU151" s="148"/>
      <c r="GV151" s="148"/>
      <c r="GW151" s="148"/>
      <c r="GX151" s="148"/>
      <c r="GY151" s="148"/>
      <c r="GZ151" s="148"/>
      <c r="HA151" s="148"/>
      <c r="HB151" s="148"/>
      <c r="HC151" s="148"/>
      <c r="HD151" s="148"/>
      <c r="HE151" s="148"/>
      <c r="HF151" s="148"/>
      <c r="HG151" s="148"/>
      <c r="HH151" s="148"/>
      <c r="HI151" s="148"/>
      <c r="HJ151" s="148"/>
      <c r="HK151" s="148"/>
      <c r="HL151" s="148"/>
      <c r="HM151" s="148"/>
      <c r="HN151" s="148"/>
      <c r="HO151" s="148"/>
      <c r="HP151" s="148"/>
      <c r="HQ151" s="148"/>
      <c r="HR151" s="148"/>
      <c r="HS151" s="148"/>
      <c r="HT151" s="148"/>
      <c r="HU151" s="148"/>
      <c r="HV151" s="148"/>
      <c r="HW151" s="148"/>
      <c r="HX151" s="148"/>
      <c r="HY151" s="148"/>
      <c r="HZ151" s="148"/>
      <c r="IA151" s="148"/>
      <c r="IB151" s="148"/>
      <c r="IC151" s="148"/>
      <c r="ID151" s="148"/>
      <c r="IE151" s="148"/>
      <c r="IF151" s="148"/>
      <c r="IG151" s="148"/>
      <c r="IH151" s="148"/>
      <c r="II151" s="148"/>
      <c r="IJ151" s="148"/>
      <c r="IK151" s="148"/>
      <c r="IL151" s="148"/>
      <c r="IM151" s="148"/>
      <c r="IN151" s="148"/>
      <c r="IO151" s="148"/>
      <c r="IP151" s="148"/>
      <c r="IQ151" s="148"/>
      <c r="IR151" s="148"/>
      <c r="IS151" s="148"/>
      <c r="IT151" s="148"/>
      <c r="IU151" s="148"/>
      <c r="IV151" s="148"/>
      <c r="IW151" s="148"/>
      <c r="IX151" s="148"/>
      <c r="IY151" s="148"/>
      <c r="IZ151" s="148"/>
      <c r="JA151" s="148"/>
      <c r="JB151" s="148"/>
    </row>
    <row r="152" spans="22:262" s="15" customFormat="1">
      <c r="V152" s="148"/>
      <c r="W152" s="148"/>
      <c r="X152" s="148"/>
      <c r="Y152" s="148"/>
      <c r="Z152" s="148"/>
      <c r="AA152" s="148"/>
      <c r="AB152" s="148"/>
      <c r="AC152" s="148"/>
      <c r="AD152" s="148"/>
      <c r="AE152" s="148"/>
      <c r="AF152" s="148"/>
      <c r="AG152" s="148"/>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c r="BF152" s="148"/>
      <c r="BG152" s="148"/>
      <c r="BH152" s="148"/>
      <c r="BI152" s="148"/>
      <c r="BJ152" s="148"/>
      <c r="BK152" s="148"/>
      <c r="BL152" s="148"/>
      <c r="BM152" s="148"/>
      <c r="BN152" s="148"/>
      <c r="BO152" s="148"/>
      <c r="BP152" s="148"/>
      <c r="BQ152" s="148"/>
      <c r="BR152" s="148"/>
      <c r="BS152" s="148"/>
      <c r="BT152" s="148"/>
      <c r="BU152" s="148"/>
      <c r="BV152" s="148"/>
      <c r="BW152" s="148"/>
      <c r="BX152" s="148"/>
      <c r="BY152" s="148"/>
      <c r="BZ152" s="148"/>
      <c r="CA152" s="148"/>
      <c r="CB152" s="148"/>
      <c r="CC152" s="148"/>
      <c r="CD152" s="148"/>
      <c r="CE152" s="148"/>
      <c r="CF152" s="148"/>
      <c r="CG152" s="148"/>
      <c r="CH152" s="148"/>
      <c r="CI152" s="148"/>
      <c r="CJ152" s="148"/>
      <c r="CK152" s="148"/>
      <c r="CL152" s="148"/>
      <c r="CM152" s="148"/>
      <c r="CN152" s="148"/>
      <c r="CO152" s="148"/>
      <c r="CP152" s="148"/>
      <c r="CQ152" s="148"/>
      <c r="CR152" s="148"/>
      <c r="CS152" s="148"/>
      <c r="CT152" s="148"/>
      <c r="CU152" s="148"/>
      <c r="CV152" s="148"/>
      <c r="CW152" s="148"/>
      <c r="CX152" s="148"/>
      <c r="CY152" s="148"/>
      <c r="CZ152" s="148"/>
      <c r="DA152" s="148"/>
      <c r="DB152" s="148"/>
      <c r="DC152" s="148"/>
      <c r="DD152" s="148"/>
      <c r="DE152" s="148"/>
      <c r="DF152" s="148"/>
      <c r="DG152" s="148"/>
      <c r="DH152" s="148"/>
      <c r="DI152" s="148"/>
      <c r="DJ152" s="148"/>
      <c r="DK152" s="148"/>
      <c r="DL152" s="148"/>
      <c r="DM152" s="148"/>
      <c r="DN152" s="148"/>
      <c r="DO152" s="148"/>
      <c r="DP152" s="148"/>
      <c r="DQ152" s="148"/>
      <c r="DR152" s="148"/>
      <c r="DS152" s="148"/>
      <c r="DT152" s="148"/>
      <c r="DU152" s="148"/>
      <c r="DV152" s="148"/>
      <c r="DW152" s="148"/>
      <c r="DX152" s="148"/>
      <c r="DY152" s="148"/>
      <c r="DZ152" s="148"/>
      <c r="EA152" s="148"/>
      <c r="EB152" s="148"/>
      <c r="EC152" s="148"/>
      <c r="ED152" s="148"/>
      <c r="EE152" s="148"/>
      <c r="EF152" s="148"/>
      <c r="EG152" s="148"/>
      <c r="EH152" s="148"/>
      <c r="EI152" s="148"/>
      <c r="EJ152" s="148"/>
      <c r="EK152" s="148"/>
      <c r="EL152" s="148"/>
      <c r="EM152" s="148"/>
      <c r="EN152" s="148"/>
      <c r="EO152" s="148"/>
      <c r="EP152" s="148"/>
      <c r="EQ152" s="148"/>
      <c r="ER152" s="148"/>
      <c r="ES152" s="148"/>
      <c r="ET152" s="148"/>
      <c r="EU152" s="148"/>
      <c r="EV152" s="148"/>
      <c r="EW152" s="148"/>
      <c r="EX152" s="148"/>
      <c r="EY152" s="148"/>
      <c r="EZ152" s="148"/>
      <c r="FA152" s="148"/>
      <c r="FB152" s="148"/>
      <c r="FC152" s="148"/>
      <c r="FD152" s="148"/>
      <c r="FE152" s="148"/>
      <c r="FF152" s="148"/>
      <c r="FG152" s="148"/>
      <c r="FH152" s="148"/>
      <c r="FI152" s="148"/>
      <c r="FJ152" s="148"/>
      <c r="FK152" s="148"/>
      <c r="FL152" s="148"/>
      <c r="FM152" s="148"/>
      <c r="FN152" s="148"/>
      <c r="FO152" s="148"/>
      <c r="FP152" s="148"/>
      <c r="FQ152" s="148"/>
      <c r="FR152" s="148"/>
      <c r="FS152" s="148"/>
      <c r="FT152" s="148"/>
      <c r="FU152" s="148"/>
      <c r="FV152" s="148"/>
      <c r="FW152" s="148"/>
      <c r="FX152" s="148"/>
      <c r="FY152" s="148"/>
      <c r="FZ152" s="148"/>
      <c r="GA152" s="148"/>
      <c r="GB152" s="148"/>
      <c r="GC152" s="148"/>
      <c r="GD152" s="148"/>
      <c r="GE152" s="148"/>
      <c r="GF152" s="148"/>
      <c r="GG152" s="148"/>
      <c r="GH152" s="148"/>
      <c r="GI152" s="148"/>
      <c r="GJ152" s="148"/>
      <c r="GK152" s="148"/>
      <c r="GL152" s="148"/>
      <c r="GM152" s="148"/>
      <c r="GN152" s="148"/>
      <c r="GO152" s="148"/>
      <c r="GP152" s="148"/>
      <c r="GQ152" s="148"/>
      <c r="GR152" s="148"/>
      <c r="GS152" s="148"/>
      <c r="GT152" s="148"/>
      <c r="GU152" s="148"/>
      <c r="GV152" s="148"/>
      <c r="GW152" s="148"/>
      <c r="GX152" s="148"/>
      <c r="GY152" s="148"/>
      <c r="GZ152" s="148"/>
      <c r="HA152" s="148"/>
      <c r="HB152" s="148"/>
      <c r="HC152" s="148"/>
      <c r="HD152" s="148"/>
      <c r="HE152" s="148"/>
      <c r="HF152" s="148"/>
      <c r="HG152" s="148"/>
      <c r="HH152" s="148"/>
      <c r="HI152" s="148"/>
      <c r="HJ152" s="148"/>
      <c r="HK152" s="148"/>
      <c r="HL152" s="148"/>
      <c r="HM152" s="148"/>
      <c r="HN152" s="148"/>
      <c r="HO152" s="148"/>
      <c r="HP152" s="148"/>
      <c r="HQ152" s="148"/>
      <c r="HR152" s="148"/>
      <c r="HS152" s="148"/>
      <c r="HT152" s="148"/>
      <c r="HU152" s="148"/>
      <c r="HV152" s="148"/>
      <c r="HW152" s="148"/>
      <c r="HX152" s="148"/>
      <c r="HY152" s="148"/>
      <c r="HZ152" s="148"/>
      <c r="IA152" s="148"/>
      <c r="IB152" s="148"/>
      <c r="IC152" s="148"/>
      <c r="ID152" s="148"/>
      <c r="IE152" s="148"/>
      <c r="IF152" s="148"/>
      <c r="IG152" s="148"/>
      <c r="IH152" s="148"/>
      <c r="II152" s="148"/>
      <c r="IJ152" s="148"/>
      <c r="IK152" s="148"/>
      <c r="IL152" s="148"/>
      <c r="IM152" s="148"/>
      <c r="IN152" s="148"/>
      <c r="IO152" s="148"/>
      <c r="IP152" s="148"/>
      <c r="IQ152" s="148"/>
      <c r="IR152" s="148"/>
      <c r="IS152" s="148"/>
      <c r="IT152" s="148"/>
      <c r="IU152" s="148"/>
      <c r="IV152" s="148"/>
      <c r="IW152" s="148"/>
      <c r="IX152" s="148"/>
      <c r="IY152" s="148"/>
      <c r="IZ152" s="148"/>
      <c r="JA152" s="148"/>
      <c r="JB152" s="148"/>
    </row>
    <row r="153" spans="22:262" s="15" customFormat="1">
      <c r="V153" s="148"/>
      <c r="W153" s="148"/>
      <c r="X153" s="148"/>
      <c r="Y153" s="148"/>
      <c r="Z153" s="148"/>
      <c r="AA153" s="148"/>
      <c r="AB153" s="148"/>
      <c r="AC153" s="148"/>
      <c r="AD153" s="148"/>
      <c r="AE153" s="148"/>
      <c r="AF153" s="148"/>
      <c r="AG153" s="148"/>
      <c r="AH153" s="148"/>
      <c r="AI153" s="148"/>
      <c r="AJ153" s="148"/>
      <c r="AK153" s="148"/>
      <c r="AL153" s="148"/>
      <c r="AM153" s="148"/>
      <c r="AN153" s="148"/>
      <c r="AO153" s="148"/>
      <c r="AP153" s="148"/>
      <c r="AQ153" s="148"/>
      <c r="AR153" s="148"/>
      <c r="AS153" s="148"/>
      <c r="AT153" s="148"/>
      <c r="AU153" s="148"/>
      <c r="AV153" s="148"/>
      <c r="AW153" s="148"/>
      <c r="AX153" s="148"/>
      <c r="AY153" s="148"/>
      <c r="AZ153" s="148"/>
      <c r="BA153" s="148"/>
      <c r="BB153" s="148"/>
      <c r="BC153" s="148"/>
      <c r="BD153" s="148"/>
      <c r="BE153" s="148"/>
      <c r="BF153" s="148"/>
      <c r="BG153" s="148"/>
      <c r="BH153" s="148"/>
      <c r="BI153" s="148"/>
      <c r="BJ153" s="148"/>
      <c r="BK153" s="148"/>
      <c r="BL153" s="148"/>
      <c r="BM153" s="148"/>
      <c r="BN153" s="148"/>
      <c r="BO153" s="148"/>
      <c r="BP153" s="148"/>
      <c r="BQ153" s="148"/>
      <c r="BR153" s="148"/>
      <c r="BS153" s="148"/>
      <c r="BT153" s="148"/>
      <c r="BU153" s="148"/>
      <c r="BV153" s="148"/>
      <c r="BW153" s="148"/>
      <c r="BX153" s="148"/>
      <c r="BY153" s="148"/>
      <c r="BZ153" s="148"/>
      <c r="CA153" s="148"/>
      <c r="CB153" s="148"/>
      <c r="CC153" s="148"/>
      <c r="CD153" s="148"/>
      <c r="CE153" s="148"/>
      <c r="CF153" s="148"/>
      <c r="CG153" s="148"/>
      <c r="CH153" s="148"/>
      <c r="CI153" s="148"/>
      <c r="CJ153" s="148"/>
      <c r="CK153" s="148"/>
      <c r="CL153" s="148"/>
      <c r="CM153" s="148"/>
      <c r="CN153" s="148"/>
      <c r="CO153" s="148"/>
      <c r="CP153" s="148"/>
      <c r="CQ153" s="148"/>
      <c r="CR153" s="148"/>
      <c r="CS153" s="148"/>
      <c r="CT153" s="148"/>
      <c r="CU153" s="148"/>
      <c r="CV153" s="148"/>
      <c r="CW153" s="148"/>
      <c r="CX153" s="148"/>
      <c r="CY153" s="148"/>
      <c r="CZ153" s="148"/>
      <c r="DA153" s="148"/>
      <c r="DB153" s="148"/>
      <c r="DC153" s="148"/>
      <c r="DD153" s="148"/>
      <c r="DE153" s="148"/>
      <c r="DF153" s="148"/>
      <c r="DG153" s="148"/>
      <c r="DH153" s="148"/>
      <c r="DI153" s="148"/>
      <c r="DJ153" s="148"/>
      <c r="DK153" s="148"/>
      <c r="DL153" s="148"/>
      <c r="DM153" s="148"/>
      <c r="DN153" s="148"/>
      <c r="DO153" s="148"/>
      <c r="DP153" s="148"/>
      <c r="DQ153" s="148"/>
      <c r="DR153" s="148"/>
      <c r="DS153" s="148"/>
      <c r="DT153" s="148"/>
      <c r="DU153" s="148"/>
      <c r="DV153" s="148"/>
      <c r="DW153" s="148"/>
      <c r="DX153" s="148"/>
      <c r="DY153" s="148"/>
      <c r="DZ153" s="148"/>
      <c r="EA153" s="148"/>
      <c r="EB153" s="148"/>
      <c r="EC153" s="148"/>
      <c r="ED153" s="148"/>
      <c r="EE153" s="148"/>
      <c r="EF153" s="148"/>
      <c r="EG153" s="148"/>
      <c r="EH153" s="148"/>
      <c r="EI153" s="148"/>
      <c r="EJ153" s="148"/>
      <c r="EK153" s="148"/>
      <c r="EL153" s="148"/>
      <c r="EM153" s="148"/>
      <c r="EN153" s="148"/>
      <c r="EO153" s="148"/>
      <c r="EP153" s="148"/>
      <c r="EQ153" s="148"/>
      <c r="ER153" s="148"/>
      <c r="ES153" s="148"/>
      <c r="ET153" s="148"/>
      <c r="EU153" s="148"/>
      <c r="EV153" s="148"/>
      <c r="EW153" s="148"/>
      <c r="EX153" s="148"/>
      <c r="EY153" s="148"/>
      <c r="EZ153" s="148"/>
      <c r="FA153" s="148"/>
      <c r="FB153" s="148"/>
      <c r="FC153" s="148"/>
      <c r="FD153" s="148"/>
      <c r="FE153" s="148"/>
      <c r="FF153" s="148"/>
      <c r="FG153" s="148"/>
      <c r="FH153" s="148"/>
      <c r="FI153" s="148"/>
      <c r="FJ153" s="148"/>
      <c r="FK153" s="148"/>
      <c r="FL153" s="148"/>
      <c r="FM153" s="148"/>
      <c r="FN153" s="148"/>
      <c r="FO153" s="148"/>
      <c r="FP153" s="148"/>
      <c r="FQ153" s="148"/>
      <c r="FR153" s="148"/>
      <c r="FS153" s="148"/>
      <c r="FT153" s="148"/>
      <c r="FU153" s="148"/>
      <c r="FV153" s="148"/>
      <c r="FW153" s="148"/>
      <c r="FX153" s="148"/>
      <c r="FY153" s="148"/>
      <c r="FZ153" s="148"/>
      <c r="GA153" s="148"/>
      <c r="GB153" s="148"/>
      <c r="GC153" s="148"/>
      <c r="GD153" s="148"/>
      <c r="GE153" s="148"/>
      <c r="GF153" s="148"/>
      <c r="GG153" s="148"/>
      <c r="GH153" s="148"/>
      <c r="GI153" s="148"/>
      <c r="GJ153" s="148"/>
      <c r="GK153" s="148"/>
      <c r="GL153" s="148"/>
      <c r="GM153" s="148"/>
      <c r="GN153" s="148"/>
      <c r="GO153" s="148"/>
      <c r="GP153" s="148"/>
      <c r="GQ153" s="148"/>
      <c r="GR153" s="148"/>
      <c r="GS153" s="148"/>
      <c r="GT153" s="148"/>
      <c r="GU153" s="148"/>
      <c r="GV153" s="148"/>
      <c r="GW153" s="148"/>
      <c r="GX153" s="148"/>
      <c r="GY153" s="148"/>
      <c r="GZ153" s="148"/>
      <c r="HA153" s="148"/>
      <c r="HB153" s="148"/>
      <c r="HC153" s="148"/>
      <c r="HD153" s="148"/>
      <c r="HE153" s="148"/>
      <c r="HF153" s="148"/>
      <c r="HG153" s="148"/>
      <c r="HH153" s="148"/>
      <c r="HI153" s="148"/>
      <c r="HJ153" s="148"/>
      <c r="HK153" s="148"/>
      <c r="HL153" s="148"/>
      <c r="HM153" s="148"/>
      <c r="HN153" s="148"/>
      <c r="HO153" s="148"/>
      <c r="HP153" s="148"/>
      <c r="HQ153" s="148"/>
      <c r="HR153" s="148"/>
      <c r="HS153" s="148"/>
      <c r="HT153" s="148"/>
      <c r="HU153" s="148"/>
      <c r="HV153" s="148"/>
      <c r="HW153" s="148"/>
      <c r="HX153" s="148"/>
      <c r="HY153" s="148"/>
      <c r="HZ153" s="148"/>
      <c r="IA153" s="148"/>
      <c r="IB153" s="148"/>
      <c r="IC153" s="148"/>
      <c r="ID153" s="148"/>
      <c r="IE153" s="148"/>
      <c r="IF153" s="148"/>
      <c r="IG153" s="148"/>
      <c r="IH153" s="148"/>
      <c r="II153" s="148"/>
      <c r="IJ153" s="148"/>
      <c r="IK153" s="148"/>
      <c r="IL153" s="148"/>
      <c r="IM153" s="148"/>
      <c r="IN153" s="148"/>
      <c r="IO153" s="148"/>
      <c r="IP153" s="148"/>
      <c r="IQ153" s="148"/>
      <c r="IR153" s="148"/>
      <c r="IS153" s="148"/>
      <c r="IT153" s="148"/>
      <c r="IU153" s="148"/>
      <c r="IV153" s="148"/>
      <c r="IW153" s="148"/>
      <c r="IX153" s="148"/>
      <c r="IY153" s="148"/>
      <c r="IZ153" s="148"/>
      <c r="JA153" s="148"/>
      <c r="JB153" s="148"/>
    </row>
  </sheetData>
  <sheetProtection algorithmName="SHA-512" hashValue="sAu/FntUZx4+hVRuif9Ij9MnRpCZwL7QeRj3ZmS0pmjvbuc6I3/yD0dW+s8vJACzOLVEnccWx/I5M8qNFpql2g==" saltValue="pRhIQMdY+okVX8IvFU5Mpg==" spinCount="100000" sheet="1" objects="1" scenarios="1"/>
  <mergeCells count="292">
    <mergeCell ref="JT3:JT4"/>
    <mergeCell ref="JU3:JU4"/>
    <mergeCell ref="JV3:JV4"/>
    <mergeCell ref="JW3:JW4"/>
    <mergeCell ref="JX3:JX4"/>
    <mergeCell ref="JY3:JY4"/>
    <mergeCell ref="JK3:JK4"/>
    <mergeCell ref="JL3:JL4"/>
    <mergeCell ref="JM3:JM4"/>
    <mergeCell ref="JN3:JN4"/>
    <mergeCell ref="JO3:JO4"/>
    <mergeCell ref="JP3:JP4"/>
    <mergeCell ref="JQ3:JQ4"/>
    <mergeCell ref="JR3:JR4"/>
    <mergeCell ref="JS3:JS4"/>
    <mergeCell ref="JB3:JB4"/>
    <mergeCell ref="JC3:JC4"/>
    <mergeCell ref="JD3:JD4"/>
    <mergeCell ref="JE3:JE4"/>
    <mergeCell ref="JF3:JF4"/>
    <mergeCell ref="JG3:JG4"/>
    <mergeCell ref="JH3:JH4"/>
    <mergeCell ref="JI3:JI4"/>
    <mergeCell ref="JJ3:JJ4"/>
    <mergeCell ref="IZ3:IZ4"/>
    <mergeCell ref="IG3:IG4"/>
    <mergeCell ref="JA3:JA4"/>
    <mergeCell ref="IL3:IL4"/>
    <mergeCell ref="IM3:IM4"/>
    <mergeCell ref="IK3:IK4"/>
    <mergeCell ref="IJ3:IJ4"/>
    <mergeCell ref="IV3:IV4"/>
    <mergeCell ref="IU3:IU4"/>
    <mergeCell ref="IT3:IT4"/>
    <mergeCell ref="IS3:IS4"/>
    <mergeCell ref="IQ3:IQ4"/>
    <mergeCell ref="IR3:IR4"/>
    <mergeCell ref="II3:II4"/>
    <mergeCell ref="IY3:IY4"/>
    <mergeCell ref="HB3:HB4"/>
    <mergeCell ref="IE3:IE4"/>
    <mergeCell ref="IW3:IW4"/>
    <mergeCell ref="IF3:IF4"/>
    <mergeCell ref="IH3:IH4"/>
    <mergeCell ref="IX3:IX4"/>
    <mergeCell ref="HO3:HO4"/>
    <mergeCell ref="HP3:HP4"/>
    <mergeCell ref="IP3:IP4"/>
    <mergeCell ref="IO3:IO4"/>
    <mergeCell ref="ID3:ID4"/>
    <mergeCell ref="HV3:HV4"/>
    <mergeCell ref="IB3:IB4"/>
    <mergeCell ref="IN3:IN4"/>
    <mergeCell ref="IC3:IC4"/>
    <mergeCell ref="IA3:IA4"/>
    <mergeCell ref="HX3:HX4"/>
    <mergeCell ref="HW3:HW4"/>
    <mergeCell ref="HZ3:HZ4"/>
    <mergeCell ref="HU3:HU4"/>
    <mergeCell ref="HS3:HS4"/>
    <mergeCell ref="HT3:HT4"/>
    <mergeCell ref="HA3:HA4"/>
    <mergeCell ref="GP3:GP4"/>
    <mergeCell ref="GQ3:GQ4"/>
    <mergeCell ref="GR3:GR4"/>
    <mergeCell ref="GJ3:GJ4"/>
    <mergeCell ref="GT3:GT4"/>
    <mergeCell ref="HF3:HF4"/>
    <mergeCell ref="HG3:HG4"/>
    <mergeCell ref="HY3:HY4"/>
    <mergeCell ref="HH3:HH4"/>
    <mergeCell ref="HJ3:HJ4"/>
    <mergeCell ref="HR3:HR4"/>
    <mergeCell ref="HQ3:HQ4"/>
    <mergeCell ref="GY3:GY4"/>
    <mergeCell ref="GX3:GX4"/>
    <mergeCell ref="HD3:HD4"/>
    <mergeCell ref="HI3:HI4"/>
    <mergeCell ref="HK3:HK4"/>
    <mergeCell ref="HE3:HE4"/>
    <mergeCell ref="HN3:HN4"/>
    <mergeCell ref="HC3:HC4"/>
    <mergeCell ref="HM3:HM4"/>
    <mergeCell ref="HL3:HL4"/>
    <mergeCell ref="GZ3:GZ4"/>
    <mergeCell ref="GK3:GK4"/>
    <mergeCell ref="GE3:GE4"/>
    <mergeCell ref="GM3:GM4"/>
    <mergeCell ref="GO3:GO4"/>
    <mergeCell ref="GN3:GN4"/>
    <mergeCell ref="GL3:GL4"/>
    <mergeCell ref="GW3:GW4"/>
    <mergeCell ref="GU3:GU4"/>
    <mergeCell ref="GV3:GV4"/>
    <mergeCell ref="GS3:GS4"/>
    <mergeCell ref="FL3:FL4"/>
    <mergeCell ref="FN3:FN4"/>
    <mergeCell ref="GD3:GD4"/>
    <mergeCell ref="FY3:FY4"/>
    <mergeCell ref="FW3:FW4"/>
    <mergeCell ref="FV3:FV4"/>
    <mergeCell ref="FU3:FU4"/>
    <mergeCell ref="GH3:GH4"/>
    <mergeCell ref="GI3:GI4"/>
    <mergeCell ref="GG3:GG4"/>
    <mergeCell ref="FR3:FR4"/>
    <mergeCell ref="FS3:FS4"/>
    <mergeCell ref="FT3:FT4"/>
    <mergeCell ref="GB3:GB4"/>
    <mergeCell ref="GA3:GA4"/>
    <mergeCell ref="FZ3:FZ4"/>
    <mergeCell ref="GF3:GF4"/>
    <mergeCell ref="FJ3:FJ4"/>
    <mergeCell ref="FK3:FK4"/>
    <mergeCell ref="GC3:GC4"/>
    <mergeCell ref="EO3:EO4"/>
    <mergeCell ref="FI3:FI4"/>
    <mergeCell ref="ET3:ET4"/>
    <mergeCell ref="EU3:EU4"/>
    <mergeCell ref="EV3:EV4"/>
    <mergeCell ref="ER3:ER4"/>
    <mergeCell ref="FD3:FD4"/>
    <mergeCell ref="FC3:FC4"/>
    <mergeCell ref="FB3:FB4"/>
    <mergeCell ref="FH3:FH4"/>
    <mergeCell ref="EY3:EY4"/>
    <mergeCell ref="EZ3:EZ4"/>
    <mergeCell ref="EQ3:EQ4"/>
    <mergeCell ref="FG3:FG4"/>
    <mergeCell ref="ES3:ES4"/>
    <mergeCell ref="FE3:FE4"/>
    <mergeCell ref="FM3:FM4"/>
    <mergeCell ref="FX3:FX4"/>
    <mergeCell ref="FO3:FO4"/>
    <mergeCell ref="FQ3:FQ4"/>
    <mergeCell ref="FP3:FP4"/>
    <mergeCell ref="EB3:EB4"/>
    <mergeCell ref="EN3:EN4"/>
    <mergeCell ref="EP3:EP4"/>
    <mergeCell ref="FF3:FF4"/>
    <mergeCell ref="FA3:FA4"/>
    <mergeCell ref="DX3:DX4"/>
    <mergeCell ref="EX3:EX4"/>
    <mergeCell ref="EW3:EW4"/>
    <mergeCell ref="EL3:EL4"/>
    <mergeCell ref="EM3:EM4"/>
    <mergeCell ref="EJ3:EJ4"/>
    <mergeCell ref="EK3:EK4"/>
    <mergeCell ref="EI3:EI4"/>
    <mergeCell ref="DO3:DO4"/>
    <mergeCell ref="EG3:EG4"/>
    <mergeCell ref="DP3:DP4"/>
    <mergeCell ref="DR3:DR4"/>
    <mergeCell ref="EH3:EH4"/>
    <mergeCell ref="CY3:CY4"/>
    <mergeCell ref="CZ3:CZ4"/>
    <mergeCell ref="DZ3:DZ4"/>
    <mergeCell ref="DY3:DY4"/>
    <mergeCell ref="DN3:DN4"/>
    <mergeCell ref="DF3:DF4"/>
    <mergeCell ref="DL3:DL4"/>
    <mergeCell ref="DQ3:DQ4"/>
    <mergeCell ref="DS3:DS4"/>
    <mergeCell ref="DM3:DM4"/>
    <mergeCell ref="DV3:DV4"/>
    <mergeCell ref="DW3:DW4"/>
    <mergeCell ref="DU3:DU4"/>
    <mergeCell ref="DT3:DT4"/>
    <mergeCell ref="EF3:EF4"/>
    <mergeCell ref="EE3:EE4"/>
    <mergeCell ref="ED3:ED4"/>
    <mergeCell ref="EC3:EC4"/>
    <mergeCell ref="EA3:EA4"/>
    <mergeCell ref="DK3:DK4"/>
    <mergeCell ref="CW3:CW4"/>
    <mergeCell ref="CV3:CV4"/>
    <mergeCell ref="DH3:DH4"/>
    <mergeCell ref="DG3:DG4"/>
    <mergeCell ref="DJ3:DJ4"/>
    <mergeCell ref="DE3:DE4"/>
    <mergeCell ref="DC3:DC4"/>
    <mergeCell ref="DD3:DD4"/>
    <mergeCell ref="DI3:DI4"/>
    <mergeCell ref="CR3:CR4"/>
    <mergeCell ref="CT3:CT4"/>
    <mergeCell ref="BZ3:BZ4"/>
    <mergeCell ref="CA3:CA4"/>
    <mergeCell ref="CB3:CB4"/>
    <mergeCell ref="DB3:DB4"/>
    <mergeCell ref="DA3:DA4"/>
    <mergeCell ref="CI3:CI4"/>
    <mergeCell ref="CH3:CH4"/>
    <mergeCell ref="CN3:CN4"/>
    <mergeCell ref="CS3:CS4"/>
    <mergeCell ref="CU3:CU4"/>
    <mergeCell ref="CO3:CO4"/>
    <mergeCell ref="CX3:CX4"/>
    <mergeCell ref="CM3:CM4"/>
    <mergeCell ref="CJ3:CJ4"/>
    <mergeCell ref="CL3:CL4"/>
    <mergeCell ref="CG3:CG4"/>
    <mergeCell ref="CE3:CE4"/>
    <mergeCell ref="CF3:CF4"/>
    <mergeCell ref="CC3:CC4"/>
    <mergeCell ref="CP3:CP4"/>
    <mergeCell ref="CQ3:CQ4"/>
    <mergeCell ref="CK3:CK4"/>
    <mergeCell ref="CD3:CD4"/>
    <mergeCell ref="BL3:BL4"/>
    <mergeCell ref="BK3:BK4"/>
    <mergeCell ref="BJ3:BJ4"/>
    <mergeCell ref="BP3:BP4"/>
    <mergeCell ref="BU3:BU4"/>
    <mergeCell ref="BO3:BO4"/>
    <mergeCell ref="BW3:BW4"/>
    <mergeCell ref="BY3:BY4"/>
    <mergeCell ref="BX3:BX4"/>
    <mergeCell ref="AU3:AU4"/>
    <mergeCell ref="BM3:BM4"/>
    <mergeCell ref="AW3:AW4"/>
    <mergeCell ref="BH3:BH4"/>
    <mergeCell ref="AY3:AY4"/>
    <mergeCell ref="BA3:BA4"/>
    <mergeCell ref="AZ3:AZ4"/>
    <mergeCell ref="AV3:AV4"/>
    <mergeCell ref="BV3:BV4"/>
    <mergeCell ref="AX3:AX4"/>
    <mergeCell ref="BN3:BN4"/>
    <mergeCell ref="BI3:BI4"/>
    <mergeCell ref="BG3:BG4"/>
    <mergeCell ref="BF3:BF4"/>
    <mergeCell ref="BE3:BE4"/>
    <mergeCell ref="BR3:BR4"/>
    <mergeCell ref="BS3:BS4"/>
    <mergeCell ref="BT3:BT4"/>
    <mergeCell ref="BQ3:BQ4"/>
    <mergeCell ref="BB3:BB4"/>
    <mergeCell ref="BC3:BC4"/>
    <mergeCell ref="BD3:BD4"/>
    <mergeCell ref="AR3:AR4"/>
    <mergeCell ref="AI3:AI4"/>
    <mergeCell ref="AJ3:AJ4"/>
    <mergeCell ref="AA3:AA4"/>
    <mergeCell ref="AQ3:AQ4"/>
    <mergeCell ref="AC3:AC4"/>
    <mergeCell ref="AO3:AO4"/>
    <mergeCell ref="Z3:Z4"/>
    <mergeCell ref="AP3:AP4"/>
    <mergeCell ref="AK3:AK4"/>
    <mergeCell ref="U3:U4"/>
    <mergeCell ref="AH3:AH4"/>
    <mergeCell ref="AG3:AG4"/>
    <mergeCell ref="V3:V4"/>
    <mergeCell ref="W3:W4"/>
    <mergeCell ref="AT3:AT4"/>
    <mergeCell ref="B23:B27"/>
    <mergeCell ref="I12:I13"/>
    <mergeCell ref="B21:B22"/>
    <mergeCell ref="C21:C22"/>
    <mergeCell ref="D21:D22"/>
    <mergeCell ref="E21:E22"/>
    <mergeCell ref="G21:G22"/>
    <mergeCell ref="I21:I22"/>
    <mergeCell ref="X3:X4"/>
    <mergeCell ref="Y3:Y4"/>
    <mergeCell ref="AS3:AS4"/>
    <mergeCell ref="AD3:AD4"/>
    <mergeCell ref="AE3:AE4"/>
    <mergeCell ref="AF3:AF4"/>
    <mergeCell ref="AB3:AB4"/>
    <mergeCell ref="AN3:AN4"/>
    <mergeCell ref="AM3:AM4"/>
    <mergeCell ref="AL3:AL4"/>
    <mergeCell ref="E33:I33"/>
    <mergeCell ref="B5:B9"/>
    <mergeCell ref="B14:B18"/>
    <mergeCell ref="N2:O2"/>
    <mergeCell ref="B2:H2"/>
    <mergeCell ref="B3:B4"/>
    <mergeCell ref="C3:C4"/>
    <mergeCell ref="D3:D4"/>
    <mergeCell ref="E3:E4"/>
    <mergeCell ref="G3:G4"/>
    <mergeCell ref="F3:F4"/>
    <mergeCell ref="H3:H4"/>
    <mergeCell ref="I3:I4"/>
    <mergeCell ref="B12:B13"/>
    <mergeCell ref="C12:C13"/>
    <mergeCell ref="D12:D13"/>
    <mergeCell ref="E12:E13"/>
    <mergeCell ref="G12:G13"/>
    <mergeCell ref="B29:D29"/>
  </mergeCells>
  <phoneticPr fontId="61" type="noConversion"/>
  <dataValidations count="1">
    <dataValidation type="list" allowBlank="1" showInputMessage="1" showErrorMessage="1" sqref="D5:D9 D14:D18 D23:D27" xr:uid="{59120CCC-56D9-2A4E-ABFC-6681D27D7BC4}">
      <formula1>$B$34:$B$58</formula1>
    </dataValidation>
  </dataValidations>
  <pageMargins left="0.7" right="0.7" top="0.75" bottom="0.75" header="0.3" footer="0.3"/>
  <pageSetup scale="43" orientation="landscape" horizontalDpi="0" verticalDpi="0"/>
  <ignoredErrors>
    <ignoredError sqref="F28 G10 G19 G28 F19 F10 F5:F9 F11:F18 F20:F27" unlockedFormula="1"/>
    <ignoredError sqref="G25" formula="1"/>
  </ignoredErrors>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2A88-3165-BD4B-855B-8684A176C623}">
  <sheetPr codeName="Sheet33">
    <pageSetUpPr fitToPage="1"/>
  </sheetPr>
  <dimension ref="A1:R138"/>
  <sheetViews>
    <sheetView zoomScale="120" zoomScaleNormal="120" workbookViewId="0">
      <selection activeCell="B2" sqref="B2:F2"/>
    </sheetView>
  </sheetViews>
  <sheetFormatPr baseColWidth="10" defaultColWidth="11.5" defaultRowHeight="15"/>
  <cols>
    <col min="1" max="1" width="4.83203125" style="1" customWidth="1"/>
    <col min="2" max="2" width="57.83203125" style="1" customWidth="1"/>
    <col min="3" max="6" width="12.83203125" style="1" customWidth="1"/>
    <col min="7" max="15" width="11.5" style="1" hidden="1" customWidth="1"/>
    <col min="16" max="16" width="0" style="1" hidden="1" customWidth="1"/>
    <col min="17" max="16384" width="11.5" style="1"/>
  </cols>
  <sheetData>
    <row r="1" spans="1:18" ht="20">
      <c r="A1" s="363" t="s">
        <v>8</v>
      </c>
      <c r="B1" s="27"/>
      <c r="C1" s="16"/>
      <c r="D1" s="17"/>
      <c r="E1" s="16"/>
      <c r="F1" s="16"/>
    </row>
    <row r="2" spans="1:18" ht="20">
      <c r="A2" s="15"/>
      <c r="B2" s="807" t="str">
        <f>'Prices_Yields&amp;SeedInputs'!B25&amp;", Cash Costs and Returns of Producing, $/acre."</f>
        <v>HR Winter Wheat, Cash Costs and Returns of Producing, $/acre.</v>
      </c>
      <c r="C2" s="807"/>
      <c r="D2" s="807"/>
      <c r="E2" s="807"/>
      <c r="F2" s="807"/>
    </row>
    <row r="3" spans="1:18" ht="20">
      <c r="A3" s="15"/>
      <c r="B3" s="131" t="s">
        <v>11</v>
      </c>
      <c r="C3" s="24" t="s">
        <v>2</v>
      </c>
      <c r="D3" s="25" t="s">
        <v>12</v>
      </c>
      <c r="E3" s="26" t="s">
        <v>13</v>
      </c>
      <c r="F3" s="26" t="s">
        <v>0</v>
      </c>
      <c r="H3" s="1" t="str">
        <f>'Prices_Yields&amp;SeedInputs'!F3</f>
        <v>Incremental Rotation</v>
      </c>
      <c r="I3" s="1" t="str">
        <f>'Prices_Yields&amp;SeedInputs'!G3</f>
        <v>Aspirational Rotation</v>
      </c>
      <c r="Q3" s="674"/>
      <c r="R3" s="674"/>
    </row>
    <row r="4" spans="1:18" ht="20">
      <c r="A4" s="15"/>
      <c r="B4" s="18" t="str">
        <f>'Prices_Yields&amp;SeedInputs'!B25</f>
        <v>HR Winter Wheat</v>
      </c>
      <c r="C4" s="23" t="str">
        <f>'Prices_Yields&amp;SeedInputs'!C25</f>
        <v>bu</v>
      </c>
      <c r="D4" s="130">
        <f>'Prices_Yields&amp;SeedInputs'!D25</f>
        <v>6.44</v>
      </c>
      <c r="E4" s="128">
        <f>'Prices_Yields&amp;SeedInputs'!E25</f>
        <v>60</v>
      </c>
      <c r="F4" s="35">
        <f>D4*E4</f>
        <v>386.40000000000003</v>
      </c>
      <c r="Q4" s="674"/>
      <c r="R4" s="674"/>
    </row>
    <row r="5" spans="1:18" ht="20">
      <c r="A5" s="15"/>
      <c r="B5" s="14" t="s">
        <v>14</v>
      </c>
      <c r="C5" s="29"/>
      <c r="D5" s="30"/>
      <c r="E5" s="29"/>
      <c r="F5" s="46">
        <f>SUM(F4:F4)</f>
        <v>386.40000000000003</v>
      </c>
      <c r="H5" s="1">
        <f>D4*'Prices_Yields&amp;SeedInputs'!F25</f>
        <v>386.40000000000003</v>
      </c>
      <c r="I5" s="1">
        <f>D4*'Prices_Yields&amp;SeedInputs'!G25</f>
        <v>386.40000000000003</v>
      </c>
      <c r="Q5" s="674"/>
      <c r="R5" s="674"/>
    </row>
    <row r="6" spans="1:18" ht="20">
      <c r="A6" s="15"/>
      <c r="B6" s="16"/>
      <c r="C6" s="16"/>
      <c r="D6" s="17"/>
      <c r="E6" s="16"/>
      <c r="F6" s="44"/>
    </row>
    <row r="7" spans="1:18" ht="20">
      <c r="A7" s="15"/>
      <c r="B7" s="132" t="s">
        <v>37</v>
      </c>
      <c r="C7" s="19" t="s">
        <v>2</v>
      </c>
      <c r="D7" s="20" t="s">
        <v>12</v>
      </c>
      <c r="E7" s="21" t="s">
        <v>13</v>
      </c>
      <c r="F7" s="45" t="s">
        <v>0</v>
      </c>
    </row>
    <row r="8" spans="1:18" ht="20">
      <c r="A8" s="15"/>
      <c r="B8" s="89" t="s">
        <v>169</v>
      </c>
      <c r="C8" s="134" t="str">
        <f>'Prices_Yields&amp;SeedInputs'!H25</f>
        <v>pound</v>
      </c>
      <c r="D8" s="89">
        <f>'Prices_Yields&amp;SeedInputs'!I25</f>
        <v>0.3</v>
      </c>
      <c r="E8" s="90">
        <f>'Prices_Yields&amp;SeedInputs'!J25</f>
        <v>100</v>
      </c>
      <c r="F8" s="117">
        <f t="shared" ref="F8:F61" si="0">IF(D8*E8=0,"0",D8*E8)</f>
        <v>30</v>
      </c>
    </row>
    <row r="9" spans="1:18" ht="20">
      <c r="A9" s="15"/>
      <c r="B9" s="85" t="str">
        <f>'Chem&amp;FertInputs&amp;CInsurance'!B6</f>
        <v>Fertilizer - Nitrogen-</v>
      </c>
      <c r="C9" s="23" t="str">
        <f>'Chem&amp;FertInputs&amp;CInsurance'!D6</f>
        <v>pound</v>
      </c>
      <c r="D9" s="116">
        <f>'Chem&amp;FertInputs&amp;CInsurance'!E6</f>
        <v>0.48749999999999999</v>
      </c>
      <c r="E9" s="133">
        <f>'Chem&amp;FertInputs&amp;CInsurance'!Z6</f>
        <v>130</v>
      </c>
      <c r="F9" s="117">
        <f t="shared" si="0"/>
        <v>63.375</v>
      </c>
      <c r="H9" s="1">
        <f>'Chem&amp;FertInputs&amp;CInsurance'!Z7</f>
        <v>130</v>
      </c>
      <c r="I9" s="1">
        <f>'Chem&amp;FertInputs&amp;CInsurance'!Z8</f>
        <v>130</v>
      </c>
    </row>
    <row r="10" spans="1:18" ht="20">
      <c r="A10" s="15"/>
      <c r="B10" s="85" t="str">
        <f>'Chem&amp;FertInputs&amp;CInsurance'!B9</f>
        <v>Fertilizer - Anhydrous Ammonia-</v>
      </c>
      <c r="C10" s="23" t="str">
        <f>'Chem&amp;FertInputs&amp;CInsurance'!D9</f>
        <v>pound</v>
      </c>
      <c r="D10" s="116">
        <f>'Chem&amp;FertInputs&amp;CInsurance'!E9</f>
        <v>0.75770000000000004</v>
      </c>
      <c r="E10" s="133">
        <f>'Chem&amp;FertInputs&amp;CInsurance'!Z9</f>
        <v>0</v>
      </c>
      <c r="F10" s="117" t="str">
        <f t="shared" si="0"/>
        <v>0</v>
      </c>
      <c r="H10" s="1">
        <f>'Chem&amp;FertInputs&amp;CInsurance'!Z10</f>
        <v>0</v>
      </c>
      <c r="I10" s="1">
        <f>'Chem&amp;FertInputs&amp;CInsurance'!Z11</f>
        <v>0</v>
      </c>
    </row>
    <row r="11" spans="1:18" ht="20">
      <c r="A11" s="15"/>
      <c r="B11" s="85" t="str">
        <f>'Chem&amp;FertInputs&amp;CInsurance'!B12</f>
        <v xml:space="preserve">Fertilizer - Phosphorus- </v>
      </c>
      <c r="C11" s="23" t="str">
        <f>'Chem&amp;FertInputs&amp;CInsurance'!D12</f>
        <v>pound</v>
      </c>
      <c r="D11" s="116">
        <f>'Chem&amp;FertInputs&amp;CInsurance'!E12</f>
        <v>0.47499999999999998</v>
      </c>
      <c r="E11" s="133">
        <f>'Chem&amp;FertInputs&amp;CInsurance'!Z12</f>
        <v>5</v>
      </c>
      <c r="F11" s="117">
        <f t="shared" si="0"/>
        <v>2.375</v>
      </c>
      <c r="H11" s="1">
        <f>'Chem&amp;FertInputs&amp;CInsurance'!Z13</f>
        <v>5</v>
      </c>
      <c r="I11" s="1">
        <f>'Chem&amp;FertInputs&amp;CInsurance'!Z14</f>
        <v>5</v>
      </c>
    </row>
    <row r="12" spans="1:18" ht="20">
      <c r="A12" s="15"/>
      <c r="B12" s="85" t="str">
        <f>'Chem&amp;FertInputs&amp;CInsurance'!B15</f>
        <v>Fertilizer - Potassium-</v>
      </c>
      <c r="C12" s="23" t="str">
        <f>'Chem&amp;FertInputs&amp;CInsurance'!D15</f>
        <v>pound</v>
      </c>
      <c r="D12" s="116">
        <f>'Chem&amp;FertInputs&amp;CInsurance'!E15</f>
        <v>0.441</v>
      </c>
      <c r="E12" s="133">
        <f>'Chem&amp;FertInputs&amp;CInsurance'!Z15</f>
        <v>0</v>
      </c>
      <c r="F12" s="117" t="str">
        <f t="shared" si="0"/>
        <v>0</v>
      </c>
      <c r="H12" s="1">
        <f>'Chem&amp;FertInputs&amp;CInsurance'!Z16</f>
        <v>0</v>
      </c>
      <c r="I12" s="1">
        <f>'Chem&amp;FertInputs&amp;CInsurance'!Z17</f>
        <v>0</v>
      </c>
    </row>
    <row r="13" spans="1:18" ht="20">
      <c r="A13" s="15"/>
      <c r="B13" s="85" t="str">
        <f>'Chem&amp;FertInputs&amp;CInsurance'!B18</f>
        <v>Fertilizer - Sulfur-</v>
      </c>
      <c r="C13" s="23" t="str">
        <f>'Chem&amp;FertInputs&amp;CInsurance'!D18</f>
        <v>pound</v>
      </c>
      <c r="D13" s="116">
        <f>'Chem&amp;FertInputs&amp;CInsurance'!E18</f>
        <v>0.2555</v>
      </c>
      <c r="E13" s="133">
        <f>'Chem&amp;FertInputs&amp;CInsurance'!Z18</f>
        <v>25</v>
      </c>
      <c r="F13" s="117">
        <f t="shared" si="0"/>
        <v>6.3875000000000002</v>
      </c>
      <c r="H13" s="1">
        <f>'Chem&amp;FertInputs&amp;CInsurance'!Z19</f>
        <v>25</v>
      </c>
      <c r="I13" s="1">
        <f>'Chem&amp;FertInputs&amp;CInsurance'!Z20</f>
        <v>25</v>
      </c>
    </row>
    <row r="14" spans="1:18" ht="20">
      <c r="A14" s="15"/>
      <c r="B14" s="85" t="str">
        <f>'Chem&amp;FertInputs&amp;CInsurance'!B21</f>
        <v>Adjuvant - Ammonium Sulfate liquid-</v>
      </c>
      <c r="C14" s="23" t="str">
        <f>'Chem&amp;FertInputs&amp;CInsurance'!D21</f>
        <v>oz</v>
      </c>
      <c r="D14" s="116">
        <f>'Chem&amp;FertInputs&amp;CInsurance'!E21</f>
        <v>0.48</v>
      </c>
      <c r="E14" s="133">
        <f>'Chem&amp;FertInputs&amp;CInsurance'!Z21</f>
        <v>1.7</v>
      </c>
      <c r="F14" s="117">
        <f t="shared" ref="F14:F20" si="1">IF(D14*E14=0,"0",D14*E14)</f>
        <v>0.81599999999999995</v>
      </c>
      <c r="G14" s="165">
        <f>E14/128</f>
        <v>1.328125E-2</v>
      </c>
      <c r="H14" s="1">
        <f>'Chem&amp;FertInputs&amp;CInsurance'!Z22</f>
        <v>1.7</v>
      </c>
      <c r="I14" s="1">
        <f>'Chem&amp;FertInputs&amp;CInsurance'!Z23</f>
        <v>1.7</v>
      </c>
    </row>
    <row r="15" spans="1:18" ht="20">
      <c r="A15" s="15"/>
      <c r="B15" s="85" t="str">
        <f>'Chem&amp;FertInputs&amp;CInsurance'!B24</f>
        <v>Adjuvant - Ammonium Sulfate  (other)-</v>
      </c>
      <c r="C15" s="23" t="str">
        <f>'Chem&amp;FertInputs&amp;CInsurance'!D24</f>
        <v>pound</v>
      </c>
      <c r="D15" s="116">
        <f>'Chem&amp;FertInputs&amp;CInsurance'!E24</f>
        <v>0.71</v>
      </c>
      <c r="E15" s="133">
        <f>'Chem&amp;FertInputs&amp;CInsurance'!Z24</f>
        <v>0</v>
      </c>
      <c r="F15" s="117" t="str">
        <f t="shared" si="1"/>
        <v>0</v>
      </c>
      <c r="G15" s="165">
        <f>E15/16</f>
        <v>0</v>
      </c>
      <c r="H15" s="1">
        <f>'Chem&amp;FertInputs&amp;CInsurance'!Z25</f>
        <v>0</v>
      </c>
      <c r="I15" s="1">
        <f>'Chem&amp;FertInputs&amp;CInsurance'!Z26</f>
        <v>0</v>
      </c>
    </row>
    <row r="16" spans="1:18" ht="20">
      <c r="A16" s="15"/>
      <c r="B16" s="85" t="str">
        <f>'Chem&amp;FertInputs&amp;CInsurance'!C27</f>
        <v xml:space="preserve">crop oil concentrate </v>
      </c>
      <c r="C16" s="23" t="str">
        <f>'Chem&amp;FertInputs&amp;CInsurance'!D27</f>
        <v>pint</v>
      </c>
      <c r="D16" s="116">
        <f>'Chem&amp;FertInputs&amp;CInsurance'!E27</f>
        <v>1.6559999999999999</v>
      </c>
      <c r="E16" s="133">
        <f>'Chem&amp;FertInputs&amp;CInsurance'!Z27</f>
        <v>0</v>
      </c>
      <c r="F16" s="117" t="str">
        <f t="shared" si="1"/>
        <v>0</v>
      </c>
      <c r="G16" s="165">
        <f>E16/8</f>
        <v>0</v>
      </c>
    </row>
    <row r="17" spans="1:7" ht="20">
      <c r="A17" s="15"/>
      <c r="B17" s="85" t="str">
        <f>'Chem&amp;FertInputs&amp;CInsurance'!C28</f>
        <v>In-place</v>
      </c>
      <c r="C17" s="23" t="str">
        <f>'Chem&amp;FertInputs&amp;CInsurance'!D28</f>
        <v>oz</v>
      </c>
      <c r="D17" s="116">
        <f>'Chem&amp;FertInputs&amp;CInsurance'!E28</f>
        <v>0.35649999999999998</v>
      </c>
      <c r="E17" s="133">
        <f>'Chem&amp;FertInputs&amp;CInsurance'!Z28</f>
        <v>0</v>
      </c>
      <c r="F17" s="117" t="str">
        <f t="shared" si="1"/>
        <v>0</v>
      </c>
      <c r="G17" s="165">
        <f>E17/128</f>
        <v>0</v>
      </c>
    </row>
    <row r="18" spans="1:7" ht="20">
      <c r="A18" s="15"/>
      <c r="B18" s="85" t="str">
        <f>'Chem&amp;FertInputs&amp;CInsurance'!C29</f>
        <v xml:space="preserve">M90 </v>
      </c>
      <c r="C18" s="23" t="str">
        <f>'Chem&amp;FertInputs&amp;CInsurance'!D29</f>
        <v>oz</v>
      </c>
      <c r="D18" s="116">
        <f>'Chem&amp;FertInputs&amp;CInsurance'!E29</f>
        <v>0.253</v>
      </c>
      <c r="E18" s="133">
        <f>'Chem&amp;FertInputs&amp;CInsurance'!Z29</f>
        <v>3</v>
      </c>
      <c r="F18" s="117">
        <f t="shared" si="1"/>
        <v>0.75900000000000001</v>
      </c>
      <c r="G18" s="165">
        <f>E18/128</f>
        <v>2.34375E-2</v>
      </c>
    </row>
    <row r="19" spans="1:7" ht="20">
      <c r="A19" s="15"/>
      <c r="B19" s="85" t="str">
        <f>'Chem&amp;FertInputs&amp;CInsurance'!C30</f>
        <v>Surfactant</v>
      </c>
      <c r="C19" s="23" t="str">
        <f>'Chem&amp;FertInputs&amp;CInsurance'!D30</f>
        <v>oz</v>
      </c>
      <c r="D19" s="116">
        <f>'Chem&amp;FertInputs&amp;CInsurance'!E30</f>
        <v>0.26450000000000001</v>
      </c>
      <c r="E19" s="133">
        <f>'Chem&amp;FertInputs&amp;CInsurance'!Z30</f>
        <v>0</v>
      </c>
      <c r="F19" s="117" t="str">
        <f t="shared" si="1"/>
        <v>0</v>
      </c>
      <c r="G19" s="165">
        <f>E19/128</f>
        <v>0</v>
      </c>
    </row>
    <row r="20" spans="1:7" ht="20">
      <c r="A20" s="15"/>
      <c r="B20" s="85" t="str">
        <f>'Chem&amp;FertInputs&amp;CInsurance'!C31</f>
        <v>Syltac sticker</v>
      </c>
      <c r="C20" s="23" t="str">
        <f>'Chem&amp;FertInputs&amp;CInsurance'!D31</f>
        <v>pint</v>
      </c>
      <c r="D20" s="116">
        <f>'Chem&amp;FertInputs&amp;CInsurance'!E31</f>
        <v>7.1874999999999991</v>
      </c>
      <c r="E20" s="133">
        <f>'Chem&amp;FertInputs&amp;CInsurance'!Z31</f>
        <v>0</v>
      </c>
      <c r="F20" s="117" t="str">
        <f t="shared" si="1"/>
        <v>0</v>
      </c>
      <c r="G20" s="165">
        <f>E20/8</f>
        <v>0</v>
      </c>
    </row>
    <row r="21" spans="1:7" ht="20">
      <c r="A21" s="15"/>
      <c r="B21" s="85" t="str">
        <f>'Chem&amp;FertInputs&amp;CInsurance'!C33</f>
        <v>2,4 - D</v>
      </c>
      <c r="C21" s="23" t="str">
        <f>'Chem&amp;FertInputs&amp;CInsurance'!D33</f>
        <v>oz</v>
      </c>
      <c r="D21" s="116">
        <f>'Chem&amp;FertInputs&amp;CInsurance'!E33</f>
        <v>0.33349999999999996</v>
      </c>
      <c r="E21" s="133">
        <f>'Chem&amp;FertInputs&amp;CInsurance'!Z33</f>
        <v>0</v>
      </c>
      <c r="F21" s="117" t="str">
        <f t="shared" si="0"/>
        <v>0</v>
      </c>
      <c r="G21" s="165">
        <f t="shared" ref="G21:G30" si="2">E21/128</f>
        <v>0</v>
      </c>
    </row>
    <row r="22" spans="1:7" ht="20">
      <c r="A22" s="15"/>
      <c r="B22" s="85" t="str">
        <f>'Chem&amp;FertInputs&amp;CInsurance'!C34</f>
        <v>Achieve SC</v>
      </c>
      <c r="C22" s="23" t="str">
        <f>'Chem&amp;FertInputs&amp;CInsurance'!D34</f>
        <v>oz</v>
      </c>
      <c r="D22" s="116">
        <f>'Chem&amp;FertInputs&amp;CInsurance'!E34</f>
        <v>1.3454999999999999</v>
      </c>
      <c r="E22" s="133">
        <f>'Chem&amp;FertInputs&amp;CInsurance'!Z34</f>
        <v>0</v>
      </c>
      <c r="F22" s="117" t="str">
        <f t="shared" si="0"/>
        <v>0</v>
      </c>
      <c r="G22" s="165">
        <f t="shared" si="2"/>
        <v>0</v>
      </c>
    </row>
    <row r="23" spans="1:7" ht="20">
      <c r="A23" s="15"/>
      <c r="B23" s="85" t="str">
        <f>'Chem&amp;FertInputs&amp;CInsurance'!C35</f>
        <v>Affintity TankMix</v>
      </c>
      <c r="C23" s="23" t="str">
        <f>'Chem&amp;FertInputs&amp;CInsurance'!D35</f>
        <v>oz</v>
      </c>
      <c r="D23" s="116">
        <f>'Chem&amp;FertInputs&amp;CInsurance'!E35</f>
        <v>8.9699999999999989</v>
      </c>
      <c r="E23" s="133">
        <f>'Chem&amp;FertInputs&amp;CInsurance'!Z35</f>
        <v>0.75</v>
      </c>
      <c r="F23" s="117">
        <f t="shared" si="0"/>
        <v>6.7274999999999991</v>
      </c>
      <c r="G23" s="165">
        <f t="shared" si="2"/>
        <v>5.859375E-3</v>
      </c>
    </row>
    <row r="24" spans="1:7" ht="20">
      <c r="A24" s="15"/>
      <c r="B24" s="85" t="str">
        <f>'Chem&amp;FertInputs&amp;CInsurance'!C36</f>
        <v xml:space="preserve">Ally </v>
      </c>
      <c r="C24" s="23" t="str">
        <f>'Chem&amp;FertInputs&amp;CInsurance'!D36</f>
        <v>oz</v>
      </c>
      <c r="D24" s="116">
        <f>'Chem&amp;FertInputs&amp;CInsurance'!E36</f>
        <v>1.7249999999999999</v>
      </c>
      <c r="E24" s="133">
        <f>'Chem&amp;FertInputs&amp;CInsurance'!Z36</f>
        <v>0</v>
      </c>
      <c r="F24" s="117" t="str">
        <f t="shared" si="0"/>
        <v>0</v>
      </c>
      <c r="G24" s="165">
        <f t="shared" si="2"/>
        <v>0</v>
      </c>
    </row>
    <row r="25" spans="1:7" ht="20">
      <c r="A25" s="15"/>
      <c r="B25" s="85" t="str">
        <f>'Chem&amp;FertInputs&amp;CInsurance'!C37</f>
        <v>Assure</v>
      </c>
      <c r="C25" s="23" t="str">
        <f>'Chem&amp;FertInputs&amp;CInsurance'!D37</f>
        <v>oz</v>
      </c>
      <c r="D25" s="116">
        <f>'Chem&amp;FertInputs&amp;CInsurance'!E37</f>
        <v>0.98899999999999988</v>
      </c>
      <c r="E25" s="133">
        <f>'Chem&amp;FertInputs&amp;CInsurance'!Z37</f>
        <v>0</v>
      </c>
      <c r="F25" s="117" t="str">
        <f t="shared" si="0"/>
        <v>0</v>
      </c>
      <c r="G25" s="165">
        <f t="shared" si="2"/>
        <v>0</v>
      </c>
    </row>
    <row r="26" spans="1:7" ht="20">
      <c r="A26" s="15"/>
      <c r="B26" s="85" t="str">
        <f>'Chem&amp;FertInputs&amp;CInsurance'!C38</f>
        <v>Axial Star</v>
      </c>
      <c r="C26" s="23" t="str">
        <f>'Chem&amp;FertInputs&amp;CInsurance'!D38</f>
        <v>oz</v>
      </c>
      <c r="D26" s="116">
        <f>'Chem&amp;FertInputs&amp;CInsurance'!E38</f>
        <v>1.3224999999999998</v>
      </c>
      <c r="E26" s="133">
        <f>'Chem&amp;FertInputs&amp;CInsurance'!Z38</f>
        <v>0</v>
      </c>
      <c r="F26" s="117" t="str">
        <f t="shared" si="0"/>
        <v>0</v>
      </c>
      <c r="G26" s="165">
        <f t="shared" si="2"/>
        <v>0</v>
      </c>
    </row>
    <row r="27" spans="1:7" ht="20">
      <c r="A27" s="15"/>
      <c r="B27" s="85" t="str">
        <f>'Chem&amp;FertInputs&amp;CInsurance'!C39</f>
        <v>Axial Bold</v>
      </c>
      <c r="C27" s="23" t="str">
        <f>'Chem&amp;FertInputs&amp;CInsurance'!D39</f>
        <v>oz</v>
      </c>
      <c r="D27" s="116">
        <f>'Chem&amp;FertInputs&amp;CInsurance'!E39</f>
        <v>1.0924999999999998</v>
      </c>
      <c r="E27" s="133">
        <f>'Chem&amp;FertInputs&amp;CInsurance'!Z39</f>
        <v>15</v>
      </c>
      <c r="F27" s="117">
        <f t="shared" si="0"/>
        <v>16.387499999999996</v>
      </c>
      <c r="G27" s="165">
        <f t="shared" si="2"/>
        <v>0.1171875</v>
      </c>
    </row>
    <row r="28" spans="1:7" ht="20">
      <c r="A28" s="15"/>
      <c r="B28" s="85" t="str">
        <f>'Chem&amp;FertInputs&amp;CInsurance'!C40</f>
        <v>Bronate</v>
      </c>
      <c r="C28" s="23" t="str">
        <f>'Chem&amp;FertInputs&amp;CInsurance'!D40</f>
        <v>oz</v>
      </c>
      <c r="D28" s="116">
        <f>'Chem&amp;FertInputs&amp;CInsurance'!E40</f>
        <v>7.911999999999999</v>
      </c>
      <c r="E28" s="133">
        <f>'Chem&amp;FertInputs&amp;CInsurance'!Z40</f>
        <v>0</v>
      </c>
      <c r="F28" s="117" t="str">
        <f t="shared" si="0"/>
        <v>0</v>
      </c>
      <c r="G28" s="165">
        <f t="shared" si="2"/>
        <v>0</v>
      </c>
    </row>
    <row r="29" spans="1:7" ht="20">
      <c r="A29" s="15"/>
      <c r="B29" s="85" t="str">
        <f>'Chem&amp;FertInputs&amp;CInsurance'!C41</f>
        <v xml:space="preserve">Brox M </v>
      </c>
      <c r="C29" s="23" t="str">
        <f>'Chem&amp;FertInputs&amp;CInsurance'!D41</f>
        <v>oz</v>
      </c>
      <c r="D29" s="116">
        <f>'Chem&amp;FertInputs&amp;CInsurance'!E41</f>
        <v>0.42549999999999999</v>
      </c>
      <c r="E29" s="133">
        <f>'Chem&amp;FertInputs&amp;CInsurance'!Z41</f>
        <v>0</v>
      </c>
      <c r="F29" s="117" t="str">
        <f t="shared" si="0"/>
        <v>0</v>
      </c>
      <c r="G29" s="165">
        <f t="shared" si="2"/>
        <v>0</v>
      </c>
    </row>
    <row r="30" spans="1:7" ht="20">
      <c r="A30" s="15"/>
      <c r="B30" s="85" t="str">
        <f>'Chem&amp;FertInputs&amp;CInsurance'!C42</f>
        <v>Capture</v>
      </c>
      <c r="C30" s="23" t="str">
        <f>'Chem&amp;FertInputs&amp;CInsurance'!D42</f>
        <v>oz</v>
      </c>
      <c r="D30" s="116">
        <f>'Chem&amp;FertInputs&amp;CInsurance'!E42</f>
        <v>2.7024999999999997</v>
      </c>
      <c r="E30" s="133">
        <f>'Chem&amp;FertInputs&amp;CInsurance'!Z42</f>
        <v>0</v>
      </c>
      <c r="F30" s="117" t="str">
        <f t="shared" si="0"/>
        <v>0</v>
      </c>
      <c r="G30" s="165">
        <f t="shared" si="2"/>
        <v>0</v>
      </c>
    </row>
    <row r="31" spans="1:7" ht="20">
      <c r="A31" s="15"/>
      <c r="B31" s="85" t="str">
        <f>'Chem&amp;FertInputs&amp;CInsurance'!C43</f>
        <v xml:space="preserve">Dimethoate </v>
      </c>
      <c r="C31" s="23" t="str">
        <f>'Chem&amp;FertInputs&amp;CInsurance'!D43</f>
        <v>pint</v>
      </c>
      <c r="D31" s="116">
        <f>'Chem&amp;FertInputs&amp;CInsurance'!E43</f>
        <v>7.1874999999999991</v>
      </c>
      <c r="E31" s="133">
        <f>'Chem&amp;FertInputs&amp;CInsurance'!Z43</f>
        <v>0</v>
      </c>
      <c r="F31" s="117" t="str">
        <f t="shared" si="0"/>
        <v>0</v>
      </c>
      <c r="G31" s="165">
        <f>E31/8</f>
        <v>0</v>
      </c>
    </row>
    <row r="32" spans="1:7" ht="20">
      <c r="A32" s="15"/>
      <c r="B32" s="85" t="str">
        <f>'Chem&amp;FertInputs&amp;CInsurance'!C44</f>
        <v>Clethodim</v>
      </c>
      <c r="C32" s="23" t="str">
        <f>'Chem&amp;FertInputs&amp;CInsurance'!D44</f>
        <v>oz</v>
      </c>
      <c r="D32" s="116">
        <f>'Chem&amp;FertInputs&amp;CInsurance'!E44</f>
        <v>0.75900000000000001</v>
      </c>
      <c r="E32" s="133">
        <f>'Chem&amp;FertInputs&amp;CInsurance'!Z44</f>
        <v>0</v>
      </c>
      <c r="F32" s="117" t="str">
        <f t="shared" ref="F32" si="3">IF(D32*E32=0,"0",D32*E32)</f>
        <v>0</v>
      </c>
      <c r="G32" s="165">
        <f t="shared" ref="G32:G37" si="4">E32/128</f>
        <v>0</v>
      </c>
    </row>
    <row r="33" spans="1:7" ht="20">
      <c r="A33" s="15"/>
      <c r="B33" s="85" t="str">
        <f>'Chem&amp;FertInputs&amp;CInsurance'!C45</f>
        <v>Discover</v>
      </c>
      <c r="C33" s="23" t="str">
        <f>'Chem&amp;FertInputs&amp;CInsurance'!D45</f>
        <v>oz</v>
      </c>
      <c r="D33" s="116">
        <f>'Chem&amp;FertInputs&amp;CInsurance'!E45</f>
        <v>1.6904999999999999</v>
      </c>
      <c r="E33" s="133">
        <f>'Chem&amp;FertInputs&amp;CInsurance'!Z45</f>
        <v>0</v>
      </c>
      <c r="F33" s="117" t="str">
        <f t="shared" si="0"/>
        <v>0</v>
      </c>
      <c r="G33" s="165">
        <f t="shared" si="4"/>
        <v>0</v>
      </c>
    </row>
    <row r="34" spans="1:7" ht="20">
      <c r="A34" s="15"/>
      <c r="B34" s="85" t="str">
        <f>'Chem&amp;FertInputs&amp;CInsurance'!C46</f>
        <v>FarGO</v>
      </c>
      <c r="C34" s="23" t="str">
        <f>'Chem&amp;FertInputs&amp;CInsurance'!D46</f>
        <v>oz</v>
      </c>
      <c r="D34" s="116">
        <f>'Chem&amp;FertInputs&amp;CInsurance'!E46</f>
        <v>19.158999999999999</v>
      </c>
      <c r="E34" s="133">
        <f>'Chem&amp;FertInputs&amp;CInsurance'!Z46</f>
        <v>0</v>
      </c>
      <c r="F34" s="117" t="str">
        <f t="shared" si="0"/>
        <v>0</v>
      </c>
      <c r="G34" s="165">
        <f t="shared" si="4"/>
        <v>0</v>
      </c>
    </row>
    <row r="35" spans="1:7" ht="20">
      <c r="A35" s="15"/>
      <c r="B35" s="85" t="str">
        <f>'Chem&amp;FertInputs&amp;CInsurance'!C47</f>
        <v>Finesse</v>
      </c>
      <c r="C35" s="23" t="str">
        <f>'Chem&amp;FertInputs&amp;CInsurance'!D47</f>
        <v>oz</v>
      </c>
      <c r="D35" s="116">
        <f>'Chem&amp;FertInputs&amp;CInsurance'!E47</f>
        <v>19.940999999999999</v>
      </c>
      <c r="E35" s="133">
        <f>'Chem&amp;FertInputs&amp;CInsurance'!Z47</f>
        <v>0</v>
      </c>
      <c r="F35" s="117" t="str">
        <f t="shared" si="0"/>
        <v>0</v>
      </c>
      <c r="G35" s="165">
        <f t="shared" si="4"/>
        <v>0</v>
      </c>
    </row>
    <row r="36" spans="1:7" ht="20">
      <c r="A36" s="15"/>
      <c r="B36" s="85" t="str">
        <f>'Chem&amp;FertInputs&amp;CInsurance'!C48</f>
        <v>Glyphosate</v>
      </c>
      <c r="C36" s="23" t="str">
        <f>'Chem&amp;FertInputs&amp;CInsurance'!D48</f>
        <v>oz</v>
      </c>
      <c r="D36" s="116">
        <f>'Chem&amp;FertInputs&amp;CInsurance'!E48</f>
        <v>0.14949999999999999</v>
      </c>
      <c r="E36" s="133">
        <f>'Chem&amp;FertInputs&amp;CInsurance'!Z48</f>
        <v>0</v>
      </c>
      <c r="F36" s="117" t="str">
        <f t="shared" si="0"/>
        <v>0</v>
      </c>
      <c r="G36" s="165">
        <f t="shared" si="4"/>
        <v>0</v>
      </c>
    </row>
    <row r="37" spans="1:7" ht="20">
      <c r="A37" s="15"/>
      <c r="B37" s="85" t="str">
        <f>'Chem&amp;FertInputs&amp;CInsurance'!C49</f>
        <v>Huskie</v>
      </c>
      <c r="C37" s="23" t="str">
        <f>'Chem&amp;FertInputs&amp;CInsurance'!D49</f>
        <v>oz</v>
      </c>
      <c r="D37" s="116">
        <f>'Chem&amp;FertInputs&amp;CInsurance'!E49</f>
        <v>0.88549999999999995</v>
      </c>
      <c r="E37" s="133">
        <f>'Chem&amp;FertInputs&amp;CInsurance'!Z49</f>
        <v>13.7</v>
      </c>
      <c r="F37" s="117">
        <f t="shared" si="0"/>
        <v>12.131349999999999</v>
      </c>
      <c r="G37" s="165">
        <f t="shared" si="4"/>
        <v>0.10703124999999999</v>
      </c>
    </row>
    <row r="38" spans="1:7" ht="20">
      <c r="A38" s="15"/>
      <c r="B38" s="85" t="str">
        <f>'Chem&amp;FertInputs&amp;CInsurance'!C50</f>
        <v>Imidan 70</v>
      </c>
      <c r="C38" s="23" t="str">
        <f>'Chem&amp;FertInputs&amp;CInsurance'!D50</f>
        <v>lb</v>
      </c>
      <c r="D38" s="116">
        <f>'Chem&amp;FertInputs&amp;CInsurance'!E50</f>
        <v>17.295999999999999</v>
      </c>
      <c r="E38" s="133">
        <f>'Chem&amp;FertInputs&amp;CInsurance'!Z50</f>
        <v>0</v>
      </c>
      <c r="F38" s="117" t="str">
        <f t="shared" si="0"/>
        <v>0</v>
      </c>
      <c r="G38" s="165">
        <f>E38/16</f>
        <v>0</v>
      </c>
    </row>
    <row r="39" spans="1:7" ht="20">
      <c r="A39" s="15"/>
      <c r="B39" s="85" t="str">
        <f>'Chem&amp;FertInputs&amp;CInsurance'!C51</f>
        <v xml:space="preserve">Maverick </v>
      </c>
      <c r="C39" s="23" t="str">
        <f>'Chem&amp;FertInputs&amp;CInsurance'!D51</f>
        <v>oz</v>
      </c>
      <c r="D39" s="116">
        <f>'Chem&amp;FertInputs&amp;CInsurance'!E51</f>
        <v>23.885499999999997</v>
      </c>
      <c r="E39" s="133">
        <f>'Chem&amp;FertInputs&amp;CInsurance'!Z51</f>
        <v>0</v>
      </c>
      <c r="F39" s="117" t="str">
        <f t="shared" si="0"/>
        <v>0</v>
      </c>
      <c r="G39" s="165">
        <f t="shared" ref="G39:G51" si="5">E39/128</f>
        <v>0</v>
      </c>
    </row>
    <row r="40" spans="1:7" ht="20">
      <c r="A40" s="15"/>
      <c r="B40" s="85" t="str">
        <f>'Chem&amp;FertInputs&amp;CInsurance'!C52</f>
        <v>Osprey</v>
      </c>
      <c r="C40" s="23" t="str">
        <f>'Chem&amp;FertInputs&amp;CInsurance'!D52</f>
        <v>oz</v>
      </c>
      <c r="D40" s="116">
        <f>'Chem&amp;FertInputs&amp;CInsurance'!E52</f>
        <v>5.0484999999999989</v>
      </c>
      <c r="E40" s="133">
        <f>'Chem&amp;FertInputs&amp;CInsurance'!Z52</f>
        <v>0</v>
      </c>
      <c r="F40" s="117" t="str">
        <f t="shared" si="0"/>
        <v>0</v>
      </c>
      <c r="G40" s="165">
        <f t="shared" si="5"/>
        <v>0</v>
      </c>
    </row>
    <row r="41" spans="1:7" ht="20">
      <c r="A41" s="15"/>
      <c r="B41" s="85" t="str">
        <f>'Chem&amp;FertInputs&amp;CInsurance'!C53</f>
        <v>Poast</v>
      </c>
      <c r="C41" s="23" t="str">
        <f>'Chem&amp;FertInputs&amp;CInsurance'!D53</f>
        <v>oz</v>
      </c>
      <c r="D41" s="116">
        <f>'Chem&amp;FertInputs&amp;CInsurance'!E53</f>
        <v>19.285499999999999</v>
      </c>
      <c r="E41" s="133">
        <f>'Chem&amp;FertInputs&amp;CInsurance'!Z53</f>
        <v>0</v>
      </c>
      <c r="F41" s="117" t="str">
        <f t="shared" ref="F41" si="6">IF(D41*E41=0,"0",D41*E41)</f>
        <v>0</v>
      </c>
      <c r="G41" s="165">
        <f t="shared" si="5"/>
        <v>0</v>
      </c>
    </row>
    <row r="42" spans="1:7" ht="20">
      <c r="A42" s="15"/>
      <c r="B42" s="85" t="str">
        <f>'Chem&amp;FertInputs&amp;CInsurance'!C54</f>
        <v>Power Flex</v>
      </c>
      <c r="C42" s="23" t="str">
        <f>'Chem&amp;FertInputs&amp;CInsurance'!D54</f>
        <v>oz</v>
      </c>
      <c r="D42" s="116">
        <f>'Chem&amp;FertInputs&amp;CInsurance'!E54</f>
        <v>8.9124999999999996</v>
      </c>
      <c r="E42" s="133">
        <f>'Chem&amp;FertInputs&amp;CInsurance'!Z54</f>
        <v>0</v>
      </c>
      <c r="F42" s="117" t="str">
        <f t="shared" si="0"/>
        <v>0</v>
      </c>
      <c r="G42" s="165">
        <f t="shared" si="5"/>
        <v>0</v>
      </c>
    </row>
    <row r="43" spans="1:7" ht="20">
      <c r="A43" s="15"/>
      <c r="B43" s="85" t="str">
        <f>'Chem&amp;FertInputs&amp;CInsurance'!C55</f>
        <v>Priaxor</v>
      </c>
      <c r="C43" s="23" t="str">
        <f>'Chem&amp;FertInputs&amp;CInsurance'!D55</f>
        <v>oz</v>
      </c>
      <c r="D43" s="116">
        <f>'Chem&amp;FertInputs&amp;CInsurance'!E55</f>
        <v>3.4269999999999996</v>
      </c>
      <c r="E43" s="133">
        <f>'Chem&amp;FertInputs&amp;CInsurance'!Z55</f>
        <v>0</v>
      </c>
      <c r="F43" s="117" t="str">
        <f t="shared" si="0"/>
        <v>0</v>
      </c>
      <c r="G43" s="165">
        <f t="shared" si="5"/>
        <v>0</v>
      </c>
    </row>
    <row r="44" spans="1:7" ht="20">
      <c r="A44" s="15"/>
      <c r="B44" s="85" t="str">
        <f>'Chem&amp;FertInputs&amp;CInsurance'!C56</f>
        <v>Prowl</v>
      </c>
      <c r="C44" s="23" t="str">
        <f>'Chem&amp;FertInputs&amp;CInsurance'!D56</f>
        <v>oz</v>
      </c>
      <c r="D44" s="116">
        <f>'Chem&amp;FertInputs&amp;CInsurance'!E56</f>
        <v>0.51749999999999996</v>
      </c>
      <c r="E44" s="133">
        <f>'Chem&amp;FertInputs&amp;CInsurance'!Z56</f>
        <v>0</v>
      </c>
      <c r="F44" s="117" t="str">
        <f t="shared" si="0"/>
        <v>0</v>
      </c>
      <c r="G44" s="165">
        <f t="shared" si="5"/>
        <v>0</v>
      </c>
    </row>
    <row r="45" spans="1:7" ht="20">
      <c r="A45" s="15"/>
      <c r="B45" s="85" t="str">
        <f>'Chem&amp;FertInputs&amp;CInsurance'!C57</f>
        <v>Pursuit</v>
      </c>
      <c r="C45" s="23" t="str">
        <f>'Chem&amp;FertInputs&amp;CInsurance'!D57</f>
        <v>oz</v>
      </c>
      <c r="D45" s="116">
        <f>'Chem&amp;FertInputs&amp;CInsurance'!E57</f>
        <v>4.0594999999999999</v>
      </c>
      <c r="E45" s="133">
        <f>'Chem&amp;FertInputs&amp;CInsurance'!Z57</f>
        <v>0</v>
      </c>
      <c r="F45" s="117" t="str">
        <f t="shared" si="0"/>
        <v>0</v>
      </c>
      <c r="G45" s="165">
        <f t="shared" si="5"/>
        <v>0</v>
      </c>
    </row>
    <row r="46" spans="1:7" ht="20">
      <c r="A46" s="15"/>
      <c r="B46" s="85" t="str">
        <f>'Chem&amp;FertInputs&amp;CInsurance'!C58</f>
        <v xml:space="preserve">Quadris </v>
      </c>
      <c r="C46" s="23" t="str">
        <f>'Chem&amp;FertInputs&amp;CInsurance'!D58</f>
        <v>oz</v>
      </c>
      <c r="D46" s="116">
        <f>'Chem&amp;FertInputs&amp;CInsurance'!E58</f>
        <v>1.127</v>
      </c>
      <c r="E46" s="133">
        <f>'Chem&amp;FertInputs&amp;CInsurance'!Z58</f>
        <v>0</v>
      </c>
      <c r="F46" s="117" t="str">
        <f t="shared" si="0"/>
        <v>0</v>
      </c>
      <c r="G46" s="165">
        <f t="shared" si="5"/>
        <v>0</v>
      </c>
    </row>
    <row r="47" spans="1:7" ht="20">
      <c r="A47" s="15"/>
      <c r="B47" s="85" t="str">
        <f>'Chem&amp;FertInputs&amp;CInsurance'!C59</f>
        <v>Quilt</v>
      </c>
      <c r="C47" s="23" t="str">
        <f>'Chem&amp;FertInputs&amp;CInsurance'!D59</f>
        <v>oz</v>
      </c>
      <c r="D47" s="116">
        <f>'Chem&amp;FertInputs&amp;CInsurance'!E59</f>
        <v>1.4834999999999998</v>
      </c>
      <c r="E47" s="133">
        <f>'Chem&amp;FertInputs&amp;CInsurance'!Z59</f>
        <v>0</v>
      </c>
      <c r="F47" s="117" t="str">
        <f t="shared" si="0"/>
        <v>0</v>
      </c>
      <c r="G47" s="165">
        <f t="shared" si="5"/>
        <v>0</v>
      </c>
    </row>
    <row r="48" spans="1:7" ht="20">
      <c r="A48" s="15"/>
      <c r="B48" s="85" t="str">
        <f>'Chem&amp;FertInputs&amp;CInsurance'!C60</f>
        <v>R11</v>
      </c>
      <c r="C48" s="23" t="str">
        <f>'Chem&amp;FertInputs&amp;CInsurance'!D60</f>
        <v>oz</v>
      </c>
      <c r="D48" s="116">
        <f>'Chem&amp;FertInputs&amp;CInsurance'!E60</f>
        <v>0.26450000000000001</v>
      </c>
      <c r="E48" s="133">
        <f>'Chem&amp;FertInputs&amp;CInsurance'!Z60</f>
        <v>0</v>
      </c>
      <c r="F48" s="117" t="str">
        <f t="shared" si="0"/>
        <v>0</v>
      </c>
      <c r="G48" s="165">
        <f t="shared" si="5"/>
        <v>0</v>
      </c>
    </row>
    <row r="49" spans="1:7" ht="20">
      <c r="A49" s="15"/>
      <c r="B49" s="85" t="str">
        <f>'Chem&amp;FertInputs&amp;CInsurance'!C61</f>
        <v>Starane</v>
      </c>
      <c r="C49" s="23" t="str">
        <f>'Chem&amp;FertInputs&amp;CInsurance'!D61</f>
        <v>oz</v>
      </c>
      <c r="D49" s="116">
        <f>'Chem&amp;FertInputs&amp;CInsurance'!E61</f>
        <v>0.77049999999999996</v>
      </c>
      <c r="E49" s="133">
        <f>'Chem&amp;FertInputs&amp;CInsurance'!Z61</f>
        <v>0</v>
      </c>
      <c r="F49" s="117" t="str">
        <f t="shared" si="0"/>
        <v>0</v>
      </c>
      <c r="G49" s="165">
        <f t="shared" si="5"/>
        <v>0</v>
      </c>
    </row>
    <row r="50" spans="1:7" ht="20">
      <c r="A50" s="15"/>
      <c r="B50" s="85" t="str">
        <f>'Chem&amp;FertInputs&amp;CInsurance'!C62</f>
        <v>Starane + Salvo</v>
      </c>
      <c r="C50" s="23" t="str">
        <f>'Chem&amp;FertInputs&amp;CInsurance'!D62</f>
        <v>oz</v>
      </c>
      <c r="D50" s="116">
        <f>'Chem&amp;FertInputs&amp;CInsurance'!E62</f>
        <v>0.77049999999999996</v>
      </c>
      <c r="E50" s="133">
        <f>'Chem&amp;FertInputs&amp;CInsurance'!Z62</f>
        <v>0</v>
      </c>
      <c r="F50" s="117" t="str">
        <f t="shared" si="0"/>
        <v>0</v>
      </c>
      <c r="G50" s="165">
        <f t="shared" si="5"/>
        <v>0</v>
      </c>
    </row>
    <row r="51" spans="1:7" ht="20">
      <c r="A51" s="15"/>
      <c r="B51" s="85" t="str">
        <f>'Chem&amp;FertInputs&amp;CInsurance'!C63</f>
        <v xml:space="preserve">Starane + Sword </v>
      </c>
      <c r="C51" s="23" t="str">
        <f>'Chem&amp;FertInputs&amp;CInsurance'!D63</f>
        <v>oz</v>
      </c>
      <c r="D51" s="116">
        <f>'Chem&amp;FertInputs&amp;CInsurance'!E63</f>
        <v>0.77049999999999996</v>
      </c>
      <c r="E51" s="133">
        <f>'Chem&amp;FertInputs&amp;CInsurance'!Z63</f>
        <v>0</v>
      </c>
      <c r="F51" s="117" t="str">
        <f t="shared" si="0"/>
        <v>0</v>
      </c>
      <c r="G51" s="165">
        <f t="shared" si="5"/>
        <v>0</v>
      </c>
    </row>
    <row r="52" spans="1:7" ht="20">
      <c r="A52" s="15"/>
      <c r="B52" s="85" t="str">
        <f>'Chem&amp;FertInputs&amp;CInsurance'!C64</f>
        <v xml:space="preserve"> Tilt</v>
      </c>
      <c r="C52" s="23" t="str">
        <f>'Chem&amp;FertInputs&amp;CInsurance'!D64</f>
        <v>oz</v>
      </c>
      <c r="D52" s="116">
        <f>'Chem&amp;FertInputs&amp;CInsurance'!E64</f>
        <v>0.88549999999999995</v>
      </c>
      <c r="E52" s="133">
        <f>'Chem&amp;FertInputs&amp;CInsurance'!Z64</f>
        <v>4</v>
      </c>
      <c r="F52" s="117">
        <f t="shared" ref="F52:F53" si="7">IF(D52*E52=0,"0",D52*E52)</f>
        <v>3.5419999999999998</v>
      </c>
      <c r="G52" s="165">
        <f t="shared" ref="G52:G53" si="8">E52/128</f>
        <v>3.125E-2</v>
      </c>
    </row>
    <row r="53" spans="1:7" ht="20">
      <c r="A53" s="15"/>
      <c r="B53" s="85" t="str">
        <f>'Chem&amp;FertInputs&amp;CInsurance'!C65</f>
        <v xml:space="preserve">Wildcard </v>
      </c>
      <c r="C53" s="23" t="str">
        <f>'Chem&amp;FertInputs&amp;CInsurance'!D65</f>
        <v>oz</v>
      </c>
      <c r="D53" s="116">
        <f>'Chem&amp;FertInputs&amp;CInsurance'!E65</f>
        <v>0.35649999999999998</v>
      </c>
      <c r="E53" s="133">
        <f>'Chem&amp;FertInputs&amp;CInsurance'!Z65</f>
        <v>0</v>
      </c>
      <c r="F53" s="117" t="str">
        <f t="shared" si="7"/>
        <v>0</v>
      </c>
      <c r="G53" s="165">
        <f t="shared" si="8"/>
        <v>0</v>
      </c>
    </row>
    <row r="54" spans="1:7" ht="20">
      <c r="A54" s="15"/>
      <c r="B54" s="85" t="str">
        <f>'Chem&amp;FertInputs&amp;CInsurance'!C66</f>
        <v>Sharpen</v>
      </c>
      <c r="C54" s="23" t="str">
        <f>'Chem&amp;FertInputs&amp;CInsurance'!D66</f>
        <v>oz</v>
      </c>
      <c r="D54" s="116">
        <f>'Chem&amp;FertInputs&amp;CInsurance'!E66</f>
        <v>6.3134999999999994</v>
      </c>
      <c r="E54" s="133">
        <f>'Chem&amp;FertInputs&amp;CInsurance'!Z66</f>
        <v>0</v>
      </c>
      <c r="F54" s="117" t="str">
        <f t="shared" si="0"/>
        <v>0</v>
      </c>
      <c r="G54" s="165">
        <f>E54/128</f>
        <v>0</v>
      </c>
    </row>
    <row r="55" spans="1:7" ht="20">
      <c r="A55" s="15"/>
      <c r="B55" s="85" t="str">
        <f>'Chem&amp;FertInputs&amp;CInsurance'!C67</f>
        <v>Sencor</v>
      </c>
      <c r="C55" s="23" t="str">
        <f>'Chem&amp;FertInputs&amp;CInsurance'!D67</f>
        <v>oz</v>
      </c>
      <c r="D55" s="116">
        <f>'Chem&amp;FertInputs&amp;CInsurance'!E67</f>
        <v>0.45999999999999996</v>
      </c>
      <c r="E55" s="133">
        <f>'Chem&amp;FertInputs&amp;CInsurance'!Z67</f>
        <v>0</v>
      </c>
      <c r="F55" s="117" t="str">
        <f t="shared" si="0"/>
        <v>0</v>
      </c>
      <c r="G55" s="165">
        <f>E55/128</f>
        <v>0</v>
      </c>
    </row>
    <row r="56" spans="1:7" ht="20">
      <c r="A56" s="15"/>
      <c r="B56" s="85" t="str">
        <f>'Chem&amp;FertInputs&amp;CInsurance'!C68</f>
        <v>Warrior</v>
      </c>
      <c r="C56" s="23" t="str">
        <f>'Chem&amp;FertInputs&amp;CInsurance'!D68</f>
        <v>acre</v>
      </c>
      <c r="D56" s="116">
        <f>'Chem&amp;FertInputs&amp;CInsurance'!E68</f>
        <v>3.4499999999999997</v>
      </c>
      <c r="E56" s="133">
        <f>'Chem&amp;FertInputs&amp;CInsurance'!Z68</f>
        <v>0</v>
      </c>
      <c r="F56" s="117" t="str">
        <f t="shared" si="0"/>
        <v>0</v>
      </c>
      <c r="G56" s="165">
        <f>E56/128</f>
        <v>0</v>
      </c>
    </row>
    <row r="57" spans="1:7" ht="20">
      <c r="A57" s="15"/>
      <c r="B57" s="85" t="str">
        <f>'Chem&amp;FertInputs&amp;CInsurance'!C69</f>
        <v xml:space="preserve"> Lorox</v>
      </c>
      <c r="C57" s="23" t="str">
        <f>'Chem&amp;FertInputs&amp;CInsurance'!D69</f>
        <v>lb</v>
      </c>
      <c r="D57" s="116">
        <f>'Chem&amp;FertInputs&amp;CInsurance'!E69</f>
        <v>26.565000000000001</v>
      </c>
      <c r="E57" s="133">
        <f>'Chem&amp;FertInputs&amp;CInsurance'!Z69</f>
        <v>0</v>
      </c>
      <c r="F57" s="117" t="str">
        <f t="shared" si="0"/>
        <v>0</v>
      </c>
      <c r="G57" s="165">
        <f>E57/128</f>
        <v>0</v>
      </c>
    </row>
    <row r="58" spans="1:7" ht="20">
      <c r="A58" s="15"/>
      <c r="B58" s="85" t="str">
        <f>'Chem&amp;FertInputs&amp;CInsurance'!C70</f>
        <v xml:space="preserve"> Valor</v>
      </c>
      <c r="C58" s="23" t="str">
        <f>'Chem&amp;FertInputs&amp;CInsurance'!D70</f>
        <v>oz</v>
      </c>
      <c r="D58" s="116">
        <f>'Chem&amp;FertInputs&amp;CInsurance'!E70</f>
        <v>6.6124999999999998</v>
      </c>
      <c r="E58" s="133">
        <f>'Chem&amp;FertInputs&amp;CInsurance'!Z70</f>
        <v>0</v>
      </c>
      <c r="F58" s="117" t="str">
        <f t="shared" ref="F58:F59" si="9">IF(D58*E58=0,"0",D58*E58)</f>
        <v>0</v>
      </c>
      <c r="G58" s="165">
        <f t="shared" ref="G58:G59" si="10">E58/128</f>
        <v>0</v>
      </c>
    </row>
    <row r="59" spans="1:7" ht="20">
      <c r="A59" s="15"/>
      <c r="B59" s="85" t="str">
        <f>'Chem&amp;FertInputs&amp;CInsurance'!C71</f>
        <v xml:space="preserve"> Diagon</v>
      </c>
      <c r="C59" s="23" t="str">
        <f>'Chem&amp;FertInputs&amp;CInsurance'!D71</f>
        <v>oz</v>
      </c>
      <c r="D59" s="116">
        <f>'Chem&amp;FertInputs&amp;CInsurance'!E71</f>
        <v>0.43699999999999994</v>
      </c>
      <c r="E59" s="133">
        <f>'Chem&amp;FertInputs&amp;CInsurance'!Z71</f>
        <v>0</v>
      </c>
      <c r="F59" s="117" t="str">
        <f t="shared" si="9"/>
        <v>0</v>
      </c>
      <c r="G59" s="165">
        <f t="shared" si="10"/>
        <v>0</v>
      </c>
    </row>
    <row r="60" spans="1:7" ht="20">
      <c r="A60" s="15"/>
      <c r="B60" s="85" t="str">
        <f>'Chem&amp;FertInputs&amp;CInsurance'!C72</f>
        <v xml:space="preserve">Spartan </v>
      </c>
      <c r="C60" s="23" t="str">
        <f>'Chem&amp;FertInputs&amp;CInsurance'!D72</f>
        <v>oz</v>
      </c>
      <c r="D60" s="116">
        <f>'Chem&amp;FertInputs&amp;CInsurance'!E72</f>
        <v>2.0469999999999997</v>
      </c>
      <c r="E60" s="133">
        <f>'Chem&amp;FertInputs&amp;CInsurance'!Z72</f>
        <v>0</v>
      </c>
      <c r="F60" s="117" t="str">
        <f t="shared" si="0"/>
        <v>0</v>
      </c>
      <c r="G60" s="165">
        <f>E60/128</f>
        <v>0</v>
      </c>
    </row>
    <row r="61" spans="1:7" ht="23">
      <c r="A61" s="15"/>
      <c r="B61" s="85" t="str">
        <f>'Chem&amp;FertInputs&amp;CInsurance'!C32</f>
        <v xml:space="preserve">Round Up </v>
      </c>
      <c r="C61" s="23" t="str">
        <f>'Chem&amp;FertInputs&amp;CInsurance'!D32</f>
        <v>oz</v>
      </c>
      <c r="D61" s="116">
        <f>'Chem&amp;FertInputs&amp;CInsurance'!E32</f>
        <v>0.14949999999999999</v>
      </c>
      <c r="E61" s="133">
        <f>'Chem&amp;FertInputs&amp;CInsurance'!Z32</f>
        <v>36</v>
      </c>
      <c r="F61" s="117">
        <f t="shared" si="0"/>
        <v>5.3819999999999997</v>
      </c>
      <c r="G61" s="225">
        <f>E61/128</f>
        <v>0.28125</v>
      </c>
    </row>
    <row r="62" spans="1:7" ht="20">
      <c r="A62" s="15"/>
      <c r="B62" s="139" t="s">
        <v>86</v>
      </c>
      <c r="C62" s="23"/>
      <c r="D62" s="116"/>
      <c r="E62" s="133"/>
      <c r="F62" s="117"/>
      <c r="G62" s="165">
        <f>SUM(G14:G61)</f>
        <v>0.57929687500000004</v>
      </c>
    </row>
    <row r="63" spans="1:7" ht="20">
      <c r="A63" s="15"/>
      <c r="B63" s="125" t="str">
        <f>CustomRates!B5</f>
        <v>Aerial (Custom)</v>
      </c>
      <c r="C63" s="41" t="str">
        <f>CustomRates!C5</f>
        <v>acre</v>
      </c>
      <c r="D63" s="116">
        <f>CustomRates!X5</f>
        <v>8.9499999999999993</v>
      </c>
      <c r="E63" s="87">
        <f>CustomRates!X6</f>
        <v>0</v>
      </c>
      <c r="F63" s="117" t="str">
        <f t="shared" ref="F63:F70" si="11">IF(D63*E63=0,"0",D63*E63)</f>
        <v>0</v>
      </c>
    </row>
    <row r="64" spans="1:7" ht="20">
      <c r="A64" s="15"/>
      <c r="B64" s="125" t="str">
        <f>CustomRates!B7</f>
        <v>Sprayer (Rental 90')</v>
      </c>
      <c r="C64" s="41" t="str">
        <f>CustomRates!C7</f>
        <v>acre</v>
      </c>
      <c r="D64" s="116">
        <f>CustomRates!X7</f>
        <v>8</v>
      </c>
      <c r="E64" s="87">
        <f>CustomRates!X8</f>
        <v>1</v>
      </c>
      <c r="F64" s="117">
        <f t="shared" si="11"/>
        <v>8</v>
      </c>
    </row>
    <row r="65" spans="1:9" ht="20">
      <c r="A65" s="15"/>
      <c r="B65" s="125" t="str">
        <f>CustomRates!B9</f>
        <v>Fertilizer - Anhydrous Applicator (Rent)</v>
      </c>
      <c r="C65" s="41" t="str">
        <f>CustomRates!C9</f>
        <v>acre</v>
      </c>
      <c r="D65" s="116">
        <f>CustomRates!X9</f>
        <v>7</v>
      </c>
      <c r="E65" s="87">
        <f>CustomRates!X10</f>
        <v>0</v>
      </c>
      <c r="F65" s="117" t="str">
        <f t="shared" si="11"/>
        <v>0</v>
      </c>
    </row>
    <row r="66" spans="1:9" ht="20">
      <c r="A66" s="15"/>
      <c r="B66" s="125" t="str">
        <f>CustomRates!B11</f>
        <v>Fertilizer Applicator</v>
      </c>
      <c r="C66" s="41" t="str">
        <f>CustomRates!C11</f>
        <v>acre</v>
      </c>
      <c r="D66" s="116">
        <f>CustomRates!X11</f>
        <v>2</v>
      </c>
      <c r="E66" s="87">
        <f>CustomRates!X12</f>
        <v>0</v>
      </c>
      <c r="F66" s="117" t="str">
        <f t="shared" si="11"/>
        <v>0</v>
      </c>
    </row>
    <row r="67" spans="1:9" ht="20">
      <c r="A67" s="15"/>
      <c r="B67" s="125" t="str">
        <f>CustomRates!B13</f>
        <v>26' Rental Shredder</v>
      </c>
      <c r="C67" s="41" t="str">
        <f>CustomRates!C13</f>
        <v>acre</v>
      </c>
      <c r="D67" s="116">
        <f>CustomRates!X13</f>
        <v>10</v>
      </c>
      <c r="E67" s="87">
        <f>CustomRates!X14</f>
        <v>0</v>
      </c>
      <c r="F67" s="117" t="str">
        <f t="shared" si="11"/>
        <v>0</v>
      </c>
    </row>
    <row r="68" spans="1:9" ht="20">
      <c r="A68" s="15"/>
      <c r="B68" s="125" t="str">
        <f>CustomRates!B15</f>
        <v>36' Ripper Shooter</v>
      </c>
      <c r="C68" s="41" t="str">
        <f>CustomRates!C15</f>
        <v>acre</v>
      </c>
      <c r="D68" s="116">
        <f>CustomRates!X15</f>
        <v>2.5</v>
      </c>
      <c r="E68" s="87">
        <f>CustomRates!X16</f>
        <v>0</v>
      </c>
      <c r="F68" s="117" t="str">
        <f t="shared" si="11"/>
        <v>0</v>
      </c>
    </row>
    <row r="69" spans="1:9" ht="20">
      <c r="A69" s="15"/>
      <c r="B69" s="125" t="str">
        <f>CustomRates!B17</f>
        <v>Custom self-propelled sprayer</v>
      </c>
      <c r="C69" s="41" t="str">
        <f>CustomRates!C17</f>
        <v>acre</v>
      </c>
      <c r="D69" s="116">
        <f>CustomRates!X17</f>
        <v>8</v>
      </c>
      <c r="E69" s="87">
        <f>CustomRates!X18</f>
        <v>0</v>
      </c>
      <c r="F69" s="117" t="str">
        <f t="shared" si="11"/>
        <v>0</v>
      </c>
    </row>
    <row r="70" spans="1:9" ht="20">
      <c r="A70" s="15"/>
      <c r="B70" s="125" t="str">
        <f>CustomRates!B19</f>
        <v>Additional Operation #8 (Custom)</v>
      </c>
      <c r="C70" s="41" t="str">
        <f>CustomRates!C19</f>
        <v>acre</v>
      </c>
      <c r="D70" s="116">
        <f>CustomRates!X19</f>
        <v>0</v>
      </c>
      <c r="E70" s="87">
        <f>CustomRates!X20</f>
        <v>0</v>
      </c>
      <c r="F70" s="117" t="str">
        <f t="shared" si="11"/>
        <v>0</v>
      </c>
    </row>
    <row r="71" spans="1:9" ht="20">
      <c r="A71" s="15"/>
      <c r="B71" s="139" t="s">
        <v>87</v>
      </c>
      <c r="C71" s="41"/>
      <c r="D71" s="116"/>
      <c r="E71" s="116"/>
      <c r="F71" s="117"/>
      <c r="H71" s="1" t="s">
        <v>204</v>
      </c>
      <c r="I71" s="1" t="s">
        <v>135</v>
      </c>
    </row>
    <row r="72" spans="1:9" ht="20">
      <c r="A72" s="15"/>
      <c r="B72" s="85" t="str">
        <f>MachineAssumptions!B7&amp;" - Labor"</f>
        <v>Shredder - Labor</v>
      </c>
      <c r="C72" s="41" t="s">
        <v>246</v>
      </c>
      <c r="D72" s="116">
        <f>MachineAssumptions!$R$7</f>
        <v>1.4996591683708247</v>
      </c>
      <c r="E72" s="87">
        <f>FieldApplications!$W$6</f>
        <v>0</v>
      </c>
      <c r="F72" s="117" t="str">
        <f t="shared" ref="F72:F113" si="12">IF(D72*E72=0,"0",D72*E72)</f>
        <v>0</v>
      </c>
      <c r="H72" s="246">
        <f>MachineAssumptions!$R$28*E72</f>
        <v>0</v>
      </c>
      <c r="I72" s="166">
        <f>MachineAssumptions!$R$48*E72</f>
        <v>0</v>
      </c>
    </row>
    <row r="73" spans="1:9" ht="20">
      <c r="A73" s="15"/>
      <c r="B73" s="85" t="str">
        <f>MachineAssumptions!B7&amp;" - Fuel, Lube"</f>
        <v>Shredder - Fuel, Lube</v>
      </c>
      <c r="C73" s="41" t="s">
        <v>246</v>
      </c>
      <c r="D73" s="116">
        <f>MachineAssumptions!$S$7</f>
        <v>5.7486934787548281</v>
      </c>
      <c r="E73" s="87">
        <f>FieldApplications!$W$6</f>
        <v>0</v>
      </c>
      <c r="F73" s="117" t="str">
        <f t="shared" si="12"/>
        <v>0</v>
      </c>
      <c r="H73" s="246">
        <f>MachineAssumptions!$S$28*E73</f>
        <v>0</v>
      </c>
      <c r="I73" s="166">
        <f>MachineAssumptions!$S$48*E73</f>
        <v>0</v>
      </c>
    </row>
    <row r="74" spans="1:9" ht="20">
      <c r="A74" s="15"/>
      <c r="B74" s="85" t="str">
        <f>MachineAssumptions!B7&amp;" - Repairs"</f>
        <v>Shredder - Repairs</v>
      </c>
      <c r="C74" s="41" t="s">
        <v>246</v>
      </c>
      <c r="D74" s="116">
        <f>MachineAssumptions!$T$7</f>
        <v>0.46726721181997538</v>
      </c>
      <c r="E74" s="87">
        <f>FieldApplications!$W$6</f>
        <v>0</v>
      </c>
      <c r="F74" s="117" t="str">
        <f t="shared" si="12"/>
        <v>0</v>
      </c>
      <c r="H74" s="246">
        <f>MachineAssumptions!$T$28*E74</f>
        <v>0</v>
      </c>
      <c r="I74" s="166">
        <f>MachineAssumptions!$T$48*E74</f>
        <v>0</v>
      </c>
    </row>
    <row r="75" spans="1:9" ht="20">
      <c r="A75" s="15"/>
      <c r="B75" s="85" t="str">
        <f>MachineAssumptions!B8&amp;" - Labor"</f>
        <v>Harrow - Labor</v>
      </c>
      <c r="C75" s="41" t="s">
        <v>246</v>
      </c>
      <c r="D75" s="116">
        <f>MachineAssumptions!$R$8</f>
        <v>0.59412746734753996</v>
      </c>
      <c r="E75" s="87">
        <f>FieldApplications!$W$7</f>
        <v>0</v>
      </c>
      <c r="F75" s="117" t="str">
        <f t="shared" si="12"/>
        <v>0</v>
      </c>
      <c r="H75" s="246">
        <f>MachineAssumptions!$R$29*E75</f>
        <v>0</v>
      </c>
      <c r="I75" s="166">
        <f>MachineAssumptions!$R$49*E75</f>
        <v>0</v>
      </c>
    </row>
    <row r="76" spans="1:9" ht="20">
      <c r="A76" s="15"/>
      <c r="B76" s="85" t="str">
        <f>MachineAssumptions!B8&amp;" - Fuel, Lube"</f>
        <v>Harrow - Fuel, Lube</v>
      </c>
      <c r="C76" s="41" t="s">
        <v>246</v>
      </c>
      <c r="D76" s="116">
        <f>MachineAssumptions!$S$8</f>
        <v>2.4845330452715308</v>
      </c>
      <c r="E76" s="87">
        <f>FieldApplications!$W$7</f>
        <v>0</v>
      </c>
      <c r="F76" s="117" t="str">
        <f t="shared" si="12"/>
        <v>0</v>
      </c>
      <c r="H76" s="246">
        <f>MachineAssumptions!$S$29*E76</f>
        <v>0</v>
      </c>
      <c r="I76" s="166">
        <f>MachineAssumptions!$S$49*E76</f>
        <v>0</v>
      </c>
    </row>
    <row r="77" spans="1:9" ht="20">
      <c r="A77" s="15"/>
      <c r="B77" s="85" t="str">
        <f>MachineAssumptions!B8&amp;" - Repairs"</f>
        <v>Harrow - Repairs</v>
      </c>
      <c r="C77" s="41" t="s">
        <v>246</v>
      </c>
      <c r="D77" s="116">
        <f>MachineAssumptions!$T$8</f>
        <v>0.14755184964846621</v>
      </c>
      <c r="E77" s="87">
        <f>FieldApplications!$W$7</f>
        <v>0</v>
      </c>
      <c r="F77" s="117" t="str">
        <f t="shared" si="12"/>
        <v>0</v>
      </c>
      <c r="H77" s="246">
        <f>MachineAssumptions!$T$29*E77</f>
        <v>0</v>
      </c>
      <c r="I77" s="166">
        <f>MachineAssumptions!$T$49*E77</f>
        <v>0</v>
      </c>
    </row>
    <row r="78" spans="1:9" ht="20">
      <c r="A78" s="15"/>
      <c r="B78" s="85" t="str">
        <f>MachineAssumptions!B9&amp;" - Labor"</f>
        <v>Chisel plow - Labor</v>
      </c>
      <c r="C78" s="41" t="s">
        <v>246</v>
      </c>
      <c r="D78" s="116">
        <f>MachineAssumptions!$R$9</f>
        <v>0</v>
      </c>
      <c r="E78" s="87">
        <f>FieldApplications!$W$8</f>
        <v>0</v>
      </c>
      <c r="F78" s="117" t="str">
        <f t="shared" si="12"/>
        <v>0</v>
      </c>
      <c r="H78" s="246">
        <f>MachineAssumptions!$R$30*E78</f>
        <v>0</v>
      </c>
      <c r="I78" s="166">
        <f>MachineAssumptions!$R$50*E78</f>
        <v>0</v>
      </c>
    </row>
    <row r="79" spans="1:9" ht="20">
      <c r="A79" s="15"/>
      <c r="B79" s="85" t="str">
        <f>MachineAssumptions!B9&amp;" - Fuel, Lube"</f>
        <v>Chisel plow - Fuel, Lube</v>
      </c>
      <c r="C79" s="41" t="s">
        <v>246</v>
      </c>
      <c r="D79" s="116">
        <f>MachineAssumptions!$S$9</f>
        <v>0</v>
      </c>
      <c r="E79" s="87">
        <f>FieldApplications!$W$8</f>
        <v>0</v>
      </c>
      <c r="F79" s="117" t="str">
        <f t="shared" si="12"/>
        <v>0</v>
      </c>
      <c r="H79" s="246">
        <f>MachineAssumptions!$R$30*E79</f>
        <v>0</v>
      </c>
      <c r="I79" s="166">
        <f>MachineAssumptions!$S$50*E79</f>
        <v>0</v>
      </c>
    </row>
    <row r="80" spans="1:9" ht="20">
      <c r="A80" s="15"/>
      <c r="B80" s="85" t="str">
        <f>MachineAssumptions!B9&amp;" - Repairs"</f>
        <v>Chisel plow - Repairs</v>
      </c>
      <c r="C80" s="41" t="s">
        <v>246</v>
      </c>
      <c r="D80" s="116">
        <f>MachineAssumptions!$T$9</f>
        <v>0</v>
      </c>
      <c r="E80" s="87">
        <f>FieldApplications!$W$8</f>
        <v>0</v>
      </c>
      <c r="F80" s="117" t="str">
        <f t="shared" si="12"/>
        <v>0</v>
      </c>
      <c r="H80" s="246">
        <f>MachineAssumptions!$T$30*E80</f>
        <v>0</v>
      </c>
      <c r="I80" s="166">
        <f>MachineAssumptions!$T$50*E80</f>
        <v>0</v>
      </c>
    </row>
    <row r="81" spans="1:9" ht="20">
      <c r="A81" s="15"/>
      <c r="B81" s="85" t="str">
        <f>MachineAssumptions!B10&amp;" - Labor"</f>
        <v>Moldboard plow - Labor</v>
      </c>
      <c r="C81" s="41" t="s">
        <v>246</v>
      </c>
      <c r="D81" s="116">
        <f>MachineAssumptions!$R$10</f>
        <v>0</v>
      </c>
      <c r="E81" s="87">
        <f>FieldApplications!$W$9</f>
        <v>0</v>
      </c>
      <c r="F81" s="117" t="str">
        <f t="shared" si="12"/>
        <v>0</v>
      </c>
      <c r="H81" s="246">
        <f>MachineAssumptions!$R$31*E81</f>
        <v>0</v>
      </c>
      <c r="I81" s="166">
        <f>MachineAssumptions!$R$51*E81</f>
        <v>0</v>
      </c>
    </row>
    <row r="82" spans="1:9" ht="20">
      <c r="A82" s="15"/>
      <c r="B82" s="85" t="str">
        <f>MachineAssumptions!B10&amp;" - Fuel, Lube"</f>
        <v>Moldboard plow - Fuel, Lube</v>
      </c>
      <c r="C82" s="41" t="s">
        <v>246</v>
      </c>
      <c r="D82" s="116">
        <f>MachineAssumptions!$S$10</f>
        <v>0</v>
      </c>
      <c r="E82" s="87">
        <f>FieldApplications!$W$9</f>
        <v>0</v>
      </c>
      <c r="F82" s="117" t="str">
        <f t="shared" si="12"/>
        <v>0</v>
      </c>
      <c r="H82" s="246">
        <f>MachineAssumptions!$S$31*E82</f>
        <v>0</v>
      </c>
      <c r="I82" s="166">
        <f>MachineAssumptions!$S$51*E82</f>
        <v>0</v>
      </c>
    </row>
    <row r="83" spans="1:9" ht="20">
      <c r="A83" s="15"/>
      <c r="B83" s="85" t="str">
        <f>MachineAssumptions!B10&amp;" - Repairs"</f>
        <v>Moldboard plow - Repairs</v>
      </c>
      <c r="C83" s="41" t="s">
        <v>246</v>
      </c>
      <c r="D83" s="116">
        <f>MachineAssumptions!$T$10</f>
        <v>0</v>
      </c>
      <c r="E83" s="87">
        <f>FieldApplications!$W$9</f>
        <v>0</v>
      </c>
      <c r="F83" s="117" t="str">
        <f t="shared" si="12"/>
        <v>0</v>
      </c>
      <c r="H83" s="246">
        <f>MachineAssumptions!$T$31*E83</f>
        <v>0</v>
      </c>
      <c r="I83" s="166">
        <f>MachineAssumptions!$T$51*E83</f>
        <v>0</v>
      </c>
    </row>
    <row r="84" spans="1:9" ht="20">
      <c r="A84" s="15"/>
      <c r="B84" s="85" t="str">
        <f>MachineAssumptions!B11&amp;" - Labor"</f>
        <v>Cultivator - Labor</v>
      </c>
      <c r="C84" s="41" t="s">
        <v>246</v>
      </c>
      <c r="D84" s="116">
        <f>MachineAssumptions!$R$11</f>
        <v>0</v>
      </c>
      <c r="E84" s="87">
        <f>FieldApplications!$W$10</f>
        <v>0</v>
      </c>
      <c r="F84" s="117" t="str">
        <f t="shared" si="12"/>
        <v>0</v>
      </c>
      <c r="H84" s="246">
        <f>MachineAssumptions!$R$32*E84</f>
        <v>0</v>
      </c>
      <c r="I84" s="166">
        <f>MachineAssumptions!$R$52*E84</f>
        <v>0</v>
      </c>
    </row>
    <row r="85" spans="1:9" ht="20">
      <c r="A85" s="15"/>
      <c r="B85" s="85" t="str">
        <f>MachineAssumptions!B11&amp;" - Fuel, Lube"</f>
        <v>Cultivator - Fuel, Lube</v>
      </c>
      <c r="C85" s="41" t="s">
        <v>246</v>
      </c>
      <c r="D85" s="116">
        <f>MachineAssumptions!$S$11</f>
        <v>0</v>
      </c>
      <c r="E85" s="87">
        <f>FieldApplications!$W$10</f>
        <v>0</v>
      </c>
      <c r="F85" s="117" t="str">
        <f t="shared" si="12"/>
        <v>0</v>
      </c>
      <c r="H85" s="246">
        <f>MachineAssumptions!$S$32*E85</f>
        <v>0</v>
      </c>
      <c r="I85" s="166">
        <f>MachineAssumptions!$S$52*E85</f>
        <v>0</v>
      </c>
    </row>
    <row r="86" spans="1:9" ht="20">
      <c r="A86" s="15"/>
      <c r="B86" s="85" t="str">
        <f>MachineAssumptions!B11&amp;" - Repairs"</f>
        <v>Cultivator - Repairs</v>
      </c>
      <c r="C86" s="41" t="s">
        <v>246</v>
      </c>
      <c r="D86" s="116">
        <f>MachineAssumptions!$T$11</f>
        <v>0</v>
      </c>
      <c r="E86" s="87">
        <f>FieldApplications!$W$10</f>
        <v>0</v>
      </c>
      <c r="F86" s="117" t="str">
        <f t="shared" si="12"/>
        <v>0</v>
      </c>
      <c r="H86" s="246">
        <f>MachineAssumptions!$T$32*E86</f>
        <v>0</v>
      </c>
      <c r="I86" s="166">
        <f>MachineAssumptions!$T$52*E86</f>
        <v>0</v>
      </c>
    </row>
    <row r="87" spans="1:9" ht="20">
      <c r="A87" s="15"/>
      <c r="B87" s="85" t="str">
        <f>MachineAssumptions!B12&amp;" - Labor"</f>
        <v>Cultiweeder - Labor</v>
      </c>
      <c r="C87" s="41" t="s">
        <v>246</v>
      </c>
      <c r="D87" s="116">
        <f>MachineAssumptions!$R$12</f>
        <v>0</v>
      </c>
      <c r="E87" s="87">
        <f>FieldApplications!$W$11</f>
        <v>0</v>
      </c>
      <c r="F87" s="117" t="str">
        <f t="shared" si="12"/>
        <v>0</v>
      </c>
      <c r="H87" s="246">
        <f>MachineAssumptions!$R$33*E87</f>
        <v>0</v>
      </c>
      <c r="I87" s="166">
        <f>MachineAssumptions!$R$53*E87</f>
        <v>0</v>
      </c>
    </row>
    <row r="88" spans="1:9" ht="20">
      <c r="A88" s="15"/>
      <c r="B88" s="85" t="str">
        <f>MachineAssumptions!B12&amp;" - Fuel, Lube"</f>
        <v>Cultiweeder - Fuel, Lube</v>
      </c>
      <c r="C88" s="41" t="s">
        <v>246</v>
      </c>
      <c r="D88" s="116">
        <f>MachineAssumptions!$S$12</f>
        <v>0</v>
      </c>
      <c r="E88" s="87">
        <f>FieldApplications!$W$11</f>
        <v>0</v>
      </c>
      <c r="F88" s="117" t="str">
        <f t="shared" si="12"/>
        <v>0</v>
      </c>
      <c r="H88" s="246">
        <f>MachineAssumptions!$S$33*E88</f>
        <v>0</v>
      </c>
      <c r="I88" s="166">
        <f>MachineAssumptions!$S$53*E88</f>
        <v>0</v>
      </c>
    </row>
    <row r="89" spans="1:9" ht="20">
      <c r="A89" s="15"/>
      <c r="B89" s="85" t="str">
        <f>MachineAssumptions!B12&amp;" - Repairs"</f>
        <v>Cultiweeder - Repairs</v>
      </c>
      <c r="C89" s="41" t="s">
        <v>246</v>
      </c>
      <c r="D89" s="116">
        <f>MachineAssumptions!$T$12</f>
        <v>0</v>
      </c>
      <c r="E89" s="87">
        <f>FieldApplications!$W$11</f>
        <v>0</v>
      </c>
      <c r="F89" s="117" t="str">
        <f t="shared" si="12"/>
        <v>0</v>
      </c>
      <c r="H89" s="246">
        <f>MachineAssumptions!$T$33*E89</f>
        <v>0</v>
      </c>
      <c r="I89" s="166">
        <f>MachineAssumptions!$T$53*E89</f>
        <v>0</v>
      </c>
    </row>
    <row r="90" spans="1:9" ht="20">
      <c r="A90" s="15"/>
      <c r="B90" s="85" t="str">
        <f>MachineAssumptions!B13&amp;" - Labor"</f>
        <v>Drill - Labor</v>
      </c>
      <c r="C90" s="41" t="s">
        <v>246</v>
      </c>
      <c r="D90" s="116">
        <f>MachineAssumptions!$R$13</f>
        <v>1.6703109815354713</v>
      </c>
      <c r="E90" s="87">
        <f>FieldApplications!$W$12</f>
        <v>1</v>
      </c>
      <c r="F90" s="117">
        <f t="shared" si="12"/>
        <v>1.6703109815354713</v>
      </c>
      <c r="H90" s="246">
        <f>MachineAssumptions!$R$34*E90</f>
        <v>1.6703109815354713</v>
      </c>
      <c r="I90" s="166">
        <f>MachineAssumptions!$R$54*E90</f>
        <v>1.6703109815354713</v>
      </c>
    </row>
    <row r="91" spans="1:9" ht="20">
      <c r="A91" s="15"/>
      <c r="B91" s="85" t="str">
        <f>MachineAssumptions!B13&amp;" - Fuel, Lube"</f>
        <v>Drill - Fuel, Lube</v>
      </c>
      <c r="C91" s="41" t="s">
        <v>246</v>
      </c>
      <c r="D91" s="116">
        <f>MachineAssumptions!$S$13</f>
        <v>6.146744412050535</v>
      </c>
      <c r="E91" s="87">
        <f>FieldApplications!$W$12</f>
        <v>1</v>
      </c>
      <c r="F91" s="117">
        <f t="shared" si="12"/>
        <v>6.146744412050535</v>
      </c>
      <c r="H91" s="246">
        <f>MachineAssumptions!$S$34*E91</f>
        <v>6.146744412050535</v>
      </c>
      <c r="I91" s="166">
        <f>MachineAssumptions!$S$54*E91</f>
        <v>6.146744412050535</v>
      </c>
    </row>
    <row r="92" spans="1:9" ht="20">
      <c r="A92" s="15"/>
      <c r="B92" s="85" t="str">
        <f>MachineAssumptions!B13&amp;" - Repairs"</f>
        <v>Drill - Repairs</v>
      </c>
      <c r="C92" s="41" t="s">
        <v>246</v>
      </c>
      <c r="D92" s="116">
        <f>MachineAssumptions!$T$13</f>
        <v>5.740409656342587</v>
      </c>
      <c r="E92" s="87">
        <f>FieldApplications!$W$12</f>
        <v>1</v>
      </c>
      <c r="F92" s="117">
        <f t="shared" si="12"/>
        <v>5.740409656342587</v>
      </c>
      <c r="H92" s="246">
        <f>MachineAssumptions!$T$34*E92</f>
        <v>5.740409656342587</v>
      </c>
      <c r="I92" s="166">
        <f>MachineAssumptions!$T$54*E92</f>
        <v>5.740409656342587</v>
      </c>
    </row>
    <row r="93" spans="1:9" ht="20">
      <c r="A93" s="15"/>
      <c r="B93" s="85" t="str">
        <f>MachineAssumptions!B14&amp;" - Labor"</f>
        <v>Combine w/ 36' header - Labor</v>
      </c>
      <c r="C93" s="41" t="s">
        <v>246</v>
      </c>
      <c r="D93" s="116">
        <f>MachineAssumptions!$R$14</f>
        <v>1.9161092530657748</v>
      </c>
      <c r="E93" s="87">
        <f>FieldApplications!$W$13</f>
        <v>1</v>
      </c>
      <c r="F93" s="117">
        <f t="shared" si="12"/>
        <v>1.9161092530657748</v>
      </c>
      <c r="H93" s="246">
        <f>MachineAssumptions!$R$35*E93</f>
        <v>1.9161092530657748</v>
      </c>
      <c r="I93" s="166">
        <f>MachineAssumptions!$R$55*E93</f>
        <v>1.9161092530657748</v>
      </c>
    </row>
    <row r="94" spans="1:9" ht="20">
      <c r="A94" s="15"/>
      <c r="B94" s="85" t="str">
        <f>MachineAssumptions!B14&amp;" - Fuel, Lube"</f>
        <v>Combine w/ 36' header - Fuel, Lube</v>
      </c>
      <c r="C94" s="41" t="s">
        <v>246</v>
      </c>
      <c r="D94" s="116">
        <f>MachineAssumptions!$S$14</f>
        <v>7.0512820512820511</v>
      </c>
      <c r="E94" s="87">
        <f>FieldApplications!$W$13</f>
        <v>1</v>
      </c>
      <c r="F94" s="117">
        <f t="shared" si="12"/>
        <v>7.0512820512820511</v>
      </c>
      <c r="H94" s="246">
        <f>MachineAssumptions!$S$35*E94</f>
        <v>7.0512820512820511</v>
      </c>
      <c r="I94" s="166">
        <f>MachineAssumptions!$S$55*E94</f>
        <v>7.0512820512820511</v>
      </c>
    </row>
    <row r="95" spans="1:9" ht="20">
      <c r="A95" s="15"/>
      <c r="B95" s="85" t="str">
        <f>MachineAssumptions!B14&amp;" - Repairs"</f>
        <v>Combine w/ 36' header - Repairs</v>
      </c>
      <c r="C95" s="41" t="s">
        <v>246</v>
      </c>
      <c r="D95" s="116">
        <f>MachineAssumptions!$T$14</f>
        <v>6.4258281801385913</v>
      </c>
      <c r="E95" s="87">
        <f>FieldApplications!$W$13</f>
        <v>1</v>
      </c>
      <c r="F95" s="117">
        <f t="shared" si="12"/>
        <v>6.4258281801385913</v>
      </c>
      <c r="H95" s="246">
        <f>MachineAssumptions!$T$35*E95</f>
        <v>6.4258281801385913</v>
      </c>
      <c r="I95" s="166">
        <f>MachineAssumptions!$T$55*E95</f>
        <v>4.0416300769413871</v>
      </c>
    </row>
    <row r="96" spans="1:9" ht="20">
      <c r="A96" s="15"/>
      <c r="B96" s="85" t="str">
        <f>MachineAssumptions!B16&amp;" - Labor"</f>
        <v>Fertilizer Spreader - Labor</v>
      </c>
      <c r="C96" s="41" t="s">
        <v>246</v>
      </c>
      <c r="D96" s="116">
        <f>MachineAssumptions!$R$16</f>
        <v>0</v>
      </c>
      <c r="E96" s="87">
        <f>FieldApplications!$W$14</f>
        <v>0</v>
      </c>
      <c r="F96" s="117" t="str">
        <f t="shared" si="12"/>
        <v>0</v>
      </c>
      <c r="H96" s="246">
        <f>MachineAssumptions!$R$36*E96</f>
        <v>0</v>
      </c>
      <c r="I96" s="166">
        <f>MachineAssumptions!$R$56*E96</f>
        <v>0</v>
      </c>
    </row>
    <row r="97" spans="1:9" ht="20">
      <c r="A97" s="15"/>
      <c r="B97" s="85" t="str">
        <f>MachineAssumptions!B16&amp;" - Fuel, Lube"</f>
        <v>Fertilizer Spreader - Fuel, Lube</v>
      </c>
      <c r="C97" s="41" t="s">
        <v>246</v>
      </c>
      <c r="D97" s="116">
        <f>MachineAssumptions!$S$16</f>
        <v>0</v>
      </c>
      <c r="E97" s="87">
        <f>FieldApplications!$W$14</f>
        <v>0</v>
      </c>
      <c r="F97" s="117" t="str">
        <f t="shared" si="12"/>
        <v>0</v>
      </c>
      <c r="H97" s="246">
        <f>MachineAssumptions!$S$36*E97</f>
        <v>0</v>
      </c>
      <c r="I97" s="166">
        <f>MachineAssumptions!$S$56*E97</f>
        <v>0</v>
      </c>
    </row>
    <row r="98" spans="1:9" ht="20">
      <c r="A98" s="15"/>
      <c r="B98" s="85" t="str">
        <f>MachineAssumptions!B16&amp;" - Repairs"</f>
        <v>Fertilizer Spreader - Repairs</v>
      </c>
      <c r="C98" s="41" t="s">
        <v>246</v>
      </c>
      <c r="D98" s="116">
        <f>MachineAssumptions!$T$16</f>
        <v>0</v>
      </c>
      <c r="E98" s="87">
        <f>FieldApplications!$W$14</f>
        <v>0</v>
      </c>
      <c r="F98" s="117" t="str">
        <f t="shared" si="12"/>
        <v>0</v>
      </c>
      <c r="H98" s="246">
        <f>MachineAssumptions!$T$36*E98</f>
        <v>0</v>
      </c>
      <c r="I98" s="166">
        <f>MachineAssumptions!$T$56*E98</f>
        <v>0</v>
      </c>
    </row>
    <row r="99" spans="1:9" ht="20">
      <c r="A99" s="15"/>
      <c r="B99" s="85" t="str">
        <f>MachineAssumptions!B17&amp;" - Labor"</f>
        <v>Fertilizer tanks and pump - Labor</v>
      </c>
      <c r="C99" s="41" t="s">
        <v>246</v>
      </c>
      <c r="D99" s="116">
        <f>MachineAssumptions!$R$17</f>
        <v>2.2448979591836737</v>
      </c>
      <c r="E99" s="87">
        <f>FieldApplications!$W$15</f>
        <v>1</v>
      </c>
      <c r="F99" s="117">
        <f t="shared" si="12"/>
        <v>2.2448979591836737</v>
      </c>
      <c r="H99" s="246">
        <f>MachineAssumptions!$R$37*E99</f>
        <v>2.2448979591836737</v>
      </c>
      <c r="I99" s="166">
        <f>MachineAssumptions!$R$57*E99</f>
        <v>2.2448979591836737</v>
      </c>
    </row>
    <row r="100" spans="1:9" ht="20">
      <c r="A100" s="15"/>
      <c r="B100" s="85" t="str">
        <f>MachineAssumptions!B17&amp;" - Fuel, Lube"</f>
        <v>Fertilizer tanks and pump - Fuel, Lube</v>
      </c>
      <c r="C100" s="41" t="s">
        <v>246</v>
      </c>
      <c r="D100" s="116">
        <f>MachineAssumptions!$S$17</f>
        <v>9.387755102040817</v>
      </c>
      <c r="E100" s="87">
        <f>FieldApplications!$W$15</f>
        <v>1</v>
      </c>
      <c r="F100" s="117">
        <f t="shared" si="12"/>
        <v>9.387755102040817</v>
      </c>
      <c r="H100" s="246">
        <f>MachineAssumptions!$S$37*E100</f>
        <v>9.387755102040817</v>
      </c>
      <c r="I100" s="166">
        <f>MachineAssumptions!$S$57*E100</f>
        <v>9.387755102040817</v>
      </c>
    </row>
    <row r="101" spans="1:9" ht="20">
      <c r="A101" s="15"/>
      <c r="B101" s="85" t="str">
        <f>MachineAssumptions!B17&amp;" - Repairs"</f>
        <v>Fertilizer tanks and pump - Repairs</v>
      </c>
      <c r="C101" s="41" t="s">
        <v>246</v>
      </c>
      <c r="D101" s="116">
        <f>MachineAssumptions!$T$17</f>
        <v>0</v>
      </c>
      <c r="E101" s="87">
        <f>FieldApplications!$W$15</f>
        <v>1</v>
      </c>
      <c r="F101" s="117" t="str">
        <f t="shared" si="12"/>
        <v>0</v>
      </c>
      <c r="H101" s="246">
        <f>MachineAssumptions!$T$37*E101</f>
        <v>0</v>
      </c>
      <c r="I101" s="166">
        <f>MachineAssumptions!$T$57*E101</f>
        <v>0</v>
      </c>
    </row>
    <row r="102" spans="1:9" ht="20">
      <c r="A102" s="15"/>
      <c r="B102" s="85" t="str">
        <f>MachineAssumptions!B18&amp;" - Labor"</f>
        <v>Boom sprayer - Labor</v>
      </c>
      <c r="C102" s="41" t="s">
        <v>246</v>
      </c>
      <c r="D102" s="116">
        <f>MachineAssumptions!$R$18</f>
        <v>0.4708120318630365</v>
      </c>
      <c r="E102" s="87">
        <f>FieldApplications!$W$16</f>
        <v>3</v>
      </c>
      <c r="F102" s="117">
        <f t="shared" si="12"/>
        <v>1.4124360955891095</v>
      </c>
      <c r="H102" s="246">
        <f>MachineAssumptions!$R$38*E102</f>
        <v>1.4124360955891095</v>
      </c>
      <c r="I102" s="166">
        <f>MachineAssumptions!$R$58*E102</f>
        <v>1.4124360955891095</v>
      </c>
    </row>
    <row r="103" spans="1:9" ht="20">
      <c r="A103" s="15"/>
      <c r="B103" s="85" t="str">
        <f>MachineAssumptions!B18&amp;" - Fuel, Lube"</f>
        <v>Boom sprayer - Fuel, Lube</v>
      </c>
      <c r="C103" s="41" t="s">
        <v>246</v>
      </c>
      <c r="D103" s="116">
        <f>MachineAssumptions!$S$18</f>
        <v>1.8047794554749732</v>
      </c>
      <c r="E103" s="87">
        <f>FieldApplications!$W$16</f>
        <v>3</v>
      </c>
      <c r="F103" s="117">
        <f t="shared" si="12"/>
        <v>5.4143383664249196</v>
      </c>
      <c r="H103" s="246">
        <f>MachineAssumptions!$S$38*E103</f>
        <v>5.4143383664249196</v>
      </c>
      <c r="I103" s="166">
        <f>MachineAssumptions!$S$58*E103</f>
        <v>5.4143383664249196</v>
      </c>
    </row>
    <row r="104" spans="1:9" ht="20">
      <c r="A104" s="15"/>
      <c r="B104" s="85" t="str">
        <f>MachineAssumptions!B18&amp;" - Repairs"</f>
        <v>Boom sprayer - Repairs</v>
      </c>
      <c r="C104" s="41" t="s">
        <v>246</v>
      </c>
      <c r="D104" s="116">
        <f>MachineAssumptions!$T$18</f>
        <v>0.49795949063219769</v>
      </c>
      <c r="E104" s="87">
        <f>FieldApplications!$W$16</f>
        <v>3</v>
      </c>
      <c r="F104" s="117">
        <f t="shared" si="12"/>
        <v>1.493878471896593</v>
      </c>
      <c r="H104" s="246">
        <f>MachineAssumptions!$T$38*E104</f>
        <v>1.5084005569154613</v>
      </c>
      <c r="I104" s="166">
        <f>MachineAssumptions!$T$58*E104</f>
        <v>1.3532484858048683</v>
      </c>
    </row>
    <row r="105" spans="1:9" ht="20">
      <c r="A105" s="15"/>
      <c r="B105" s="85" t="str">
        <f>MachineAssumptions!B15&amp;" - Labor"</f>
        <v>Bankout Wagon - Labor</v>
      </c>
      <c r="C105" s="41" t="s">
        <v>246</v>
      </c>
      <c r="D105" s="116">
        <f>MachineAssumptions!$R$15</f>
        <v>1.6861761426978819</v>
      </c>
      <c r="E105" s="87">
        <f t="shared" ref="E105:E113" si="13">IF($E$93&gt;0,1,0)</f>
        <v>1</v>
      </c>
      <c r="F105" s="117">
        <f t="shared" si="12"/>
        <v>1.6861761426978819</v>
      </c>
      <c r="H105" s="246">
        <f>MachineAssumptions!$R$39*E105</f>
        <v>1.6861761426978819</v>
      </c>
      <c r="I105" s="166">
        <f>MachineAssumptions!$R$59*E105</f>
        <v>1.6861761426978819</v>
      </c>
    </row>
    <row r="106" spans="1:9" ht="20">
      <c r="A106" s="15"/>
      <c r="B106" s="85" t="str">
        <f>MachineAssumptions!B15&amp;" - Fuel, Lube"</f>
        <v>Bankout Wagon - Fuel, Lube</v>
      </c>
      <c r="C106" s="41" t="s">
        <v>246</v>
      </c>
      <c r="D106" s="116">
        <f>MachineAssumptions!$S$15</f>
        <v>7.0512820512820511</v>
      </c>
      <c r="E106" s="87">
        <f t="shared" si="13"/>
        <v>1</v>
      </c>
      <c r="F106" s="117">
        <f t="shared" si="12"/>
        <v>7.0512820512820511</v>
      </c>
      <c r="H106" s="246">
        <f>MachineAssumptions!$S$39*E106</f>
        <v>7.0512820512820511</v>
      </c>
      <c r="I106" s="166">
        <f>MachineAssumptions!$S$59*E106</f>
        <v>7.0512820512820511</v>
      </c>
    </row>
    <row r="107" spans="1:9" ht="20">
      <c r="A107" s="15"/>
      <c r="B107" s="85" t="str">
        <f>MachineAssumptions!B15&amp;" - Repairs"</f>
        <v>Bankout Wagon - Repairs</v>
      </c>
      <c r="C107" s="41" t="s">
        <v>246</v>
      </c>
      <c r="D107" s="116">
        <f>MachineAssumptions!$T$15</f>
        <v>0.5058930256896228</v>
      </c>
      <c r="E107" s="87">
        <f t="shared" si="13"/>
        <v>1</v>
      </c>
      <c r="F107" s="117">
        <f t="shared" si="12"/>
        <v>0.5058930256896228</v>
      </c>
      <c r="H107" s="246">
        <f>MachineAssumptions!$T$39*E107</f>
        <v>0.5058930256896228</v>
      </c>
      <c r="I107" s="166">
        <f>MachineAssumptions!$T$59*E107</f>
        <v>0.43525361955195507</v>
      </c>
    </row>
    <row r="108" spans="1:9" ht="20">
      <c r="A108" s="15"/>
      <c r="B108" s="85" t="str">
        <f>MachineAssumptions!B19&amp;" - Labor"</f>
        <v>Tandem Axle Truck  - Labor</v>
      </c>
      <c r="C108" s="41" t="s">
        <v>246</v>
      </c>
      <c r="D108" s="116">
        <f>MachineAssumptions!$R$19</f>
        <v>3.6</v>
      </c>
      <c r="E108" s="87">
        <f t="shared" si="13"/>
        <v>1</v>
      </c>
      <c r="F108" s="117">
        <f t="shared" si="12"/>
        <v>3.6</v>
      </c>
      <c r="H108" s="246">
        <f>MachineAssumptions!$R$40*E108</f>
        <v>3.6</v>
      </c>
      <c r="I108" s="166">
        <f>MachineAssumptions!$R$60*E108</f>
        <v>3.6</v>
      </c>
    </row>
    <row r="109" spans="1:9" ht="20">
      <c r="A109" s="15"/>
      <c r="B109" s="85" t="str">
        <f>MachineAssumptions!B19&amp;" - Fuel, Lube"</f>
        <v>Tandem Axle Truck  - Fuel, Lube</v>
      </c>
      <c r="C109" s="41" t="s">
        <v>246</v>
      </c>
      <c r="D109" s="116">
        <f>MachineAssumptions!$S$19</f>
        <v>1.1499999999999999</v>
      </c>
      <c r="E109" s="87">
        <f t="shared" si="13"/>
        <v>1</v>
      </c>
      <c r="F109" s="117">
        <f t="shared" si="12"/>
        <v>1.1499999999999999</v>
      </c>
      <c r="H109" s="246">
        <f>MachineAssumptions!$S$40*E109</f>
        <v>1.1499999999999999</v>
      </c>
      <c r="I109" s="166">
        <f>MachineAssumptions!$S$60*E109</f>
        <v>1.1499999999999999</v>
      </c>
    </row>
    <row r="110" spans="1:9" ht="20">
      <c r="A110" s="15"/>
      <c r="B110" s="85" t="str">
        <f>MachineAssumptions!B19&amp;" - Repairs"</f>
        <v>Tandem Axle Truck  - Repairs</v>
      </c>
      <c r="C110" s="41" t="s">
        <v>246</v>
      </c>
      <c r="D110" s="116">
        <f>MachineAssumptions!$T$19</f>
        <v>0.8</v>
      </c>
      <c r="E110" s="87">
        <f t="shared" si="13"/>
        <v>1</v>
      </c>
      <c r="F110" s="117">
        <f t="shared" si="12"/>
        <v>0.8</v>
      </c>
      <c r="H110" s="246">
        <f>MachineAssumptions!$T$40*E110</f>
        <v>0.8</v>
      </c>
      <c r="I110" s="166">
        <f>MachineAssumptions!$T$60*E110</f>
        <v>0.8</v>
      </c>
    </row>
    <row r="111" spans="1:9" ht="20">
      <c r="A111" s="15"/>
      <c r="B111" s="85" t="str">
        <f>MachineAssumptions!B20&amp;" - Labor"</f>
        <v>Tandem Axle Truck  - Labor</v>
      </c>
      <c r="C111" s="41" t="s">
        <v>246</v>
      </c>
      <c r="D111" s="116">
        <f>MachineAssumptions!$R$20</f>
        <v>3.6</v>
      </c>
      <c r="E111" s="87">
        <f t="shared" si="13"/>
        <v>1</v>
      </c>
      <c r="F111" s="117">
        <f t="shared" si="12"/>
        <v>3.6</v>
      </c>
      <c r="H111" s="416">
        <f>MachineAssumptions!$R$41*E111</f>
        <v>3.6</v>
      </c>
      <c r="I111" s="369">
        <f>MachineAssumptions!$R$61*E111</f>
        <v>3.6</v>
      </c>
    </row>
    <row r="112" spans="1:9" ht="20">
      <c r="A112" s="15"/>
      <c r="B112" s="85" t="str">
        <f>MachineAssumptions!B20&amp;" - Fuel, Lube"</f>
        <v>Tandem Axle Truck  - Fuel, Lube</v>
      </c>
      <c r="C112" s="41" t="s">
        <v>246</v>
      </c>
      <c r="D112" s="116">
        <f>MachineAssumptions!$S$20</f>
        <v>1.72</v>
      </c>
      <c r="E112" s="87">
        <f t="shared" si="13"/>
        <v>1</v>
      </c>
      <c r="F112" s="117">
        <f t="shared" si="12"/>
        <v>1.72</v>
      </c>
      <c r="H112" s="416">
        <f>MachineAssumptions!$S$41*E112</f>
        <v>1.72</v>
      </c>
      <c r="I112" s="369">
        <f>MachineAssumptions!$S$61*E112</f>
        <v>1.72</v>
      </c>
    </row>
    <row r="113" spans="1:13" ht="23">
      <c r="A113" s="15"/>
      <c r="B113" s="85" t="str">
        <f>MachineAssumptions!B20&amp;" - Repairs"</f>
        <v>Tandem Axle Truck  - Repairs</v>
      </c>
      <c r="C113" s="41" t="s">
        <v>246</v>
      </c>
      <c r="D113" s="116">
        <f>MachineAssumptions!$T$20</f>
        <v>0.8</v>
      </c>
      <c r="E113" s="87">
        <f t="shared" si="13"/>
        <v>1</v>
      </c>
      <c r="F113" s="117">
        <f t="shared" si="12"/>
        <v>0.8</v>
      </c>
      <c r="H113" s="248">
        <f>MachineAssumptions!$T$41*E113</f>
        <v>0.8</v>
      </c>
      <c r="I113" s="247">
        <f>MachineAssumptions!$T$61*E113</f>
        <v>0.8</v>
      </c>
    </row>
    <row r="114" spans="1:13" ht="21">
      <c r="A114" s="15"/>
      <c r="B114" s="139" t="s">
        <v>88</v>
      </c>
      <c r="C114" s="41"/>
      <c r="D114" s="116"/>
      <c r="E114" s="87"/>
      <c r="F114" s="117"/>
      <c r="H114" s="249">
        <f>SUM(H74:H113)</f>
        <v>69.831863834238547</v>
      </c>
      <c r="I114" s="249">
        <f>SUM(I74:I113)</f>
        <v>67.221874253793075</v>
      </c>
    </row>
    <row r="115" spans="1:13" ht="20">
      <c r="A115" s="15"/>
      <c r="B115" s="85" t="str">
        <f>'Chem&amp;FertInputs&amp;CInsurance'!B73</f>
        <v>Crop Insurance</v>
      </c>
      <c r="C115" s="23" t="str">
        <f>'Chem&amp;FertInputs&amp;CInsurance'!D73</f>
        <v>acre</v>
      </c>
      <c r="D115" s="116">
        <f>'Chem&amp;FertInputs&amp;CInsurance'!Z73</f>
        <v>17</v>
      </c>
      <c r="E115" s="87">
        <v>1</v>
      </c>
      <c r="F115" s="117">
        <f>IF(D115*E115=0,"0",D115*E115)</f>
        <v>17</v>
      </c>
      <c r="H115" s="1" t="s">
        <v>181</v>
      </c>
      <c r="I115" s="1" t="s">
        <v>181</v>
      </c>
    </row>
    <row r="116" spans="1:13" ht="20">
      <c r="A116" s="15"/>
      <c r="B116" s="85" t="s">
        <v>72</v>
      </c>
      <c r="C116" s="41" t="s">
        <v>83</v>
      </c>
      <c r="D116" s="111">
        <f>MachineAssumptions!D25</f>
        <v>0.05</v>
      </c>
      <c r="E116" s="87"/>
      <c r="F116" s="86">
        <f>SUM(F8:F115)*D116</f>
        <v>12.135009587460983</v>
      </c>
      <c r="G116" s="1" t="s">
        <v>111</v>
      </c>
      <c r="H116" s="49">
        <f>(SUM($F8:$F70)+$F115+SUM(H72:H113))*$D116</f>
        <v>12.135735691711927</v>
      </c>
      <c r="I116" s="49">
        <f>(SUM($F8:$F70)+$F115+SUM(I72:I113))*$D116</f>
        <v>12.005236212689653</v>
      </c>
      <c r="J116" s="49">
        <f>F72+F75+F78+F81+F84+F87+F90+F93+F96+F99+F102+F105+F108+F111</f>
        <v>16.129930432071912</v>
      </c>
      <c r="K116" s="1" t="s">
        <v>111</v>
      </c>
    </row>
    <row r="117" spans="1:13" ht="20">
      <c r="A117" s="15"/>
      <c r="B117" s="85" t="s">
        <v>84</v>
      </c>
      <c r="C117" s="41" t="s">
        <v>83</v>
      </c>
      <c r="D117" s="111">
        <f>MachineAssumptions!D26</f>
        <v>6.7500000000000004E-2</v>
      </c>
      <c r="E117" s="112"/>
      <c r="F117" s="140">
        <f>SUM(F8:F116)*(D117/12*MachineAssumptions!D27)</f>
        <v>12.901032067669458</v>
      </c>
      <c r="G117" s="1" t="s">
        <v>4</v>
      </c>
      <c r="H117" s="49">
        <f>(SUM(F8:F70)+(F115+F116+H114))*((D117/12)*MachineAssumptions!D27)</f>
        <v>12.901767248223539</v>
      </c>
      <c r="I117" s="49">
        <f>(SUM(F8:F70)+(F115+F116+I114))*((D117/12)*MachineAssumptions!D27)</f>
        <v>12.769636525713487</v>
      </c>
      <c r="J117" s="49">
        <f>F73+F76+F79+F82+F85+F88+F91+F94+F97+F100+F103+F106+F109+F112</f>
        <v>37.921401983080372</v>
      </c>
      <c r="K117" s="1" t="s">
        <v>4</v>
      </c>
    </row>
    <row r="118" spans="1:13" ht="20">
      <c r="A118" s="15"/>
      <c r="B118" s="14" t="s">
        <v>85</v>
      </c>
      <c r="C118" s="29"/>
      <c r="D118" s="141"/>
      <c r="E118" s="142"/>
      <c r="F118" s="143">
        <f>SUM(F8:F117)</f>
        <v>267.73623340435006</v>
      </c>
      <c r="G118" s="1" t="s">
        <v>112</v>
      </c>
      <c r="J118" s="49">
        <f>F74+F77+F80+F83+F86+F89+F92+F95+F98+F101+F104+F107+F110+F113</f>
        <v>15.766009334067396</v>
      </c>
      <c r="K118" s="1" t="s">
        <v>112</v>
      </c>
      <c r="L118" s="49">
        <f>H74+H77+H80+H83+H86+H89+H92+H95+H98+H101+H104+H107+H110+H113</f>
        <v>15.780531419086264</v>
      </c>
      <c r="M118" s="49">
        <f>I74+I77+I80+I83+I86+I89+I92+I95+I98+I101+I104+I107+I110+I113</f>
        <v>13.1705418386408</v>
      </c>
    </row>
    <row r="119" spans="1:13">
      <c r="A119" s="15"/>
      <c r="B119" s="113"/>
      <c r="C119" s="113"/>
      <c r="D119" s="113"/>
      <c r="E119" s="114"/>
      <c r="F119" s="115"/>
      <c r="H119" s="115"/>
      <c r="J119" s="49">
        <f>SUM(J116:J118)</f>
        <v>69.817341749219679</v>
      </c>
      <c r="K119" s="115"/>
    </row>
    <row r="120" spans="1:13" ht="20">
      <c r="A120" s="15"/>
      <c r="B120" s="132" t="s">
        <v>89</v>
      </c>
      <c r="C120" s="19" t="s">
        <v>2</v>
      </c>
      <c r="D120" s="20" t="s">
        <v>12</v>
      </c>
      <c r="E120" s="21" t="s">
        <v>13</v>
      </c>
      <c r="F120" s="45" t="s">
        <v>0</v>
      </c>
      <c r="H120" s="1" t="s">
        <v>136</v>
      </c>
      <c r="I120" s="1" t="s">
        <v>139</v>
      </c>
    </row>
    <row r="121" spans="1:13" ht="20">
      <c r="A121" s="15"/>
      <c r="B121" s="18" t="str">
        <f>MachineAssumptions!B7&amp;" - Replacement Costs"</f>
        <v>Shredder - Replacement Costs</v>
      </c>
      <c r="C121" s="41" t="str">
        <f>C72</f>
        <v>acre</v>
      </c>
      <c r="D121" s="34">
        <f>MachineAssumptions!U7</f>
        <v>4.3329737628911431</v>
      </c>
      <c r="E121" s="145">
        <f>E72</f>
        <v>0</v>
      </c>
      <c r="F121" s="42" t="str">
        <f t="shared" ref="F121:F134" si="14">IF(D121*E121=0,"0",D121*E121)</f>
        <v>0</v>
      </c>
      <c r="H121" s="166">
        <f>MachineAssumptions!U28*E121</f>
        <v>0</v>
      </c>
      <c r="I121" s="166">
        <f>MachineAssumptions!U48*E121</f>
        <v>0</v>
      </c>
    </row>
    <row r="122" spans="1:13" ht="20">
      <c r="A122" s="15"/>
      <c r="B122" s="18" t="str">
        <f>MachineAssumptions!B8&amp;" - Replacement Costs"</f>
        <v>Harrow - Replacement Costs</v>
      </c>
      <c r="C122" s="41" t="str">
        <f>C75</f>
        <v>acre</v>
      </c>
      <c r="D122" s="34">
        <f>MachineAssumptions!U8</f>
        <v>1.1988479209967022</v>
      </c>
      <c r="E122" s="145">
        <f>E75</f>
        <v>0</v>
      </c>
      <c r="F122" s="42" t="str">
        <f t="shared" si="14"/>
        <v>0</v>
      </c>
      <c r="H122" s="166">
        <f>MachineAssumptions!U29*E122</f>
        <v>0</v>
      </c>
      <c r="I122" s="166">
        <f>MachineAssumptions!U49*E122</f>
        <v>0</v>
      </c>
    </row>
    <row r="123" spans="1:13" ht="20">
      <c r="A123" s="15"/>
      <c r="B123" s="18" t="str">
        <f>MachineAssumptions!B9&amp;" - Replacement Costs"</f>
        <v>Chisel plow - Replacement Costs</v>
      </c>
      <c r="C123" s="41" t="str">
        <f>C78</f>
        <v>acre</v>
      </c>
      <c r="D123" s="34">
        <f>MachineAssumptions!U9</f>
        <v>0</v>
      </c>
      <c r="E123" s="145">
        <f>E78</f>
        <v>0</v>
      </c>
      <c r="F123" s="42" t="str">
        <f t="shared" si="14"/>
        <v>0</v>
      </c>
      <c r="H123" s="166">
        <f>MachineAssumptions!U30*E123</f>
        <v>0</v>
      </c>
      <c r="I123" s="166">
        <f>MachineAssumptions!U50*E123</f>
        <v>0</v>
      </c>
    </row>
    <row r="124" spans="1:13" ht="20">
      <c r="A124" s="15"/>
      <c r="B124" s="18" t="str">
        <f>MachineAssumptions!B10&amp;" - Replacement Costs"</f>
        <v>Moldboard plow - Replacement Costs</v>
      </c>
      <c r="C124" s="41" t="str">
        <f>C81</f>
        <v>acre</v>
      </c>
      <c r="D124" s="34">
        <f>MachineAssumptions!U10</f>
        <v>0</v>
      </c>
      <c r="E124" s="145">
        <f>E81</f>
        <v>0</v>
      </c>
      <c r="F124" s="42" t="str">
        <f t="shared" si="14"/>
        <v>0</v>
      </c>
      <c r="H124" s="166">
        <f>MachineAssumptions!U31*E124</f>
        <v>0</v>
      </c>
      <c r="I124" s="166">
        <f>MachineAssumptions!U51*E124</f>
        <v>0</v>
      </c>
    </row>
    <row r="125" spans="1:13" ht="20">
      <c r="A125" s="15"/>
      <c r="B125" s="18" t="str">
        <f>MachineAssumptions!B11&amp;" - Replacement Costs"</f>
        <v>Cultivator - Replacement Costs</v>
      </c>
      <c r="C125" s="41" t="str">
        <f t="shared" ref="C125:C126" si="15">C82</f>
        <v>acre</v>
      </c>
      <c r="D125" s="34">
        <f>MachineAssumptions!U11</f>
        <v>0</v>
      </c>
      <c r="E125" s="145">
        <f>E84</f>
        <v>0</v>
      </c>
      <c r="F125" s="42" t="str">
        <f t="shared" si="14"/>
        <v>0</v>
      </c>
      <c r="H125" s="166">
        <f>MachineAssumptions!U32*E125</f>
        <v>0</v>
      </c>
      <c r="I125" s="166">
        <f>MachineAssumptions!U52*E125</f>
        <v>0</v>
      </c>
    </row>
    <row r="126" spans="1:13" ht="20">
      <c r="A126" s="15"/>
      <c r="B126" s="18" t="str">
        <f>MachineAssumptions!B12&amp;" - Replacement Costs"</f>
        <v>Cultiweeder - Replacement Costs</v>
      </c>
      <c r="C126" s="41" t="str">
        <f t="shared" si="15"/>
        <v>acre</v>
      </c>
      <c r="D126" s="34">
        <f>MachineAssumptions!U12</f>
        <v>0</v>
      </c>
      <c r="E126" s="145">
        <f>E87</f>
        <v>0</v>
      </c>
      <c r="F126" s="42" t="str">
        <f t="shared" si="14"/>
        <v>0</v>
      </c>
      <c r="H126" s="166">
        <f>MachineAssumptions!U33*E126</f>
        <v>0</v>
      </c>
      <c r="I126" s="166">
        <f>MachineAssumptions!U53*E126</f>
        <v>0</v>
      </c>
    </row>
    <row r="127" spans="1:13" ht="20">
      <c r="A127" s="15"/>
      <c r="B127" s="18" t="str">
        <f>MachineAssumptions!B13&amp;" - Replacement Costs"</f>
        <v>Drill - Replacement Costs</v>
      </c>
      <c r="C127" s="41" t="str">
        <f>C90</f>
        <v>acre</v>
      </c>
      <c r="D127" s="34">
        <f>MachineAssumptions!U13</f>
        <v>7.2419265221735989</v>
      </c>
      <c r="E127" s="145">
        <f>E90</f>
        <v>1</v>
      </c>
      <c r="F127" s="42">
        <f t="shared" si="14"/>
        <v>7.2419265221735989</v>
      </c>
      <c r="H127" s="166">
        <f>MachineAssumptions!U34*E127</f>
        <v>7.2419265221735989</v>
      </c>
      <c r="I127" s="166">
        <f>MachineAssumptions!U54*E127</f>
        <v>7.2419265221735989</v>
      </c>
    </row>
    <row r="128" spans="1:13" ht="20">
      <c r="A128" s="15"/>
      <c r="B128" s="18" t="str">
        <f>MachineAssumptions!B14&amp;" - Replacement Costs"</f>
        <v>Combine w/ 36' header - Replacement Costs</v>
      </c>
      <c r="C128" s="41" t="str">
        <f>C93</f>
        <v>acre</v>
      </c>
      <c r="D128" s="34">
        <f>MachineAssumptions!U14</f>
        <v>9.7031999999999989</v>
      </c>
      <c r="E128" s="145">
        <f>E93</f>
        <v>1</v>
      </c>
      <c r="F128" s="42">
        <f t="shared" si="14"/>
        <v>9.7031999999999989</v>
      </c>
      <c r="H128" s="166">
        <f>MachineAssumptions!U35*E128</f>
        <v>9.7031999999999989</v>
      </c>
      <c r="I128" s="166">
        <f>MachineAssumptions!U55*E128</f>
        <v>9.7032000000000007</v>
      </c>
    </row>
    <row r="129" spans="1:9" ht="20">
      <c r="A129" s="15"/>
      <c r="B129" s="18" t="str">
        <f>MachineAssumptions!B16&amp;" - Replacement Costs"</f>
        <v>Fertilizer Spreader - Replacement Costs</v>
      </c>
      <c r="C129" s="41" t="str">
        <f>C96</f>
        <v>acre</v>
      </c>
      <c r="D129" s="34">
        <f>MachineAssumptions!U16</f>
        <v>0</v>
      </c>
      <c r="E129" s="145">
        <f>E96</f>
        <v>0</v>
      </c>
      <c r="F129" s="42" t="str">
        <f t="shared" si="14"/>
        <v>0</v>
      </c>
      <c r="H129" s="166">
        <f>MachineAssumptions!U36*E129</f>
        <v>0</v>
      </c>
      <c r="I129" s="166">
        <f>MachineAssumptions!U56*E129</f>
        <v>0</v>
      </c>
    </row>
    <row r="130" spans="1:9" ht="20">
      <c r="A130" s="15"/>
      <c r="B130" s="18" t="str">
        <f>MachineAssumptions!B17&amp;" - Replacement Costs"</f>
        <v>Fertilizer tanks and pump - Replacement Costs</v>
      </c>
      <c r="C130" s="41" t="str">
        <f>C99</f>
        <v>acre</v>
      </c>
      <c r="D130" s="34">
        <f>MachineAssumptions!U17</f>
        <v>0.6</v>
      </c>
      <c r="E130" s="145">
        <f>E99</f>
        <v>1</v>
      </c>
      <c r="F130" s="42">
        <f t="shared" si="14"/>
        <v>0.6</v>
      </c>
      <c r="H130" s="166">
        <f>MachineAssumptions!U37*E130</f>
        <v>0.6</v>
      </c>
      <c r="I130" s="166">
        <f>MachineAssumptions!U57*E130</f>
        <v>0.6</v>
      </c>
    </row>
    <row r="131" spans="1:9" ht="20">
      <c r="A131" s="15"/>
      <c r="B131" s="18" t="str">
        <f>MachineAssumptions!B18&amp;" - Replacement Costs"</f>
        <v>Boom sprayer - Replacement Costs</v>
      </c>
      <c r="C131" s="41" t="str">
        <f>C102</f>
        <v>acre</v>
      </c>
      <c r="D131" s="34">
        <f>MachineAssumptions!U18</f>
        <v>0.80913316225248511</v>
      </c>
      <c r="E131" s="145">
        <f>E102</f>
        <v>3</v>
      </c>
      <c r="F131" s="42">
        <f t="shared" si="14"/>
        <v>2.4273994867574551</v>
      </c>
      <c r="H131" s="166">
        <f>MachineAssumptions!U38*E131</f>
        <v>2.4270356342009749</v>
      </c>
      <c r="I131" s="166">
        <f>MachineAssumptions!U58*E131</f>
        <v>2.4273994867574551</v>
      </c>
    </row>
    <row r="132" spans="1:9" ht="20">
      <c r="A132" s="15"/>
      <c r="B132" s="18" t="str">
        <f>MachineAssumptions!B15&amp;" - Replacement Costs"</f>
        <v>Bankout Wagon - Replacement Costs</v>
      </c>
      <c r="C132" s="41" t="str">
        <f>C105</f>
        <v>acre</v>
      </c>
      <c r="D132" s="34">
        <f>MachineAssumptions!U15</f>
        <v>2.9461434675395459</v>
      </c>
      <c r="E132" s="145">
        <f>E105</f>
        <v>1</v>
      </c>
      <c r="F132" s="42">
        <f t="shared" si="14"/>
        <v>2.9461434675395459</v>
      </c>
      <c r="H132" s="166">
        <f>MachineAssumptions!U39*E132</f>
        <v>2.9461434675395459</v>
      </c>
      <c r="I132" s="166">
        <f>MachineAssumptions!U59*E132</f>
        <v>2.9461434675395459</v>
      </c>
    </row>
    <row r="133" spans="1:9" ht="20">
      <c r="A133" s="15"/>
      <c r="B133" s="18" t="str">
        <f>MachineAssumptions!B19&amp;" - Replacement Costs"</f>
        <v>Tandem Axle Truck  - Replacement Costs</v>
      </c>
      <c r="C133" s="41" t="str">
        <f>C108</f>
        <v>acre</v>
      </c>
      <c r="D133" s="34">
        <f>MachineAssumptions!U19</f>
        <v>0.64</v>
      </c>
      <c r="E133" s="145">
        <f>E108</f>
        <v>1</v>
      </c>
      <c r="F133" s="42">
        <f t="shared" si="14"/>
        <v>0.64</v>
      </c>
      <c r="H133" s="166">
        <f>MachineAssumptions!U40*E133</f>
        <v>0.64</v>
      </c>
      <c r="I133" s="166">
        <f>MachineAssumptions!U60*E133</f>
        <v>0.64</v>
      </c>
    </row>
    <row r="134" spans="1:9" ht="23">
      <c r="A134" s="15"/>
      <c r="B134" s="18" t="str">
        <f>MachineAssumptions!B20&amp;" - Replacement Costs"</f>
        <v>Tandem Axle Truck  - Replacement Costs</v>
      </c>
      <c r="C134" s="41" t="str">
        <f t="shared" ref="C134" si="16">C111</f>
        <v>acre</v>
      </c>
      <c r="D134" s="34">
        <f>MachineAssumptions!U20</f>
        <v>0.64</v>
      </c>
      <c r="E134" s="145">
        <f t="shared" ref="E134" si="17">E111</f>
        <v>1</v>
      </c>
      <c r="F134" s="43">
        <f t="shared" si="14"/>
        <v>0.64</v>
      </c>
      <c r="H134" s="247">
        <f>MachineAssumptions!U41*E134</f>
        <v>0.64</v>
      </c>
      <c r="I134" s="247">
        <f>MachineAssumptions!U61*E134</f>
        <v>0.64</v>
      </c>
    </row>
    <row r="135" spans="1:9" ht="20">
      <c r="A135" s="15"/>
      <c r="B135" s="144" t="s">
        <v>38</v>
      </c>
      <c r="C135" s="29"/>
      <c r="D135" s="30"/>
      <c r="E135" s="29"/>
      <c r="F135" s="46">
        <f>SUM(F121:F134)</f>
        <v>24.198669476470602</v>
      </c>
      <c r="H135" s="46">
        <f t="shared" ref="H135:I135" si="18">SUM(H121:H134)</f>
        <v>24.198305623914123</v>
      </c>
      <c r="I135" s="46">
        <f t="shared" si="18"/>
        <v>24.198669476470602</v>
      </c>
    </row>
    <row r="136" spans="1:9" ht="20">
      <c r="A136" s="15"/>
      <c r="B136" s="16"/>
      <c r="C136" s="16"/>
      <c r="D136" s="17"/>
      <c r="E136" s="16"/>
      <c r="F136" s="113"/>
    </row>
    <row r="137" spans="1:9" ht="20">
      <c r="A137" s="15"/>
      <c r="B137" s="14" t="s">
        <v>31</v>
      </c>
      <c r="C137" s="29"/>
      <c r="D137" s="30"/>
      <c r="E137" s="29"/>
      <c r="F137" s="47">
        <f>F118+F135</f>
        <v>291.93490288082069</v>
      </c>
      <c r="H137" s="47">
        <f>SUM(F16:F70)+H114+F115+H116+H117+H135+F8+(H9*D9)+(H10*D10)+(H11*D11)+(H12*D12)+(H13*D13)+(H14*D14)+(H15*D15)</f>
        <v>291.95052239808808</v>
      </c>
      <c r="I137" s="47">
        <f>SUM(F16:F70)+I114+F115+I116+I117+I135+F8+(I9*D9)+(I10*D10)+(I11*D11)+(I12*D12)+(I13*D13)+(I14*D14)+(I15*D15)</f>
        <v>289.07826646866675</v>
      </c>
    </row>
    <row r="138" spans="1:9" ht="21">
      <c r="A138" s="15"/>
      <c r="B138" s="31" t="s">
        <v>32</v>
      </c>
      <c r="C138" s="32"/>
      <c r="D138" s="33"/>
      <c r="E138" s="32"/>
      <c r="F138" s="48">
        <f>F5-F137</f>
        <v>94.465097119179347</v>
      </c>
      <c r="H138" s="250">
        <f>H5-H137</f>
        <v>94.449477601911951</v>
      </c>
      <c r="I138" s="250">
        <f>I5-I137</f>
        <v>97.32173353133328</v>
      </c>
    </row>
  </sheetData>
  <mergeCells count="1">
    <mergeCell ref="B2:F2"/>
  </mergeCells>
  <pageMargins left="0.7" right="0.7" top="0.75" bottom="0.75" header="0.3" footer="0.3"/>
  <pageSetup scale="57" orientation="portrait" horizontalDpi="0" verticalDpi="0"/>
  <ignoredErrors>
    <ignoredError sqref="B114:F114 B62:E62 B90:B113 B116:F116 B115:D115 F135:F137 D117 B127:C134 E127:F134 E121:F123 E124:F124 B121:C124 B84:B89 B125:F126 B4:B7 C14:D14 C13:D13 C9:D9 F9 C10:D10 F10 C11:D11 F11 C12:D12 F12 F13 F14 F4 F8 F5:F7 D4:E4 C5:E7 C4 C8:E8 B71:E71 B63:C63 B64:C64 B65:C65 B66:C66 B67:C67 B68:C68 B69:C69 B70:C70 D63:E70 B2 B73:B83 B72 D72:E72 D90:E113 D84:F89 D73:E83 G124 G127:G134 B61:D61 F60 F57 B57:D57 F56 B56:D56 F55 B55:D55 F54 B54:D54 F51 B51:D51 F50 B50:D50 F49 B49:D49 F48 B48:D48 F47 B47:D47 F46 B46:D46 F45 B45:D45 F44 B44:D44 F43 B43:D43 F42 B42:D42 F40 B40:D40 F39 B39:D39 F38 B38:D38 F37 B37:D37 F36 B36:D36 F35 B35:D35 F34 B34:D34 F33 B33:D33 F31 B31:D31 F30 B30:D30 F29 B29:D29 F28 B28:D28 F27 B27:D27 F26 B26:D26 F25 B25:D25 F24 B24:D24 F23 B23:D23 F22 B22:D22 F21 B21:D21 B60:D60 B16:G20 E61:G61 E60 B32:G32 E21 G21 E22 G22 E23 G23 E24 G24 E25 G25 E26 G26 E27 G27 E28 G28 E29 G29 E30 G30 E31 G31 B41:G41 E33 G33 E34 G34 E35 G35 E36 G36 E37 G37 E38 G38 E39 G39 E40 G40 B52:G53 E42 G42 E43 G43 E44 G44 E45 G45 E46 G46 E47 G47 E48 G48 E49 G49 E50 G50 E51 G51 B58:G59 E54 G54 E55 G55 E56 G56 E57 G57 G60 E115 C15:G15 B9:B15" unlockedFormula="1"/>
    <ignoredError sqref="D127:D134 D121:D124" formula="1" unlockedFormula="1"/>
    <ignoredError sqref="D135" formula="1"/>
  </ignoredErrors>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B9CE7-9417-A547-BAB2-9C2D8701DC6F}">
  <sheetPr codeName="Sheet45">
    <pageSetUpPr fitToPage="1"/>
  </sheetPr>
  <dimension ref="A1:R138"/>
  <sheetViews>
    <sheetView zoomScale="120" zoomScaleNormal="120" workbookViewId="0">
      <selection activeCell="B2" sqref="B2:F2"/>
    </sheetView>
  </sheetViews>
  <sheetFormatPr baseColWidth="10" defaultColWidth="11.5" defaultRowHeight="15"/>
  <cols>
    <col min="1" max="1" width="4.83203125" style="1" customWidth="1"/>
    <col min="2" max="2" width="57.83203125" style="1" customWidth="1"/>
    <col min="3" max="6" width="12.83203125" style="1" customWidth="1"/>
    <col min="7" max="16" width="11.5" style="1" hidden="1" customWidth="1"/>
    <col min="17" max="16384" width="11.5" style="1"/>
  </cols>
  <sheetData>
    <row r="1" spans="1:18" ht="20">
      <c r="A1" s="352" t="s">
        <v>8</v>
      </c>
      <c r="B1" s="27"/>
      <c r="C1" s="16"/>
      <c r="D1" s="17"/>
      <c r="E1" s="16"/>
      <c r="F1" s="16"/>
    </row>
    <row r="2" spans="1:18" ht="20">
      <c r="A2" s="15"/>
      <c r="B2" s="807" t="str">
        <f>'Prices_Yields&amp;SeedInputs'!B26&amp;", Cash Costs and Returns of Producing, $/acre."</f>
        <v>Winter Pea, Cash Costs and Returns of Producing, $/acre.</v>
      </c>
      <c r="C2" s="807"/>
      <c r="D2" s="807"/>
      <c r="E2" s="807"/>
      <c r="F2" s="807"/>
    </row>
    <row r="3" spans="1:18" ht="20">
      <c r="A3" s="15"/>
      <c r="B3" s="131" t="s">
        <v>11</v>
      </c>
      <c r="C3" s="24" t="s">
        <v>2</v>
      </c>
      <c r="D3" s="25" t="s">
        <v>12</v>
      </c>
      <c r="E3" s="26" t="s">
        <v>13</v>
      </c>
      <c r="F3" s="26" t="s">
        <v>0</v>
      </c>
      <c r="H3" s="1" t="str">
        <f>'Prices_Yields&amp;SeedInputs'!F3</f>
        <v>Incremental Rotation</v>
      </c>
      <c r="I3" s="1" t="str">
        <f>'Prices_Yields&amp;SeedInputs'!G3</f>
        <v>Aspirational Rotation</v>
      </c>
      <c r="Q3" s="674"/>
      <c r="R3" s="674"/>
    </row>
    <row r="4" spans="1:18" ht="20">
      <c r="A4" s="15"/>
      <c r="B4" s="127" t="str">
        <f>'Prices_Yields&amp;SeedInputs'!B26</f>
        <v>Winter Pea</v>
      </c>
      <c r="C4" s="22" t="str">
        <f>'Prices_Yields&amp;SeedInputs'!C26</f>
        <v>lb</v>
      </c>
      <c r="D4" s="17">
        <f>'Prices_Yields&amp;SeedInputs'!D26</f>
        <v>0.12</v>
      </c>
      <c r="E4" s="90">
        <f>'Prices_Yields&amp;SeedInputs'!E26</f>
        <v>2000</v>
      </c>
      <c r="F4" s="35">
        <f>D4*E4</f>
        <v>240</v>
      </c>
      <c r="Q4" s="674"/>
      <c r="R4" s="674"/>
    </row>
    <row r="5" spans="1:18" ht="20">
      <c r="A5" s="15"/>
      <c r="B5" s="14" t="s">
        <v>14</v>
      </c>
      <c r="C5" s="29"/>
      <c r="D5" s="30"/>
      <c r="E5" s="29"/>
      <c r="F5" s="46">
        <f>SUM(F4:F4)</f>
        <v>240</v>
      </c>
      <c r="H5" s="1">
        <f>D4*'Prices_Yields&amp;SeedInputs'!F26</f>
        <v>240</v>
      </c>
      <c r="I5" s="1">
        <f>D4*'Prices_Yields&amp;SeedInputs'!G26</f>
        <v>240</v>
      </c>
      <c r="Q5" s="674"/>
      <c r="R5" s="674"/>
    </row>
    <row r="6" spans="1:18" ht="20">
      <c r="A6" s="15"/>
      <c r="B6" s="16"/>
      <c r="C6" s="16"/>
      <c r="D6" s="17"/>
      <c r="E6" s="16"/>
      <c r="F6" s="44"/>
    </row>
    <row r="7" spans="1:18" ht="20">
      <c r="A7" s="15"/>
      <c r="B7" s="132" t="s">
        <v>37</v>
      </c>
      <c r="C7" s="19" t="s">
        <v>2</v>
      </c>
      <c r="D7" s="20" t="s">
        <v>12</v>
      </c>
      <c r="E7" s="21" t="s">
        <v>13</v>
      </c>
      <c r="F7" s="45" t="s">
        <v>0</v>
      </c>
    </row>
    <row r="8" spans="1:18" ht="20">
      <c r="A8" s="15"/>
      <c r="B8" s="272" t="s">
        <v>169</v>
      </c>
      <c r="C8" s="119" t="str">
        <f>'Prices_Yields&amp;SeedInputs'!H26</f>
        <v>pound</v>
      </c>
      <c r="D8" s="120">
        <f>'Prices_Yields&amp;SeedInputs'!I26</f>
        <v>0.34</v>
      </c>
      <c r="E8" s="121">
        <f>'Prices_Yields&amp;SeedInputs'!J26</f>
        <v>200</v>
      </c>
      <c r="F8" s="117">
        <f t="shared" ref="F8:F61" si="0">IF(D8*E8=0,"0",D8*E8)</f>
        <v>68</v>
      </c>
    </row>
    <row r="9" spans="1:18" ht="20">
      <c r="A9" s="15"/>
      <c r="B9" s="85" t="str">
        <f>'Chem&amp;FertInputs&amp;CInsurance'!B6</f>
        <v>Fertilizer - Nitrogen-</v>
      </c>
      <c r="C9" s="23" t="str">
        <f>'Chem&amp;FertInputs&amp;CInsurance'!D6</f>
        <v>pound</v>
      </c>
      <c r="D9" s="116">
        <f>'Chem&amp;FertInputs&amp;CInsurance'!E6</f>
        <v>0.48749999999999999</v>
      </c>
      <c r="E9" s="133">
        <f>'Chem&amp;FertInputs&amp;CInsurance'!AA6</f>
        <v>0</v>
      </c>
      <c r="F9" s="117" t="str">
        <f t="shared" si="0"/>
        <v>0</v>
      </c>
      <c r="H9" s="1">
        <f>'Chem&amp;FertInputs&amp;CInsurance'!AA7</f>
        <v>0</v>
      </c>
      <c r="I9" s="1">
        <f>'Chem&amp;FertInputs&amp;CInsurance'!AA8</f>
        <v>0</v>
      </c>
    </row>
    <row r="10" spans="1:18" ht="20">
      <c r="A10" s="15"/>
      <c r="B10" s="85" t="str">
        <f>'Chem&amp;FertInputs&amp;CInsurance'!B9</f>
        <v>Fertilizer - Anhydrous Ammonia-</v>
      </c>
      <c r="C10" s="23" t="str">
        <f>'Chem&amp;FertInputs&amp;CInsurance'!D9</f>
        <v>pound</v>
      </c>
      <c r="D10" s="116">
        <f>'Chem&amp;FertInputs&amp;CInsurance'!E9</f>
        <v>0.75770000000000004</v>
      </c>
      <c r="E10" s="133">
        <f>'Chem&amp;FertInputs&amp;CInsurance'!AA9</f>
        <v>0</v>
      </c>
      <c r="F10" s="117" t="str">
        <f t="shared" si="0"/>
        <v>0</v>
      </c>
      <c r="H10" s="1">
        <f>'Chem&amp;FertInputs&amp;CInsurance'!AA10</f>
        <v>0</v>
      </c>
      <c r="I10" s="1">
        <f>'Chem&amp;FertInputs&amp;CInsurance'!AA11</f>
        <v>0</v>
      </c>
    </row>
    <row r="11" spans="1:18" ht="20">
      <c r="A11" s="15"/>
      <c r="B11" s="85" t="str">
        <f>'Chem&amp;FertInputs&amp;CInsurance'!B12</f>
        <v xml:space="preserve">Fertilizer - Phosphorus- </v>
      </c>
      <c r="C11" s="23" t="str">
        <f>'Chem&amp;FertInputs&amp;CInsurance'!D12</f>
        <v>pound</v>
      </c>
      <c r="D11" s="116">
        <f>'Chem&amp;FertInputs&amp;CInsurance'!E12</f>
        <v>0.47499999999999998</v>
      </c>
      <c r="E11" s="133">
        <f>'Chem&amp;FertInputs&amp;CInsurance'!AA12</f>
        <v>0</v>
      </c>
      <c r="F11" s="117" t="str">
        <f t="shared" si="0"/>
        <v>0</v>
      </c>
      <c r="H11" s="1">
        <f>'Chem&amp;FertInputs&amp;CInsurance'!AA13</f>
        <v>0</v>
      </c>
      <c r="I11" s="1">
        <f>'Chem&amp;FertInputs&amp;CInsurance'!AA14</f>
        <v>0</v>
      </c>
    </row>
    <row r="12" spans="1:18" ht="20">
      <c r="A12" s="15"/>
      <c r="B12" s="85" t="str">
        <f>'Chem&amp;FertInputs&amp;CInsurance'!B15</f>
        <v>Fertilizer - Potassium-</v>
      </c>
      <c r="C12" s="23" t="str">
        <f>'Chem&amp;FertInputs&amp;CInsurance'!D15</f>
        <v>pound</v>
      </c>
      <c r="D12" s="116">
        <f>'Chem&amp;FertInputs&amp;CInsurance'!E15</f>
        <v>0.441</v>
      </c>
      <c r="E12" s="133">
        <f>'Chem&amp;FertInputs&amp;CInsurance'!AA15</f>
        <v>0</v>
      </c>
      <c r="F12" s="117" t="str">
        <f t="shared" si="0"/>
        <v>0</v>
      </c>
      <c r="H12" s="1">
        <f>'Chem&amp;FertInputs&amp;CInsurance'!AA16</f>
        <v>0</v>
      </c>
      <c r="I12" s="1">
        <f>'Chem&amp;FertInputs&amp;CInsurance'!AA17</f>
        <v>0</v>
      </c>
    </row>
    <row r="13" spans="1:18" ht="20">
      <c r="A13" s="15"/>
      <c r="B13" s="85" t="str">
        <f>'Chem&amp;FertInputs&amp;CInsurance'!B18</f>
        <v>Fertilizer - Sulfur-</v>
      </c>
      <c r="C13" s="23" t="str">
        <f>'Chem&amp;FertInputs&amp;CInsurance'!D18</f>
        <v>pound</v>
      </c>
      <c r="D13" s="116">
        <f>'Chem&amp;FertInputs&amp;CInsurance'!E18</f>
        <v>0.2555</v>
      </c>
      <c r="E13" s="133">
        <f>'Chem&amp;FertInputs&amp;CInsurance'!AA18</f>
        <v>0</v>
      </c>
      <c r="F13" s="117" t="str">
        <f t="shared" si="0"/>
        <v>0</v>
      </c>
      <c r="H13" s="1">
        <f>'Chem&amp;FertInputs&amp;CInsurance'!AA19</f>
        <v>0</v>
      </c>
      <c r="I13" s="1">
        <f>'Chem&amp;FertInputs&amp;CInsurance'!AA20</f>
        <v>0</v>
      </c>
    </row>
    <row r="14" spans="1:18" ht="20">
      <c r="A14" s="15"/>
      <c r="B14" s="85" t="str">
        <f>'Chem&amp;FertInputs&amp;CInsurance'!B21</f>
        <v>Adjuvant - Ammonium Sulfate liquid-</v>
      </c>
      <c r="C14" s="23" t="str">
        <f>'Chem&amp;FertInputs&amp;CInsurance'!D21</f>
        <v>oz</v>
      </c>
      <c r="D14" s="116">
        <f>'Chem&amp;FertInputs&amp;CInsurance'!E21</f>
        <v>0.48</v>
      </c>
      <c r="E14" s="133">
        <f>'Chem&amp;FertInputs&amp;CInsurance'!AA21</f>
        <v>1.7</v>
      </c>
      <c r="F14" s="117">
        <f t="shared" ref="F14:F20" si="1">IF(D14*E14=0,"0",D14*E14)</f>
        <v>0.81599999999999995</v>
      </c>
      <c r="G14" s="165">
        <f>E14/128</f>
        <v>1.328125E-2</v>
      </c>
      <c r="H14" s="1">
        <f>'Chem&amp;FertInputs&amp;CInsurance'!AA22</f>
        <v>1.7</v>
      </c>
      <c r="I14" s="1">
        <f>'Chem&amp;FertInputs&amp;CInsurance'!AA23</f>
        <v>1.7</v>
      </c>
    </row>
    <row r="15" spans="1:18" ht="20">
      <c r="A15" s="15"/>
      <c r="B15" s="85" t="str">
        <f>'Chem&amp;FertInputs&amp;CInsurance'!B24</f>
        <v>Adjuvant - Ammonium Sulfate  (other)-</v>
      </c>
      <c r="C15" s="23" t="str">
        <f>'Chem&amp;FertInputs&amp;CInsurance'!D24</f>
        <v>pound</v>
      </c>
      <c r="D15" s="116">
        <f>'Chem&amp;FertInputs&amp;CInsurance'!E24</f>
        <v>0.71</v>
      </c>
      <c r="E15" s="133">
        <f>'Chem&amp;FertInputs&amp;CInsurance'!AA24</f>
        <v>0</v>
      </c>
      <c r="F15" s="117" t="str">
        <f t="shared" si="1"/>
        <v>0</v>
      </c>
      <c r="G15" s="165">
        <f>E15/16</f>
        <v>0</v>
      </c>
      <c r="H15" s="1">
        <f>'Chem&amp;FertInputs&amp;CInsurance'!AA25</f>
        <v>0</v>
      </c>
      <c r="I15" s="1">
        <f>'Chem&amp;FertInputs&amp;CInsurance'!AA26</f>
        <v>0</v>
      </c>
    </row>
    <row r="16" spans="1:18" ht="20">
      <c r="A16" s="15"/>
      <c r="B16" s="85" t="str">
        <f>'Chem&amp;FertInputs&amp;CInsurance'!C27</f>
        <v xml:space="preserve">crop oil concentrate </v>
      </c>
      <c r="C16" s="23" t="str">
        <f>'Chem&amp;FertInputs&amp;CInsurance'!D27</f>
        <v>pint</v>
      </c>
      <c r="D16" s="116">
        <f>'Chem&amp;FertInputs&amp;CInsurance'!E27</f>
        <v>1.6559999999999999</v>
      </c>
      <c r="E16" s="133">
        <f>'Chem&amp;FertInputs&amp;CInsurance'!AA27</f>
        <v>0</v>
      </c>
      <c r="F16" s="117" t="str">
        <f t="shared" si="1"/>
        <v>0</v>
      </c>
      <c r="G16" s="165">
        <f>E16/8</f>
        <v>0</v>
      </c>
    </row>
    <row r="17" spans="1:7" ht="20">
      <c r="A17" s="15"/>
      <c r="B17" s="85" t="str">
        <f>'Chem&amp;FertInputs&amp;CInsurance'!C28</f>
        <v>In-place</v>
      </c>
      <c r="C17" s="23" t="str">
        <f>'Chem&amp;FertInputs&amp;CInsurance'!D28</f>
        <v>oz</v>
      </c>
      <c r="D17" s="116">
        <f>'Chem&amp;FertInputs&amp;CInsurance'!E28</f>
        <v>0.35649999999999998</v>
      </c>
      <c r="E17" s="133">
        <f>'Chem&amp;FertInputs&amp;CInsurance'!AA28</f>
        <v>0</v>
      </c>
      <c r="F17" s="117" t="str">
        <f t="shared" si="1"/>
        <v>0</v>
      </c>
      <c r="G17" s="165">
        <f>E17/128</f>
        <v>0</v>
      </c>
    </row>
    <row r="18" spans="1:7" ht="20">
      <c r="A18" s="15"/>
      <c r="B18" s="85" t="str">
        <f>'Chem&amp;FertInputs&amp;CInsurance'!C29</f>
        <v xml:space="preserve">M90 </v>
      </c>
      <c r="C18" s="23" t="str">
        <f>'Chem&amp;FertInputs&amp;CInsurance'!D29</f>
        <v>oz</v>
      </c>
      <c r="D18" s="116">
        <f>'Chem&amp;FertInputs&amp;CInsurance'!E29</f>
        <v>0.253</v>
      </c>
      <c r="E18" s="133">
        <f>'Chem&amp;FertInputs&amp;CInsurance'!AA29</f>
        <v>1.5</v>
      </c>
      <c r="F18" s="117">
        <f t="shared" si="1"/>
        <v>0.3795</v>
      </c>
      <c r="G18" s="165">
        <f>E18/128</f>
        <v>1.171875E-2</v>
      </c>
    </row>
    <row r="19" spans="1:7" ht="20">
      <c r="A19" s="15"/>
      <c r="B19" s="85" t="str">
        <f>'Chem&amp;FertInputs&amp;CInsurance'!C30</f>
        <v>Surfactant</v>
      </c>
      <c r="C19" s="23" t="str">
        <f>'Chem&amp;FertInputs&amp;CInsurance'!D30</f>
        <v>oz</v>
      </c>
      <c r="D19" s="116">
        <f>'Chem&amp;FertInputs&amp;CInsurance'!E30</f>
        <v>0.26450000000000001</v>
      </c>
      <c r="E19" s="133">
        <f>'Chem&amp;FertInputs&amp;CInsurance'!AA30</f>
        <v>0</v>
      </c>
      <c r="F19" s="117" t="str">
        <f t="shared" si="1"/>
        <v>0</v>
      </c>
      <c r="G19" s="165">
        <f>E19/128</f>
        <v>0</v>
      </c>
    </row>
    <row r="20" spans="1:7" ht="20">
      <c r="A20" s="15"/>
      <c r="B20" s="85" t="str">
        <f>'Chem&amp;FertInputs&amp;CInsurance'!C31</f>
        <v>Syltac sticker</v>
      </c>
      <c r="C20" s="23" t="str">
        <f>'Chem&amp;FertInputs&amp;CInsurance'!D31</f>
        <v>pint</v>
      </c>
      <c r="D20" s="116">
        <f>'Chem&amp;FertInputs&amp;CInsurance'!E31</f>
        <v>7.1874999999999991</v>
      </c>
      <c r="E20" s="133">
        <f>'Chem&amp;FertInputs&amp;CInsurance'!AA31</f>
        <v>0</v>
      </c>
      <c r="F20" s="117" t="str">
        <f t="shared" si="1"/>
        <v>0</v>
      </c>
      <c r="G20" s="165">
        <f>E20/8</f>
        <v>0</v>
      </c>
    </row>
    <row r="21" spans="1:7" ht="20">
      <c r="A21" s="15"/>
      <c r="B21" s="85" t="str">
        <f>'Chem&amp;FertInputs&amp;CInsurance'!C33</f>
        <v>2,4 - D</v>
      </c>
      <c r="C21" s="23" t="str">
        <f>'Chem&amp;FertInputs&amp;CInsurance'!D33</f>
        <v>oz</v>
      </c>
      <c r="D21" s="116">
        <f>'Chem&amp;FertInputs&amp;CInsurance'!E33</f>
        <v>0.33349999999999996</v>
      </c>
      <c r="E21" s="133">
        <f>'Chem&amp;FertInputs&amp;CInsurance'!AA33</f>
        <v>0</v>
      </c>
      <c r="F21" s="117" t="str">
        <f t="shared" si="0"/>
        <v>0</v>
      </c>
      <c r="G21" s="165">
        <f t="shared" ref="G21:G30" si="2">E21/128</f>
        <v>0</v>
      </c>
    </row>
    <row r="22" spans="1:7" ht="20">
      <c r="A22" s="15"/>
      <c r="B22" s="85" t="str">
        <f>'Chem&amp;FertInputs&amp;CInsurance'!C34</f>
        <v>Achieve SC</v>
      </c>
      <c r="C22" s="23" t="str">
        <f>'Chem&amp;FertInputs&amp;CInsurance'!D34</f>
        <v>oz</v>
      </c>
      <c r="D22" s="116">
        <f>'Chem&amp;FertInputs&amp;CInsurance'!E34</f>
        <v>1.3454999999999999</v>
      </c>
      <c r="E22" s="133">
        <f>'Chem&amp;FertInputs&amp;CInsurance'!AA34</f>
        <v>0</v>
      </c>
      <c r="F22" s="117" t="str">
        <f t="shared" si="0"/>
        <v>0</v>
      </c>
      <c r="G22" s="165">
        <f t="shared" si="2"/>
        <v>0</v>
      </c>
    </row>
    <row r="23" spans="1:7" ht="20">
      <c r="A23" s="15"/>
      <c r="B23" s="85" t="str">
        <f>'Chem&amp;FertInputs&amp;CInsurance'!C35</f>
        <v>Affintity TankMix</v>
      </c>
      <c r="C23" s="23" t="str">
        <f>'Chem&amp;FertInputs&amp;CInsurance'!D35</f>
        <v>oz</v>
      </c>
      <c r="D23" s="116">
        <f>'Chem&amp;FertInputs&amp;CInsurance'!E35</f>
        <v>8.9699999999999989</v>
      </c>
      <c r="E23" s="133">
        <f>'Chem&amp;FertInputs&amp;CInsurance'!AA35</f>
        <v>0</v>
      </c>
      <c r="F23" s="117" t="str">
        <f t="shared" si="0"/>
        <v>0</v>
      </c>
      <c r="G23" s="165">
        <f t="shared" si="2"/>
        <v>0</v>
      </c>
    </row>
    <row r="24" spans="1:7" ht="20">
      <c r="A24" s="15"/>
      <c r="B24" s="85" t="str">
        <f>'Chem&amp;FertInputs&amp;CInsurance'!C36</f>
        <v xml:space="preserve">Ally </v>
      </c>
      <c r="C24" s="23" t="str">
        <f>'Chem&amp;FertInputs&amp;CInsurance'!D36</f>
        <v>oz</v>
      </c>
      <c r="D24" s="116">
        <f>'Chem&amp;FertInputs&amp;CInsurance'!E36</f>
        <v>1.7249999999999999</v>
      </c>
      <c r="E24" s="133">
        <f>'Chem&amp;FertInputs&amp;CInsurance'!AA36</f>
        <v>0</v>
      </c>
      <c r="F24" s="117" t="str">
        <f t="shared" si="0"/>
        <v>0</v>
      </c>
      <c r="G24" s="165">
        <f t="shared" si="2"/>
        <v>0</v>
      </c>
    </row>
    <row r="25" spans="1:7" ht="20">
      <c r="A25" s="15"/>
      <c r="B25" s="85" t="str">
        <f>'Chem&amp;FertInputs&amp;CInsurance'!C37</f>
        <v>Assure</v>
      </c>
      <c r="C25" s="23" t="str">
        <f>'Chem&amp;FertInputs&amp;CInsurance'!D37</f>
        <v>oz</v>
      </c>
      <c r="D25" s="116">
        <f>'Chem&amp;FertInputs&amp;CInsurance'!E37</f>
        <v>0.98899999999999988</v>
      </c>
      <c r="E25" s="133">
        <f>'Chem&amp;FertInputs&amp;CInsurance'!AA37</f>
        <v>0</v>
      </c>
      <c r="F25" s="117" t="str">
        <f t="shared" si="0"/>
        <v>0</v>
      </c>
      <c r="G25" s="165">
        <f t="shared" si="2"/>
        <v>0</v>
      </c>
    </row>
    <row r="26" spans="1:7" ht="20">
      <c r="A26" s="15"/>
      <c r="B26" s="85" t="str">
        <f>'Chem&amp;FertInputs&amp;CInsurance'!C38</f>
        <v>Axial Star</v>
      </c>
      <c r="C26" s="23" t="str">
        <f>'Chem&amp;FertInputs&amp;CInsurance'!D38</f>
        <v>oz</v>
      </c>
      <c r="D26" s="116">
        <f>'Chem&amp;FertInputs&amp;CInsurance'!E38</f>
        <v>1.3224999999999998</v>
      </c>
      <c r="E26" s="133">
        <f>'Chem&amp;FertInputs&amp;CInsurance'!AA38</f>
        <v>0</v>
      </c>
      <c r="F26" s="117" t="str">
        <f t="shared" si="0"/>
        <v>0</v>
      </c>
      <c r="G26" s="165">
        <f t="shared" si="2"/>
        <v>0</v>
      </c>
    </row>
    <row r="27" spans="1:7" ht="20">
      <c r="A27" s="15"/>
      <c r="B27" s="85" t="str">
        <f>'Chem&amp;FertInputs&amp;CInsurance'!C39</f>
        <v>Axial Bold</v>
      </c>
      <c r="C27" s="23" t="str">
        <f>'Chem&amp;FertInputs&amp;CInsurance'!D39</f>
        <v>oz</v>
      </c>
      <c r="D27" s="116">
        <f>'Chem&amp;FertInputs&amp;CInsurance'!E39</f>
        <v>1.0924999999999998</v>
      </c>
      <c r="E27" s="133">
        <f>'Chem&amp;FertInputs&amp;CInsurance'!AA39</f>
        <v>0</v>
      </c>
      <c r="F27" s="117" t="str">
        <f t="shared" si="0"/>
        <v>0</v>
      </c>
      <c r="G27" s="165">
        <f t="shared" si="2"/>
        <v>0</v>
      </c>
    </row>
    <row r="28" spans="1:7" ht="20">
      <c r="A28" s="15"/>
      <c r="B28" s="85" t="str">
        <f>'Chem&amp;FertInputs&amp;CInsurance'!C40</f>
        <v>Bronate</v>
      </c>
      <c r="C28" s="23" t="str">
        <f>'Chem&amp;FertInputs&amp;CInsurance'!D40</f>
        <v>oz</v>
      </c>
      <c r="D28" s="116">
        <f>'Chem&amp;FertInputs&amp;CInsurance'!E40</f>
        <v>7.911999999999999</v>
      </c>
      <c r="E28" s="133">
        <f>'Chem&amp;FertInputs&amp;CInsurance'!AA40</f>
        <v>0</v>
      </c>
      <c r="F28" s="117" t="str">
        <f t="shared" si="0"/>
        <v>0</v>
      </c>
      <c r="G28" s="165">
        <f t="shared" si="2"/>
        <v>0</v>
      </c>
    </row>
    <row r="29" spans="1:7" ht="20">
      <c r="A29" s="15"/>
      <c r="B29" s="85" t="str">
        <f>'Chem&amp;FertInputs&amp;CInsurance'!C41</f>
        <v xml:space="preserve">Brox M </v>
      </c>
      <c r="C29" s="23" t="str">
        <f>'Chem&amp;FertInputs&amp;CInsurance'!D41</f>
        <v>oz</v>
      </c>
      <c r="D29" s="116">
        <f>'Chem&amp;FertInputs&amp;CInsurance'!E41</f>
        <v>0.42549999999999999</v>
      </c>
      <c r="E29" s="133">
        <f>'Chem&amp;FertInputs&amp;CInsurance'!AA41</f>
        <v>0</v>
      </c>
      <c r="F29" s="117" t="str">
        <f t="shared" si="0"/>
        <v>0</v>
      </c>
      <c r="G29" s="165">
        <f t="shared" si="2"/>
        <v>0</v>
      </c>
    </row>
    <row r="30" spans="1:7" ht="20">
      <c r="A30" s="15"/>
      <c r="B30" s="85" t="str">
        <f>'Chem&amp;FertInputs&amp;CInsurance'!C42</f>
        <v>Capture</v>
      </c>
      <c r="C30" s="23" t="str">
        <f>'Chem&amp;FertInputs&amp;CInsurance'!D42</f>
        <v>oz</v>
      </c>
      <c r="D30" s="116">
        <f>'Chem&amp;FertInputs&amp;CInsurance'!E42</f>
        <v>2.7024999999999997</v>
      </c>
      <c r="E30" s="133">
        <f>'Chem&amp;FertInputs&amp;CInsurance'!AA42</f>
        <v>0</v>
      </c>
      <c r="F30" s="117" t="str">
        <f t="shared" si="0"/>
        <v>0</v>
      </c>
      <c r="G30" s="165">
        <f t="shared" si="2"/>
        <v>0</v>
      </c>
    </row>
    <row r="31" spans="1:7" ht="20">
      <c r="A31" s="15"/>
      <c r="B31" s="85" t="str">
        <f>'Chem&amp;FertInputs&amp;CInsurance'!C43</f>
        <v xml:space="preserve">Dimethoate </v>
      </c>
      <c r="C31" s="23" t="str">
        <f>'Chem&amp;FertInputs&amp;CInsurance'!D43</f>
        <v>pint</v>
      </c>
      <c r="D31" s="116">
        <f>'Chem&amp;FertInputs&amp;CInsurance'!E43</f>
        <v>7.1874999999999991</v>
      </c>
      <c r="E31" s="133">
        <f>'Chem&amp;FertInputs&amp;CInsurance'!AA43</f>
        <v>1</v>
      </c>
      <c r="F31" s="117">
        <f t="shared" si="0"/>
        <v>7.1874999999999991</v>
      </c>
      <c r="G31" s="165">
        <f>E31/8</f>
        <v>0.125</v>
      </c>
    </row>
    <row r="32" spans="1:7" ht="20">
      <c r="A32" s="15"/>
      <c r="B32" s="85" t="str">
        <f>'Chem&amp;FertInputs&amp;CInsurance'!C44</f>
        <v>Clethodim</v>
      </c>
      <c r="C32" s="23" t="str">
        <f>'Chem&amp;FertInputs&amp;CInsurance'!D44</f>
        <v>oz</v>
      </c>
      <c r="D32" s="116">
        <f>'Chem&amp;FertInputs&amp;CInsurance'!E44</f>
        <v>0.75900000000000001</v>
      </c>
      <c r="E32" s="133">
        <f>'Chem&amp;FertInputs&amp;CInsurance'!AA44</f>
        <v>4</v>
      </c>
      <c r="F32" s="117">
        <f t="shared" ref="F32" si="3">IF(D32*E32=0,"0",D32*E32)</f>
        <v>3.036</v>
      </c>
      <c r="G32" s="165">
        <f t="shared" ref="G32:G37" si="4">E32/128</f>
        <v>3.125E-2</v>
      </c>
    </row>
    <row r="33" spans="1:7" ht="20">
      <c r="A33" s="15"/>
      <c r="B33" s="85" t="str">
        <f>'Chem&amp;FertInputs&amp;CInsurance'!C45</f>
        <v>Discover</v>
      </c>
      <c r="C33" s="23" t="str">
        <f>'Chem&amp;FertInputs&amp;CInsurance'!D45</f>
        <v>oz</v>
      </c>
      <c r="D33" s="116">
        <f>'Chem&amp;FertInputs&amp;CInsurance'!E45</f>
        <v>1.6904999999999999</v>
      </c>
      <c r="E33" s="133">
        <f>'Chem&amp;FertInputs&amp;CInsurance'!AA45</f>
        <v>0</v>
      </c>
      <c r="F33" s="117" t="str">
        <f t="shared" si="0"/>
        <v>0</v>
      </c>
      <c r="G33" s="165">
        <f t="shared" si="4"/>
        <v>0</v>
      </c>
    </row>
    <row r="34" spans="1:7" ht="20">
      <c r="A34" s="15"/>
      <c r="B34" s="85" t="str">
        <f>'Chem&amp;FertInputs&amp;CInsurance'!C46</f>
        <v>FarGO</v>
      </c>
      <c r="C34" s="23" t="str">
        <f>'Chem&amp;FertInputs&amp;CInsurance'!D46</f>
        <v>oz</v>
      </c>
      <c r="D34" s="116">
        <f>'Chem&amp;FertInputs&amp;CInsurance'!E46</f>
        <v>19.158999999999999</v>
      </c>
      <c r="E34" s="133">
        <f>'Chem&amp;FertInputs&amp;CInsurance'!AA46</f>
        <v>0</v>
      </c>
      <c r="F34" s="117" t="str">
        <f t="shared" si="0"/>
        <v>0</v>
      </c>
      <c r="G34" s="165">
        <f t="shared" si="4"/>
        <v>0</v>
      </c>
    </row>
    <row r="35" spans="1:7" ht="20">
      <c r="A35" s="15"/>
      <c r="B35" s="85" t="str">
        <f>'Chem&amp;FertInputs&amp;CInsurance'!C47</f>
        <v>Finesse</v>
      </c>
      <c r="C35" s="23" t="str">
        <f>'Chem&amp;FertInputs&amp;CInsurance'!D47</f>
        <v>oz</v>
      </c>
      <c r="D35" s="116">
        <f>'Chem&amp;FertInputs&amp;CInsurance'!E47</f>
        <v>19.940999999999999</v>
      </c>
      <c r="E35" s="133">
        <f>'Chem&amp;FertInputs&amp;CInsurance'!AA47</f>
        <v>0</v>
      </c>
      <c r="F35" s="117" t="str">
        <f t="shared" si="0"/>
        <v>0</v>
      </c>
      <c r="G35" s="165">
        <f t="shared" si="4"/>
        <v>0</v>
      </c>
    </row>
    <row r="36" spans="1:7" ht="20">
      <c r="A36" s="15"/>
      <c r="B36" s="85" t="str">
        <f>'Chem&amp;FertInputs&amp;CInsurance'!C48</f>
        <v>Glyphosate</v>
      </c>
      <c r="C36" s="23" t="str">
        <f>'Chem&amp;FertInputs&amp;CInsurance'!D48</f>
        <v>oz</v>
      </c>
      <c r="D36" s="116">
        <f>'Chem&amp;FertInputs&amp;CInsurance'!E48</f>
        <v>0.14949999999999999</v>
      </c>
      <c r="E36" s="133">
        <f>'Chem&amp;FertInputs&amp;CInsurance'!AA48</f>
        <v>0</v>
      </c>
      <c r="F36" s="117" t="str">
        <f t="shared" si="0"/>
        <v>0</v>
      </c>
      <c r="G36" s="165">
        <f t="shared" si="4"/>
        <v>0</v>
      </c>
    </row>
    <row r="37" spans="1:7" ht="20">
      <c r="A37" s="15"/>
      <c r="B37" s="85" t="str">
        <f>'Chem&amp;FertInputs&amp;CInsurance'!C49</f>
        <v>Huskie</v>
      </c>
      <c r="C37" s="23" t="str">
        <f>'Chem&amp;FertInputs&amp;CInsurance'!D49</f>
        <v>oz</v>
      </c>
      <c r="D37" s="116">
        <f>'Chem&amp;FertInputs&amp;CInsurance'!E49</f>
        <v>0.88549999999999995</v>
      </c>
      <c r="E37" s="133">
        <f>'Chem&amp;FertInputs&amp;CInsurance'!AA49</f>
        <v>0</v>
      </c>
      <c r="F37" s="117" t="str">
        <f t="shared" si="0"/>
        <v>0</v>
      </c>
      <c r="G37" s="165">
        <f t="shared" si="4"/>
        <v>0</v>
      </c>
    </row>
    <row r="38" spans="1:7" ht="20">
      <c r="A38" s="15"/>
      <c r="B38" s="85" t="str">
        <f>'Chem&amp;FertInputs&amp;CInsurance'!C50</f>
        <v>Imidan 70</v>
      </c>
      <c r="C38" s="23" t="str">
        <f>'Chem&amp;FertInputs&amp;CInsurance'!D50</f>
        <v>lb</v>
      </c>
      <c r="D38" s="116">
        <f>'Chem&amp;FertInputs&amp;CInsurance'!E50</f>
        <v>17.295999999999999</v>
      </c>
      <c r="E38" s="133">
        <f>'Chem&amp;FertInputs&amp;CInsurance'!AA50</f>
        <v>0</v>
      </c>
      <c r="F38" s="117" t="str">
        <f t="shared" si="0"/>
        <v>0</v>
      </c>
      <c r="G38" s="165">
        <f>E38/16</f>
        <v>0</v>
      </c>
    </row>
    <row r="39" spans="1:7" ht="20">
      <c r="A39" s="15"/>
      <c r="B39" s="85" t="str">
        <f>'Chem&amp;FertInputs&amp;CInsurance'!C51</f>
        <v xml:space="preserve">Maverick </v>
      </c>
      <c r="C39" s="23" t="str">
        <f>'Chem&amp;FertInputs&amp;CInsurance'!D51</f>
        <v>oz</v>
      </c>
      <c r="D39" s="116">
        <f>'Chem&amp;FertInputs&amp;CInsurance'!E51</f>
        <v>23.885499999999997</v>
      </c>
      <c r="E39" s="133">
        <f>'Chem&amp;FertInputs&amp;CInsurance'!AA51</f>
        <v>0</v>
      </c>
      <c r="F39" s="117" t="str">
        <f t="shared" si="0"/>
        <v>0</v>
      </c>
      <c r="G39" s="165">
        <f t="shared" ref="G39:G51" si="5">E39/128</f>
        <v>0</v>
      </c>
    </row>
    <row r="40" spans="1:7" ht="20">
      <c r="A40" s="15"/>
      <c r="B40" s="85" t="str">
        <f>'Chem&amp;FertInputs&amp;CInsurance'!C52</f>
        <v>Osprey</v>
      </c>
      <c r="C40" s="23" t="str">
        <f>'Chem&amp;FertInputs&amp;CInsurance'!D52</f>
        <v>oz</v>
      </c>
      <c r="D40" s="116">
        <f>'Chem&amp;FertInputs&amp;CInsurance'!E52</f>
        <v>5.0484999999999989</v>
      </c>
      <c r="E40" s="133">
        <f>'Chem&amp;FertInputs&amp;CInsurance'!AA52</f>
        <v>0</v>
      </c>
      <c r="F40" s="117" t="str">
        <f t="shared" si="0"/>
        <v>0</v>
      </c>
      <c r="G40" s="165">
        <f t="shared" si="5"/>
        <v>0</v>
      </c>
    </row>
    <row r="41" spans="1:7" ht="20">
      <c r="A41" s="15"/>
      <c r="B41" s="85" t="str">
        <f>'Chem&amp;FertInputs&amp;CInsurance'!C53</f>
        <v>Poast</v>
      </c>
      <c r="C41" s="23" t="str">
        <f>'Chem&amp;FertInputs&amp;CInsurance'!D53</f>
        <v>oz</v>
      </c>
      <c r="D41" s="116">
        <f>'Chem&amp;FertInputs&amp;CInsurance'!E53</f>
        <v>19.285499999999999</v>
      </c>
      <c r="E41" s="133">
        <f>'Chem&amp;FertInputs&amp;CInsurance'!AA53</f>
        <v>0</v>
      </c>
      <c r="F41" s="117" t="str">
        <f t="shared" ref="F41" si="6">IF(D41*E41=0,"0",D41*E41)</f>
        <v>0</v>
      </c>
      <c r="G41" s="165">
        <f t="shared" si="5"/>
        <v>0</v>
      </c>
    </row>
    <row r="42" spans="1:7" ht="20">
      <c r="A42" s="15"/>
      <c r="B42" s="85" t="str">
        <f>'Chem&amp;FertInputs&amp;CInsurance'!C54</f>
        <v>Power Flex</v>
      </c>
      <c r="C42" s="23" t="str">
        <f>'Chem&amp;FertInputs&amp;CInsurance'!D54</f>
        <v>oz</v>
      </c>
      <c r="D42" s="116">
        <f>'Chem&amp;FertInputs&amp;CInsurance'!E54</f>
        <v>8.9124999999999996</v>
      </c>
      <c r="E42" s="133">
        <f>'Chem&amp;FertInputs&amp;CInsurance'!AA54</f>
        <v>0</v>
      </c>
      <c r="F42" s="117" t="str">
        <f t="shared" si="0"/>
        <v>0</v>
      </c>
      <c r="G42" s="165">
        <f t="shared" si="5"/>
        <v>0</v>
      </c>
    </row>
    <row r="43" spans="1:7" ht="20">
      <c r="A43" s="15"/>
      <c r="B43" s="85" t="str">
        <f>'Chem&amp;FertInputs&amp;CInsurance'!C55</f>
        <v>Priaxor</v>
      </c>
      <c r="C43" s="23" t="str">
        <f>'Chem&amp;FertInputs&amp;CInsurance'!D55</f>
        <v>oz</v>
      </c>
      <c r="D43" s="116">
        <f>'Chem&amp;FertInputs&amp;CInsurance'!E55</f>
        <v>3.4269999999999996</v>
      </c>
      <c r="E43" s="133">
        <f>'Chem&amp;FertInputs&amp;CInsurance'!AA55</f>
        <v>0</v>
      </c>
      <c r="F43" s="117" t="str">
        <f t="shared" si="0"/>
        <v>0</v>
      </c>
      <c r="G43" s="165">
        <f t="shared" si="5"/>
        <v>0</v>
      </c>
    </row>
    <row r="44" spans="1:7" ht="20">
      <c r="A44" s="15"/>
      <c r="B44" s="85" t="str">
        <f>'Chem&amp;FertInputs&amp;CInsurance'!C56</f>
        <v>Prowl</v>
      </c>
      <c r="C44" s="23" t="str">
        <f>'Chem&amp;FertInputs&amp;CInsurance'!D56</f>
        <v>oz</v>
      </c>
      <c r="D44" s="116">
        <f>'Chem&amp;FertInputs&amp;CInsurance'!E56</f>
        <v>0.51749999999999996</v>
      </c>
      <c r="E44" s="133">
        <f>'Chem&amp;FertInputs&amp;CInsurance'!AA56</f>
        <v>0</v>
      </c>
      <c r="F44" s="117" t="str">
        <f t="shared" si="0"/>
        <v>0</v>
      </c>
      <c r="G44" s="165">
        <f t="shared" si="5"/>
        <v>0</v>
      </c>
    </row>
    <row r="45" spans="1:7" ht="20">
      <c r="A45" s="15"/>
      <c r="B45" s="85" t="str">
        <f>'Chem&amp;FertInputs&amp;CInsurance'!C57</f>
        <v>Pursuit</v>
      </c>
      <c r="C45" s="23" t="str">
        <f>'Chem&amp;FertInputs&amp;CInsurance'!D57</f>
        <v>oz</v>
      </c>
      <c r="D45" s="116">
        <f>'Chem&amp;FertInputs&amp;CInsurance'!E57</f>
        <v>4.0594999999999999</v>
      </c>
      <c r="E45" s="133">
        <f>'Chem&amp;FertInputs&amp;CInsurance'!AA57</f>
        <v>0</v>
      </c>
      <c r="F45" s="117" t="str">
        <f t="shared" si="0"/>
        <v>0</v>
      </c>
      <c r="G45" s="165">
        <f t="shared" si="5"/>
        <v>0</v>
      </c>
    </row>
    <row r="46" spans="1:7" ht="20">
      <c r="A46" s="15"/>
      <c r="B46" s="85" t="str">
        <f>'Chem&amp;FertInputs&amp;CInsurance'!C58</f>
        <v xml:space="preserve">Quadris </v>
      </c>
      <c r="C46" s="23" t="str">
        <f>'Chem&amp;FertInputs&amp;CInsurance'!D58</f>
        <v>oz</v>
      </c>
      <c r="D46" s="116">
        <f>'Chem&amp;FertInputs&amp;CInsurance'!E58</f>
        <v>1.127</v>
      </c>
      <c r="E46" s="133">
        <f>'Chem&amp;FertInputs&amp;CInsurance'!AA58</f>
        <v>0</v>
      </c>
      <c r="F46" s="117" t="str">
        <f t="shared" si="0"/>
        <v>0</v>
      </c>
      <c r="G46" s="165">
        <f t="shared" si="5"/>
        <v>0</v>
      </c>
    </row>
    <row r="47" spans="1:7" ht="20">
      <c r="A47" s="15"/>
      <c r="B47" s="85" t="str">
        <f>'Chem&amp;FertInputs&amp;CInsurance'!C59</f>
        <v>Quilt</v>
      </c>
      <c r="C47" s="23" t="str">
        <f>'Chem&amp;FertInputs&amp;CInsurance'!D59</f>
        <v>oz</v>
      </c>
      <c r="D47" s="116">
        <f>'Chem&amp;FertInputs&amp;CInsurance'!E59</f>
        <v>1.4834999999999998</v>
      </c>
      <c r="E47" s="133">
        <f>'Chem&amp;FertInputs&amp;CInsurance'!AA59</f>
        <v>0</v>
      </c>
      <c r="F47" s="117" t="str">
        <f t="shared" si="0"/>
        <v>0</v>
      </c>
      <c r="G47" s="165">
        <f t="shared" si="5"/>
        <v>0</v>
      </c>
    </row>
    <row r="48" spans="1:7" ht="20">
      <c r="A48" s="15"/>
      <c r="B48" s="85" t="str">
        <f>'Chem&amp;FertInputs&amp;CInsurance'!C60</f>
        <v>R11</v>
      </c>
      <c r="C48" s="23" t="str">
        <f>'Chem&amp;FertInputs&amp;CInsurance'!D60</f>
        <v>oz</v>
      </c>
      <c r="D48" s="116">
        <f>'Chem&amp;FertInputs&amp;CInsurance'!E60</f>
        <v>0.26450000000000001</v>
      </c>
      <c r="E48" s="133">
        <f>'Chem&amp;FertInputs&amp;CInsurance'!AA60</f>
        <v>0</v>
      </c>
      <c r="F48" s="117" t="str">
        <f t="shared" si="0"/>
        <v>0</v>
      </c>
      <c r="G48" s="165">
        <f t="shared" si="5"/>
        <v>0</v>
      </c>
    </row>
    <row r="49" spans="1:7" ht="20">
      <c r="A49" s="15"/>
      <c r="B49" s="85" t="str">
        <f>'Chem&amp;FertInputs&amp;CInsurance'!C61</f>
        <v>Starane</v>
      </c>
      <c r="C49" s="23" t="str">
        <f>'Chem&amp;FertInputs&amp;CInsurance'!D61</f>
        <v>oz</v>
      </c>
      <c r="D49" s="116">
        <f>'Chem&amp;FertInputs&amp;CInsurance'!E61</f>
        <v>0.77049999999999996</v>
      </c>
      <c r="E49" s="133">
        <f>'Chem&amp;FertInputs&amp;CInsurance'!AA61</f>
        <v>0</v>
      </c>
      <c r="F49" s="117" t="str">
        <f t="shared" si="0"/>
        <v>0</v>
      </c>
      <c r="G49" s="165">
        <f t="shared" si="5"/>
        <v>0</v>
      </c>
    </row>
    <row r="50" spans="1:7" ht="20">
      <c r="A50" s="15"/>
      <c r="B50" s="85" t="str">
        <f>'Chem&amp;FertInputs&amp;CInsurance'!C62</f>
        <v>Starane + Salvo</v>
      </c>
      <c r="C50" s="23" t="str">
        <f>'Chem&amp;FertInputs&amp;CInsurance'!D62</f>
        <v>oz</v>
      </c>
      <c r="D50" s="116">
        <f>'Chem&amp;FertInputs&amp;CInsurance'!E62</f>
        <v>0.77049999999999996</v>
      </c>
      <c r="E50" s="133">
        <f>'Chem&amp;FertInputs&amp;CInsurance'!AA62</f>
        <v>0</v>
      </c>
      <c r="F50" s="117" t="str">
        <f t="shared" si="0"/>
        <v>0</v>
      </c>
      <c r="G50" s="165">
        <f t="shared" si="5"/>
        <v>0</v>
      </c>
    </row>
    <row r="51" spans="1:7" ht="20">
      <c r="A51" s="15"/>
      <c r="B51" s="85" t="str">
        <f>'Chem&amp;FertInputs&amp;CInsurance'!C63</f>
        <v xml:space="preserve">Starane + Sword </v>
      </c>
      <c r="C51" s="23" t="str">
        <f>'Chem&amp;FertInputs&amp;CInsurance'!D63</f>
        <v>oz</v>
      </c>
      <c r="D51" s="116">
        <f>'Chem&amp;FertInputs&amp;CInsurance'!E63</f>
        <v>0.77049999999999996</v>
      </c>
      <c r="E51" s="133">
        <f>'Chem&amp;FertInputs&amp;CInsurance'!AA63</f>
        <v>0</v>
      </c>
      <c r="F51" s="117" t="str">
        <f t="shared" si="0"/>
        <v>0</v>
      </c>
      <c r="G51" s="165">
        <f t="shared" si="5"/>
        <v>0</v>
      </c>
    </row>
    <row r="52" spans="1:7" ht="20">
      <c r="A52" s="15"/>
      <c r="B52" s="85" t="str">
        <f>'Chem&amp;FertInputs&amp;CInsurance'!C64</f>
        <v xml:space="preserve"> Tilt</v>
      </c>
      <c r="C52" s="23" t="str">
        <f>'Chem&amp;FertInputs&amp;CInsurance'!D64</f>
        <v>oz</v>
      </c>
      <c r="D52" s="116">
        <f>'Chem&amp;FertInputs&amp;CInsurance'!E64</f>
        <v>0.88549999999999995</v>
      </c>
      <c r="E52" s="133">
        <f>'Chem&amp;FertInputs&amp;CInsurance'!AA64</f>
        <v>0</v>
      </c>
      <c r="F52" s="117" t="str">
        <f t="shared" ref="F52:F53" si="7">IF(D52*E52=0,"0",D52*E52)</f>
        <v>0</v>
      </c>
      <c r="G52" s="165">
        <f t="shared" ref="G52:G53" si="8">E52/128</f>
        <v>0</v>
      </c>
    </row>
    <row r="53" spans="1:7" ht="20">
      <c r="A53" s="15"/>
      <c r="B53" s="85" t="str">
        <f>'Chem&amp;FertInputs&amp;CInsurance'!C65</f>
        <v xml:space="preserve">Wildcard </v>
      </c>
      <c r="C53" s="23" t="str">
        <f>'Chem&amp;FertInputs&amp;CInsurance'!D65</f>
        <v>oz</v>
      </c>
      <c r="D53" s="116">
        <f>'Chem&amp;FertInputs&amp;CInsurance'!E65</f>
        <v>0.35649999999999998</v>
      </c>
      <c r="E53" s="133">
        <f>'Chem&amp;FertInputs&amp;CInsurance'!AA65</f>
        <v>0</v>
      </c>
      <c r="F53" s="117" t="str">
        <f t="shared" si="7"/>
        <v>0</v>
      </c>
      <c r="G53" s="165">
        <f t="shared" si="8"/>
        <v>0</v>
      </c>
    </row>
    <row r="54" spans="1:7" ht="20">
      <c r="A54" s="15"/>
      <c r="B54" s="85" t="str">
        <f>'Chem&amp;FertInputs&amp;CInsurance'!C66</f>
        <v>Sharpen</v>
      </c>
      <c r="C54" s="23" t="str">
        <f>'Chem&amp;FertInputs&amp;CInsurance'!D66</f>
        <v>oz</v>
      </c>
      <c r="D54" s="116">
        <f>'Chem&amp;FertInputs&amp;CInsurance'!E66</f>
        <v>6.3134999999999994</v>
      </c>
      <c r="E54" s="133">
        <f>'Chem&amp;FertInputs&amp;CInsurance'!AA66</f>
        <v>2</v>
      </c>
      <c r="F54" s="117">
        <f t="shared" si="0"/>
        <v>12.626999999999999</v>
      </c>
      <c r="G54" s="165">
        <f>E54/128</f>
        <v>1.5625E-2</v>
      </c>
    </row>
    <row r="55" spans="1:7" ht="20">
      <c r="A55" s="15"/>
      <c r="B55" s="85" t="str">
        <f>'Chem&amp;FertInputs&amp;CInsurance'!C67</f>
        <v>Sencor</v>
      </c>
      <c r="C55" s="23" t="str">
        <f>'Chem&amp;FertInputs&amp;CInsurance'!D67</f>
        <v>oz</v>
      </c>
      <c r="D55" s="116">
        <f>'Chem&amp;FertInputs&amp;CInsurance'!E67</f>
        <v>0.45999999999999996</v>
      </c>
      <c r="E55" s="133">
        <f>'Chem&amp;FertInputs&amp;CInsurance'!AA67</f>
        <v>4</v>
      </c>
      <c r="F55" s="117">
        <f t="shared" si="0"/>
        <v>1.8399999999999999</v>
      </c>
      <c r="G55" s="165">
        <f>E55/128</f>
        <v>3.125E-2</v>
      </c>
    </row>
    <row r="56" spans="1:7" ht="20">
      <c r="A56" s="15"/>
      <c r="B56" s="85" t="str">
        <f>'Chem&amp;FertInputs&amp;CInsurance'!C68</f>
        <v>Warrior</v>
      </c>
      <c r="C56" s="23" t="str">
        <f>'Chem&amp;FertInputs&amp;CInsurance'!D68</f>
        <v>acre</v>
      </c>
      <c r="D56" s="116">
        <f>'Chem&amp;FertInputs&amp;CInsurance'!E68</f>
        <v>3.4499999999999997</v>
      </c>
      <c r="E56" s="133">
        <f>'Chem&amp;FertInputs&amp;CInsurance'!AA68</f>
        <v>1</v>
      </c>
      <c r="F56" s="117">
        <f t="shared" si="0"/>
        <v>3.4499999999999997</v>
      </c>
      <c r="G56" s="165">
        <f>E56/128</f>
        <v>7.8125E-3</v>
      </c>
    </row>
    <row r="57" spans="1:7" ht="20">
      <c r="A57" s="15"/>
      <c r="B57" s="85" t="str">
        <f>'Chem&amp;FertInputs&amp;CInsurance'!C69</f>
        <v xml:space="preserve"> Lorox</v>
      </c>
      <c r="C57" s="23" t="str">
        <f>'Chem&amp;FertInputs&amp;CInsurance'!D69</f>
        <v>lb</v>
      </c>
      <c r="D57" s="116">
        <f>'Chem&amp;FertInputs&amp;CInsurance'!E69</f>
        <v>26.565000000000001</v>
      </c>
      <c r="E57" s="133">
        <f>'Chem&amp;FertInputs&amp;CInsurance'!AA69</f>
        <v>0</v>
      </c>
      <c r="F57" s="117" t="str">
        <f t="shared" si="0"/>
        <v>0</v>
      </c>
      <c r="G57" s="165">
        <f>E57/128</f>
        <v>0</v>
      </c>
    </row>
    <row r="58" spans="1:7" ht="20">
      <c r="A58" s="15"/>
      <c r="B58" s="85" t="str">
        <f>'Chem&amp;FertInputs&amp;CInsurance'!C70</f>
        <v xml:space="preserve"> Valor</v>
      </c>
      <c r="C58" s="23" t="str">
        <f>'Chem&amp;FertInputs&amp;CInsurance'!D70</f>
        <v>oz</v>
      </c>
      <c r="D58" s="116">
        <f>'Chem&amp;FertInputs&amp;CInsurance'!E70</f>
        <v>6.6124999999999998</v>
      </c>
      <c r="E58" s="133">
        <f>'Chem&amp;FertInputs&amp;CInsurance'!AA70</f>
        <v>0</v>
      </c>
      <c r="F58" s="117" t="str">
        <f t="shared" ref="F58:F59" si="9">IF(D58*E58=0,"0",D58*E58)</f>
        <v>0</v>
      </c>
      <c r="G58" s="165">
        <f t="shared" ref="G58:G59" si="10">E58/128</f>
        <v>0</v>
      </c>
    </row>
    <row r="59" spans="1:7" ht="20">
      <c r="A59" s="15"/>
      <c r="B59" s="85" t="str">
        <f>'Chem&amp;FertInputs&amp;CInsurance'!C71</f>
        <v xml:space="preserve"> Diagon</v>
      </c>
      <c r="C59" s="23" t="str">
        <f>'Chem&amp;FertInputs&amp;CInsurance'!D71</f>
        <v>oz</v>
      </c>
      <c r="D59" s="116">
        <f>'Chem&amp;FertInputs&amp;CInsurance'!E71</f>
        <v>0.43699999999999994</v>
      </c>
      <c r="E59" s="133">
        <f>'Chem&amp;FertInputs&amp;CInsurance'!AA71</f>
        <v>0</v>
      </c>
      <c r="F59" s="117" t="str">
        <f t="shared" si="9"/>
        <v>0</v>
      </c>
      <c r="G59" s="165">
        <f t="shared" si="10"/>
        <v>0</v>
      </c>
    </row>
    <row r="60" spans="1:7" ht="20">
      <c r="A60" s="15"/>
      <c r="B60" s="85" t="str">
        <f>'Chem&amp;FertInputs&amp;CInsurance'!C72</f>
        <v xml:space="preserve">Spartan </v>
      </c>
      <c r="C60" s="23" t="str">
        <f>'Chem&amp;FertInputs&amp;CInsurance'!D72</f>
        <v>oz</v>
      </c>
      <c r="D60" s="116">
        <f>'Chem&amp;FertInputs&amp;CInsurance'!E72</f>
        <v>2.0469999999999997</v>
      </c>
      <c r="E60" s="133">
        <f>'Chem&amp;FertInputs&amp;CInsurance'!AA72</f>
        <v>0</v>
      </c>
      <c r="F60" s="117" t="str">
        <f t="shared" si="0"/>
        <v>0</v>
      </c>
      <c r="G60" s="165">
        <f>E60/128</f>
        <v>0</v>
      </c>
    </row>
    <row r="61" spans="1:7" ht="23">
      <c r="A61" s="15"/>
      <c r="B61" s="85" t="str">
        <f>'Chem&amp;FertInputs&amp;CInsurance'!C32</f>
        <v xml:space="preserve">Round Up </v>
      </c>
      <c r="C61" s="23" t="str">
        <f>'Chem&amp;FertInputs&amp;CInsurance'!D32</f>
        <v>oz</v>
      </c>
      <c r="D61" s="116">
        <f>'Chem&amp;FertInputs&amp;CInsurance'!E32</f>
        <v>0.14949999999999999</v>
      </c>
      <c r="E61" s="133">
        <f>'Chem&amp;FertInputs&amp;CInsurance'!AA32</f>
        <v>18</v>
      </c>
      <c r="F61" s="117">
        <f t="shared" si="0"/>
        <v>2.6909999999999998</v>
      </c>
      <c r="G61" s="225">
        <f>E61/128</f>
        <v>0.140625</v>
      </c>
    </row>
    <row r="62" spans="1:7" ht="20">
      <c r="A62" s="15"/>
      <c r="B62" s="139" t="s">
        <v>86</v>
      </c>
      <c r="C62" s="23"/>
      <c r="D62" s="116"/>
      <c r="E62" s="133"/>
      <c r="F62" s="117"/>
      <c r="G62" s="165">
        <f>SUM(G14:G61)</f>
        <v>0.37656250000000002</v>
      </c>
    </row>
    <row r="63" spans="1:7" ht="20">
      <c r="A63" s="15"/>
      <c r="B63" s="125" t="str">
        <f>CustomRates!B5</f>
        <v>Aerial (Custom)</v>
      </c>
      <c r="C63" s="41" t="str">
        <f>CustomRates!C5</f>
        <v>acre</v>
      </c>
      <c r="D63" s="116">
        <f>CustomRates!Y5</f>
        <v>8.9499999999999993</v>
      </c>
      <c r="E63" s="87">
        <f>CustomRates!Y6</f>
        <v>1</v>
      </c>
      <c r="F63" s="117">
        <f t="shared" ref="F63:F70" si="11">IF(D63*E63=0,"0",D63*E63)</f>
        <v>8.9499999999999993</v>
      </c>
    </row>
    <row r="64" spans="1:7" ht="20">
      <c r="A64" s="15"/>
      <c r="B64" s="125" t="str">
        <f>CustomRates!B7</f>
        <v>Sprayer (Rental 90')</v>
      </c>
      <c r="C64" s="41" t="str">
        <f>CustomRates!C7</f>
        <v>acre</v>
      </c>
      <c r="D64" s="116">
        <f>CustomRates!Y7</f>
        <v>8</v>
      </c>
      <c r="E64" s="87">
        <f>CustomRates!Y8</f>
        <v>0</v>
      </c>
      <c r="F64" s="117" t="str">
        <f t="shared" si="11"/>
        <v>0</v>
      </c>
    </row>
    <row r="65" spans="1:9" ht="20">
      <c r="A65" s="15"/>
      <c r="B65" s="125" t="str">
        <f>CustomRates!B9</f>
        <v>Fertilizer - Anhydrous Applicator (Rent)</v>
      </c>
      <c r="C65" s="41" t="str">
        <f>CustomRates!C9</f>
        <v>acre</v>
      </c>
      <c r="D65" s="116">
        <f>CustomRates!Y9</f>
        <v>7</v>
      </c>
      <c r="E65" s="87">
        <f>CustomRates!Y10</f>
        <v>0</v>
      </c>
      <c r="F65" s="117" t="str">
        <f t="shared" si="11"/>
        <v>0</v>
      </c>
    </row>
    <row r="66" spans="1:9" ht="20">
      <c r="A66" s="15"/>
      <c r="B66" s="125" t="str">
        <f>CustomRates!B11</f>
        <v>Fertilizer Applicator</v>
      </c>
      <c r="C66" s="41" t="str">
        <f>CustomRates!C11</f>
        <v>acre</v>
      </c>
      <c r="D66" s="116">
        <f>CustomRates!Y11</f>
        <v>2</v>
      </c>
      <c r="E66" s="87">
        <f>CustomRates!Y12</f>
        <v>0</v>
      </c>
      <c r="F66" s="117" t="str">
        <f t="shared" si="11"/>
        <v>0</v>
      </c>
    </row>
    <row r="67" spans="1:9" ht="20">
      <c r="A67" s="15"/>
      <c r="B67" s="125" t="str">
        <f>CustomRates!B13</f>
        <v>26' Rental Shredder</v>
      </c>
      <c r="C67" s="41" t="str">
        <f>CustomRates!C13</f>
        <v>acre</v>
      </c>
      <c r="D67" s="116">
        <f>CustomRates!Y13</f>
        <v>10</v>
      </c>
      <c r="E67" s="87">
        <f>CustomRates!Y14</f>
        <v>0</v>
      </c>
      <c r="F67" s="117" t="str">
        <f t="shared" si="11"/>
        <v>0</v>
      </c>
    </row>
    <row r="68" spans="1:9" ht="20">
      <c r="A68" s="15"/>
      <c r="B68" s="125" t="str">
        <f>CustomRates!B15</f>
        <v>36' Ripper Shooter</v>
      </c>
      <c r="C68" s="41" t="str">
        <f>CustomRates!C15</f>
        <v>acre</v>
      </c>
      <c r="D68" s="116">
        <f>CustomRates!Y15</f>
        <v>2.5</v>
      </c>
      <c r="E68" s="87">
        <f>CustomRates!Y16</f>
        <v>0</v>
      </c>
      <c r="F68" s="117" t="str">
        <f t="shared" si="11"/>
        <v>0</v>
      </c>
    </row>
    <row r="69" spans="1:9" ht="20">
      <c r="A69" s="15"/>
      <c r="B69" s="125" t="str">
        <f>CustomRates!B17</f>
        <v>Custom self-propelled sprayer</v>
      </c>
      <c r="C69" s="41" t="str">
        <f>CustomRates!C17</f>
        <v>acre</v>
      </c>
      <c r="D69" s="116">
        <f>CustomRates!Y17</f>
        <v>8</v>
      </c>
      <c r="E69" s="87">
        <f>CustomRates!Y18</f>
        <v>0</v>
      </c>
      <c r="F69" s="117" t="str">
        <f t="shared" si="11"/>
        <v>0</v>
      </c>
    </row>
    <row r="70" spans="1:9" ht="20">
      <c r="A70" s="15"/>
      <c r="B70" s="125" t="str">
        <f>CustomRates!B19</f>
        <v>Additional Operation #8 (Custom)</v>
      </c>
      <c r="C70" s="41" t="str">
        <f>CustomRates!C19</f>
        <v>acre</v>
      </c>
      <c r="D70" s="116">
        <f>CustomRates!Y19</f>
        <v>0</v>
      </c>
      <c r="E70" s="87">
        <f>CustomRates!Y20</f>
        <v>0</v>
      </c>
      <c r="F70" s="117" t="str">
        <f t="shared" si="11"/>
        <v>0</v>
      </c>
    </row>
    <row r="71" spans="1:9" ht="20">
      <c r="A71" s="15"/>
      <c r="B71" s="139" t="s">
        <v>87</v>
      </c>
      <c r="C71" s="41"/>
      <c r="D71" s="116"/>
      <c r="E71" s="116"/>
      <c r="F71" s="117"/>
      <c r="H71" s="1" t="s">
        <v>204</v>
      </c>
      <c r="I71" s="1" t="s">
        <v>135</v>
      </c>
    </row>
    <row r="72" spans="1:9" ht="20">
      <c r="A72" s="15"/>
      <c r="B72" s="85" t="str">
        <f>MachineAssumptions!B7&amp;" - Labor"</f>
        <v>Shredder - Labor</v>
      </c>
      <c r="C72" s="41" t="s">
        <v>246</v>
      </c>
      <c r="D72" s="116">
        <f>MachineAssumptions!$R$7</f>
        <v>1.4996591683708247</v>
      </c>
      <c r="E72" s="87">
        <f>FieldApplications!$X$6</f>
        <v>0</v>
      </c>
      <c r="F72" s="117" t="str">
        <f t="shared" ref="F72:F113" si="12">IF(D72*E72=0,"0",D72*E72)</f>
        <v>0</v>
      </c>
      <c r="H72" s="246">
        <f>MachineAssumptions!$R$28*E72</f>
        <v>0</v>
      </c>
      <c r="I72" s="166">
        <f>MachineAssumptions!$R$48*E72</f>
        <v>0</v>
      </c>
    </row>
    <row r="73" spans="1:9" ht="20">
      <c r="A73" s="15"/>
      <c r="B73" s="85" t="str">
        <f>MachineAssumptions!B7&amp;" - Fuel, Lube"</f>
        <v>Shredder - Fuel, Lube</v>
      </c>
      <c r="C73" s="41" t="s">
        <v>246</v>
      </c>
      <c r="D73" s="116">
        <f>MachineAssumptions!$S$7</f>
        <v>5.7486934787548281</v>
      </c>
      <c r="E73" s="87">
        <f>FieldApplications!$X$6</f>
        <v>0</v>
      </c>
      <c r="F73" s="117" t="str">
        <f t="shared" si="12"/>
        <v>0</v>
      </c>
      <c r="H73" s="246">
        <f>MachineAssumptions!$S$28*E73</f>
        <v>0</v>
      </c>
      <c r="I73" s="166">
        <f>MachineAssumptions!$S$48*E73</f>
        <v>0</v>
      </c>
    </row>
    <row r="74" spans="1:9" ht="20">
      <c r="A74" s="15"/>
      <c r="B74" s="85" t="str">
        <f>MachineAssumptions!B7&amp;" - Repairs"</f>
        <v>Shredder - Repairs</v>
      </c>
      <c r="C74" s="41" t="s">
        <v>246</v>
      </c>
      <c r="D74" s="116">
        <f>MachineAssumptions!$T$7</f>
        <v>0.46726721181997538</v>
      </c>
      <c r="E74" s="87">
        <f>FieldApplications!$X$6</f>
        <v>0</v>
      </c>
      <c r="F74" s="117" t="str">
        <f t="shared" si="12"/>
        <v>0</v>
      </c>
      <c r="H74" s="246">
        <f>MachineAssumptions!$T$28*E74</f>
        <v>0</v>
      </c>
      <c r="I74" s="166">
        <f>MachineAssumptions!$T$48*E74</f>
        <v>0</v>
      </c>
    </row>
    <row r="75" spans="1:9" ht="20">
      <c r="A75" s="15"/>
      <c r="B75" s="85" t="str">
        <f>MachineAssumptions!B8&amp;" - Labor"</f>
        <v>Harrow - Labor</v>
      </c>
      <c r="C75" s="41" t="s">
        <v>246</v>
      </c>
      <c r="D75" s="116">
        <f>MachineAssumptions!$R$8</f>
        <v>0.59412746734753996</v>
      </c>
      <c r="E75" s="87">
        <f>FieldApplications!$X$7</f>
        <v>0</v>
      </c>
      <c r="F75" s="117" t="str">
        <f t="shared" si="12"/>
        <v>0</v>
      </c>
      <c r="H75" s="246">
        <f>MachineAssumptions!$R$29*E75</f>
        <v>0</v>
      </c>
      <c r="I75" s="166">
        <f>MachineAssumptions!$R$49*E75</f>
        <v>0</v>
      </c>
    </row>
    <row r="76" spans="1:9" ht="20">
      <c r="A76" s="15"/>
      <c r="B76" s="85" t="str">
        <f>MachineAssumptions!B8&amp;" - Fuel, Lube"</f>
        <v>Harrow - Fuel, Lube</v>
      </c>
      <c r="C76" s="41" t="s">
        <v>246</v>
      </c>
      <c r="D76" s="116">
        <f>MachineAssumptions!$S$8</f>
        <v>2.4845330452715308</v>
      </c>
      <c r="E76" s="87">
        <f>FieldApplications!$X$7</f>
        <v>0</v>
      </c>
      <c r="F76" s="117" t="str">
        <f t="shared" si="12"/>
        <v>0</v>
      </c>
      <c r="H76" s="246">
        <f>MachineAssumptions!$S$29*E76</f>
        <v>0</v>
      </c>
      <c r="I76" s="166">
        <f>MachineAssumptions!$S$49*E76</f>
        <v>0</v>
      </c>
    </row>
    <row r="77" spans="1:9" ht="20">
      <c r="A77" s="15"/>
      <c r="B77" s="85" t="str">
        <f>MachineAssumptions!B8&amp;" - Repairs"</f>
        <v>Harrow - Repairs</v>
      </c>
      <c r="C77" s="41" t="s">
        <v>246</v>
      </c>
      <c r="D77" s="116">
        <f>MachineAssumptions!$T$8</f>
        <v>0.14755184964846621</v>
      </c>
      <c r="E77" s="87">
        <f>FieldApplications!$X$7</f>
        <v>0</v>
      </c>
      <c r="F77" s="117" t="str">
        <f t="shared" si="12"/>
        <v>0</v>
      </c>
      <c r="H77" s="246">
        <f>MachineAssumptions!$T$29*E77</f>
        <v>0</v>
      </c>
      <c r="I77" s="166">
        <f>MachineAssumptions!$T$49*E77</f>
        <v>0</v>
      </c>
    </row>
    <row r="78" spans="1:9" ht="20">
      <c r="A78" s="15"/>
      <c r="B78" s="85" t="str">
        <f>MachineAssumptions!B9&amp;" - Labor"</f>
        <v>Chisel plow - Labor</v>
      </c>
      <c r="C78" s="41" t="s">
        <v>246</v>
      </c>
      <c r="D78" s="116">
        <f>MachineAssumptions!$R$9</f>
        <v>0</v>
      </c>
      <c r="E78" s="87">
        <f>FieldApplications!$X$8</f>
        <v>0</v>
      </c>
      <c r="F78" s="117" t="str">
        <f t="shared" si="12"/>
        <v>0</v>
      </c>
      <c r="H78" s="246">
        <f>MachineAssumptions!$R$30*E78</f>
        <v>0</v>
      </c>
      <c r="I78" s="166">
        <f>MachineAssumptions!$R$50*E78</f>
        <v>0</v>
      </c>
    </row>
    <row r="79" spans="1:9" ht="20">
      <c r="A79" s="15"/>
      <c r="B79" s="85" t="str">
        <f>MachineAssumptions!B9&amp;" - Fuel, Lube"</f>
        <v>Chisel plow - Fuel, Lube</v>
      </c>
      <c r="C79" s="41" t="s">
        <v>246</v>
      </c>
      <c r="D79" s="116">
        <f>MachineAssumptions!$S$9</f>
        <v>0</v>
      </c>
      <c r="E79" s="87">
        <f>FieldApplications!$X$8</f>
        <v>0</v>
      </c>
      <c r="F79" s="117" t="str">
        <f t="shared" si="12"/>
        <v>0</v>
      </c>
      <c r="H79" s="246">
        <f>MachineAssumptions!$R$30*E79</f>
        <v>0</v>
      </c>
      <c r="I79" s="166">
        <f>MachineAssumptions!$S$50*E79</f>
        <v>0</v>
      </c>
    </row>
    <row r="80" spans="1:9" ht="20">
      <c r="A80" s="15"/>
      <c r="B80" s="85" t="str">
        <f>MachineAssumptions!B9&amp;" - Repairs"</f>
        <v>Chisel plow - Repairs</v>
      </c>
      <c r="C80" s="41" t="s">
        <v>246</v>
      </c>
      <c r="D80" s="116">
        <f>MachineAssumptions!$T$9</f>
        <v>0</v>
      </c>
      <c r="E80" s="87">
        <f>FieldApplications!$X$8</f>
        <v>0</v>
      </c>
      <c r="F80" s="117" t="str">
        <f t="shared" si="12"/>
        <v>0</v>
      </c>
      <c r="H80" s="246">
        <f>MachineAssumptions!$T$30*E80</f>
        <v>0</v>
      </c>
      <c r="I80" s="166">
        <f>MachineAssumptions!$T$50*E80</f>
        <v>0</v>
      </c>
    </row>
    <row r="81" spans="1:9" ht="20">
      <c r="A81" s="15"/>
      <c r="B81" s="85" t="str">
        <f>MachineAssumptions!B10&amp;" - Labor"</f>
        <v>Moldboard plow - Labor</v>
      </c>
      <c r="C81" s="41" t="s">
        <v>246</v>
      </c>
      <c r="D81" s="116">
        <f>MachineAssumptions!$R$10</f>
        <v>0</v>
      </c>
      <c r="E81" s="87">
        <f>FieldApplications!$X$9</f>
        <v>0</v>
      </c>
      <c r="F81" s="117" t="str">
        <f t="shared" si="12"/>
        <v>0</v>
      </c>
      <c r="H81" s="246">
        <f>MachineAssumptions!$R$31*E81</f>
        <v>0</v>
      </c>
      <c r="I81" s="166">
        <f>MachineAssumptions!$R$51*E81</f>
        <v>0</v>
      </c>
    </row>
    <row r="82" spans="1:9" ht="20">
      <c r="A82" s="15"/>
      <c r="B82" s="85" t="str">
        <f>MachineAssumptions!B10&amp;" - Fuel, Lube"</f>
        <v>Moldboard plow - Fuel, Lube</v>
      </c>
      <c r="C82" s="41" t="s">
        <v>246</v>
      </c>
      <c r="D82" s="116">
        <f>MachineAssumptions!$S$10</f>
        <v>0</v>
      </c>
      <c r="E82" s="87">
        <f>FieldApplications!$X$9</f>
        <v>0</v>
      </c>
      <c r="F82" s="117" t="str">
        <f t="shared" si="12"/>
        <v>0</v>
      </c>
      <c r="H82" s="246">
        <f>MachineAssumptions!$S$31*E82</f>
        <v>0</v>
      </c>
      <c r="I82" s="166">
        <f>MachineAssumptions!$S$51*E82</f>
        <v>0</v>
      </c>
    </row>
    <row r="83" spans="1:9" ht="20">
      <c r="A83" s="15"/>
      <c r="B83" s="85" t="str">
        <f>MachineAssumptions!B10&amp;" - Repairs"</f>
        <v>Moldboard plow - Repairs</v>
      </c>
      <c r="C83" s="41" t="s">
        <v>246</v>
      </c>
      <c r="D83" s="116">
        <f>MachineAssumptions!$T$10</f>
        <v>0</v>
      </c>
      <c r="E83" s="87">
        <f>FieldApplications!$X$9</f>
        <v>0</v>
      </c>
      <c r="F83" s="117" t="str">
        <f t="shared" si="12"/>
        <v>0</v>
      </c>
      <c r="H83" s="246">
        <f>MachineAssumptions!$T$31*E83</f>
        <v>0</v>
      </c>
      <c r="I83" s="166">
        <f>MachineAssumptions!$T$51*E83</f>
        <v>0</v>
      </c>
    </row>
    <row r="84" spans="1:9" ht="20">
      <c r="A84" s="15"/>
      <c r="B84" s="85" t="str">
        <f>MachineAssumptions!B11&amp;" - Labor"</f>
        <v>Cultivator - Labor</v>
      </c>
      <c r="C84" s="41" t="s">
        <v>246</v>
      </c>
      <c r="D84" s="116">
        <f>MachineAssumptions!$R$11</f>
        <v>0</v>
      </c>
      <c r="E84" s="87">
        <f>FieldApplications!$X$10</f>
        <v>0</v>
      </c>
      <c r="F84" s="117" t="str">
        <f t="shared" si="12"/>
        <v>0</v>
      </c>
      <c r="H84" s="246">
        <f>MachineAssumptions!$R$32*E84</f>
        <v>0</v>
      </c>
      <c r="I84" s="166">
        <f>MachineAssumptions!$R$52*E84</f>
        <v>0</v>
      </c>
    </row>
    <row r="85" spans="1:9" ht="20">
      <c r="A85" s="15"/>
      <c r="B85" s="85" t="str">
        <f>MachineAssumptions!B11&amp;" - Fuel, Lube"</f>
        <v>Cultivator - Fuel, Lube</v>
      </c>
      <c r="C85" s="41" t="s">
        <v>246</v>
      </c>
      <c r="D85" s="116">
        <f>MachineAssumptions!$S$11</f>
        <v>0</v>
      </c>
      <c r="E85" s="87">
        <f>FieldApplications!$X$10</f>
        <v>0</v>
      </c>
      <c r="F85" s="117" t="str">
        <f t="shared" si="12"/>
        <v>0</v>
      </c>
      <c r="H85" s="246">
        <f>MachineAssumptions!$S$32*E85</f>
        <v>0</v>
      </c>
      <c r="I85" s="166">
        <f>MachineAssumptions!$S$52*E85</f>
        <v>0</v>
      </c>
    </row>
    <row r="86" spans="1:9" ht="20">
      <c r="A86" s="15"/>
      <c r="B86" s="85" t="str">
        <f>MachineAssumptions!B11&amp;" - Repairs"</f>
        <v>Cultivator - Repairs</v>
      </c>
      <c r="C86" s="41" t="s">
        <v>246</v>
      </c>
      <c r="D86" s="116">
        <f>MachineAssumptions!$T$11</f>
        <v>0</v>
      </c>
      <c r="E86" s="87">
        <f>FieldApplications!$X$10</f>
        <v>0</v>
      </c>
      <c r="F86" s="117" t="str">
        <f t="shared" si="12"/>
        <v>0</v>
      </c>
      <c r="H86" s="246">
        <f>MachineAssumptions!$T$32*E86</f>
        <v>0</v>
      </c>
      <c r="I86" s="166">
        <f>MachineAssumptions!$T$52*E86</f>
        <v>0</v>
      </c>
    </row>
    <row r="87" spans="1:9" ht="20">
      <c r="A87" s="15"/>
      <c r="B87" s="85" t="str">
        <f>MachineAssumptions!B12&amp;" - Labor"</f>
        <v>Cultiweeder - Labor</v>
      </c>
      <c r="C87" s="41" t="s">
        <v>246</v>
      </c>
      <c r="D87" s="116">
        <f>MachineAssumptions!$R$12</f>
        <v>0</v>
      </c>
      <c r="E87" s="87">
        <f>FieldApplications!$X$11</f>
        <v>0</v>
      </c>
      <c r="F87" s="117" t="str">
        <f t="shared" si="12"/>
        <v>0</v>
      </c>
      <c r="H87" s="246">
        <f>MachineAssumptions!$R$33*E87</f>
        <v>0</v>
      </c>
      <c r="I87" s="166">
        <f>MachineAssumptions!$R$53*E87</f>
        <v>0</v>
      </c>
    </row>
    <row r="88" spans="1:9" ht="20">
      <c r="A88" s="15"/>
      <c r="B88" s="85" t="str">
        <f>MachineAssumptions!B12&amp;" - Fuel, Lube"</f>
        <v>Cultiweeder - Fuel, Lube</v>
      </c>
      <c r="C88" s="41" t="s">
        <v>246</v>
      </c>
      <c r="D88" s="116">
        <f>MachineAssumptions!$S$12</f>
        <v>0</v>
      </c>
      <c r="E88" s="87">
        <f>FieldApplications!$X$11</f>
        <v>0</v>
      </c>
      <c r="F88" s="117" t="str">
        <f t="shared" si="12"/>
        <v>0</v>
      </c>
      <c r="H88" s="246">
        <f>MachineAssumptions!$S$33*E88</f>
        <v>0</v>
      </c>
      <c r="I88" s="166">
        <f>MachineAssumptions!$S$53*E88</f>
        <v>0</v>
      </c>
    </row>
    <row r="89" spans="1:9" ht="20">
      <c r="A89" s="15"/>
      <c r="B89" s="85" t="str">
        <f>MachineAssumptions!B12&amp;" - Repairs"</f>
        <v>Cultiweeder - Repairs</v>
      </c>
      <c r="C89" s="41" t="s">
        <v>246</v>
      </c>
      <c r="D89" s="116">
        <f>MachineAssumptions!$T$12</f>
        <v>0</v>
      </c>
      <c r="E89" s="87">
        <f>FieldApplications!$X$11</f>
        <v>0</v>
      </c>
      <c r="F89" s="117" t="str">
        <f t="shared" si="12"/>
        <v>0</v>
      </c>
      <c r="H89" s="246">
        <f>MachineAssumptions!$T$33*E89</f>
        <v>0</v>
      </c>
      <c r="I89" s="166">
        <f>MachineAssumptions!$T$53*E89</f>
        <v>0</v>
      </c>
    </row>
    <row r="90" spans="1:9" ht="20">
      <c r="A90" s="15"/>
      <c r="B90" s="85" t="str">
        <f>MachineAssumptions!B13&amp;" - Labor"</f>
        <v>Drill - Labor</v>
      </c>
      <c r="C90" s="41" t="s">
        <v>246</v>
      </c>
      <c r="D90" s="116">
        <f>MachineAssumptions!$R$13</f>
        <v>1.6703109815354713</v>
      </c>
      <c r="E90" s="87">
        <f>FieldApplications!$X$12</f>
        <v>1</v>
      </c>
      <c r="F90" s="117">
        <f t="shared" si="12"/>
        <v>1.6703109815354713</v>
      </c>
      <c r="H90" s="246">
        <f>MachineAssumptions!$R$34*E90</f>
        <v>1.6703109815354713</v>
      </c>
      <c r="I90" s="166">
        <f>MachineAssumptions!$R$54*E90</f>
        <v>1.6703109815354713</v>
      </c>
    </row>
    <row r="91" spans="1:9" ht="20">
      <c r="A91" s="15"/>
      <c r="B91" s="85" t="str">
        <f>MachineAssumptions!B13&amp;" - Fuel, Lube"</f>
        <v>Drill - Fuel, Lube</v>
      </c>
      <c r="C91" s="41" t="s">
        <v>246</v>
      </c>
      <c r="D91" s="116">
        <f>MachineAssumptions!$S$13</f>
        <v>6.146744412050535</v>
      </c>
      <c r="E91" s="87">
        <f>FieldApplications!$X$12</f>
        <v>1</v>
      </c>
      <c r="F91" s="117">
        <f t="shared" si="12"/>
        <v>6.146744412050535</v>
      </c>
      <c r="H91" s="246">
        <f>MachineAssumptions!$S$34*E91</f>
        <v>6.146744412050535</v>
      </c>
      <c r="I91" s="166">
        <f>MachineAssumptions!$S$54*E91</f>
        <v>6.146744412050535</v>
      </c>
    </row>
    <row r="92" spans="1:9" ht="20">
      <c r="A92" s="15"/>
      <c r="B92" s="85" t="str">
        <f>MachineAssumptions!B13&amp;" - Repairs"</f>
        <v>Drill - Repairs</v>
      </c>
      <c r="C92" s="41" t="s">
        <v>246</v>
      </c>
      <c r="D92" s="116">
        <f>MachineAssumptions!$T$13</f>
        <v>5.740409656342587</v>
      </c>
      <c r="E92" s="87">
        <f>FieldApplications!$X$12</f>
        <v>1</v>
      </c>
      <c r="F92" s="117">
        <f t="shared" si="12"/>
        <v>5.740409656342587</v>
      </c>
      <c r="H92" s="246">
        <f>MachineAssumptions!$T$34*E92</f>
        <v>5.740409656342587</v>
      </c>
      <c r="I92" s="166">
        <f>MachineAssumptions!$T$54*E92</f>
        <v>5.740409656342587</v>
      </c>
    </row>
    <row r="93" spans="1:9" ht="20">
      <c r="A93" s="15"/>
      <c r="B93" s="85" t="str">
        <f>MachineAssumptions!B14&amp;" - Labor"</f>
        <v>Combine w/ 36' header - Labor</v>
      </c>
      <c r="C93" s="41" t="s">
        <v>246</v>
      </c>
      <c r="D93" s="116">
        <f>MachineAssumptions!$R$14</f>
        <v>1.9161092530657748</v>
      </c>
      <c r="E93" s="87">
        <f>FieldApplications!$X$13</f>
        <v>1</v>
      </c>
      <c r="F93" s="117">
        <f t="shared" si="12"/>
        <v>1.9161092530657748</v>
      </c>
      <c r="H93" s="246">
        <f>MachineAssumptions!$R$35*E93</f>
        <v>1.9161092530657748</v>
      </c>
      <c r="I93" s="166">
        <f>MachineAssumptions!$R$55*E93</f>
        <v>1.9161092530657748</v>
      </c>
    </row>
    <row r="94" spans="1:9" ht="20">
      <c r="A94" s="15"/>
      <c r="B94" s="85" t="str">
        <f>MachineAssumptions!B14&amp;" - Fuel, Lube"</f>
        <v>Combine w/ 36' header - Fuel, Lube</v>
      </c>
      <c r="C94" s="41" t="s">
        <v>246</v>
      </c>
      <c r="D94" s="116">
        <f>MachineAssumptions!$S$14</f>
        <v>7.0512820512820511</v>
      </c>
      <c r="E94" s="87">
        <f>FieldApplications!$X$13</f>
        <v>1</v>
      </c>
      <c r="F94" s="117">
        <f t="shared" si="12"/>
        <v>7.0512820512820511</v>
      </c>
      <c r="H94" s="246">
        <f>MachineAssumptions!$S$35*E94</f>
        <v>7.0512820512820511</v>
      </c>
      <c r="I94" s="166">
        <f>MachineAssumptions!$S$55*E94</f>
        <v>7.0512820512820511</v>
      </c>
    </row>
    <row r="95" spans="1:9" ht="20">
      <c r="A95" s="15"/>
      <c r="B95" s="85" t="str">
        <f>MachineAssumptions!B14&amp;" - Repairs"</f>
        <v>Combine w/ 36' header - Repairs</v>
      </c>
      <c r="C95" s="41" t="s">
        <v>246</v>
      </c>
      <c r="D95" s="116">
        <f>MachineAssumptions!$T$14</f>
        <v>6.4258281801385913</v>
      </c>
      <c r="E95" s="87">
        <f>FieldApplications!$X$13</f>
        <v>1</v>
      </c>
      <c r="F95" s="117">
        <f t="shared" si="12"/>
        <v>6.4258281801385913</v>
      </c>
      <c r="H95" s="246">
        <f>MachineAssumptions!$T$35*E95</f>
        <v>6.4258281801385913</v>
      </c>
      <c r="I95" s="166">
        <f>MachineAssumptions!$T$55*E95</f>
        <v>4.0416300769413871</v>
      </c>
    </row>
    <row r="96" spans="1:9" ht="20">
      <c r="A96" s="15"/>
      <c r="B96" s="85" t="str">
        <f>MachineAssumptions!B16&amp;" - Labor"</f>
        <v>Fertilizer Spreader - Labor</v>
      </c>
      <c r="C96" s="41" t="s">
        <v>246</v>
      </c>
      <c r="D96" s="116">
        <f>MachineAssumptions!$R$16</f>
        <v>0</v>
      </c>
      <c r="E96" s="87">
        <f>FieldApplications!$X$14</f>
        <v>0</v>
      </c>
      <c r="F96" s="117" t="str">
        <f t="shared" si="12"/>
        <v>0</v>
      </c>
      <c r="H96" s="246">
        <f>MachineAssumptions!$R$36*E96</f>
        <v>0</v>
      </c>
      <c r="I96" s="166">
        <f>MachineAssumptions!$R$56*E96</f>
        <v>0</v>
      </c>
    </row>
    <row r="97" spans="1:9" ht="20">
      <c r="A97" s="15"/>
      <c r="B97" s="85" t="str">
        <f>MachineAssumptions!B16&amp;" - Fuel, Lube"</f>
        <v>Fertilizer Spreader - Fuel, Lube</v>
      </c>
      <c r="C97" s="41" t="s">
        <v>246</v>
      </c>
      <c r="D97" s="116">
        <f>MachineAssumptions!$S$16</f>
        <v>0</v>
      </c>
      <c r="E97" s="87">
        <f>FieldApplications!$X$14</f>
        <v>0</v>
      </c>
      <c r="F97" s="117" t="str">
        <f t="shared" si="12"/>
        <v>0</v>
      </c>
      <c r="H97" s="246">
        <f>MachineAssumptions!$S$36*E97</f>
        <v>0</v>
      </c>
      <c r="I97" s="166">
        <f>MachineAssumptions!$S$56*E97</f>
        <v>0</v>
      </c>
    </row>
    <row r="98" spans="1:9" ht="20">
      <c r="A98" s="15"/>
      <c r="B98" s="85" t="str">
        <f>MachineAssumptions!B16&amp;" - Repairs"</f>
        <v>Fertilizer Spreader - Repairs</v>
      </c>
      <c r="C98" s="41" t="s">
        <v>246</v>
      </c>
      <c r="D98" s="116">
        <f>MachineAssumptions!$T$16</f>
        <v>0</v>
      </c>
      <c r="E98" s="87">
        <f>FieldApplications!$X$14</f>
        <v>0</v>
      </c>
      <c r="F98" s="117" t="str">
        <f t="shared" si="12"/>
        <v>0</v>
      </c>
      <c r="H98" s="246">
        <f>MachineAssumptions!$T$36*E98</f>
        <v>0</v>
      </c>
      <c r="I98" s="166">
        <f>MachineAssumptions!$T$56*E98</f>
        <v>0</v>
      </c>
    </row>
    <row r="99" spans="1:9" ht="20">
      <c r="A99" s="15"/>
      <c r="B99" s="85" t="str">
        <f>MachineAssumptions!B17&amp;" - Labor"</f>
        <v>Fertilizer tanks and pump - Labor</v>
      </c>
      <c r="C99" s="41" t="s">
        <v>246</v>
      </c>
      <c r="D99" s="116">
        <f>MachineAssumptions!$R$17</f>
        <v>2.2448979591836737</v>
      </c>
      <c r="E99" s="87">
        <f>FieldApplications!$X$15</f>
        <v>1</v>
      </c>
      <c r="F99" s="117">
        <f t="shared" si="12"/>
        <v>2.2448979591836737</v>
      </c>
      <c r="H99" s="246">
        <f>MachineAssumptions!$R$37*E99</f>
        <v>2.2448979591836737</v>
      </c>
      <c r="I99" s="166">
        <f>MachineAssumptions!$R$57*E99</f>
        <v>2.2448979591836737</v>
      </c>
    </row>
    <row r="100" spans="1:9" ht="20">
      <c r="A100" s="15"/>
      <c r="B100" s="85" t="str">
        <f>MachineAssumptions!B17&amp;" - Fuel, Lube"</f>
        <v>Fertilizer tanks and pump - Fuel, Lube</v>
      </c>
      <c r="C100" s="41" t="s">
        <v>246</v>
      </c>
      <c r="D100" s="116">
        <f>MachineAssumptions!$S$17</f>
        <v>9.387755102040817</v>
      </c>
      <c r="E100" s="87">
        <f>FieldApplications!$X$15</f>
        <v>1</v>
      </c>
      <c r="F100" s="117">
        <f t="shared" si="12"/>
        <v>9.387755102040817</v>
      </c>
      <c r="H100" s="246">
        <f>MachineAssumptions!$S$37*E100</f>
        <v>9.387755102040817</v>
      </c>
      <c r="I100" s="166">
        <f>MachineAssumptions!$S$57*E100</f>
        <v>9.387755102040817</v>
      </c>
    </row>
    <row r="101" spans="1:9" ht="20">
      <c r="A101" s="15"/>
      <c r="B101" s="85" t="str">
        <f>MachineAssumptions!B17&amp;" - Repairs"</f>
        <v>Fertilizer tanks and pump - Repairs</v>
      </c>
      <c r="C101" s="41" t="s">
        <v>246</v>
      </c>
      <c r="D101" s="116">
        <f>MachineAssumptions!$T$17</f>
        <v>0</v>
      </c>
      <c r="E101" s="87">
        <f>FieldApplications!$X$15</f>
        <v>1</v>
      </c>
      <c r="F101" s="117" t="str">
        <f t="shared" si="12"/>
        <v>0</v>
      </c>
      <c r="H101" s="246">
        <f>MachineAssumptions!$T$37*E101</f>
        <v>0</v>
      </c>
      <c r="I101" s="166">
        <f>MachineAssumptions!$T$57*E101</f>
        <v>0</v>
      </c>
    </row>
    <row r="102" spans="1:9" ht="20">
      <c r="A102" s="15"/>
      <c r="B102" s="85" t="str">
        <f>MachineAssumptions!B18&amp;" - Labor"</f>
        <v>Boom sprayer - Labor</v>
      </c>
      <c r="C102" s="41" t="s">
        <v>246</v>
      </c>
      <c r="D102" s="116">
        <f>MachineAssumptions!$R$18</f>
        <v>0.4708120318630365</v>
      </c>
      <c r="E102" s="87">
        <f>FieldApplications!$X$16</f>
        <v>2</v>
      </c>
      <c r="F102" s="117">
        <f t="shared" si="12"/>
        <v>0.94162406372607299</v>
      </c>
      <c r="H102" s="246">
        <f>MachineAssumptions!$R$38*E102</f>
        <v>0.94162406372607299</v>
      </c>
      <c r="I102" s="166">
        <f>MachineAssumptions!$R$58*E102</f>
        <v>0.94162406372607299</v>
      </c>
    </row>
    <row r="103" spans="1:9" ht="20">
      <c r="A103" s="15"/>
      <c r="B103" s="85" t="str">
        <f>MachineAssumptions!B18&amp;" - Fuel, Lube"</f>
        <v>Boom sprayer - Fuel, Lube</v>
      </c>
      <c r="C103" s="41" t="s">
        <v>246</v>
      </c>
      <c r="D103" s="116">
        <f>MachineAssumptions!$S$18</f>
        <v>1.8047794554749732</v>
      </c>
      <c r="E103" s="87">
        <f>FieldApplications!$X$16</f>
        <v>2</v>
      </c>
      <c r="F103" s="117">
        <f t="shared" si="12"/>
        <v>3.6095589109499464</v>
      </c>
      <c r="H103" s="246">
        <f>MachineAssumptions!$S$38*E103</f>
        <v>3.6095589109499464</v>
      </c>
      <c r="I103" s="166">
        <f>MachineAssumptions!$S$58*E103</f>
        <v>3.6095589109499464</v>
      </c>
    </row>
    <row r="104" spans="1:9" ht="20">
      <c r="A104" s="15"/>
      <c r="B104" s="85" t="str">
        <f>MachineAssumptions!B18&amp;" - Repairs"</f>
        <v>Boom sprayer - Repairs</v>
      </c>
      <c r="C104" s="41" t="s">
        <v>246</v>
      </c>
      <c r="D104" s="116">
        <f>MachineAssumptions!$T$18</f>
        <v>0.49795949063219769</v>
      </c>
      <c r="E104" s="87">
        <f>FieldApplications!$X$16</f>
        <v>2</v>
      </c>
      <c r="F104" s="117">
        <f t="shared" si="12"/>
        <v>0.99591898126439538</v>
      </c>
      <c r="H104" s="246">
        <f>MachineAssumptions!$T$38*E104</f>
        <v>1.0056003712769741</v>
      </c>
      <c r="I104" s="166">
        <f>MachineAssumptions!$T$58*E104</f>
        <v>0.9021656572032456</v>
      </c>
    </row>
    <row r="105" spans="1:9" ht="20">
      <c r="A105" s="15"/>
      <c r="B105" s="85" t="str">
        <f>MachineAssumptions!B15&amp;" - Labor"</f>
        <v>Bankout Wagon - Labor</v>
      </c>
      <c r="C105" s="41" t="s">
        <v>246</v>
      </c>
      <c r="D105" s="116">
        <f>MachineAssumptions!$R$15</f>
        <v>1.6861761426978819</v>
      </c>
      <c r="E105" s="87">
        <f t="shared" ref="E105:E113" si="13">IF($E$93&gt;0,1,0)</f>
        <v>1</v>
      </c>
      <c r="F105" s="117">
        <f t="shared" si="12"/>
        <v>1.6861761426978819</v>
      </c>
      <c r="H105" s="246">
        <f>MachineAssumptions!$R$39*E105</f>
        <v>1.6861761426978819</v>
      </c>
      <c r="I105" s="166">
        <f>MachineAssumptions!$R$59*E105</f>
        <v>1.6861761426978819</v>
      </c>
    </row>
    <row r="106" spans="1:9" ht="20">
      <c r="A106" s="15"/>
      <c r="B106" s="85" t="str">
        <f>MachineAssumptions!B15&amp;" - Fuel, Lube"</f>
        <v>Bankout Wagon - Fuel, Lube</v>
      </c>
      <c r="C106" s="41" t="s">
        <v>246</v>
      </c>
      <c r="D106" s="116">
        <f>MachineAssumptions!$S$15</f>
        <v>7.0512820512820511</v>
      </c>
      <c r="E106" s="87">
        <f t="shared" si="13"/>
        <v>1</v>
      </c>
      <c r="F106" s="117">
        <f t="shared" si="12"/>
        <v>7.0512820512820511</v>
      </c>
      <c r="H106" s="246">
        <f>MachineAssumptions!$S$39*E106</f>
        <v>7.0512820512820511</v>
      </c>
      <c r="I106" s="166">
        <f>MachineAssumptions!$S$59*E106</f>
        <v>7.0512820512820511</v>
      </c>
    </row>
    <row r="107" spans="1:9" ht="20">
      <c r="A107" s="15"/>
      <c r="B107" s="85" t="str">
        <f>MachineAssumptions!B15&amp;" - Repairs"</f>
        <v>Bankout Wagon - Repairs</v>
      </c>
      <c r="C107" s="41" t="s">
        <v>246</v>
      </c>
      <c r="D107" s="116">
        <f>MachineAssumptions!$T$15</f>
        <v>0.5058930256896228</v>
      </c>
      <c r="E107" s="87">
        <f t="shared" si="13"/>
        <v>1</v>
      </c>
      <c r="F107" s="117">
        <f t="shared" si="12"/>
        <v>0.5058930256896228</v>
      </c>
      <c r="H107" s="246">
        <f>MachineAssumptions!$T$39*E107</f>
        <v>0.5058930256896228</v>
      </c>
      <c r="I107" s="166">
        <f>MachineAssumptions!$T$59*E107</f>
        <v>0.43525361955195507</v>
      </c>
    </row>
    <row r="108" spans="1:9" ht="20">
      <c r="A108" s="15"/>
      <c r="B108" s="85" t="str">
        <f>MachineAssumptions!B19&amp;" - Labor"</f>
        <v>Tandem Axle Truck  - Labor</v>
      </c>
      <c r="C108" s="41" t="s">
        <v>246</v>
      </c>
      <c r="D108" s="116">
        <f>MachineAssumptions!$R$19</f>
        <v>3.6</v>
      </c>
      <c r="E108" s="87">
        <f t="shared" si="13"/>
        <v>1</v>
      </c>
      <c r="F108" s="117">
        <f t="shared" si="12"/>
        <v>3.6</v>
      </c>
      <c r="H108" s="246">
        <f>MachineAssumptions!$R$40*E108</f>
        <v>3.6</v>
      </c>
      <c r="I108" s="166">
        <f>MachineAssumptions!$R$60*E108</f>
        <v>3.6</v>
      </c>
    </row>
    <row r="109" spans="1:9" ht="20">
      <c r="A109" s="15"/>
      <c r="B109" s="85" t="str">
        <f>MachineAssumptions!B19&amp;" - Fuel, Lube"</f>
        <v>Tandem Axle Truck  - Fuel, Lube</v>
      </c>
      <c r="C109" s="41" t="s">
        <v>246</v>
      </c>
      <c r="D109" s="116">
        <f>MachineAssumptions!$S$19</f>
        <v>1.1499999999999999</v>
      </c>
      <c r="E109" s="87">
        <f t="shared" si="13"/>
        <v>1</v>
      </c>
      <c r="F109" s="117">
        <f t="shared" si="12"/>
        <v>1.1499999999999999</v>
      </c>
      <c r="H109" s="246">
        <f>MachineAssumptions!$S$40*E109</f>
        <v>1.1499999999999999</v>
      </c>
      <c r="I109" s="166">
        <f>MachineAssumptions!$S$60*E109</f>
        <v>1.1499999999999999</v>
      </c>
    </row>
    <row r="110" spans="1:9" ht="20">
      <c r="A110" s="15"/>
      <c r="B110" s="85" t="str">
        <f>MachineAssumptions!B19&amp;" - Repairs"</f>
        <v>Tandem Axle Truck  - Repairs</v>
      </c>
      <c r="C110" s="41" t="s">
        <v>246</v>
      </c>
      <c r="D110" s="116">
        <f>MachineAssumptions!$T$19</f>
        <v>0.8</v>
      </c>
      <c r="E110" s="87">
        <f t="shared" si="13"/>
        <v>1</v>
      </c>
      <c r="F110" s="117">
        <f t="shared" si="12"/>
        <v>0.8</v>
      </c>
      <c r="H110" s="246">
        <f>MachineAssumptions!$T$40*E110</f>
        <v>0.8</v>
      </c>
      <c r="I110" s="166">
        <f>MachineAssumptions!$T$60*E110</f>
        <v>0.8</v>
      </c>
    </row>
    <row r="111" spans="1:9" ht="20">
      <c r="A111" s="15"/>
      <c r="B111" s="85" t="str">
        <f>MachineAssumptions!B20&amp;" - Labor"</f>
        <v>Tandem Axle Truck  - Labor</v>
      </c>
      <c r="C111" s="41" t="s">
        <v>246</v>
      </c>
      <c r="D111" s="116">
        <f>MachineAssumptions!$R$20</f>
        <v>3.6</v>
      </c>
      <c r="E111" s="87">
        <f t="shared" si="13"/>
        <v>1</v>
      </c>
      <c r="F111" s="117">
        <f t="shared" si="12"/>
        <v>3.6</v>
      </c>
      <c r="H111" s="416">
        <f>MachineAssumptions!$R$41*E111</f>
        <v>3.6</v>
      </c>
      <c r="I111" s="369">
        <f>MachineAssumptions!$R$61*E111</f>
        <v>3.6</v>
      </c>
    </row>
    <row r="112" spans="1:9" ht="20">
      <c r="A112" s="15"/>
      <c r="B112" s="85" t="str">
        <f>MachineAssumptions!B20&amp;" - Fuel, Lube"</f>
        <v>Tandem Axle Truck  - Fuel, Lube</v>
      </c>
      <c r="C112" s="41" t="s">
        <v>246</v>
      </c>
      <c r="D112" s="116">
        <f>MachineAssumptions!$S$20</f>
        <v>1.72</v>
      </c>
      <c r="E112" s="87">
        <f t="shared" si="13"/>
        <v>1</v>
      </c>
      <c r="F112" s="117">
        <f t="shared" si="12"/>
        <v>1.72</v>
      </c>
      <c r="H112" s="416">
        <f>MachineAssumptions!$S$41*E112</f>
        <v>1.72</v>
      </c>
      <c r="I112" s="369">
        <f>MachineAssumptions!$S$61*E112</f>
        <v>1.72</v>
      </c>
    </row>
    <row r="113" spans="1:13" ht="23">
      <c r="A113" s="15"/>
      <c r="B113" s="85" t="str">
        <f>MachineAssumptions!B20&amp;" - Repairs"</f>
        <v>Tandem Axle Truck  - Repairs</v>
      </c>
      <c r="C113" s="41" t="s">
        <v>246</v>
      </c>
      <c r="D113" s="116">
        <f>MachineAssumptions!$T$20</f>
        <v>0.8</v>
      </c>
      <c r="E113" s="87">
        <f t="shared" si="13"/>
        <v>1</v>
      </c>
      <c r="F113" s="117">
        <f t="shared" si="12"/>
        <v>0.8</v>
      </c>
      <c r="H113" s="248">
        <f>MachineAssumptions!$T$41*E113</f>
        <v>0.8</v>
      </c>
      <c r="I113" s="247">
        <f>MachineAssumptions!$T$61*E113</f>
        <v>0.8</v>
      </c>
    </row>
    <row r="114" spans="1:13" ht="21">
      <c r="A114" s="15"/>
      <c r="B114" s="139" t="s">
        <v>88</v>
      </c>
      <c r="C114" s="41"/>
      <c r="D114" s="116"/>
      <c r="E114" s="87"/>
      <c r="F114" s="117"/>
      <c r="H114" s="249">
        <f>SUM(H74:H113)</f>
        <v>67.05347216126205</v>
      </c>
      <c r="I114" s="249">
        <f>SUM(I74:I113)</f>
        <v>64.495199937853457</v>
      </c>
    </row>
    <row r="115" spans="1:13" ht="20">
      <c r="A115" s="15"/>
      <c r="B115" s="85" t="str">
        <f>'Chem&amp;FertInputs&amp;CInsurance'!B73</f>
        <v>Crop Insurance</v>
      </c>
      <c r="C115" s="23" t="str">
        <f>'Chem&amp;FertInputs&amp;CInsurance'!D73</f>
        <v>acre</v>
      </c>
      <c r="D115" s="116">
        <f>'Chem&amp;FertInputs&amp;CInsurance'!AA73</f>
        <v>18</v>
      </c>
      <c r="E115" s="87">
        <v>1</v>
      </c>
      <c r="F115" s="117">
        <f>IF(D115*E115=0,"0",D115*E115)</f>
        <v>18</v>
      </c>
      <c r="H115" s="1" t="s">
        <v>181</v>
      </c>
      <c r="I115" s="1" t="s">
        <v>181</v>
      </c>
    </row>
    <row r="116" spans="1:13" ht="20">
      <c r="A116" s="15"/>
      <c r="B116" s="85" t="s">
        <v>72</v>
      </c>
      <c r="C116" s="41" t="s">
        <v>83</v>
      </c>
      <c r="D116" s="111">
        <f>MachineAssumptions!D25</f>
        <v>0.05</v>
      </c>
      <c r="E116" s="87"/>
      <c r="F116" s="86">
        <f>SUM(F8:F115)*D116</f>
        <v>9.7010395385624744</v>
      </c>
      <c r="G116" s="1" t="s">
        <v>111</v>
      </c>
      <c r="H116" s="49">
        <f>(SUM($F8:$F70)+$F115+SUM(H72:H113))*$D116</f>
        <v>9.7015236080631038</v>
      </c>
      <c r="I116" s="49">
        <f>(SUM($F8:$F70)+$F115+SUM(I72:I113))*$D116</f>
        <v>9.5736099968926744</v>
      </c>
      <c r="J116" s="49">
        <f>F72+F75+F78+F81+F84+F87+F90+F93+F96+F99+F102+F105+F108+F111</f>
        <v>15.659118400208875</v>
      </c>
      <c r="K116" s="1" t="s">
        <v>111</v>
      </c>
    </row>
    <row r="117" spans="1:13" ht="20">
      <c r="A117" s="15"/>
      <c r="B117" s="85" t="s">
        <v>84</v>
      </c>
      <c r="C117" s="41" t="s">
        <v>83</v>
      </c>
      <c r="D117" s="111">
        <f>MachineAssumptions!D26</f>
        <v>6.7500000000000004E-2</v>
      </c>
      <c r="E117" s="112"/>
      <c r="F117" s="140">
        <f>SUM(F7:F116)*(D117/12*MachineAssumptions!D27)</f>
        <v>10.313417659434229</v>
      </c>
      <c r="G117" s="1" t="s">
        <v>4</v>
      </c>
      <c r="H117" s="49">
        <f>(SUM(F8:F70)+(F115+F116+H114))*((D117/12)*MachineAssumptions!D27)</f>
        <v>10.313907779803618</v>
      </c>
      <c r="I117" s="49">
        <f>(SUM(F8:F70)+(F115+F116+I114))*((D117/12)*MachineAssumptions!D27)</f>
        <v>10.184395248493558</v>
      </c>
      <c r="J117" s="49">
        <f>F73+F76+F79+F82+F85+F88+F91+F94+F97+F100+F103+F106+F109+F112</f>
        <v>36.116622527605394</v>
      </c>
      <c r="K117" s="1" t="s">
        <v>4</v>
      </c>
    </row>
    <row r="118" spans="1:13" ht="20">
      <c r="A118" s="15"/>
      <c r="B118" s="14" t="s">
        <v>85</v>
      </c>
      <c r="C118" s="29"/>
      <c r="D118" s="141"/>
      <c r="E118" s="142"/>
      <c r="F118" s="143">
        <f>SUM(F8:F117)</f>
        <v>214.03524796924617</v>
      </c>
      <c r="G118" s="1" t="s">
        <v>112</v>
      </c>
      <c r="J118" s="49">
        <f>F74+F77+F80+F83+F86+F89+F92+F95+F98+F101+F104+F107+F110+F113</f>
        <v>15.268049843435199</v>
      </c>
      <c r="K118" s="1" t="s">
        <v>112</v>
      </c>
      <c r="L118" s="49">
        <f>H74+H77+H80+H83+H86+H89+H92+H95+H98+H101+H104+H107+H110+H113</f>
        <v>15.277731233447778</v>
      </c>
      <c r="M118" s="49">
        <f>I74+I77+I80+I83+I86+I89+I92+I95+I98+I101+I104+I107+I110+I113</f>
        <v>12.719459010039175</v>
      </c>
    </row>
    <row r="119" spans="1:13">
      <c r="A119" s="15"/>
      <c r="B119" s="113"/>
      <c r="C119" s="113"/>
      <c r="D119" s="113"/>
      <c r="E119" s="114"/>
      <c r="F119" s="115"/>
      <c r="H119" s="115"/>
      <c r="J119" s="49">
        <f>SUM(J116:J118)</f>
        <v>67.043790771249462</v>
      </c>
      <c r="K119" s="115"/>
    </row>
    <row r="120" spans="1:13" ht="20">
      <c r="A120" s="15"/>
      <c r="B120" s="132" t="s">
        <v>89</v>
      </c>
      <c r="C120" s="19" t="s">
        <v>2</v>
      </c>
      <c r="D120" s="20" t="s">
        <v>12</v>
      </c>
      <c r="E120" s="21" t="s">
        <v>13</v>
      </c>
      <c r="F120" s="45" t="s">
        <v>0</v>
      </c>
      <c r="H120" s="1" t="s">
        <v>136</v>
      </c>
      <c r="I120" s="1" t="s">
        <v>139</v>
      </c>
    </row>
    <row r="121" spans="1:13" ht="20">
      <c r="A121" s="15"/>
      <c r="B121" s="18" t="str">
        <f>MachineAssumptions!B7&amp;" - Replacement Costs"</f>
        <v>Shredder - Replacement Costs</v>
      </c>
      <c r="C121" s="41" t="str">
        <f>C72</f>
        <v>acre</v>
      </c>
      <c r="D121" s="34">
        <f>MachineAssumptions!U7</f>
        <v>4.3329737628911431</v>
      </c>
      <c r="E121" s="145">
        <f>E72</f>
        <v>0</v>
      </c>
      <c r="F121" s="42" t="str">
        <f t="shared" ref="F121:F134" si="14">IF(D121*E121=0,"0",D121*E121)</f>
        <v>0</v>
      </c>
      <c r="H121" s="166">
        <f>MachineAssumptions!U28*E121</f>
        <v>0</v>
      </c>
      <c r="I121" s="166">
        <f>MachineAssumptions!U48*E121</f>
        <v>0</v>
      </c>
    </row>
    <row r="122" spans="1:13" ht="20">
      <c r="A122" s="15"/>
      <c r="B122" s="18" t="str">
        <f>MachineAssumptions!B8&amp;" - Replacement Costs"</f>
        <v>Harrow - Replacement Costs</v>
      </c>
      <c r="C122" s="41" t="str">
        <f>C75</f>
        <v>acre</v>
      </c>
      <c r="D122" s="34">
        <f>MachineAssumptions!U8</f>
        <v>1.1988479209967022</v>
      </c>
      <c r="E122" s="145">
        <f>E75</f>
        <v>0</v>
      </c>
      <c r="F122" s="42" t="str">
        <f t="shared" si="14"/>
        <v>0</v>
      </c>
      <c r="H122" s="166">
        <f>MachineAssumptions!U29*E122</f>
        <v>0</v>
      </c>
      <c r="I122" s="166">
        <f>MachineAssumptions!U49*E122</f>
        <v>0</v>
      </c>
    </row>
    <row r="123" spans="1:13" ht="20">
      <c r="A123" s="15"/>
      <c r="B123" s="18" t="str">
        <f>MachineAssumptions!B9&amp;" - Replacement Costs"</f>
        <v>Chisel plow - Replacement Costs</v>
      </c>
      <c r="C123" s="41" t="str">
        <f>C78</f>
        <v>acre</v>
      </c>
      <c r="D123" s="34">
        <f>MachineAssumptions!U9</f>
        <v>0</v>
      </c>
      <c r="E123" s="145">
        <f>E78</f>
        <v>0</v>
      </c>
      <c r="F123" s="42" t="str">
        <f t="shared" si="14"/>
        <v>0</v>
      </c>
      <c r="H123" s="166">
        <f>MachineAssumptions!U30*E123</f>
        <v>0</v>
      </c>
      <c r="I123" s="166">
        <f>MachineAssumptions!U50*E123</f>
        <v>0</v>
      </c>
    </row>
    <row r="124" spans="1:13" ht="20">
      <c r="A124" s="15"/>
      <c r="B124" s="18" t="str">
        <f>MachineAssumptions!B10&amp;" - Replacement Costs"</f>
        <v>Moldboard plow - Replacement Costs</v>
      </c>
      <c r="C124" s="41" t="str">
        <f>C81</f>
        <v>acre</v>
      </c>
      <c r="D124" s="34">
        <f>MachineAssumptions!U10</f>
        <v>0</v>
      </c>
      <c r="E124" s="145">
        <f>E81</f>
        <v>0</v>
      </c>
      <c r="F124" s="42" t="str">
        <f t="shared" si="14"/>
        <v>0</v>
      </c>
      <c r="H124" s="166">
        <f>MachineAssumptions!U31*E124</f>
        <v>0</v>
      </c>
      <c r="I124" s="166">
        <f>MachineAssumptions!U51*E124</f>
        <v>0</v>
      </c>
    </row>
    <row r="125" spans="1:13" ht="20">
      <c r="A125" s="15"/>
      <c r="B125" s="18" t="str">
        <f>MachineAssumptions!B11&amp;" - Replacement Costs"</f>
        <v>Cultivator - Replacement Costs</v>
      </c>
      <c r="C125" s="41" t="str">
        <f t="shared" ref="C125:C126" si="15">C82</f>
        <v>acre</v>
      </c>
      <c r="D125" s="34">
        <f>MachineAssumptions!U11</f>
        <v>0</v>
      </c>
      <c r="E125" s="145">
        <f>E84</f>
        <v>0</v>
      </c>
      <c r="F125" s="42" t="str">
        <f t="shared" si="14"/>
        <v>0</v>
      </c>
      <c r="H125" s="166">
        <f>MachineAssumptions!U32*E125</f>
        <v>0</v>
      </c>
      <c r="I125" s="166">
        <f>MachineAssumptions!U52*E125</f>
        <v>0</v>
      </c>
    </row>
    <row r="126" spans="1:13" ht="20">
      <c r="A126" s="15"/>
      <c r="B126" s="18" t="str">
        <f>MachineAssumptions!B12&amp;" - Replacement Costs"</f>
        <v>Cultiweeder - Replacement Costs</v>
      </c>
      <c r="C126" s="41" t="str">
        <f t="shared" si="15"/>
        <v>acre</v>
      </c>
      <c r="D126" s="34">
        <f>MachineAssumptions!U12</f>
        <v>0</v>
      </c>
      <c r="E126" s="145">
        <f>E87</f>
        <v>0</v>
      </c>
      <c r="F126" s="42" t="str">
        <f t="shared" si="14"/>
        <v>0</v>
      </c>
      <c r="H126" s="166">
        <f>MachineAssumptions!U33*E126</f>
        <v>0</v>
      </c>
      <c r="I126" s="166">
        <f>MachineAssumptions!U53*E126</f>
        <v>0</v>
      </c>
    </row>
    <row r="127" spans="1:13" ht="20">
      <c r="A127" s="15"/>
      <c r="B127" s="18" t="str">
        <f>MachineAssumptions!B13&amp;" - Replacement Costs"</f>
        <v>Drill - Replacement Costs</v>
      </c>
      <c r="C127" s="41" t="str">
        <f>C90</f>
        <v>acre</v>
      </c>
      <c r="D127" s="34">
        <f>MachineAssumptions!U13</f>
        <v>7.2419265221735989</v>
      </c>
      <c r="E127" s="145">
        <f>E90</f>
        <v>1</v>
      </c>
      <c r="F127" s="42">
        <f t="shared" si="14"/>
        <v>7.2419265221735989</v>
      </c>
      <c r="H127" s="166">
        <f>MachineAssumptions!U34*E127</f>
        <v>7.2419265221735989</v>
      </c>
      <c r="I127" s="166">
        <f>MachineAssumptions!U54*E127</f>
        <v>7.2419265221735989</v>
      </c>
    </row>
    <row r="128" spans="1:13" ht="20">
      <c r="A128" s="15"/>
      <c r="B128" s="18" t="str">
        <f>MachineAssumptions!B14&amp;" - Replacement Costs"</f>
        <v>Combine w/ 36' header - Replacement Costs</v>
      </c>
      <c r="C128" s="41" t="str">
        <f>C93</f>
        <v>acre</v>
      </c>
      <c r="D128" s="34">
        <f>MachineAssumptions!U14</f>
        <v>9.7031999999999989</v>
      </c>
      <c r="E128" s="145">
        <f>E93</f>
        <v>1</v>
      </c>
      <c r="F128" s="42">
        <f t="shared" si="14"/>
        <v>9.7031999999999989</v>
      </c>
      <c r="H128" s="166">
        <f>MachineAssumptions!U35*E128</f>
        <v>9.7031999999999989</v>
      </c>
      <c r="I128" s="166">
        <f>MachineAssumptions!U55*E128</f>
        <v>9.7032000000000007</v>
      </c>
    </row>
    <row r="129" spans="1:9" ht="20">
      <c r="A129" s="15"/>
      <c r="B129" s="18" t="str">
        <f>MachineAssumptions!B16&amp;" - Replacement Costs"</f>
        <v>Fertilizer Spreader - Replacement Costs</v>
      </c>
      <c r="C129" s="41" t="str">
        <f>C96</f>
        <v>acre</v>
      </c>
      <c r="D129" s="34">
        <f>MachineAssumptions!U16</f>
        <v>0</v>
      </c>
      <c r="E129" s="145">
        <f>E96</f>
        <v>0</v>
      </c>
      <c r="F129" s="42" t="str">
        <f t="shared" si="14"/>
        <v>0</v>
      </c>
      <c r="H129" s="166">
        <f>MachineAssumptions!U36*E129</f>
        <v>0</v>
      </c>
      <c r="I129" s="166">
        <f>MachineAssumptions!U56*E129</f>
        <v>0</v>
      </c>
    </row>
    <row r="130" spans="1:9" ht="20">
      <c r="A130" s="15"/>
      <c r="B130" s="18" t="str">
        <f>MachineAssumptions!B17&amp;" - Replacement Costs"</f>
        <v>Fertilizer tanks and pump - Replacement Costs</v>
      </c>
      <c r="C130" s="41" t="str">
        <f>C99</f>
        <v>acre</v>
      </c>
      <c r="D130" s="34">
        <f>MachineAssumptions!U17</f>
        <v>0.6</v>
      </c>
      <c r="E130" s="145">
        <f>E99</f>
        <v>1</v>
      </c>
      <c r="F130" s="42">
        <f t="shared" si="14"/>
        <v>0.6</v>
      </c>
      <c r="H130" s="166">
        <f>MachineAssumptions!U37*E130</f>
        <v>0.6</v>
      </c>
      <c r="I130" s="166">
        <f>MachineAssumptions!U57*E130</f>
        <v>0.6</v>
      </c>
    </row>
    <row r="131" spans="1:9" ht="20">
      <c r="A131" s="15"/>
      <c r="B131" s="18" t="str">
        <f>MachineAssumptions!B18&amp;" - Replacement Costs"</f>
        <v>Boom sprayer - Replacement Costs</v>
      </c>
      <c r="C131" s="41" t="str">
        <f>C102</f>
        <v>acre</v>
      </c>
      <c r="D131" s="34">
        <f>MachineAssumptions!U18</f>
        <v>0.80913316225248511</v>
      </c>
      <c r="E131" s="145">
        <f>E102</f>
        <v>2</v>
      </c>
      <c r="F131" s="42">
        <f t="shared" si="14"/>
        <v>1.6182663245049702</v>
      </c>
      <c r="H131" s="166">
        <f>MachineAssumptions!U38*E131</f>
        <v>1.6180237561339832</v>
      </c>
      <c r="I131" s="166">
        <f>MachineAssumptions!U58*E131</f>
        <v>1.6182663245049702</v>
      </c>
    </row>
    <row r="132" spans="1:9" ht="20">
      <c r="A132" s="15"/>
      <c r="B132" s="18" t="str">
        <f>MachineAssumptions!B15&amp;" - Replacement Costs"</f>
        <v>Bankout Wagon - Replacement Costs</v>
      </c>
      <c r="C132" s="41" t="str">
        <f>C105</f>
        <v>acre</v>
      </c>
      <c r="D132" s="34">
        <f>MachineAssumptions!U15</f>
        <v>2.9461434675395459</v>
      </c>
      <c r="E132" s="145">
        <f>E105</f>
        <v>1</v>
      </c>
      <c r="F132" s="42">
        <f t="shared" si="14"/>
        <v>2.9461434675395459</v>
      </c>
      <c r="H132" s="166">
        <f>MachineAssumptions!U39*E132</f>
        <v>2.9461434675395459</v>
      </c>
      <c r="I132" s="166">
        <f>MachineAssumptions!U59*E132</f>
        <v>2.9461434675395459</v>
      </c>
    </row>
    <row r="133" spans="1:9" ht="20">
      <c r="A133" s="15"/>
      <c r="B133" s="18" t="str">
        <f>MachineAssumptions!B19&amp;" - Replacement Costs"</f>
        <v>Tandem Axle Truck  - Replacement Costs</v>
      </c>
      <c r="C133" s="41" t="str">
        <f>C108</f>
        <v>acre</v>
      </c>
      <c r="D133" s="34">
        <f>MachineAssumptions!U19</f>
        <v>0.64</v>
      </c>
      <c r="E133" s="145">
        <f>E108</f>
        <v>1</v>
      </c>
      <c r="F133" s="42">
        <f t="shared" si="14"/>
        <v>0.64</v>
      </c>
      <c r="H133" s="166">
        <f>MachineAssumptions!U40*E133</f>
        <v>0.64</v>
      </c>
      <c r="I133" s="166">
        <f>MachineAssumptions!U60*E133</f>
        <v>0.64</v>
      </c>
    </row>
    <row r="134" spans="1:9" ht="23">
      <c r="A134" s="15"/>
      <c r="B134" s="18" t="str">
        <f>MachineAssumptions!B20&amp;" - Replacement Costs"</f>
        <v>Tandem Axle Truck  - Replacement Costs</v>
      </c>
      <c r="C134" s="41" t="str">
        <f t="shared" ref="C134" si="16">C111</f>
        <v>acre</v>
      </c>
      <c r="D134" s="34">
        <f>MachineAssumptions!U20</f>
        <v>0.64</v>
      </c>
      <c r="E134" s="145">
        <f t="shared" ref="E134" si="17">E111</f>
        <v>1</v>
      </c>
      <c r="F134" s="43">
        <f t="shared" si="14"/>
        <v>0.64</v>
      </c>
      <c r="H134" s="247">
        <f>MachineAssumptions!U41*E134</f>
        <v>0.64</v>
      </c>
      <c r="I134" s="247">
        <f>MachineAssumptions!U61*E134</f>
        <v>0.64</v>
      </c>
    </row>
    <row r="135" spans="1:9" ht="20">
      <c r="A135" s="15"/>
      <c r="B135" s="144" t="s">
        <v>38</v>
      </c>
      <c r="C135" s="29"/>
      <c r="D135" s="30"/>
      <c r="E135" s="29"/>
      <c r="F135" s="46">
        <f>SUM(F121:F134)</f>
        <v>23.389536314218116</v>
      </c>
      <c r="H135" s="46">
        <f t="shared" ref="H135:I135" si="18">SUM(H121:H134)</f>
        <v>23.38929374584713</v>
      </c>
      <c r="I135" s="46">
        <f t="shared" si="18"/>
        <v>23.389536314218116</v>
      </c>
    </row>
    <row r="136" spans="1:9" ht="20">
      <c r="A136" s="15"/>
      <c r="B136" s="16"/>
      <c r="C136" s="16"/>
      <c r="D136" s="17"/>
      <c r="E136" s="16"/>
      <c r="F136" s="113"/>
    </row>
    <row r="137" spans="1:9" ht="20">
      <c r="A137" s="15"/>
      <c r="B137" s="14" t="s">
        <v>31</v>
      </c>
      <c r="C137" s="29"/>
      <c r="D137" s="30"/>
      <c r="E137" s="29"/>
      <c r="F137" s="47">
        <f>F118+F135</f>
        <v>237.42478428346428</v>
      </c>
      <c r="H137" s="47">
        <f>SUM(F16:F70)+H114+F115+H116+H117+H135+F8+(H9*D9)+(H10*D10)+(H11*D11)+(H12*D12)+(H13*D13)+(H14*D14)+(H15*D15)</f>
        <v>237.43519729497592</v>
      </c>
      <c r="I137" s="47">
        <f>SUM(F16:F70)+I114+F115+I116+I117+I135+F8+(I9*D9)+(I10*D10)+(I11*D11)+(I12*D12)+(I13*D13)+(I14*D14)+(I15*D15)</f>
        <v>234.6197414974578</v>
      </c>
    </row>
    <row r="138" spans="1:9" ht="21">
      <c r="A138" s="15"/>
      <c r="B138" s="31" t="s">
        <v>32</v>
      </c>
      <c r="C138" s="32"/>
      <c r="D138" s="33"/>
      <c r="E138" s="32"/>
      <c r="F138" s="48">
        <f>F5-F137</f>
        <v>2.5752157165357232</v>
      </c>
      <c r="H138" s="250">
        <f>H5-H137</f>
        <v>2.5648027050240785</v>
      </c>
      <c r="I138" s="250">
        <f>I5-I137</f>
        <v>5.3802585025422047</v>
      </c>
    </row>
  </sheetData>
  <mergeCells count="1">
    <mergeCell ref="B2:F2"/>
  </mergeCells>
  <pageMargins left="0.7" right="0.7" top="0.75" bottom="0.75" header="0.3" footer="0.3"/>
  <pageSetup scale="62" orientation="portrait" horizontalDpi="0" verticalDpi="0"/>
  <ignoredErrors>
    <ignoredError sqref="B63:F70 B114:F114 B135:F138 B121:C134 E121:F134 B2 B72:B113 D72:F113 B60:F61 B3:F3 B4:F8 B54:F57 B42:F51 B33:F40 B21:F31 B16:G20 B32:G32 G21:G31 B41:G41 G33:G40 B52:G53 G42:G51 B58:G59 G54:G57 B116:F120 B115:D115 E115:F115 C14:F14 C9:F9 C10:F10 C11:F11 C12:F12 C13:F13 C15:G15 B9:B15" unlockedFormula="1"/>
    <ignoredError sqref="D121:D134" formula="1" unlockedFormula="1"/>
  </ignoredErrors>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8B667-E12B-4947-9A7A-6578957B56EE}">
  <sheetPr codeName="Sheet47">
    <pageSetUpPr fitToPage="1"/>
  </sheetPr>
  <dimension ref="A1:AJ138"/>
  <sheetViews>
    <sheetView zoomScale="120" zoomScaleNormal="120" workbookViewId="0">
      <selection activeCell="B2" sqref="B2:F2"/>
    </sheetView>
  </sheetViews>
  <sheetFormatPr baseColWidth="10" defaultColWidth="11.5" defaultRowHeight="15"/>
  <cols>
    <col min="1" max="1" width="4.83203125" style="1" customWidth="1"/>
    <col min="2" max="2" width="57.83203125" style="1" customWidth="1"/>
    <col min="3" max="6" width="12.83203125" style="1" customWidth="1"/>
    <col min="7" max="16" width="11.5" style="1" hidden="1" customWidth="1"/>
    <col min="17" max="34" width="0" style="1" hidden="1" customWidth="1"/>
    <col min="35" max="16384" width="11.5" style="1"/>
  </cols>
  <sheetData>
    <row r="1" spans="1:36" ht="20">
      <c r="A1" s="352" t="s">
        <v>8</v>
      </c>
      <c r="B1" s="27"/>
      <c r="C1" s="16"/>
      <c r="D1" s="17"/>
      <c r="E1" s="16"/>
      <c r="F1" s="16"/>
    </row>
    <row r="2" spans="1:36" ht="20">
      <c r="A2" s="15"/>
      <c r="B2" s="807" t="str">
        <f>'Prices_Yields&amp;SeedInputs'!B27&amp;", Cash Costs and Returns of Producing, $/acre."</f>
        <v>Winter Canola, Cash Costs and Returns of Producing, $/acre.</v>
      </c>
      <c r="C2" s="807"/>
      <c r="D2" s="807"/>
      <c r="E2" s="807"/>
      <c r="F2" s="807"/>
    </row>
    <row r="3" spans="1:36" ht="20">
      <c r="A3" s="15"/>
      <c r="B3" s="131" t="s">
        <v>11</v>
      </c>
      <c r="C3" s="24" t="s">
        <v>2</v>
      </c>
      <c r="D3" s="25" t="s">
        <v>12</v>
      </c>
      <c r="E3" s="26" t="s">
        <v>13</v>
      </c>
      <c r="F3" s="26" t="s">
        <v>0</v>
      </c>
      <c r="H3" s="1" t="str">
        <f>'Prices_Yields&amp;SeedInputs'!F3</f>
        <v>Incremental Rotation</v>
      </c>
      <c r="I3" s="1" t="str">
        <f>'Prices_Yields&amp;SeedInputs'!G3</f>
        <v>Aspirational Rotation</v>
      </c>
      <c r="AI3" s="674"/>
      <c r="AJ3" s="674"/>
    </row>
    <row r="4" spans="1:36" ht="20">
      <c r="A4" s="15"/>
      <c r="B4" s="127" t="str">
        <f>'Prices_Yields&amp;SeedInputs'!B27</f>
        <v>Winter Canola</v>
      </c>
      <c r="C4" s="22" t="str">
        <f>'Prices_Yields&amp;SeedInputs'!C27</f>
        <v>lb</v>
      </c>
      <c r="D4" s="17">
        <f>'Prices_Yields&amp;SeedInputs'!D27</f>
        <v>0.15</v>
      </c>
      <c r="E4" s="90">
        <f>'Prices_Yields&amp;SeedInputs'!E27</f>
        <v>2000</v>
      </c>
      <c r="F4" s="35">
        <f>D4*E4</f>
        <v>300</v>
      </c>
      <c r="AI4" s="674"/>
      <c r="AJ4" s="674"/>
    </row>
    <row r="5" spans="1:36" ht="20">
      <c r="A5" s="15"/>
      <c r="B5" s="14" t="s">
        <v>14</v>
      </c>
      <c r="C5" s="29"/>
      <c r="D5" s="30"/>
      <c r="E5" s="29"/>
      <c r="F5" s="46">
        <f>SUM(F4:F4)</f>
        <v>300</v>
      </c>
      <c r="H5" s="1">
        <f>D4*'Prices_Yields&amp;SeedInputs'!F27</f>
        <v>300</v>
      </c>
      <c r="I5" s="1">
        <f>D4*'Prices_Yields&amp;SeedInputs'!G27</f>
        <v>300</v>
      </c>
      <c r="AI5" s="674"/>
      <c r="AJ5" s="674"/>
    </row>
    <row r="6" spans="1:36" ht="20">
      <c r="A6" s="15"/>
      <c r="B6" s="16"/>
      <c r="C6" s="16"/>
      <c r="D6" s="17"/>
      <c r="E6" s="16"/>
      <c r="F6" s="44"/>
    </row>
    <row r="7" spans="1:36" ht="20">
      <c r="A7" s="15"/>
      <c r="B7" s="132" t="s">
        <v>37</v>
      </c>
      <c r="C7" s="19" t="s">
        <v>2</v>
      </c>
      <c r="D7" s="20" t="s">
        <v>12</v>
      </c>
      <c r="E7" s="21" t="s">
        <v>13</v>
      </c>
      <c r="F7" s="45" t="s">
        <v>0</v>
      </c>
    </row>
    <row r="8" spans="1:36" ht="20">
      <c r="A8" s="15"/>
      <c r="B8" s="85" t="s">
        <v>169</v>
      </c>
      <c r="C8" s="119" t="str">
        <f>'Prices_Yields&amp;SeedInputs'!H27</f>
        <v>pound</v>
      </c>
      <c r="D8" s="120">
        <f>'Prices_Yields&amp;SeedInputs'!I27</f>
        <v>11.5</v>
      </c>
      <c r="E8" s="133">
        <f>'Prices_Yields&amp;SeedInputs'!J27</f>
        <v>5</v>
      </c>
      <c r="F8" s="117">
        <f t="shared" ref="F8:F61" si="0">IF(D8*E8=0,"0",D8*E8)</f>
        <v>57.5</v>
      </c>
    </row>
    <row r="9" spans="1:36" ht="20">
      <c r="A9" s="15"/>
      <c r="B9" s="85" t="str">
        <f>'Chem&amp;FertInputs&amp;CInsurance'!B6</f>
        <v>Fertilizer - Nitrogen-</v>
      </c>
      <c r="C9" s="23" t="str">
        <f>'Chem&amp;FertInputs&amp;CInsurance'!D6</f>
        <v>pound</v>
      </c>
      <c r="D9" s="116">
        <f>'Chem&amp;FertInputs&amp;CInsurance'!E6</f>
        <v>0.48749999999999999</v>
      </c>
      <c r="E9" s="133">
        <f>'Chem&amp;FertInputs&amp;CInsurance'!AB6</f>
        <v>90</v>
      </c>
      <c r="F9" s="117">
        <f t="shared" si="0"/>
        <v>43.875</v>
      </c>
      <c r="H9" s="1">
        <f>'Chem&amp;FertInputs&amp;CInsurance'!AB7</f>
        <v>90</v>
      </c>
      <c r="I9" s="1">
        <f>'Chem&amp;FertInputs&amp;CInsurance'!AB8</f>
        <v>90</v>
      </c>
    </row>
    <row r="10" spans="1:36" ht="20">
      <c r="A10" s="15"/>
      <c r="B10" s="85" t="str">
        <f>'Chem&amp;FertInputs&amp;CInsurance'!B9</f>
        <v>Fertilizer - Anhydrous Ammonia-</v>
      </c>
      <c r="C10" s="23" t="str">
        <f>'Chem&amp;FertInputs&amp;CInsurance'!D9</f>
        <v>pound</v>
      </c>
      <c r="D10" s="116">
        <f>'Chem&amp;FertInputs&amp;CInsurance'!E9</f>
        <v>0.75770000000000004</v>
      </c>
      <c r="E10" s="133">
        <f>'Chem&amp;FertInputs&amp;CInsurance'!AB9</f>
        <v>0</v>
      </c>
      <c r="F10" s="117" t="str">
        <f t="shared" si="0"/>
        <v>0</v>
      </c>
      <c r="H10" s="1">
        <f>'Chem&amp;FertInputs&amp;CInsurance'!AB10</f>
        <v>0</v>
      </c>
      <c r="I10" s="1">
        <f>'Chem&amp;FertInputs&amp;CInsurance'!AB11</f>
        <v>0</v>
      </c>
    </row>
    <row r="11" spans="1:36" ht="20">
      <c r="A11" s="15"/>
      <c r="B11" s="85" t="str">
        <f>'Chem&amp;FertInputs&amp;CInsurance'!B12</f>
        <v xml:space="preserve">Fertilizer - Phosphorus- </v>
      </c>
      <c r="C11" s="23" t="str">
        <f>'Chem&amp;FertInputs&amp;CInsurance'!D12</f>
        <v>pound</v>
      </c>
      <c r="D11" s="116">
        <f>'Chem&amp;FertInputs&amp;CInsurance'!E12</f>
        <v>0.47499999999999998</v>
      </c>
      <c r="E11" s="133">
        <f>'Chem&amp;FertInputs&amp;CInsurance'!AB12</f>
        <v>8</v>
      </c>
      <c r="F11" s="117">
        <f t="shared" si="0"/>
        <v>3.8</v>
      </c>
      <c r="H11" s="1">
        <f>'Chem&amp;FertInputs&amp;CInsurance'!AB13</f>
        <v>8</v>
      </c>
      <c r="I11" s="1">
        <f>'Chem&amp;FertInputs&amp;CInsurance'!AB14</f>
        <v>8</v>
      </c>
    </row>
    <row r="12" spans="1:36" ht="20">
      <c r="A12" s="15"/>
      <c r="B12" s="85" t="str">
        <f>'Chem&amp;FertInputs&amp;CInsurance'!B15</f>
        <v>Fertilizer - Potassium-</v>
      </c>
      <c r="C12" s="23" t="str">
        <f>'Chem&amp;FertInputs&amp;CInsurance'!D15</f>
        <v>pound</v>
      </c>
      <c r="D12" s="116">
        <f>'Chem&amp;FertInputs&amp;CInsurance'!E15</f>
        <v>0.441</v>
      </c>
      <c r="E12" s="133">
        <f>'Chem&amp;FertInputs&amp;CInsurance'!AB15</f>
        <v>0</v>
      </c>
      <c r="F12" s="117" t="str">
        <f t="shared" si="0"/>
        <v>0</v>
      </c>
      <c r="H12" s="1">
        <f>'Chem&amp;FertInputs&amp;CInsurance'!AB16</f>
        <v>0</v>
      </c>
      <c r="I12" s="1">
        <f>'Chem&amp;FertInputs&amp;CInsurance'!AB17</f>
        <v>0</v>
      </c>
    </row>
    <row r="13" spans="1:36" ht="20">
      <c r="A13" s="15"/>
      <c r="B13" s="85" t="str">
        <f>'Chem&amp;FertInputs&amp;CInsurance'!B18</f>
        <v>Fertilizer - Sulfur-</v>
      </c>
      <c r="C13" s="23" t="str">
        <f>'Chem&amp;FertInputs&amp;CInsurance'!D18</f>
        <v>pound</v>
      </c>
      <c r="D13" s="116">
        <f>'Chem&amp;FertInputs&amp;CInsurance'!E18</f>
        <v>0.2555</v>
      </c>
      <c r="E13" s="133">
        <f>'Chem&amp;FertInputs&amp;CInsurance'!AB18</f>
        <v>17</v>
      </c>
      <c r="F13" s="117">
        <f t="shared" si="0"/>
        <v>4.3434999999999997</v>
      </c>
      <c r="H13" s="1">
        <f>'Chem&amp;FertInputs&amp;CInsurance'!AB19</f>
        <v>17</v>
      </c>
      <c r="I13" s="1">
        <f>'Chem&amp;FertInputs&amp;CInsurance'!AB20</f>
        <v>17</v>
      </c>
    </row>
    <row r="14" spans="1:36" ht="20">
      <c r="A14" s="15"/>
      <c r="B14" s="85" t="str">
        <f>'Chem&amp;FertInputs&amp;CInsurance'!B21</f>
        <v>Adjuvant - Ammonium Sulfate liquid-</v>
      </c>
      <c r="C14" s="23" t="str">
        <f>'Chem&amp;FertInputs&amp;CInsurance'!D21</f>
        <v>oz</v>
      </c>
      <c r="D14" s="116">
        <f>'Chem&amp;FertInputs&amp;CInsurance'!E21</f>
        <v>0.48</v>
      </c>
      <c r="E14" s="133">
        <f>'Chem&amp;FertInputs&amp;CInsurance'!AB21</f>
        <v>5.0999999999999996</v>
      </c>
      <c r="F14" s="117">
        <f>IF(D14*E14=0,"0",D14*E14)</f>
        <v>2.448</v>
      </c>
      <c r="G14" s="165">
        <f>E14/128</f>
        <v>3.9843749999999997E-2</v>
      </c>
      <c r="H14" s="1">
        <f>'Chem&amp;FertInputs&amp;CInsurance'!AB22</f>
        <v>5.0999999999999996</v>
      </c>
      <c r="I14" s="1">
        <f>'Chem&amp;FertInputs&amp;CInsurance'!AB23</f>
        <v>5.0999999999999996</v>
      </c>
    </row>
    <row r="15" spans="1:36" ht="20">
      <c r="A15" s="15"/>
      <c r="B15" s="85" t="str">
        <f>'Chem&amp;FertInputs&amp;CInsurance'!B24</f>
        <v>Adjuvant - Ammonium Sulfate  (other)-</v>
      </c>
      <c r="C15" s="23" t="str">
        <f>'Chem&amp;FertInputs&amp;CInsurance'!D24</f>
        <v>pound</v>
      </c>
      <c r="D15" s="116">
        <f>'Chem&amp;FertInputs&amp;CInsurance'!E24</f>
        <v>0.71</v>
      </c>
      <c r="E15" s="133">
        <f>'Chem&amp;FertInputs&amp;CInsurance'!AB24</f>
        <v>0</v>
      </c>
      <c r="F15" s="117" t="str">
        <f t="shared" ref="F15:F16" si="1">IF(D15*E15=0,"0",D15*E15)</f>
        <v>0</v>
      </c>
      <c r="G15" s="165">
        <f>E15/16</f>
        <v>0</v>
      </c>
      <c r="H15" s="1">
        <f>'Chem&amp;FertInputs&amp;CInsurance'!AB25</f>
        <v>0</v>
      </c>
      <c r="I15" s="1">
        <f>'Chem&amp;FertInputs&amp;CInsurance'!AB26</f>
        <v>0</v>
      </c>
    </row>
    <row r="16" spans="1:36" ht="20">
      <c r="A16" s="15"/>
      <c r="B16" s="85" t="str">
        <f>'Chem&amp;FertInputs&amp;CInsurance'!C27</f>
        <v xml:space="preserve">crop oil concentrate </v>
      </c>
      <c r="C16" s="23" t="str">
        <f>'Chem&amp;FertInputs&amp;CInsurance'!D27</f>
        <v>pint</v>
      </c>
      <c r="D16" s="116">
        <f>'Chem&amp;FertInputs&amp;CInsurance'!E27</f>
        <v>1.6559999999999999</v>
      </c>
      <c r="E16" s="133">
        <f>'Chem&amp;FertInputs&amp;CInsurance'!AB27</f>
        <v>0</v>
      </c>
      <c r="F16" s="117" t="str">
        <f t="shared" si="1"/>
        <v>0</v>
      </c>
      <c r="G16" s="165">
        <f>E16/8</f>
        <v>0</v>
      </c>
    </row>
    <row r="17" spans="1:7" ht="20">
      <c r="A17" s="15"/>
      <c r="B17" s="85" t="str">
        <f>'Chem&amp;FertInputs&amp;CInsurance'!C28</f>
        <v>In-place</v>
      </c>
      <c r="C17" s="23" t="str">
        <f>'Chem&amp;FertInputs&amp;CInsurance'!D28</f>
        <v>oz</v>
      </c>
      <c r="D17" s="116">
        <f>'Chem&amp;FertInputs&amp;CInsurance'!E28</f>
        <v>0.35649999999999998</v>
      </c>
      <c r="E17" s="133">
        <f>'Chem&amp;FertInputs&amp;CInsurance'!AB28</f>
        <v>0</v>
      </c>
      <c r="F17" s="117" t="str">
        <f>IF(D17*E17=0,"0",D17*E17)</f>
        <v>0</v>
      </c>
      <c r="G17" s="165">
        <f>E17/128</f>
        <v>0</v>
      </c>
    </row>
    <row r="18" spans="1:7" ht="20">
      <c r="A18" s="15"/>
      <c r="B18" s="85" t="str">
        <f>'Chem&amp;FertInputs&amp;CInsurance'!C29</f>
        <v xml:space="preserve">M90 </v>
      </c>
      <c r="C18" s="23" t="str">
        <f>'Chem&amp;FertInputs&amp;CInsurance'!D29</f>
        <v>oz</v>
      </c>
      <c r="D18" s="116">
        <f>'Chem&amp;FertInputs&amp;CInsurance'!E29</f>
        <v>0.253</v>
      </c>
      <c r="E18" s="133">
        <f>'Chem&amp;FertInputs&amp;CInsurance'!AB29</f>
        <v>0</v>
      </c>
      <c r="F18" s="117" t="str">
        <f>IF(D18*E18=0,"0",D18*E18)</f>
        <v>0</v>
      </c>
      <c r="G18" s="165">
        <f>E18/128</f>
        <v>0</v>
      </c>
    </row>
    <row r="19" spans="1:7" ht="20">
      <c r="A19" s="15"/>
      <c r="B19" s="85" t="str">
        <f>'Chem&amp;FertInputs&amp;CInsurance'!C30</f>
        <v>Surfactant</v>
      </c>
      <c r="C19" s="23" t="str">
        <f>'Chem&amp;FertInputs&amp;CInsurance'!D30</f>
        <v>oz</v>
      </c>
      <c r="D19" s="116">
        <f>'Chem&amp;FertInputs&amp;CInsurance'!E30</f>
        <v>0.26450000000000001</v>
      </c>
      <c r="E19" s="133">
        <f>'Chem&amp;FertInputs&amp;CInsurance'!AB30</f>
        <v>4.5</v>
      </c>
      <c r="F19" s="117">
        <f>IF(D19*E19=0,"0",D19*E19)</f>
        <v>1.19025</v>
      </c>
      <c r="G19" s="165">
        <f>E19/128</f>
        <v>3.515625E-2</v>
      </c>
    </row>
    <row r="20" spans="1:7" ht="20">
      <c r="A20" s="15"/>
      <c r="B20" s="85" t="str">
        <f>'Chem&amp;FertInputs&amp;CInsurance'!C31</f>
        <v>Syltac sticker</v>
      </c>
      <c r="C20" s="23" t="str">
        <f>'Chem&amp;FertInputs&amp;CInsurance'!D31</f>
        <v>pint</v>
      </c>
      <c r="D20" s="116">
        <f>'Chem&amp;FertInputs&amp;CInsurance'!E31</f>
        <v>7.1874999999999991</v>
      </c>
      <c r="E20" s="133">
        <f>'Chem&amp;FertInputs&amp;CInsurance'!AB31</f>
        <v>0</v>
      </c>
      <c r="F20" s="117" t="str">
        <f>IF(D20*E20=0,"0",D20*E20)</f>
        <v>0</v>
      </c>
      <c r="G20" s="165">
        <f>E20/8</f>
        <v>0</v>
      </c>
    </row>
    <row r="21" spans="1:7" ht="20">
      <c r="A21" s="15"/>
      <c r="B21" s="85" t="str">
        <f>'Chem&amp;FertInputs&amp;CInsurance'!C33</f>
        <v>2,4 - D</v>
      </c>
      <c r="C21" s="23" t="str">
        <f>'Chem&amp;FertInputs&amp;CInsurance'!D33</f>
        <v>oz</v>
      </c>
      <c r="D21" s="116">
        <f>'Chem&amp;FertInputs&amp;CInsurance'!E33</f>
        <v>0.33349999999999996</v>
      </c>
      <c r="E21" s="133">
        <f>'Chem&amp;FertInputs&amp;CInsurance'!AB33</f>
        <v>0</v>
      </c>
      <c r="F21" s="117" t="str">
        <f t="shared" si="0"/>
        <v>0</v>
      </c>
      <c r="G21" s="165">
        <f t="shared" ref="G21:G30" si="2">E21/128</f>
        <v>0</v>
      </c>
    </row>
    <row r="22" spans="1:7" ht="20">
      <c r="A22" s="15"/>
      <c r="B22" s="85" t="str">
        <f>'Chem&amp;FertInputs&amp;CInsurance'!C34</f>
        <v>Achieve SC</v>
      </c>
      <c r="C22" s="23" t="str">
        <f>'Chem&amp;FertInputs&amp;CInsurance'!D34</f>
        <v>oz</v>
      </c>
      <c r="D22" s="116">
        <f>'Chem&amp;FertInputs&amp;CInsurance'!E34</f>
        <v>1.3454999999999999</v>
      </c>
      <c r="E22" s="133">
        <f>'Chem&amp;FertInputs&amp;CInsurance'!AB34</f>
        <v>0</v>
      </c>
      <c r="F22" s="117" t="str">
        <f t="shared" si="0"/>
        <v>0</v>
      </c>
      <c r="G22" s="165">
        <f t="shared" si="2"/>
        <v>0</v>
      </c>
    </row>
    <row r="23" spans="1:7" ht="20">
      <c r="A23" s="15"/>
      <c r="B23" s="85" t="str">
        <f>'Chem&amp;FertInputs&amp;CInsurance'!C35</f>
        <v>Affintity TankMix</v>
      </c>
      <c r="C23" s="23" t="str">
        <f>'Chem&amp;FertInputs&amp;CInsurance'!D35</f>
        <v>oz</v>
      </c>
      <c r="D23" s="116">
        <f>'Chem&amp;FertInputs&amp;CInsurance'!E35</f>
        <v>8.9699999999999989</v>
      </c>
      <c r="E23" s="133">
        <f>'Chem&amp;FertInputs&amp;CInsurance'!AB35</f>
        <v>0</v>
      </c>
      <c r="F23" s="117" t="str">
        <f t="shared" si="0"/>
        <v>0</v>
      </c>
      <c r="G23" s="165">
        <f t="shared" si="2"/>
        <v>0</v>
      </c>
    </row>
    <row r="24" spans="1:7" ht="20">
      <c r="A24" s="15"/>
      <c r="B24" s="85" t="str">
        <f>'Chem&amp;FertInputs&amp;CInsurance'!C36</f>
        <v xml:space="preserve">Ally </v>
      </c>
      <c r="C24" s="23" t="str">
        <f>'Chem&amp;FertInputs&amp;CInsurance'!D36</f>
        <v>oz</v>
      </c>
      <c r="D24" s="116">
        <f>'Chem&amp;FertInputs&amp;CInsurance'!E36</f>
        <v>1.7249999999999999</v>
      </c>
      <c r="E24" s="133">
        <f>'Chem&amp;FertInputs&amp;CInsurance'!AB36</f>
        <v>0</v>
      </c>
      <c r="F24" s="117" t="str">
        <f t="shared" si="0"/>
        <v>0</v>
      </c>
      <c r="G24" s="165">
        <f t="shared" si="2"/>
        <v>0</v>
      </c>
    </row>
    <row r="25" spans="1:7" ht="20">
      <c r="A25" s="15"/>
      <c r="B25" s="85" t="str">
        <f>'Chem&amp;FertInputs&amp;CInsurance'!C37</f>
        <v>Assure</v>
      </c>
      <c r="C25" s="23" t="str">
        <f>'Chem&amp;FertInputs&amp;CInsurance'!D37</f>
        <v>oz</v>
      </c>
      <c r="D25" s="116">
        <f>'Chem&amp;FertInputs&amp;CInsurance'!E37</f>
        <v>0.98899999999999988</v>
      </c>
      <c r="E25" s="133">
        <f>'Chem&amp;FertInputs&amp;CInsurance'!AB37</f>
        <v>0</v>
      </c>
      <c r="F25" s="117" t="str">
        <f t="shared" si="0"/>
        <v>0</v>
      </c>
      <c r="G25" s="165">
        <f t="shared" si="2"/>
        <v>0</v>
      </c>
    </row>
    <row r="26" spans="1:7" ht="20">
      <c r="A26" s="15"/>
      <c r="B26" s="85" t="str">
        <f>'Chem&amp;FertInputs&amp;CInsurance'!C38</f>
        <v>Axial Star</v>
      </c>
      <c r="C26" s="23" t="str">
        <f>'Chem&amp;FertInputs&amp;CInsurance'!D38</f>
        <v>oz</v>
      </c>
      <c r="D26" s="116">
        <f>'Chem&amp;FertInputs&amp;CInsurance'!E38</f>
        <v>1.3224999999999998</v>
      </c>
      <c r="E26" s="133">
        <f>'Chem&amp;FertInputs&amp;CInsurance'!AB38</f>
        <v>0</v>
      </c>
      <c r="F26" s="117" t="str">
        <f t="shared" si="0"/>
        <v>0</v>
      </c>
      <c r="G26" s="165">
        <f t="shared" si="2"/>
        <v>0</v>
      </c>
    </row>
    <row r="27" spans="1:7" ht="20">
      <c r="A27" s="15"/>
      <c r="B27" s="85" t="str">
        <f>'Chem&amp;FertInputs&amp;CInsurance'!C39</f>
        <v>Axial Bold</v>
      </c>
      <c r="C27" s="23" t="str">
        <f>'Chem&amp;FertInputs&amp;CInsurance'!D39</f>
        <v>oz</v>
      </c>
      <c r="D27" s="116">
        <f>'Chem&amp;FertInputs&amp;CInsurance'!E39</f>
        <v>1.0924999999999998</v>
      </c>
      <c r="E27" s="133">
        <f>'Chem&amp;FertInputs&amp;CInsurance'!AB39</f>
        <v>0</v>
      </c>
      <c r="F27" s="117" t="str">
        <f t="shared" si="0"/>
        <v>0</v>
      </c>
      <c r="G27" s="165">
        <f t="shared" si="2"/>
        <v>0</v>
      </c>
    </row>
    <row r="28" spans="1:7" ht="20">
      <c r="A28" s="15"/>
      <c r="B28" s="85" t="str">
        <f>'Chem&amp;FertInputs&amp;CInsurance'!C40</f>
        <v>Bronate</v>
      </c>
      <c r="C28" s="23" t="str">
        <f>'Chem&amp;FertInputs&amp;CInsurance'!D40</f>
        <v>oz</v>
      </c>
      <c r="D28" s="116">
        <f>'Chem&amp;FertInputs&amp;CInsurance'!E40</f>
        <v>7.911999999999999</v>
      </c>
      <c r="E28" s="133">
        <f>'Chem&amp;FertInputs&amp;CInsurance'!AB40</f>
        <v>0</v>
      </c>
      <c r="F28" s="117" t="str">
        <f t="shared" si="0"/>
        <v>0</v>
      </c>
      <c r="G28" s="165">
        <f t="shared" si="2"/>
        <v>0</v>
      </c>
    </row>
    <row r="29" spans="1:7" ht="20">
      <c r="A29" s="15"/>
      <c r="B29" s="85" t="str">
        <f>'Chem&amp;FertInputs&amp;CInsurance'!C41</f>
        <v xml:space="preserve">Brox M </v>
      </c>
      <c r="C29" s="23" t="str">
        <f>'Chem&amp;FertInputs&amp;CInsurance'!D41</f>
        <v>oz</v>
      </c>
      <c r="D29" s="116">
        <f>'Chem&amp;FertInputs&amp;CInsurance'!E41</f>
        <v>0.42549999999999999</v>
      </c>
      <c r="E29" s="133">
        <f>'Chem&amp;FertInputs&amp;CInsurance'!AB41</f>
        <v>0</v>
      </c>
      <c r="F29" s="117" t="str">
        <f t="shared" si="0"/>
        <v>0</v>
      </c>
      <c r="G29" s="165">
        <f t="shared" si="2"/>
        <v>0</v>
      </c>
    </row>
    <row r="30" spans="1:7" ht="20">
      <c r="A30" s="15"/>
      <c r="B30" s="85" t="str">
        <f>'Chem&amp;FertInputs&amp;CInsurance'!C42</f>
        <v>Capture</v>
      </c>
      <c r="C30" s="23" t="str">
        <f>'Chem&amp;FertInputs&amp;CInsurance'!D42</f>
        <v>oz</v>
      </c>
      <c r="D30" s="116">
        <f>'Chem&amp;FertInputs&amp;CInsurance'!E42</f>
        <v>2.7024999999999997</v>
      </c>
      <c r="E30" s="133">
        <f>'Chem&amp;FertInputs&amp;CInsurance'!AB42</f>
        <v>5</v>
      </c>
      <c r="F30" s="117">
        <f t="shared" si="0"/>
        <v>13.512499999999999</v>
      </c>
      <c r="G30" s="165">
        <f t="shared" si="2"/>
        <v>3.90625E-2</v>
      </c>
    </row>
    <row r="31" spans="1:7" ht="20">
      <c r="A31" s="15"/>
      <c r="B31" s="85" t="str">
        <f>'Chem&amp;FertInputs&amp;CInsurance'!C43</f>
        <v xml:space="preserve">Dimethoate </v>
      </c>
      <c r="C31" s="23" t="str">
        <f>'Chem&amp;FertInputs&amp;CInsurance'!D43</f>
        <v>pint</v>
      </c>
      <c r="D31" s="116">
        <f>'Chem&amp;FertInputs&amp;CInsurance'!E43</f>
        <v>7.1874999999999991</v>
      </c>
      <c r="E31" s="133">
        <f>'Chem&amp;FertInputs&amp;CInsurance'!AB43</f>
        <v>0</v>
      </c>
      <c r="F31" s="117" t="str">
        <f t="shared" si="0"/>
        <v>0</v>
      </c>
      <c r="G31" s="165">
        <f>E31/8</f>
        <v>0</v>
      </c>
    </row>
    <row r="32" spans="1:7" ht="20">
      <c r="A32" s="15"/>
      <c r="B32" s="85" t="str">
        <f>'Chem&amp;FertInputs&amp;CInsurance'!C44</f>
        <v>Clethodim</v>
      </c>
      <c r="C32" s="23" t="str">
        <f>'Chem&amp;FertInputs&amp;CInsurance'!D44</f>
        <v>oz</v>
      </c>
      <c r="D32" s="116">
        <f>'Chem&amp;FertInputs&amp;CInsurance'!E44</f>
        <v>0.75900000000000001</v>
      </c>
      <c r="E32" s="133">
        <f>'Chem&amp;FertInputs&amp;CInsurance'!AB44</f>
        <v>0</v>
      </c>
      <c r="F32" s="117" t="str">
        <f t="shared" ref="F32" si="3">IF(D32*E32=0,"0",D32*E32)</f>
        <v>0</v>
      </c>
      <c r="G32" s="165">
        <f t="shared" ref="G32:G37" si="4">E32/128</f>
        <v>0</v>
      </c>
    </row>
    <row r="33" spans="1:7" ht="20">
      <c r="A33" s="15"/>
      <c r="B33" s="85" t="str">
        <f>'Chem&amp;FertInputs&amp;CInsurance'!C45</f>
        <v>Discover</v>
      </c>
      <c r="C33" s="23" t="str">
        <f>'Chem&amp;FertInputs&amp;CInsurance'!D45</f>
        <v>oz</v>
      </c>
      <c r="D33" s="116">
        <f>'Chem&amp;FertInputs&amp;CInsurance'!E45</f>
        <v>1.6904999999999999</v>
      </c>
      <c r="E33" s="133">
        <f>'Chem&amp;FertInputs&amp;CInsurance'!AB45</f>
        <v>0</v>
      </c>
      <c r="F33" s="117" t="str">
        <f t="shared" si="0"/>
        <v>0</v>
      </c>
      <c r="G33" s="165">
        <f t="shared" si="4"/>
        <v>0</v>
      </c>
    </row>
    <row r="34" spans="1:7" ht="20">
      <c r="A34" s="15"/>
      <c r="B34" s="85" t="str">
        <f>'Chem&amp;FertInputs&amp;CInsurance'!C46</f>
        <v>FarGO</v>
      </c>
      <c r="C34" s="23" t="str">
        <f>'Chem&amp;FertInputs&amp;CInsurance'!D46</f>
        <v>oz</v>
      </c>
      <c r="D34" s="116">
        <f>'Chem&amp;FertInputs&amp;CInsurance'!E46</f>
        <v>19.158999999999999</v>
      </c>
      <c r="E34" s="133">
        <f>'Chem&amp;FertInputs&amp;CInsurance'!AB46</f>
        <v>0</v>
      </c>
      <c r="F34" s="117" t="str">
        <f t="shared" si="0"/>
        <v>0</v>
      </c>
      <c r="G34" s="165">
        <f t="shared" si="4"/>
        <v>0</v>
      </c>
    </row>
    <row r="35" spans="1:7" ht="20">
      <c r="A35" s="15"/>
      <c r="B35" s="85" t="str">
        <f>'Chem&amp;FertInputs&amp;CInsurance'!C47</f>
        <v>Finesse</v>
      </c>
      <c r="C35" s="23" t="str">
        <f>'Chem&amp;FertInputs&amp;CInsurance'!D47</f>
        <v>oz</v>
      </c>
      <c r="D35" s="116">
        <f>'Chem&amp;FertInputs&amp;CInsurance'!E47</f>
        <v>19.940999999999999</v>
      </c>
      <c r="E35" s="133">
        <f>'Chem&amp;FertInputs&amp;CInsurance'!AB47</f>
        <v>0</v>
      </c>
      <c r="F35" s="117" t="str">
        <f t="shared" si="0"/>
        <v>0</v>
      </c>
      <c r="G35" s="165">
        <f t="shared" si="4"/>
        <v>0</v>
      </c>
    </row>
    <row r="36" spans="1:7" ht="20">
      <c r="A36" s="15"/>
      <c r="B36" s="85" t="str">
        <f>'Chem&amp;FertInputs&amp;CInsurance'!C48</f>
        <v>Glyphosate</v>
      </c>
      <c r="C36" s="23" t="str">
        <f>'Chem&amp;FertInputs&amp;CInsurance'!D48</f>
        <v>oz</v>
      </c>
      <c r="D36" s="116">
        <f>'Chem&amp;FertInputs&amp;CInsurance'!E48</f>
        <v>0.14949999999999999</v>
      </c>
      <c r="E36" s="133">
        <f>'Chem&amp;FertInputs&amp;CInsurance'!AB48</f>
        <v>0</v>
      </c>
      <c r="F36" s="117" t="str">
        <f t="shared" si="0"/>
        <v>0</v>
      </c>
      <c r="G36" s="165">
        <f t="shared" si="4"/>
        <v>0</v>
      </c>
    </row>
    <row r="37" spans="1:7" ht="20">
      <c r="A37" s="15"/>
      <c r="B37" s="85" t="str">
        <f>'Chem&amp;FertInputs&amp;CInsurance'!C49</f>
        <v>Huskie</v>
      </c>
      <c r="C37" s="23" t="str">
        <f>'Chem&amp;FertInputs&amp;CInsurance'!D49</f>
        <v>oz</v>
      </c>
      <c r="D37" s="116">
        <f>'Chem&amp;FertInputs&amp;CInsurance'!E49</f>
        <v>0.88549999999999995</v>
      </c>
      <c r="E37" s="133">
        <f>'Chem&amp;FertInputs&amp;CInsurance'!AB49</f>
        <v>0</v>
      </c>
      <c r="F37" s="117" t="str">
        <f t="shared" si="0"/>
        <v>0</v>
      </c>
      <c r="G37" s="165">
        <f t="shared" si="4"/>
        <v>0</v>
      </c>
    </row>
    <row r="38" spans="1:7" ht="20">
      <c r="A38" s="15"/>
      <c r="B38" s="85" t="str">
        <f>'Chem&amp;FertInputs&amp;CInsurance'!C50</f>
        <v>Imidan 70</v>
      </c>
      <c r="C38" s="23" t="str">
        <f>'Chem&amp;FertInputs&amp;CInsurance'!D50</f>
        <v>lb</v>
      </c>
      <c r="D38" s="116">
        <f>'Chem&amp;FertInputs&amp;CInsurance'!E50</f>
        <v>17.295999999999999</v>
      </c>
      <c r="E38" s="133">
        <f>'Chem&amp;FertInputs&amp;CInsurance'!AB50</f>
        <v>0</v>
      </c>
      <c r="F38" s="117" t="str">
        <f t="shared" si="0"/>
        <v>0</v>
      </c>
      <c r="G38" s="165">
        <f>E38/16</f>
        <v>0</v>
      </c>
    </row>
    <row r="39" spans="1:7" ht="20">
      <c r="A39" s="15"/>
      <c r="B39" s="85" t="str">
        <f>'Chem&amp;FertInputs&amp;CInsurance'!C51</f>
        <v xml:space="preserve">Maverick </v>
      </c>
      <c r="C39" s="23" t="str">
        <f>'Chem&amp;FertInputs&amp;CInsurance'!D51</f>
        <v>oz</v>
      </c>
      <c r="D39" s="116">
        <f>'Chem&amp;FertInputs&amp;CInsurance'!E51</f>
        <v>23.885499999999997</v>
      </c>
      <c r="E39" s="133">
        <f>'Chem&amp;FertInputs&amp;CInsurance'!AB51</f>
        <v>0</v>
      </c>
      <c r="F39" s="117" t="str">
        <f t="shared" si="0"/>
        <v>0</v>
      </c>
      <c r="G39" s="165">
        <f t="shared" ref="G39:G51" si="5">E39/128</f>
        <v>0</v>
      </c>
    </row>
    <row r="40" spans="1:7" ht="20">
      <c r="A40" s="15"/>
      <c r="B40" s="85" t="str">
        <f>'Chem&amp;FertInputs&amp;CInsurance'!C52</f>
        <v>Osprey</v>
      </c>
      <c r="C40" s="23" t="str">
        <f>'Chem&amp;FertInputs&amp;CInsurance'!D52</f>
        <v>oz</v>
      </c>
      <c r="D40" s="116">
        <f>'Chem&amp;FertInputs&amp;CInsurance'!E52</f>
        <v>5.0484999999999989</v>
      </c>
      <c r="E40" s="133">
        <f>'Chem&amp;FertInputs&amp;CInsurance'!AB52</f>
        <v>0</v>
      </c>
      <c r="F40" s="117" t="str">
        <f t="shared" si="0"/>
        <v>0</v>
      </c>
      <c r="G40" s="165">
        <f t="shared" si="5"/>
        <v>0</v>
      </c>
    </row>
    <row r="41" spans="1:7" ht="20">
      <c r="A41" s="15"/>
      <c r="B41" s="85" t="str">
        <f>'Chem&amp;FertInputs&amp;CInsurance'!C53</f>
        <v>Poast</v>
      </c>
      <c r="C41" s="23" t="str">
        <f>'Chem&amp;FertInputs&amp;CInsurance'!D53</f>
        <v>oz</v>
      </c>
      <c r="D41" s="116">
        <f>'Chem&amp;FertInputs&amp;CInsurance'!E53</f>
        <v>19.285499999999999</v>
      </c>
      <c r="E41" s="133">
        <f>'Chem&amp;FertInputs&amp;CInsurance'!AB53</f>
        <v>0</v>
      </c>
      <c r="F41" s="117" t="str">
        <f t="shared" ref="F41" si="6">IF(D41*E41=0,"0",D41*E41)</f>
        <v>0</v>
      </c>
      <c r="G41" s="165">
        <f t="shared" si="5"/>
        <v>0</v>
      </c>
    </row>
    <row r="42" spans="1:7" ht="20">
      <c r="A42" s="15"/>
      <c r="B42" s="85" t="str">
        <f>'Chem&amp;FertInputs&amp;CInsurance'!C54</f>
        <v>Power Flex</v>
      </c>
      <c r="C42" s="23" t="str">
        <f>'Chem&amp;FertInputs&amp;CInsurance'!D54</f>
        <v>oz</v>
      </c>
      <c r="D42" s="116">
        <f>'Chem&amp;FertInputs&amp;CInsurance'!E54</f>
        <v>8.9124999999999996</v>
      </c>
      <c r="E42" s="133">
        <f>'Chem&amp;FertInputs&amp;CInsurance'!AB54</f>
        <v>0</v>
      </c>
      <c r="F42" s="117" t="str">
        <f t="shared" si="0"/>
        <v>0</v>
      </c>
      <c r="G42" s="165">
        <f t="shared" si="5"/>
        <v>0</v>
      </c>
    </row>
    <row r="43" spans="1:7" ht="20">
      <c r="A43" s="15"/>
      <c r="B43" s="85" t="str">
        <f>'Chem&amp;FertInputs&amp;CInsurance'!C55</f>
        <v>Priaxor</v>
      </c>
      <c r="C43" s="23" t="str">
        <f>'Chem&amp;FertInputs&amp;CInsurance'!D55</f>
        <v>oz</v>
      </c>
      <c r="D43" s="116">
        <f>'Chem&amp;FertInputs&amp;CInsurance'!E55</f>
        <v>3.4269999999999996</v>
      </c>
      <c r="E43" s="133">
        <f>'Chem&amp;FertInputs&amp;CInsurance'!AB55</f>
        <v>0</v>
      </c>
      <c r="F43" s="117" t="str">
        <f t="shared" si="0"/>
        <v>0</v>
      </c>
      <c r="G43" s="165">
        <f t="shared" si="5"/>
        <v>0</v>
      </c>
    </row>
    <row r="44" spans="1:7" ht="20">
      <c r="A44" s="15"/>
      <c r="B44" s="85" t="str">
        <f>'Chem&amp;FertInputs&amp;CInsurance'!C56</f>
        <v>Prowl</v>
      </c>
      <c r="C44" s="23" t="str">
        <f>'Chem&amp;FertInputs&amp;CInsurance'!D56</f>
        <v>oz</v>
      </c>
      <c r="D44" s="116">
        <f>'Chem&amp;FertInputs&amp;CInsurance'!E56</f>
        <v>0.51749999999999996</v>
      </c>
      <c r="E44" s="133">
        <f>'Chem&amp;FertInputs&amp;CInsurance'!AB56</f>
        <v>0</v>
      </c>
      <c r="F44" s="117" t="str">
        <f t="shared" si="0"/>
        <v>0</v>
      </c>
      <c r="G44" s="165">
        <f t="shared" si="5"/>
        <v>0</v>
      </c>
    </row>
    <row r="45" spans="1:7" ht="20">
      <c r="A45" s="15"/>
      <c r="B45" s="85" t="str">
        <f>'Chem&amp;FertInputs&amp;CInsurance'!C57</f>
        <v>Pursuit</v>
      </c>
      <c r="C45" s="23" t="str">
        <f>'Chem&amp;FertInputs&amp;CInsurance'!D57</f>
        <v>oz</v>
      </c>
      <c r="D45" s="116">
        <f>'Chem&amp;FertInputs&amp;CInsurance'!E57</f>
        <v>4.0594999999999999</v>
      </c>
      <c r="E45" s="133">
        <f>'Chem&amp;FertInputs&amp;CInsurance'!AB57</f>
        <v>0</v>
      </c>
      <c r="F45" s="117" t="str">
        <f t="shared" si="0"/>
        <v>0</v>
      </c>
      <c r="G45" s="165">
        <f t="shared" si="5"/>
        <v>0</v>
      </c>
    </row>
    <row r="46" spans="1:7" ht="20">
      <c r="A46" s="15"/>
      <c r="B46" s="85" t="str">
        <f>'Chem&amp;FertInputs&amp;CInsurance'!C58</f>
        <v xml:space="preserve">Quadris </v>
      </c>
      <c r="C46" s="23" t="str">
        <f>'Chem&amp;FertInputs&amp;CInsurance'!D58</f>
        <v>oz</v>
      </c>
      <c r="D46" s="116">
        <f>'Chem&amp;FertInputs&amp;CInsurance'!E58</f>
        <v>1.127</v>
      </c>
      <c r="E46" s="133">
        <f>'Chem&amp;FertInputs&amp;CInsurance'!AB58</f>
        <v>0</v>
      </c>
      <c r="F46" s="117" t="str">
        <f t="shared" si="0"/>
        <v>0</v>
      </c>
      <c r="G46" s="165">
        <f t="shared" si="5"/>
        <v>0</v>
      </c>
    </row>
    <row r="47" spans="1:7" ht="20">
      <c r="A47" s="15"/>
      <c r="B47" s="85" t="str">
        <f>'Chem&amp;FertInputs&amp;CInsurance'!C59</f>
        <v>Quilt</v>
      </c>
      <c r="C47" s="23" t="str">
        <f>'Chem&amp;FertInputs&amp;CInsurance'!D59</f>
        <v>oz</v>
      </c>
      <c r="D47" s="116">
        <f>'Chem&amp;FertInputs&amp;CInsurance'!E59</f>
        <v>1.4834999999999998</v>
      </c>
      <c r="E47" s="133">
        <f>'Chem&amp;FertInputs&amp;CInsurance'!AB59</f>
        <v>0</v>
      </c>
      <c r="F47" s="117" t="str">
        <f t="shared" si="0"/>
        <v>0</v>
      </c>
      <c r="G47" s="165">
        <f t="shared" si="5"/>
        <v>0</v>
      </c>
    </row>
    <row r="48" spans="1:7" ht="20">
      <c r="A48" s="15"/>
      <c r="B48" s="85" t="str">
        <f>'Chem&amp;FertInputs&amp;CInsurance'!C60</f>
        <v>R11</v>
      </c>
      <c r="C48" s="23" t="str">
        <f>'Chem&amp;FertInputs&amp;CInsurance'!D60</f>
        <v>oz</v>
      </c>
      <c r="D48" s="116">
        <f>'Chem&amp;FertInputs&amp;CInsurance'!E60</f>
        <v>0.26450000000000001</v>
      </c>
      <c r="E48" s="133">
        <f>'Chem&amp;FertInputs&amp;CInsurance'!AB60</f>
        <v>0</v>
      </c>
      <c r="F48" s="117" t="str">
        <f t="shared" si="0"/>
        <v>0</v>
      </c>
      <c r="G48" s="165">
        <f t="shared" si="5"/>
        <v>0</v>
      </c>
    </row>
    <row r="49" spans="1:7" ht="20">
      <c r="A49" s="15"/>
      <c r="B49" s="85" t="str">
        <f>'Chem&amp;FertInputs&amp;CInsurance'!C61</f>
        <v>Starane</v>
      </c>
      <c r="C49" s="23" t="str">
        <f>'Chem&amp;FertInputs&amp;CInsurance'!D61</f>
        <v>oz</v>
      </c>
      <c r="D49" s="116">
        <f>'Chem&amp;FertInputs&amp;CInsurance'!E61</f>
        <v>0.77049999999999996</v>
      </c>
      <c r="E49" s="133">
        <f>'Chem&amp;FertInputs&amp;CInsurance'!AB61</f>
        <v>0</v>
      </c>
      <c r="F49" s="117" t="str">
        <f t="shared" si="0"/>
        <v>0</v>
      </c>
      <c r="G49" s="165">
        <f t="shared" si="5"/>
        <v>0</v>
      </c>
    </row>
    <row r="50" spans="1:7" ht="20">
      <c r="A50" s="15"/>
      <c r="B50" s="85" t="str">
        <f>'Chem&amp;FertInputs&amp;CInsurance'!C62</f>
        <v>Starane + Salvo</v>
      </c>
      <c r="C50" s="23" t="str">
        <f>'Chem&amp;FertInputs&amp;CInsurance'!D62</f>
        <v>oz</v>
      </c>
      <c r="D50" s="116">
        <f>'Chem&amp;FertInputs&amp;CInsurance'!E62</f>
        <v>0.77049999999999996</v>
      </c>
      <c r="E50" s="133">
        <f>'Chem&amp;FertInputs&amp;CInsurance'!AB62</f>
        <v>0</v>
      </c>
      <c r="F50" s="117" t="str">
        <f t="shared" si="0"/>
        <v>0</v>
      </c>
      <c r="G50" s="165">
        <f t="shared" si="5"/>
        <v>0</v>
      </c>
    </row>
    <row r="51" spans="1:7" ht="20">
      <c r="A51" s="15"/>
      <c r="B51" s="85" t="str">
        <f>'Chem&amp;FertInputs&amp;CInsurance'!C63</f>
        <v xml:space="preserve">Starane + Sword </v>
      </c>
      <c r="C51" s="23" t="str">
        <f>'Chem&amp;FertInputs&amp;CInsurance'!D63</f>
        <v>oz</v>
      </c>
      <c r="D51" s="116">
        <f>'Chem&amp;FertInputs&amp;CInsurance'!E63</f>
        <v>0.77049999999999996</v>
      </c>
      <c r="E51" s="133">
        <f>'Chem&amp;FertInputs&amp;CInsurance'!AB63</f>
        <v>0</v>
      </c>
      <c r="F51" s="117" t="str">
        <f t="shared" si="0"/>
        <v>0</v>
      </c>
      <c r="G51" s="165">
        <f t="shared" si="5"/>
        <v>0</v>
      </c>
    </row>
    <row r="52" spans="1:7" ht="20">
      <c r="A52" s="15"/>
      <c r="B52" s="85" t="str">
        <f>'Chem&amp;FertInputs&amp;CInsurance'!C64</f>
        <v xml:space="preserve"> Tilt</v>
      </c>
      <c r="C52" s="23" t="str">
        <f>'Chem&amp;FertInputs&amp;CInsurance'!D64</f>
        <v>oz</v>
      </c>
      <c r="D52" s="116">
        <f>'Chem&amp;FertInputs&amp;CInsurance'!E64</f>
        <v>0.88549999999999995</v>
      </c>
      <c r="E52" s="133">
        <f>'Chem&amp;FertInputs&amp;CInsurance'!AB64</f>
        <v>4</v>
      </c>
      <c r="F52" s="117">
        <f t="shared" ref="F52:F53" si="7">IF(D52*E52=0,"0",D52*E52)</f>
        <v>3.5419999999999998</v>
      </c>
      <c r="G52" s="165">
        <f t="shared" ref="G52:G53" si="8">E52/128</f>
        <v>3.125E-2</v>
      </c>
    </row>
    <row r="53" spans="1:7" ht="20">
      <c r="A53" s="15"/>
      <c r="B53" s="85" t="str">
        <f>'Chem&amp;FertInputs&amp;CInsurance'!C65</f>
        <v xml:space="preserve">Wildcard </v>
      </c>
      <c r="C53" s="23" t="str">
        <f>'Chem&amp;FertInputs&amp;CInsurance'!D65</f>
        <v>oz</v>
      </c>
      <c r="D53" s="116">
        <f>'Chem&amp;FertInputs&amp;CInsurance'!E65</f>
        <v>0.35649999999999998</v>
      </c>
      <c r="E53" s="133">
        <f>'Chem&amp;FertInputs&amp;CInsurance'!AB65</f>
        <v>0</v>
      </c>
      <c r="F53" s="117" t="str">
        <f t="shared" si="7"/>
        <v>0</v>
      </c>
      <c r="G53" s="165">
        <f t="shared" si="8"/>
        <v>0</v>
      </c>
    </row>
    <row r="54" spans="1:7" ht="20">
      <c r="A54" s="15"/>
      <c r="B54" s="85" t="str">
        <f>'Chem&amp;FertInputs&amp;CInsurance'!C66</f>
        <v>Sharpen</v>
      </c>
      <c r="C54" s="23" t="str">
        <f>'Chem&amp;FertInputs&amp;CInsurance'!D66</f>
        <v>oz</v>
      </c>
      <c r="D54" s="116">
        <f>'Chem&amp;FertInputs&amp;CInsurance'!E66</f>
        <v>6.3134999999999994</v>
      </c>
      <c r="E54" s="133">
        <f>'Chem&amp;FertInputs&amp;CInsurance'!AB66</f>
        <v>0</v>
      </c>
      <c r="F54" s="117" t="str">
        <f t="shared" si="0"/>
        <v>0</v>
      </c>
      <c r="G54" s="165">
        <f>E54/128</f>
        <v>0</v>
      </c>
    </row>
    <row r="55" spans="1:7" ht="20">
      <c r="A55" s="15"/>
      <c r="B55" s="85" t="str">
        <f>'Chem&amp;FertInputs&amp;CInsurance'!C67</f>
        <v>Sencor</v>
      </c>
      <c r="C55" s="23" t="str">
        <f>'Chem&amp;FertInputs&amp;CInsurance'!D67</f>
        <v>oz</v>
      </c>
      <c r="D55" s="116">
        <f>'Chem&amp;FertInputs&amp;CInsurance'!E67</f>
        <v>0.45999999999999996</v>
      </c>
      <c r="E55" s="133">
        <f>'Chem&amp;FertInputs&amp;CInsurance'!AB67</f>
        <v>0</v>
      </c>
      <c r="F55" s="117" t="str">
        <f t="shared" si="0"/>
        <v>0</v>
      </c>
      <c r="G55" s="165">
        <f>E55/128</f>
        <v>0</v>
      </c>
    </row>
    <row r="56" spans="1:7" ht="20">
      <c r="A56" s="15"/>
      <c r="B56" s="85" t="str">
        <f>'Chem&amp;FertInputs&amp;CInsurance'!C68</f>
        <v>Warrior</v>
      </c>
      <c r="C56" s="23" t="str">
        <f>'Chem&amp;FertInputs&amp;CInsurance'!D68</f>
        <v>acre</v>
      </c>
      <c r="D56" s="116">
        <f>'Chem&amp;FertInputs&amp;CInsurance'!E68</f>
        <v>3.4499999999999997</v>
      </c>
      <c r="E56" s="133">
        <f>'Chem&amp;FertInputs&amp;CInsurance'!AB68</f>
        <v>0</v>
      </c>
      <c r="F56" s="117" t="str">
        <f t="shared" si="0"/>
        <v>0</v>
      </c>
      <c r="G56" s="165">
        <f>E56/128</f>
        <v>0</v>
      </c>
    </row>
    <row r="57" spans="1:7" ht="20">
      <c r="A57" s="15"/>
      <c r="B57" s="85" t="str">
        <f>'Chem&amp;FertInputs&amp;CInsurance'!C69</f>
        <v xml:space="preserve"> Lorox</v>
      </c>
      <c r="C57" s="23" t="str">
        <f>'Chem&amp;FertInputs&amp;CInsurance'!D69</f>
        <v>lb</v>
      </c>
      <c r="D57" s="116">
        <f>'Chem&amp;FertInputs&amp;CInsurance'!E69</f>
        <v>26.565000000000001</v>
      </c>
      <c r="E57" s="133">
        <f>'Chem&amp;FertInputs&amp;CInsurance'!AB69</f>
        <v>0</v>
      </c>
      <c r="F57" s="117" t="str">
        <f t="shared" si="0"/>
        <v>0</v>
      </c>
      <c r="G57" s="165">
        <f>E57/128</f>
        <v>0</v>
      </c>
    </row>
    <row r="58" spans="1:7" ht="20">
      <c r="A58" s="15"/>
      <c r="B58" s="85" t="str">
        <f>'Chem&amp;FertInputs&amp;CInsurance'!C70</f>
        <v xml:space="preserve"> Valor</v>
      </c>
      <c r="C58" s="23" t="str">
        <f>'Chem&amp;FertInputs&amp;CInsurance'!D70</f>
        <v>oz</v>
      </c>
      <c r="D58" s="116">
        <f>'Chem&amp;FertInputs&amp;CInsurance'!E70</f>
        <v>6.6124999999999998</v>
      </c>
      <c r="E58" s="133">
        <f>'Chem&amp;FertInputs&amp;CInsurance'!AB70</f>
        <v>0</v>
      </c>
      <c r="F58" s="117" t="str">
        <f t="shared" ref="F58:F59" si="9">IF(D58*E58=0,"0",D58*E58)</f>
        <v>0</v>
      </c>
      <c r="G58" s="165">
        <f t="shared" ref="G58:G59" si="10">E58/128</f>
        <v>0</v>
      </c>
    </row>
    <row r="59" spans="1:7" ht="20">
      <c r="A59" s="15"/>
      <c r="B59" s="85" t="str">
        <f>'Chem&amp;FertInputs&amp;CInsurance'!C71</f>
        <v xml:space="preserve"> Diagon</v>
      </c>
      <c r="C59" s="23" t="str">
        <f>'Chem&amp;FertInputs&amp;CInsurance'!D71</f>
        <v>oz</v>
      </c>
      <c r="D59" s="116">
        <f>'Chem&amp;FertInputs&amp;CInsurance'!E71</f>
        <v>0.43699999999999994</v>
      </c>
      <c r="E59" s="133">
        <f>'Chem&amp;FertInputs&amp;CInsurance'!AB71</f>
        <v>0</v>
      </c>
      <c r="F59" s="117" t="str">
        <f t="shared" si="9"/>
        <v>0</v>
      </c>
      <c r="G59" s="165">
        <f t="shared" si="10"/>
        <v>0</v>
      </c>
    </row>
    <row r="60" spans="1:7" ht="20">
      <c r="A60" s="15"/>
      <c r="B60" s="85" t="str">
        <f>'Chem&amp;FertInputs&amp;CInsurance'!C72</f>
        <v xml:space="preserve">Spartan </v>
      </c>
      <c r="C60" s="23" t="str">
        <f>'Chem&amp;FertInputs&amp;CInsurance'!D72</f>
        <v>oz</v>
      </c>
      <c r="D60" s="116">
        <f>'Chem&amp;FertInputs&amp;CInsurance'!E72</f>
        <v>2.0469999999999997</v>
      </c>
      <c r="E60" s="133">
        <f>'Chem&amp;FertInputs&amp;CInsurance'!AB72</f>
        <v>0</v>
      </c>
      <c r="F60" s="117" t="str">
        <f t="shared" si="0"/>
        <v>0</v>
      </c>
      <c r="G60" s="165">
        <f>E60/128</f>
        <v>0</v>
      </c>
    </row>
    <row r="61" spans="1:7" ht="23">
      <c r="A61" s="15"/>
      <c r="B61" s="85" t="str">
        <f>'Chem&amp;FertInputs&amp;CInsurance'!C32</f>
        <v xml:space="preserve">Round Up </v>
      </c>
      <c r="C61" s="23" t="str">
        <f>'Chem&amp;FertInputs&amp;CInsurance'!D32</f>
        <v>oz</v>
      </c>
      <c r="D61" s="116">
        <f>'Chem&amp;FertInputs&amp;CInsurance'!E32</f>
        <v>0.14949999999999999</v>
      </c>
      <c r="E61" s="133">
        <f>'Chem&amp;FertInputs&amp;CInsurance'!AB32</f>
        <v>58</v>
      </c>
      <c r="F61" s="117">
        <f t="shared" si="0"/>
        <v>8.6709999999999994</v>
      </c>
      <c r="G61" s="225">
        <f>E61/128</f>
        <v>0.453125</v>
      </c>
    </row>
    <row r="62" spans="1:7" ht="20">
      <c r="A62" s="15"/>
      <c r="B62" s="139" t="s">
        <v>86</v>
      </c>
      <c r="C62" s="23"/>
      <c r="D62" s="116"/>
      <c r="E62" s="133"/>
      <c r="F62" s="117"/>
      <c r="G62" s="165">
        <f>SUM(G14:G61)</f>
        <v>0.59843749999999996</v>
      </c>
    </row>
    <row r="63" spans="1:7" ht="20">
      <c r="A63" s="15"/>
      <c r="B63" s="125" t="str">
        <f>CustomRates!B5</f>
        <v>Aerial (Custom)</v>
      </c>
      <c r="C63" s="41" t="str">
        <f>CustomRates!C5</f>
        <v>acre</v>
      </c>
      <c r="D63" s="116">
        <f>CustomRates!Z5</f>
        <v>8.9499999999999993</v>
      </c>
      <c r="E63" s="87">
        <f>CustomRates!Z6</f>
        <v>2</v>
      </c>
      <c r="F63" s="117">
        <f t="shared" ref="F63:F70" si="11">IF(D63*E63=0,"0",D63*E63)</f>
        <v>17.899999999999999</v>
      </c>
    </row>
    <row r="64" spans="1:7" ht="20">
      <c r="A64" s="15"/>
      <c r="B64" s="125" t="str">
        <f>CustomRates!B7</f>
        <v>Sprayer (Rental 90')</v>
      </c>
      <c r="C64" s="41" t="str">
        <f>CustomRates!C7</f>
        <v>acre</v>
      </c>
      <c r="D64" s="116">
        <f>CustomRates!Z7</f>
        <v>8</v>
      </c>
      <c r="E64" s="87">
        <f>CustomRates!Z8</f>
        <v>0</v>
      </c>
      <c r="F64" s="117" t="str">
        <f t="shared" si="11"/>
        <v>0</v>
      </c>
    </row>
    <row r="65" spans="1:9" ht="20">
      <c r="A65" s="15"/>
      <c r="B65" s="125" t="str">
        <f>CustomRates!B9</f>
        <v>Fertilizer - Anhydrous Applicator (Rent)</v>
      </c>
      <c r="C65" s="41" t="str">
        <f>CustomRates!C9</f>
        <v>acre</v>
      </c>
      <c r="D65" s="116">
        <f>CustomRates!Z9</f>
        <v>7</v>
      </c>
      <c r="E65" s="87">
        <f>CustomRates!Z10</f>
        <v>0</v>
      </c>
      <c r="F65" s="117" t="str">
        <f t="shared" si="11"/>
        <v>0</v>
      </c>
    </row>
    <row r="66" spans="1:9" ht="20">
      <c r="A66" s="15"/>
      <c r="B66" s="125" t="str">
        <f>CustomRates!B11</f>
        <v>Fertilizer Applicator</v>
      </c>
      <c r="C66" s="41" t="str">
        <f>CustomRates!C11</f>
        <v>acre</v>
      </c>
      <c r="D66" s="116">
        <f>CustomRates!Z11</f>
        <v>22</v>
      </c>
      <c r="E66" s="87">
        <f>CustomRates!Z12</f>
        <v>0</v>
      </c>
      <c r="F66" s="117" t="str">
        <f t="shared" si="11"/>
        <v>0</v>
      </c>
    </row>
    <row r="67" spans="1:9" ht="20">
      <c r="A67" s="15"/>
      <c r="B67" s="125" t="str">
        <f>CustomRates!B13</f>
        <v>26' Rental Shredder</v>
      </c>
      <c r="C67" s="41" t="str">
        <f>CustomRates!C13</f>
        <v>acre</v>
      </c>
      <c r="D67" s="116">
        <f>CustomRates!Z13</f>
        <v>10</v>
      </c>
      <c r="E67" s="87">
        <f>CustomRates!Z14</f>
        <v>0</v>
      </c>
      <c r="F67" s="117" t="str">
        <f t="shared" si="11"/>
        <v>0</v>
      </c>
    </row>
    <row r="68" spans="1:9" ht="20">
      <c r="A68" s="15"/>
      <c r="B68" s="125" t="str">
        <f>CustomRates!B15</f>
        <v>36' Ripper Shooter</v>
      </c>
      <c r="C68" s="41" t="str">
        <f>CustomRates!C15</f>
        <v>acre</v>
      </c>
      <c r="D68" s="116">
        <f>CustomRates!Z15</f>
        <v>2.5</v>
      </c>
      <c r="E68" s="87">
        <f>CustomRates!Z16</f>
        <v>0</v>
      </c>
      <c r="F68" s="117" t="str">
        <f t="shared" si="11"/>
        <v>0</v>
      </c>
    </row>
    <row r="69" spans="1:9" ht="20">
      <c r="A69" s="15"/>
      <c r="B69" s="125" t="str">
        <f>CustomRates!B17</f>
        <v>Custom self-propelled sprayer</v>
      </c>
      <c r="C69" s="41" t="str">
        <f>CustomRates!C17</f>
        <v>acre</v>
      </c>
      <c r="D69" s="116">
        <f>CustomRates!Z17</f>
        <v>8</v>
      </c>
      <c r="E69" s="87">
        <f>CustomRates!Z18</f>
        <v>0</v>
      </c>
      <c r="F69" s="117" t="str">
        <f t="shared" si="11"/>
        <v>0</v>
      </c>
    </row>
    <row r="70" spans="1:9" ht="20">
      <c r="A70" s="15"/>
      <c r="B70" s="125" t="str">
        <f>CustomRates!B19</f>
        <v>Additional Operation #8 (Custom)</v>
      </c>
      <c r="C70" s="41" t="str">
        <f>CustomRates!C19</f>
        <v>acre</v>
      </c>
      <c r="D70" s="116">
        <f>CustomRates!Z19</f>
        <v>0</v>
      </c>
      <c r="E70" s="87">
        <f>CustomRates!Z20</f>
        <v>0</v>
      </c>
      <c r="F70" s="117" t="str">
        <f t="shared" si="11"/>
        <v>0</v>
      </c>
    </row>
    <row r="71" spans="1:9" ht="20">
      <c r="A71" s="15"/>
      <c r="B71" s="139" t="s">
        <v>87</v>
      </c>
      <c r="C71" s="41"/>
      <c r="D71" s="116"/>
      <c r="E71" s="116"/>
      <c r="F71" s="117"/>
      <c r="H71" s="1" t="s">
        <v>204</v>
      </c>
      <c r="I71" s="1" t="s">
        <v>135</v>
      </c>
    </row>
    <row r="72" spans="1:9" ht="20">
      <c r="A72" s="15"/>
      <c r="B72" s="85" t="str">
        <f>MachineAssumptions!B7&amp;" - Labor"</f>
        <v>Shredder - Labor</v>
      </c>
      <c r="C72" s="41" t="s">
        <v>246</v>
      </c>
      <c r="D72" s="116">
        <f>MachineAssumptions!$R$7</f>
        <v>1.4996591683708247</v>
      </c>
      <c r="E72" s="87">
        <f>FieldApplications!$Y$6</f>
        <v>0</v>
      </c>
      <c r="F72" s="117" t="str">
        <f t="shared" ref="F72:F113" si="12">IF(D72*E72=0,"0",D72*E72)</f>
        <v>0</v>
      </c>
      <c r="H72" s="246">
        <f>MachineAssumptions!$R$28*E72</f>
        <v>0</v>
      </c>
      <c r="I72" s="166">
        <f>MachineAssumptions!$R$48*E72</f>
        <v>0</v>
      </c>
    </row>
    <row r="73" spans="1:9" ht="20">
      <c r="A73" s="15"/>
      <c r="B73" s="85" t="str">
        <f>MachineAssumptions!B7&amp;" - Fuel, Lube"</f>
        <v>Shredder - Fuel, Lube</v>
      </c>
      <c r="C73" s="41" t="s">
        <v>246</v>
      </c>
      <c r="D73" s="116">
        <f>MachineAssumptions!$S$7</f>
        <v>5.7486934787548281</v>
      </c>
      <c r="E73" s="87">
        <f>FieldApplications!$Y$6</f>
        <v>0</v>
      </c>
      <c r="F73" s="117" t="str">
        <f t="shared" si="12"/>
        <v>0</v>
      </c>
      <c r="H73" s="246">
        <f>MachineAssumptions!$S$28*E73</f>
        <v>0</v>
      </c>
      <c r="I73" s="166">
        <f>MachineAssumptions!$S$48*E73</f>
        <v>0</v>
      </c>
    </row>
    <row r="74" spans="1:9" ht="20">
      <c r="A74" s="15"/>
      <c r="B74" s="85" t="str">
        <f>MachineAssumptions!B7&amp;" - Repairs"</f>
        <v>Shredder - Repairs</v>
      </c>
      <c r="C74" s="41" t="s">
        <v>246</v>
      </c>
      <c r="D74" s="116">
        <f>MachineAssumptions!$T$7</f>
        <v>0.46726721181997538</v>
      </c>
      <c r="E74" s="87">
        <f>FieldApplications!$Y$6</f>
        <v>0</v>
      </c>
      <c r="F74" s="117" t="str">
        <f t="shared" si="12"/>
        <v>0</v>
      </c>
      <c r="H74" s="246">
        <f>MachineAssumptions!$T$28*E74</f>
        <v>0</v>
      </c>
      <c r="I74" s="166">
        <f>MachineAssumptions!$T$48*E74</f>
        <v>0</v>
      </c>
    </row>
    <row r="75" spans="1:9" ht="20">
      <c r="A75" s="15"/>
      <c r="B75" s="85" t="str">
        <f>MachineAssumptions!B8&amp;" - Labor"</f>
        <v>Harrow - Labor</v>
      </c>
      <c r="C75" s="41" t="s">
        <v>246</v>
      </c>
      <c r="D75" s="116">
        <f>MachineAssumptions!$R$8</f>
        <v>0.59412746734753996</v>
      </c>
      <c r="E75" s="87">
        <f>FieldApplications!$Y$7</f>
        <v>0</v>
      </c>
      <c r="F75" s="117" t="str">
        <f t="shared" si="12"/>
        <v>0</v>
      </c>
      <c r="H75" s="246">
        <f>MachineAssumptions!$R$29*E75</f>
        <v>0</v>
      </c>
      <c r="I75" s="166">
        <f>MachineAssumptions!$R$49*E75</f>
        <v>0</v>
      </c>
    </row>
    <row r="76" spans="1:9" ht="20">
      <c r="A76" s="15"/>
      <c r="B76" s="85" t="str">
        <f>MachineAssumptions!B8&amp;" - Fuel, Lube"</f>
        <v>Harrow - Fuel, Lube</v>
      </c>
      <c r="C76" s="41" t="s">
        <v>246</v>
      </c>
      <c r="D76" s="116">
        <f>MachineAssumptions!$S$8</f>
        <v>2.4845330452715308</v>
      </c>
      <c r="E76" s="87">
        <f>FieldApplications!$Y$7</f>
        <v>0</v>
      </c>
      <c r="F76" s="117" t="str">
        <f t="shared" si="12"/>
        <v>0</v>
      </c>
      <c r="H76" s="246">
        <f>MachineAssumptions!$S$29*E76</f>
        <v>0</v>
      </c>
      <c r="I76" s="166">
        <f>MachineAssumptions!$S$49*E76</f>
        <v>0</v>
      </c>
    </row>
    <row r="77" spans="1:9" ht="20">
      <c r="A77" s="15"/>
      <c r="B77" s="85" t="str">
        <f>MachineAssumptions!B8&amp;" - Repairs"</f>
        <v>Harrow - Repairs</v>
      </c>
      <c r="C77" s="41" t="s">
        <v>246</v>
      </c>
      <c r="D77" s="116">
        <f>MachineAssumptions!$T$8</f>
        <v>0.14755184964846621</v>
      </c>
      <c r="E77" s="87">
        <f>FieldApplications!$Y$7</f>
        <v>0</v>
      </c>
      <c r="F77" s="117" t="str">
        <f t="shared" si="12"/>
        <v>0</v>
      </c>
      <c r="H77" s="246">
        <f>MachineAssumptions!$T$29*E77</f>
        <v>0</v>
      </c>
      <c r="I77" s="166">
        <f>MachineAssumptions!$T$49*E77</f>
        <v>0</v>
      </c>
    </row>
    <row r="78" spans="1:9" ht="20">
      <c r="A78" s="15"/>
      <c r="B78" s="85" t="str">
        <f>MachineAssumptions!B9&amp;" - Labor"</f>
        <v>Chisel plow - Labor</v>
      </c>
      <c r="C78" s="41" t="s">
        <v>246</v>
      </c>
      <c r="D78" s="116">
        <f>MachineAssumptions!$R$9</f>
        <v>0</v>
      </c>
      <c r="E78" s="87">
        <f>FieldApplications!$Y$8</f>
        <v>0</v>
      </c>
      <c r="F78" s="117" t="str">
        <f t="shared" si="12"/>
        <v>0</v>
      </c>
      <c r="H78" s="246">
        <f>MachineAssumptions!$R$30*E78</f>
        <v>0</v>
      </c>
      <c r="I78" s="166">
        <f>MachineAssumptions!$R$50*E78</f>
        <v>0</v>
      </c>
    </row>
    <row r="79" spans="1:9" ht="20">
      <c r="A79" s="15"/>
      <c r="B79" s="85" t="str">
        <f>MachineAssumptions!B9&amp;" - Fuel, Lube"</f>
        <v>Chisel plow - Fuel, Lube</v>
      </c>
      <c r="C79" s="41" t="s">
        <v>246</v>
      </c>
      <c r="D79" s="116">
        <f>MachineAssumptions!$S$9</f>
        <v>0</v>
      </c>
      <c r="E79" s="87">
        <f>FieldApplications!$Y$8</f>
        <v>0</v>
      </c>
      <c r="F79" s="117" t="str">
        <f t="shared" si="12"/>
        <v>0</v>
      </c>
      <c r="H79" s="246">
        <f>MachineAssumptions!$R$30*E79</f>
        <v>0</v>
      </c>
      <c r="I79" s="166">
        <f>MachineAssumptions!$S$50*E79</f>
        <v>0</v>
      </c>
    </row>
    <row r="80" spans="1:9" ht="20">
      <c r="A80" s="15"/>
      <c r="B80" s="85" t="str">
        <f>MachineAssumptions!B9&amp;" - Repairs"</f>
        <v>Chisel plow - Repairs</v>
      </c>
      <c r="C80" s="41" t="s">
        <v>246</v>
      </c>
      <c r="D80" s="116">
        <f>MachineAssumptions!$T$9</f>
        <v>0</v>
      </c>
      <c r="E80" s="87">
        <f>FieldApplications!$Y$8</f>
        <v>0</v>
      </c>
      <c r="F80" s="117" t="str">
        <f t="shared" si="12"/>
        <v>0</v>
      </c>
      <c r="H80" s="246">
        <f>MachineAssumptions!$T$30*E80</f>
        <v>0</v>
      </c>
      <c r="I80" s="166">
        <f>MachineAssumptions!$T$50*E80</f>
        <v>0</v>
      </c>
    </row>
    <row r="81" spans="1:9" ht="20">
      <c r="A81" s="15"/>
      <c r="B81" s="85" t="str">
        <f>MachineAssumptions!B10&amp;" - Labor"</f>
        <v>Moldboard plow - Labor</v>
      </c>
      <c r="C81" s="41" t="s">
        <v>246</v>
      </c>
      <c r="D81" s="116">
        <f>MachineAssumptions!$R$10</f>
        <v>0</v>
      </c>
      <c r="E81" s="87">
        <f>FieldApplications!$Y$9</f>
        <v>0</v>
      </c>
      <c r="F81" s="117" t="str">
        <f t="shared" si="12"/>
        <v>0</v>
      </c>
      <c r="H81" s="246">
        <f>MachineAssumptions!$R$31*E81</f>
        <v>0</v>
      </c>
      <c r="I81" s="166">
        <f>MachineAssumptions!$R$51*E81</f>
        <v>0</v>
      </c>
    </row>
    <row r="82" spans="1:9" ht="20">
      <c r="A82" s="15"/>
      <c r="B82" s="85" t="str">
        <f>MachineAssumptions!B10&amp;" - Fuel, Lube"</f>
        <v>Moldboard plow - Fuel, Lube</v>
      </c>
      <c r="C82" s="41" t="s">
        <v>246</v>
      </c>
      <c r="D82" s="116">
        <f>MachineAssumptions!$S$10</f>
        <v>0</v>
      </c>
      <c r="E82" s="87">
        <f>FieldApplications!$Y$9</f>
        <v>0</v>
      </c>
      <c r="F82" s="117" t="str">
        <f t="shared" si="12"/>
        <v>0</v>
      </c>
      <c r="H82" s="246">
        <f>MachineAssumptions!$S$31*E82</f>
        <v>0</v>
      </c>
      <c r="I82" s="166">
        <f>MachineAssumptions!$S$51*E82</f>
        <v>0</v>
      </c>
    </row>
    <row r="83" spans="1:9" ht="20">
      <c r="A83" s="15"/>
      <c r="B83" s="85" t="str">
        <f>MachineAssumptions!B10&amp;" - Repairs"</f>
        <v>Moldboard plow - Repairs</v>
      </c>
      <c r="C83" s="41" t="s">
        <v>246</v>
      </c>
      <c r="D83" s="116">
        <f>MachineAssumptions!$T$10</f>
        <v>0</v>
      </c>
      <c r="E83" s="87">
        <f>FieldApplications!$Y$9</f>
        <v>0</v>
      </c>
      <c r="F83" s="117" t="str">
        <f t="shared" si="12"/>
        <v>0</v>
      </c>
      <c r="H83" s="246">
        <f>MachineAssumptions!$T$31*E83</f>
        <v>0</v>
      </c>
      <c r="I83" s="166">
        <f>MachineAssumptions!$T$51*E83</f>
        <v>0</v>
      </c>
    </row>
    <row r="84" spans="1:9" ht="20">
      <c r="A84" s="15"/>
      <c r="B84" s="85" t="str">
        <f>MachineAssumptions!B11&amp;" - Labor"</f>
        <v>Cultivator - Labor</v>
      </c>
      <c r="C84" s="41" t="s">
        <v>246</v>
      </c>
      <c r="D84" s="116">
        <f>MachineAssumptions!$R$11</f>
        <v>0</v>
      </c>
      <c r="E84" s="87">
        <f>FieldApplications!$Y$10</f>
        <v>0</v>
      </c>
      <c r="F84" s="117" t="str">
        <f t="shared" si="12"/>
        <v>0</v>
      </c>
      <c r="H84" s="246">
        <f>MachineAssumptions!$R$32*E84</f>
        <v>0</v>
      </c>
      <c r="I84" s="166">
        <f>MachineAssumptions!$R$52*E84</f>
        <v>0</v>
      </c>
    </row>
    <row r="85" spans="1:9" ht="20">
      <c r="A85" s="15"/>
      <c r="B85" s="85" t="str">
        <f>MachineAssumptions!B11&amp;" - Fuel, Lube"</f>
        <v>Cultivator - Fuel, Lube</v>
      </c>
      <c r="C85" s="41" t="s">
        <v>246</v>
      </c>
      <c r="D85" s="116">
        <f>MachineAssumptions!$S$11</f>
        <v>0</v>
      </c>
      <c r="E85" s="87">
        <f>FieldApplications!$Y$10</f>
        <v>0</v>
      </c>
      <c r="F85" s="117" t="str">
        <f t="shared" si="12"/>
        <v>0</v>
      </c>
      <c r="H85" s="246">
        <f>MachineAssumptions!$S$32*E85</f>
        <v>0</v>
      </c>
      <c r="I85" s="166">
        <f>MachineAssumptions!$S$52*E85</f>
        <v>0</v>
      </c>
    </row>
    <row r="86" spans="1:9" ht="20">
      <c r="A86" s="15"/>
      <c r="B86" s="85" t="str">
        <f>MachineAssumptions!B11&amp;" - Repairs"</f>
        <v>Cultivator - Repairs</v>
      </c>
      <c r="C86" s="41" t="s">
        <v>246</v>
      </c>
      <c r="D86" s="116">
        <f>MachineAssumptions!$T$11</f>
        <v>0</v>
      </c>
      <c r="E86" s="87">
        <f>FieldApplications!$Y$10</f>
        <v>0</v>
      </c>
      <c r="F86" s="117" t="str">
        <f t="shared" si="12"/>
        <v>0</v>
      </c>
      <c r="H86" s="246">
        <f>MachineAssumptions!$T$32*E86</f>
        <v>0</v>
      </c>
      <c r="I86" s="166">
        <f>MachineAssumptions!$T$52*E86</f>
        <v>0</v>
      </c>
    </row>
    <row r="87" spans="1:9" ht="20">
      <c r="A87" s="15"/>
      <c r="B87" s="85" t="str">
        <f>MachineAssumptions!B12&amp;" - Labor"</f>
        <v>Cultiweeder - Labor</v>
      </c>
      <c r="C87" s="41" t="s">
        <v>246</v>
      </c>
      <c r="D87" s="116">
        <f>MachineAssumptions!$R$12</f>
        <v>0</v>
      </c>
      <c r="E87" s="87">
        <f>FieldApplications!$Y$11</f>
        <v>0</v>
      </c>
      <c r="F87" s="117" t="str">
        <f t="shared" si="12"/>
        <v>0</v>
      </c>
      <c r="H87" s="246">
        <f>MachineAssumptions!$R$33*E87</f>
        <v>0</v>
      </c>
      <c r="I87" s="166">
        <f>MachineAssumptions!$R$53*E87</f>
        <v>0</v>
      </c>
    </row>
    <row r="88" spans="1:9" ht="20">
      <c r="A88" s="15"/>
      <c r="B88" s="85" t="str">
        <f>MachineAssumptions!B12&amp;" - Fuel, Lube"</f>
        <v>Cultiweeder - Fuel, Lube</v>
      </c>
      <c r="C88" s="41" t="s">
        <v>246</v>
      </c>
      <c r="D88" s="116">
        <f>MachineAssumptions!$S$12</f>
        <v>0</v>
      </c>
      <c r="E88" s="87">
        <f>FieldApplications!$Y$11</f>
        <v>0</v>
      </c>
      <c r="F88" s="117" t="str">
        <f t="shared" si="12"/>
        <v>0</v>
      </c>
      <c r="H88" s="246">
        <f>MachineAssumptions!$S$33*E88</f>
        <v>0</v>
      </c>
      <c r="I88" s="166">
        <f>MachineAssumptions!$S$53*E88</f>
        <v>0</v>
      </c>
    </row>
    <row r="89" spans="1:9" ht="20">
      <c r="A89" s="15"/>
      <c r="B89" s="85" t="str">
        <f>MachineAssumptions!B12&amp;" - Repairs"</f>
        <v>Cultiweeder - Repairs</v>
      </c>
      <c r="C89" s="41" t="s">
        <v>246</v>
      </c>
      <c r="D89" s="116">
        <f>MachineAssumptions!$T$12</f>
        <v>0</v>
      </c>
      <c r="E89" s="87">
        <f>FieldApplications!$Y$11</f>
        <v>0</v>
      </c>
      <c r="F89" s="117" t="str">
        <f t="shared" si="12"/>
        <v>0</v>
      </c>
      <c r="H89" s="246">
        <f>MachineAssumptions!$T$33*E89</f>
        <v>0</v>
      </c>
      <c r="I89" s="166">
        <f>MachineAssumptions!$T$53*E89</f>
        <v>0</v>
      </c>
    </row>
    <row r="90" spans="1:9" ht="20">
      <c r="A90" s="15"/>
      <c r="B90" s="85" t="str">
        <f>MachineAssumptions!B13&amp;" - Labor"</f>
        <v>Drill - Labor</v>
      </c>
      <c r="C90" s="41" t="s">
        <v>246</v>
      </c>
      <c r="D90" s="116">
        <f>MachineAssumptions!$R$13</f>
        <v>1.6703109815354713</v>
      </c>
      <c r="E90" s="87">
        <f>FieldApplications!$Y$12</f>
        <v>1</v>
      </c>
      <c r="F90" s="117">
        <f t="shared" si="12"/>
        <v>1.6703109815354713</v>
      </c>
      <c r="H90" s="246">
        <f>MachineAssumptions!$R$34*E90</f>
        <v>1.6703109815354713</v>
      </c>
      <c r="I90" s="166">
        <f>MachineAssumptions!$R$54*E90</f>
        <v>1.6703109815354713</v>
      </c>
    </row>
    <row r="91" spans="1:9" ht="20">
      <c r="A91" s="15"/>
      <c r="B91" s="85" t="str">
        <f>MachineAssumptions!B13&amp;" - Fuel, Lube"</f>
        <v>Drill - Fuel, Lube</v>
      </c>
      <c r="C91" s="41" t="s">
        <v>246</v>
      </c>
      <c r="D91" s="116">
        <f>MachineAssumptions!$S$13</f>
        <v>6.146744412050535</v>
      </c>
      <c r="E91" s="87">
        <f>FieldApplications!$Y$12</f>
        <v>1</v>
      </c>
      <c r="F91" s="117">
        <f t="shared" si="12"/>
        <v>6.146744412050535</v>
      </c>
      <c r="H91" s="246">
        <f>MachineAssumptions!$S$34*E91</f>
        <v>6.146744412050535</v>
      </c>
      <c r="I91" s="166">
        <f>MachineAssumptions!$S$54*E91</f>
        <v>6.146744412050535</v>
      </c>
    </row>
    <row r="92" spans="1:9" ht="20">
      <c r="A92" s="15"/>
      <c r="B92" s="85" t="str">
        <f>MachineAssumptions!B13&amp;" - Repairs"</f>
        <v>Drill - Repairs</v>
      </c>
      <c r="C92" s="41" t="s">
        <v>246</v>
      </c>
      <c r="D92" s="116">
        <f>MachineAssumptions!$T$13</f>
        <v>5.740409656342587</v>
      </c>
      <c r="E92" s="87">
        <f>FieldApplications!$Y$12</f>
        <v>1</v>
      </c>
      <c r="F92" s="117">
        <f t="shared" si="12"/>
        <v>5.740409656342587</v>
      </c>
      <c r="H92" s="246">
        <f>MachineAssumptions!$T$34*E92</f>
        <v>5.740409656342587</v>
      </c>
      <c r="I92" s="166">
        <f>MachineAssumptions!$T$54*E92</f>
        <v>5.740409656342587</v>
      </c>
    </row>
    <row r="93" spans="1:9" ht="20">
      <c r="A93" s="15"/>
      <c r="B93" s="85" t="str">
        <f>MachineAssumptions!B14&amp;" - Labor"</f>
        <v>Combine w/ 36' header - Labor</v>
      </c>
      <c r="C93" s="41" t="s">
        <v>246</v>
      </c>
      <c r="D93" s="116">
        <f>MachineAssumptions!$R$14</f>
        <v>1.9161092530657748</v>
      </c>
      <c r="E93" s="87">
        <f>FieldApplications!$Y$13</f>
        <v>1</v>
      </c>
      <c r="F93" s="117">
        <f t="shared" si="12"/>
        <v>1.9161092530657748</v>
      </c>
      <c r="H93" s="246">
        <f>MachineAssumptions!$R$35*E93</f>
        <v>1.9161092530657748</v>
      </c>
      <c r="I93" s="166">
        <f>MachineAssumptions!$R$55*E93</f>
        <v>1.9161092530657748</v>
      </c>
    </row>
    <row r="94" spans="1:9" ht="20">
      <c r="A94" s="15"/>
      <c r="B94" s="85" t="str">
        <f>MachineAssumptions!B14&amp;" - Fuel, Lube"</f>
        <v>Combine w/ 36' header - Fuel, Lube</v>
      </c>
      <c r="C94" s="41" t="s">
        <v>246</v>
      </c>
      <c r="D94" s="116">
        <f>MachineAssumptions!$S$14</f>
        <v>7.0512820512820511</v>
      </c>
      <c r="E94" s="87">
        <f>FieldApplications!$Y$13</f>
        <v>1</v>
      </c>
      <c r="F94" s="117">
        <f t="shared" si="12"/>
        <v>7.0512820512820511</v>
      </c>
      <c r="H94" s="246">
        <f>MachineAssumptions!$S$35*E94</f>
        <v>7.0512820512820511</v>
      </c>
      <c r="I94" s="166">
        <f>MachineAssumptions!$S$55*E94</f>
        <v>7.0512820512820511</v>
      </c>
    </row>
    <row r="95" spans="1:9" ht="20">
      <c r="A95" s="15"/>
      <c r="B95" s="85" t="str">
        <f>MachineAssumptions!B14&amp;" - Repairs"</f>
        <v>Combine w/ 36' header - Repairs</v>
      </c>
      <c r="C95" s="41" t="s">
        <v>246</v>
      </c>
      <c r="D95" s="116">
        <f>MachineAssumptions!$T$14</f>
        <v>6.4258281801385913</v>
      </c>
      <c r="E95" s="87">
        <f>FieldApplications!$Y$13</f>
        <v>1</v>
      </c>
      <c r="F95" s="117">
        <f t="shared" si="12"/>
        <v>6.4258281801385913</v>
      </c>
      <c r="H95" s="246">
        <f>MachineAssumptions!$T$35*E95</f>
        <v>6.4258281801385913</v>
      </c>
      <c r="I95" s="166">
        <f>MachineAssumptions!$T$55*E95</f>
        <v>4.0416300769413871</v>
      </c>
    </row>
    <row r="96" spans="1:9" ht="20">
      <c r="A96" s="15"/>
      <c r="B96" s="85" t="str">
        <f>MachineAssumptions!B16&amp;" - Labor"</f>
        <v>Fertilizer Spreader - Labor</v>
      </c>
      <c r="C96" s="41" t="s">
        <v>246</v>
      </c>
      <c r="D96" s="116">
        <f>MachineAssumptions!$R$16</f>
        <v>0</v>
      </c>
      <c r="E96" s="87">
        <f>FieldApplications!$Y$14</f>
        <v>0</v>
      </c>
      <c r="F96" s="117" t="str">
        <f t="shared" si="12"/>
        <v>0</v>
      </c>
      <c r="H96" s="246">
        <f>MachineAssumptions!$R$36*E96</f>
        <v>0</v>
      </c>
      <c r="I96" s="166">
        <f>MachineAssumptions!$R$56*E96</f>
        <v>0</v>
      </c>
    </row>
    <row r="97" spans="1:9" ht="20">
      <c r="A97" s="15"/>
      <c r="B97" s="85" t="str">
        <f>MachineAssumptions!B16&amp;" - Fuel, Lube"</f>
        <v>Fertilizer Spreader - Fuel, Lube</v>
      </c>
      <c r="C97" s="41" t="s">
        <v>246</v>
      </c>
      <c r="D97" s="116">
        <f>MachineAssumptions!$S$16</f>
        <v>0</v>
      </c>
      <c r="E97" s="87">
        <f>FieldApplications!$Y$14</f>
        <v>0</v>
      </c>
      <c r="F97" s="117" t="str">
        <f t="shared" si="12"/>
        <v>0</v>
      </c>
      <c r="H97" s="246">
        <f>MachineAssumptions!$S$36*E97</f>
        <v>0</v>
      </c>
      <c r="I97" s="166">
        <f>MachineAssumptions!$S$56*E97</f>
        <v>0</v>
      </c>
    </row>
    <row r="98" spans="1:9" ht="20">
      <c r="A98" s="15"/>
      <c r="B98" s="85" t="str">
        <f>MachineAssumptions!B16&amp;" - Repairs"</f>
        <v>Fertilizer Spreader - Repairs</v>
      </c>
      <c r="C98" s="41" t="s">
        <v>246</v>
      </c>
      <c r="D98" s="116">
        <f>MachineAssumptions!$T$16</f>
        <v>0</v>
      </c>
      <c r="E98" s="87">
        <f>FieldApplications!$Y$14</f>
        <v>0</v>
      </c>
      <c r="F98" s="117" t="str">
        <f t="shared" si="12"/>
        <v>0</v>
      </c>
      <c r="H98" s="246">
        <f>MachineAssumptions!$T$36*E98</f>
        <v>0</v>
      </c>
      <c r="I98" s="166">
        <f>MachineAssumptions!$T$56*E98</f>
        <v>0</v>
      </c>
    </row>
    <row r="99" spans="1:9" ht="20">
      <c r="A99" s="15"/>
      <c r="B99" s="85" t="str">
        <f>MachineAssumptions!B17&amp;" - Labor"</f>
        <v>Fertilizer tanks and pump - Labor</v>
      </c>
      <c r="C99" s="41" t="s">
        <v>246</v>
      </c>
      <c r="D99" s="116">
        <f>MachineAssumptions!$R$17</f>
        <v>2.2448979591836737</v>
      </c>
      <c r="E99" s="87">
        <f>FieldApplications!$Y$15</f>
        <v>1</v>
      </c>
      <c r="F99" s="117">
        <f t="shared" si="12"/>
        <v>2.2448979591836737</v>
      </c>
      <c r="H99" s="246">
        <f>MachineAssumptions!$R$37*E99</f>
        <v>2.2448979591836737</v>
      </c>
      <c r="I99" s="166">
        <f>MachineAssumptions!$R$57*E99</f>
        <v>2.2448979591836737</v>
      </c>
    </row>
    <row r="100" spans="1:9" ht="20">
      <c r="A100" s="15"/>
      <c r="B100" s="85" t="str">
        <f>MachineAssumptions!B17&amp;" - Fuel, Lube"</f>
        <v>Fertilizer tanks and pump - Fuel, Lube</v>
      </c>
      <c r="C100" s="41" t="s">
        <v>246</v>
      </c>
      <c r="D100" s="116">
        <f>MachineAssumptions!$S$17</f>
        <v>9.387755102040817</v>
      </c>
      <c r="E100" s="87">
        <f>FieldApplications!$Y$15</f>
        <v>1</v>
      </c>
      <c r="F100" s="117">
        <f t="shared" si="12"/>
        <v>9.387755102040817</v>
      </c>
      <c r="H100" s="246">
        <f>MachineAssumptions!$S$37*E100</f>
        <v>9.387755102040817</v>
      </c>
      <c r="I100" s="166">
        <f>MachineAssumptions!$S$57*E100</f>
        <v>9.387755102040817</v>
      </c>
    </row>
    <row r="101" spans="1:9" ht="20">
      <c r="A101" s="15"/>
      <c r="B101" s="85" t="str">
        <f>MachineAssumptions!B17&amp;" - Repairs"</f>
        <v>Fertilizer tanks and pump - Repairs</v>
      </c>
      <c r="C101" s="41" t="s">
        <v>246</v>
      </c>
      <c r="D101" s="116">
        <f>MachineAssumptions!$T$17</f>
        <v>0</v>
      </c>
      <c r="E101" s="87">
        <f>FieldApplications!$Y$15</f>
        <v>1</v>
      </c>
      <c r="F101" s="117" t="str">
        <f t="shared" si="12"/>
        <v>0</v>
      </c>
      <c r="H101" s="246">
        <f>MachineAssumptions!$T$37*E101</f>
        <v>0</v>
      </c>
      <c r="I101" s="166">
        <f>MachineAssumptions!$T$57*E101</f>
        <v>0</v>
      </c>
    </row>
    <row r="102" spans="1:9" ht="20">
      <c r="A102" s="15"/>
      <c r="B102" s="85" t="str">
        <f>MachineAssumptions!B18&amp;" - Labor"</f>
        <v>Boom sprayer - Labor</v>
      </c>
      <c r="C102" s="41" t="s">
        <v>246</v>
      </c>
      <c r="D102" s="116">
        <f>MachineAssumptions!$R$18</f>
        <v>0.4708120318630365</v>
      </c>
      <c r="E102" s="87">
        <f>FieldApplications!$Y$16</f>
        <v>3</v>
      </c>
      <c r="F102" s="117">
        <f t="shared" si="12"/>
        <v>1.4124360955891095</v>
      </c>
      <c r="H102" s="246">
        <f>MachineAssumptions!$R$38*E102</f>
        <v>1.4124360955891095</v>
      </c>
      <c r="I102" s="166">
        <f>MachineAssumptions!$R$58*E102</f>
        <v>1.4124360955891095</v>
      </c>
    </row>
    <row r="103" spans="1:9" ht="20">
      <c r="A103" s="15"/>
      <c r="B103" s="85" t="str">
        <f>MachineAssumptions!B18&amp;" - Fuel, Lube"</f>
        <v>Boom sprayer - Fuel, Lube</v>
      </c>
      <c r="C103" s="41" t="s">
        <v>246</v>
      </c>
      <c r="D103" s="116">
        <f>MachineAssumptions!$S$18</f>
        <v>1.8047794554749732</v>
      </c>
      <c r="E103" s="87">
        <f>FieldApplications!$Y$16</f>
        <v>3</v>
      </c>
      <c r="F103" s="117">
        <f t="shared" si="12"/>
        <v>5.4143383664249196</v>
      </c>
      <c r="H103" s="246">
        <f>MachineAssumptions!$S$38*E103</f>
        <v>5.4143383664249196</v>
      </c>
      <c r="I103" s="166">
        <f>MachineAssumptions!$S$58*E103</f>
        <v>5.4143383664249196</v>
      </c>
    </row>
    <row r="104" spans="1:9" ht="20">
      <c r="A104" s="15"/>
      <c r="B104" s="85" t="str">
        <f>MachineAssumptions!B18&amp;" - Repairs"</f>
        <v>Boom sprayer - Repairs</v>
      </c>
      <c r="C104" s="41" t="s">
        <v>246</v>
      </c>
      <c r="D104" s="116">
        <f>MachineAssumptions!$T$18</f>
        <v>0.49795949063219769</v>
      </c>
      <c r="E104" s="87">
        <f>FieldApplications!$Y$16</f>
        <v>3</v>
      </c>
      <c r="F104" s="117">
        <f t="shared" si="12"/>
        <v>1.493878471896593</v>
      </c>
      <c r="H104" s="246">
        <f>MachineAssumptions!$T$38*E104</f>
        <v>1.5084005569154613</v>
      </c>
      <c r="I104" s="166">
        <f>MachineAssumptions!$T$58*E104</f>
        <v>1.3532484858048683</v>
      </c>
    </row>
    <row r="105" spans="1:9" ht="20">
      <c r="A105" s="15"/>
      <c r="B105" s="85" t="str">
        <f>MachineAssumptions!B15&amp;" - Labor"</f>
        <v>Bankout Wagon - Labor</v>
      </c>
      <c r="C105" s="41" t="s">
        <v>246</v>
      </c>
      <c r="D105" s="116">
        <f>MachineAssumptions!$R$15</f>
        <v>1.6861761426978819</v>
      </c>
      <c r="E105" s="87">
        <f t="shared" ref="E105:E113" si="13">IF($E$93&gt;0,1,0)</f>
        <v>1</v>
      </c>
      <c r="F105" s="117">
        <f t="shared" si="12"/>
        <v>1.6861761426978819</v>
      </c>
      <c r="H105" s="246">
        <f>MachineAssumptions!$R$39*E105</f>
        <v>1.6861761426978819</v>
      </c>
      <c r="I105" s="166">
        <f>MachineAssumptions!$R$59*E105</f>
        <v>1.6861761426978819</v>
      </c>
    </row>
    <row r="106" spans="1:9" ht="20">
      <c r="A106" s="15"/>
      <c r="B106" s="85" t="str">
        <f>MachineAssumptions!B15&amp;" - Fuel, Lube"</f>
        <v>Bankout Wagon - Fuel, Lube</v>
      </c>
      <c r="C106" s="41" t="s">
        <v>246</v>
      </c>
      <c r="D106" s="116">
        <f>MachineAssumptions!$S$15</f>
        <v>7.0512820512820511</v>
      </c>
      <c r="E106" s="87">
        <f t="shared" si="13"/>
        <v>1</v>
      </c>
      <c r="F106" s="117">
        <f t="shared" si="12"/>
        <v>7.0512820512820511</v>
      </c>
      <c r="H106" s="246">
        <f>MachineAssumptions!$S$39*E106</f>
        <v>7.0512820512820511</v>
      </c>
      <c r="I106" s="166">
        <f>MachineAssumptions!$S$59*E106</f>
        <v>7.0512820512820511</v>
      </c>
    </row>
    <row r="107" spans="1:9" ht="20">
      <c r="A107" s="15"/>
      <c r="B107" s="85" t="str">
        <f>MachineAssumptions!B15&amp;" - Repairs"</f>
        <v>Bankout Wagon - Repairs</v>
      </c>
      <c r="C107" s="41" t="s">
        <v>246</v>
      </c>
      <c r="D107" s="116">
        <f>MachineAssumptions!$T$15</f>
        <v>0.5058930256896228</v>
      </c>
      <c r="E107" s="87">
        <f t="shared" si="13"/>
        <v>1</v>
      </c>
      <c r="F107" s="117">
        <f t="shared" si="12"/>
        <v>0.5058930256896228</v>
      </c>
      <c r="H107" s="246">
        <f>MachineAssumptions!$T$39*E107</f>
        <v>0.5058930256896228</v>
      </c>
      <c r="I107" s="166">
        <f>MachineAssumptions!$T$59*E107</f>
        <v>0.43525361955195507</v>
      </c>
    </row>
    <row r="108" spans="1:9" ht="20">
      <c r="A108" s="15"/>
      <c r="B108" s="85" t="str">
        <f>MachineAssumptions!B19&amp;" - Labor"</f>
        <v>Tandem Axle Truck  - Labor</v>
      </c>
      <c r="C108" s="41" t="s">
        <v>246</v>
      </c>
      <c r="D108" s="116">
        <f>MachineAssumptions!$R$19</f>
        <v>3.6</v>
      </c>
      <c r="E108" s="87">
        <f t="shared" si="13"/>
        <v>1</v>
      </c>
      <c r="F108" s="117">
        <f t="shared" si="12"/>
        <v>3.6</v>
      </c>
      <c r="H108" s="246">
        <f>MachineAssumptions!$R$40*E108</f>
        <v>3.6</v>
      </c>
      <c r="I108" s="166">
        <f>MachineAssumptions!$R$60*E108</f>
        <v>3.6</v>
      </c>
    </row>
    <row r="109" spans="1:9" ht="20">
      <c r="A109" s="15"/>
      <c r="B109" s="85" t="str">
        <f>MachineAssumptions!B19&amp;" - Fuel, Lube"</f>
        <v>Tandem Axle Truck  - Fuel, Lube</v>
      </c>
      <c r="C109" s="41" t="s">
        <v>246</v>
      </c>
      <c r="D109" s="116">
        <f>MachineAssumptions!$S$19</f>
        <v>1.1499999999999999</v>
      </c>
      <c r="E109" s="87">
        <f t="shared" si="13"/>
        <v>1</v>
      </c>
      <c r="F109" s="117">
        <f t="shared" si="12"/>
        <v>1.1499999999999999</v>
      </c>
      <c r="H109" s="246">
        <f>MachineAssumptions!$S$40*E109</f>
        <v>1.1499999999999999</v>
      </c>
      <c r="I109" s="166">
        <f>MachineAssumptions!$S$60*E109</f>
        <v>1.1499999999999999</v>
      </c>
    </row>
    <row r="110" spans="1:9" ht="20">
      <c r="A110" s="15"/>
      <c r="B110" s="85" t="str">
        <f>MachineAssumptions!B19&amp;" - Repairs"</f>
        <v>Tandem Axle Truck  - Repairs</v>
      </c>
      <c r="C110" s="41" t="s">
        <v>246</v>
      </c>
      <c r="D110" s="116">
        <f>MachineAssumptions!$T$19</f>
        <v>0.8</v>
      </c>
      <c r="E110" s="87">
        <f t="shared" si="13"/>
        <v>1</v>
      </c>
      <c r="F110" s="117">
        <f t="shared" si="12"/>
        <v>0.8</v>
      </c>
      <c r="H110" s="246">
        <f>MachineAssumptions!$T$40*E110</f>
        <v>0.8</v>
      </c>
      <c r="I110" s="166">
        <f>MachineAssumptions!$T$60*E110</f>
        <v>0.8</v>
      </c>
    </row>
    <row r="111" spans="1:9" ht="20">
      <c r="A111" s="15"/>
      <c r="B111" s="85" t="str">
        <f>MachineAssumptions!B20&amp;" - Labor"</f>
        <v>Tandem Axle Truck  - Labor</v>
      </c>
      <c r="C111" s="41" t="s">
        <v>246</v>
      </c>
      <c r="D111" s="116">
        <f>MachineAssumptions!$R$20</f>
        <v>3.6</v>
      </c>
      <c r="E111" s="87">
        <f t="shared" si="13"/>
        <v>1</v>
      </c>
      <c r="F111" s="117">
        <f t="shared" si="12"/>
        <v>3.6</v>
      </c>
      <c r="H111" s="416">
        <f>MachineAssumptions!$R$41*E111</f>
        <v>3.6</v>
      </c>
      <c r="I111" s="369">
        <f>MachineAssumptions!$R$61*E111</f>
        <v>3.6</v>
      </c>
    </row>
    <row r="112" spans="1:9" ht="20">
      <c r="A112" s="15"/>
      <c r="B112" s="85" t="str">
        <f>MachineAssumptions!B20&amp;" - Fuel, Lube"</f>
        <v>Tandem Axle Truck  - Fuel, Lube</v>
      </c>
      <c r="C112" s="41" t="s">
        <v>246</v>
      </c>
      <c r="D112" s="116">
        <f>MachineAssumptions!$S$20</f>
        <v>1.72</v>
      </c>
      <c r="E112" s="87">
        <f t="shared" si="13"/>
        <v>1</v>
      </c>
      <c r="F112" s="117">
        <f t="shared" si="12"/>
        <v>1.72</v>
      </c>
      <c r="H112" s="416">
        <f>MachineAssumptions!$S$41*E112</f>
        <v>1.72</v>
      </c>
      <c r="I112" s="369">
        <f>MachineAssumptions!$S$61*E112</f>
        <v>1.72</v>
      </c>
    </row>
    <row r="113" spans="1:13" ht="23">
      <c r="A113" s="15"/>
      <c r="B113" s="85" t="str">
        <f>MachineAssumptions!B20&amp;" - Repairs"</f>
        <v>Tandem Axle Truck  - Repairs</v>
      </c>
      <c r="C113" s="41" t="s">
        <v>246</v>
      </c>
      <c r="D113" s="116">
        <f>MachineAssumptions!$T$20</f>
        <v>0.8</v>
      </c>
      <c r="E113" s="87">
        <f t="shared" si="13"/>
        <v>1</v>
      </c>
      <c r="F113" s="117">
        <f t="shared" si="12"/>
        <v>0.8</v>
      </c>
      <c r="H113" s="248">
        <f>MachineAssumptions!$T$41*E113</f>
        <v>0.8</v>
      </c>
      <c r="I113" s="247">
        <f>MachineAssumptions!$T$61*E113</f>
        <v>0.8</v>
      </c>
    </row>
    <row r="114" spans="1:13" ht="21">
      <c r="A114" s="15"/>
      <c r="B114" s="139" t="s">
        <v>88</v>
      </c>
      <c r="C114" s="41"/>
      <c r="D114" s="116"/>
      <c r="E114" s="87"/>
      <c r="F114" s="117"/>
      <c r="H114" s="249">
        <f>SUM(H74:H113)</f>
        <v>69.831863834238547</v>
      </c>
      <c r="I114" s="249">
        <f>SUM(I74:I113)</f>
        <v>67.221874253793075</v>
      </c>
    </row>
    <row r="115" spans="1:13" ht="20">
      <c r="A115" s="15"/>
      <c r="B115" s="85" t="str">
        <f>'Chem&amp;FertInputs&amp;CInsurance'!B73</f>
        <v>Crop Insurance</v>
      </c>
      <c r="C115" s="23" t="str">
        <f>'Chem&amp;FertInputs&amp;CInsurance'!D73</f>
        <v>acre</v>
      </c>
      <c r="D115" s="116">
        <f>'Chem&amp;FertInputs&amp;CInsurance'!AB73</f>
        <v>18</v>
      </c>
      <c r="E115" s="87">
        <v>1</v>
      </c>
      <c r="F115" s="117">
        <f>IF(D115*E115=0,"0",D115*E115)</f>
        <v>18</v>
      </c>
      <c r="H115" s="1" t="s">
        <v>181</v>
      </c>
      <c r="I115" s="1" t="s">
        <v>181</v>
      </c>
    </row>
    <row r="116" spans="1:13" ht="20">
      <c r="A116" s="15"/>
      <c r="B116" s="85" t="s">
        <v>72</v>
      </c>
      <c r="C116" s="41" t="s">
        <v>83</v>
      </c>
      <c r="D116" s="111">
        <f>MachineAssumptions!D25</f>
        <v>0.05</v>
      </c>
      <c r="E116" s="87"/>
      <c r="F116" s="86">
        <f>SUM(F8:F115)*D116</f>
        <v>12.229979587460983</v>
      </c>
      <c r="G116" s="1" t="s">
        <v>111</v>
      </c>
      <c r="H116" s="49">
        <f>(SUM($F8:$F70)+$F115+SUM(H72:H113))*$D116</f>
        <v>12.230705691711927</v>
      </c>
      <c r="I116" s="49">
        <f>(SUM($F8:$F70)+$F115+SUM(I72:I113))*$D116</f>
        <v>12.100206212689654</v>
      </c>
      <c r="J116" s="49">
        <f>F72+F75+F78+F81+F84+F87+F90+F93+F96+F99+F102+F105+F108+F111</f>
        <v>16.129930432071912</v>
      </c>
      <c r="K116" s="1" t="s">
        <v>111</v>
      </c>
    </row>
    <row r="117" spans="1:13" ht="20">
      <c r="A117" s="15"/>
      <c r="B117" s="85" t="s">
        <v>84</v>
      </c>
      <c r="C117" s="41" t="s">
        <v>83</v>
      </c>
      <c r="D117" s="111">
        <f>MachineAssumptions!D26</f>
        <v>6.7500000000000004E-2</v>
      </c>
      <c r="E117" s="112"/>
      <c r="F117" s="140">
        <f>SUM(F8:F116)*(D117/12*MachineAssumptions!D27)</f>
        <v>13.00199704891946</v>
      </c>
      <c r="G117" s="1" t="s">
        <v>4</v>
      </c>
      <c r="H117" s="49">
        <f>(SUM(F8:F70)+(F115+F116+H114))*((D117/12)*MachineAssumptions!D27)</f>
        <v>13.002732229473541</v>
      </c>
      <c r="I117" s="49">
        <f>(SUM(F8:F70)+(F115+F116+I114))*((D117/12)*MachineAssumptions!D27)</f>
        <v>12.870601506963489</v>
      </c>
      <c r="J117" s="49">
        <f>F73+F76+F79+F82+F85+F88+F91+F94+F97+F100+F103+F106+F109+F112</f>
        <v>37.921401983080372</v>
      </c>
      <c r="K117" s="1" t="s">
        <v>4</v>
      </c>
    </row>
    <row r="118" spans="1:13" ht="20">
      <c r="A118" s="15"/>
      <c r="B118" s="14" t="s">
        <v>85</v>
      </c>
      <c r="C118" s="29"/>
      <c r="D118" s="141"/>
      <c r="E118" s="142"/>
      <c r="F118" s="143">
        <f>SUM(F8:F117)</f>
        <v>269.83156838560012</v>
      </c>
      <c r="G118" s="1" t="s">
        <v>112</v>
      </c>
      <c r="J118" s="49">
        <f>F74+F77+F80+F83+F86+F89+F92+F95+F98+F101+F104+F107+F110+F113</f>
        <v>15.766009334067396</v>
      </c>
      <c r="K118" s="1" t="s">
        <v>112</v>
      </c>
      <c r="L118" s="49">
        <f>H74+H77+H80+H83+H86+H89+H92+H95+H98+H101+H104+H107+H110+H113</f>
        <v>15.780531419086264</v>
      </c>
      <c r="M118" s="49">
        <f>I74+I77+I80+I83+I86+I89+I92+I95+I98+I101+I104+I107+I110+I113</f>
        <v>13.1705418386408</v>
      </c>
    </row>
    <row r="119" spans="1:13">
      <c r="A119" s="15"/>
      <c r="B119" s="113"/>
      <c r="C119" s="113"/>
      <c r="D119" s="113"/>
      <c r="E119" s="114"/>
      <c r="F119" s="115"/>
      <c r="H119" s="115"/>
      <c r="J119" s="49">
        <f>SUM(J116:J118)</f>
        <v>69.817341749219679</v>
      </c>
      <c r="K119" s="115"/>
    </row>
    <row r="120" spans="1:13" ht="20">
      <c r="A120" s="15"/>
      <c r="B120" s="132" t="s">
        <v>89</v>
      </c>
      <c r="C120" s="19" t="s">
        <v>2</v>
      </c>
      <c r="D120" s="20" t="s">
        <v>12</v>
      </c>
      <c r="E120" s="21" t="s">
        <v>13</v>
      </c>
      <c r="F120" s="45" t="s">
        <v>0</v>
      </c>
      <c r="H120" s="1" t="s">
        <v>136</v>
      </c>
      <c r="I120" s="1" t="s">
        <v>139</v>
      </c>
    </row>
    <row r="121" spans="1:13" ht="20">
      <c r="A121" s="15"/>
      <c r="B121" s="18" t="str">
        <f>MachineAssumptions!B7&amp;" - Replacement Costs"</f>
        <v>Shredder - Replacement Costs</v>
      </c>
      <c r="C121" s="41" t="str">
        <f>C72</f>
        <v>acre</v>
      </c>
      <c r="D121" s="34">
        <f>MachineAssumptions!U7</f>
        <v>4.3329737628911431</v>
      </c>
      <c r="E121" s="145">
        <f>E72</f>
        <v>0</v>
      </c>
      <c r="F121" s="42" t="str">
        <f t="shared" ref="F121:F134" si="14">IF(D121*E121=0,"0",D121*E121)</f>
        <v>0</v>
      </c>
      <c r="H121" s="166">
        <f>MachineAssumptions!U28*E121</f>
        <v>0</v>
      </c>
      <c r="I121" s="166">
        <f>MachineAssumptions!U48*E121</f>
        <v>0</v>
      </c>
    </row>
    <row r="122" spans="1:13" ht="20">
      <c r="A122" s="15"/>
      <c r="B122" s="18" t="str">
        <f>MachineAssumptions!B8&amp;" - Replacement Costs"</f>
        <v>Harrow - Replacement Costs</v>
      </c>
      <c r="C122" s="41" t="str">
        <f>C75</f>
        <v>acre</v>
      </c>
      <c r="D122" s="34">
        <f>MachineAssumptions!U8</f>
        <v>1.1988479209967022</v>
      </c>
      <c r="E122" s="145">
        <f>E75</f>
        <v>0</v>
      </c>
      <c r="F122" s="42" t="str">
        <f t="shared" si="14"/>
        <v>0</v>
      </c>
      <c r="H122" s="166">
        <f>MachineAssumptions!U29*E122</f>
        <v>0</v>
      </c>
      <c r="I122" s="166">
        <f>MachineAssumptions!U49*E122</f>
        <v>0</v>
      </c>
    </row>
    <row r="123" spans="1:13" ht="20">
      <c r="A123" s="15"/>
      <c r="B123" s="18" t="str">
        <f>MachineAssumptions!B9&amp;" - Replacement Costs"</f>
        <v>Chisel plow - Replacement Costs</v>
      </c>
      <c r="C123" s="41" t="str">
        <f>C78</f>
        <v>acre</v>
      </c>
      <c r="D123" s="34">
        <f>MachineAssumptions!U9</f>
        <v>0</v>
      </c>
      <c r="E123" s="145">
        <f>E78</f>
        <v>0</v>
      </c>
      <c r="F123" s="42" t="str">
        <f t="shared" si="14"/>
        <v>0</v>
      </c>
      <c r="H123" s="166">
        <f>MachineAssumptions!U30*E123</f>
        <v>0</v>
      </c>
      <c r="I123" s="166">
        <f>MachineAssumptions!U50*E123</f>
        <v>0</v>
      </c>
    </row>
    <row r="124" spans="1:13" ht="20">
      <c r="A124" s="15"/>
      <c r="B124" s="18" t="str">
        <f>MachineAssumptions!B10&amp;" - Replacement Costs"</f>
        <v>Moldboard plow - Replacement Costs</v>
      </c>
      <c r="C124" s="41" t="str">
        <f>C81</f>
        <v>acre</v>
      </c>
      <c r="D124" s="34">
        <f>MachineAssumptions!U10</f>
        <v>0</v>
      </c>
      <c r="E124" s="145">
        <f>E81</f>
        <v>0</v>
      </c>
      <c r="F124" s="42" t="str">
        <f t="shared" si="14"/>
        <v>0</v>
      </c>
      <c r="H124" s="166">
        <f>MachineAssumptions!U31*E124</f>
        <v>0</v>
      </c>
      <c r="I124" s="166">
        <f>MachineAssumptions!U51*E124</f>
        <v>0</v>
      </c>
    </row>
    <row r="125" spans="1:13" ht="20">
      <c r="A125" s="15"/>
      <c r="B125" s="18" t="str">
        <f>MachineAssumptions!B11&amp;" - Replacement Costs"</f>
        <v>Cultivator - Replacement Costs</v>
      </c>
      <c r="C125" s="41" t="str">
        <f t="shared" ref="C125:C126" si="15">C82</f>
        <v>acre</v>
      </c>
      <c r="D125" s="34">
        <f>MachineAssumptions!U11</f>
        <v>0</v>
      </c>
      <c r="E125" s="145">
        <f>E84</f>
        <v>0</v>
      </c>
      <c r="F125" s="42" t="str">
        <f t="shared" si="14"/>
        <v>0</v>
      </c>
      <c r="H125" s="166">
        <f>MachineAssumptions!U32*E125</f>
        <v>0</v>
      </c>
      <c r="I125" s="166">
        <f>MachineAssumptions!U52*E125</f>
        <v>0</v>
      </c>
    </row>
    <row r="126" spans="1:13" ht="20">
      <c r="A126" s="15"/>
      <c r="B126" s="18" t="str">
        <f>MachineAssumptions!B12&amp;" - Replacement Costs"</f>
        <v>Cultiweeder - Replacement Costs</v>
      </c>
      <c r="C126" s="41" t="str">
        <f t="shared" si="15"/>
        <v>acre</v>
      </c>
      <c r="D126" s="34">
        <f>MachineAssumptions!U12</f>
        <v>0</v>
      </c>
      <c r="E126" s="145">
        <f>E87</f>
        <v>0</v>
      </c>
      <c r="F126" s="42" t="str">
        <f t="shared" si="14"/>
        <v>0</v>
      </c>
      <c r="H126" s="166">
        <f>MachineAssumptions!U33*E126</f>
        <v>0</v>
      </c>
      <c r="I126" s="166">
        <f>MachineAssumptions!U53*E126</f>
        <v>0</v>
      </c>
    </row>
    <row r="127" spans="1:13" ht="20">
      <c r="A127" s="15"/>
      <c r="B127" s="18" t="str">
        <f>MachineAssumptions!B13&amp;" - Replacement Costs"</f>
        <v>Drill - Replacement Costs</v>
      </c>
      <c r="C127" s="41" t="str">
        <f>C90</f>
        <v>acre</v>
      </c>
      <c r="D127" s="34">
        <f>MachineAssumptions!U13</f>
        <v>7.2419265221735989</v>
      </c>
      <c r="E127" s="145">
        <f>E90</f>
        <v>1</v>
      </c>
      <c r="F127" s="42">
        <f t="shared" si="14"/>
        <v>7.2419265221735989</v>
      </c>
      <c r="H127" s="166">
        <f>MachineAssumptions!U34*E127</f>
        <v>7.2419265221735989</v>
      </c>
      <c r="I127" s="166">
        <f>MachineAssumptions!U54*E127</f>
        <v>7.2419265221735989</v>
      </c>
    </row>
    <row r="128" spans="1:13" ht="20">
      <c r="A128" s="15"/>
      <c r="B128" s="18" t="str">
        <f>MachineAssumptions!B14&amp;" - Replacement Costs"</f>
        <v>Combine w/ 36' header - Replacement Costs</v>
      </c>
      <c r="C128" s="41" t="str">
        <f>C93</f>
        <v>acre</v>
      </c>
      <c r="D128" s="34">
        <f>MachineAssumptions!U14</f>
        <v>9.7031999999999989</v>
      </c>
      <c r="E128" s="145">
        <f>E93</f>
        <v>1</v>
      </c>
      <c r="F128" s="42">
        <f t="shared" si="14"/>
        <v>9.7031999999999989</v>
      </c>
      <c r="H128" s="166">
        <f>MachineAssumptions!U35*E128</f>
        <v>9.7031999999999989</v>
      </c>
      <c r="I128" s="166">
        <f>MachineAssumptions!U55*E128</f>
        <v>9.7032000000000007</v>
      </c>
    </row>
    <row r="129" spans="1:9" ht="20">
      <c r="A129" s="15"/>
      <c r="B129" s="18" t="str">
        <f>MachineAssumptions!B16&amp;" - Replacement Costs"</f>
        <v>Fertilizer Spreader - Replacement Costs</v>
      </c>
      <c r="C129" s="41" t="str">
        <f>C96</f>
        <v>acre</v>
      </c>
      <c r="D129" s="34">
        <f>MachineAssumptions!U16</f>
        <v>0</v>
      </c>
      <c r="E129" s="145">
        <f>E96</f>
        <v>0</v>
      </c>
      <c r="F129" s="42" t="str">
        <f t="shared" si="14"/>
        <v>0</v>
      </c>
      <c r="H129" s="166">
        <f>MachineAssumptions!U36*E129</f>
        <v>0</v>
      </c>
      <c r="I129" s="166">
        <f>MachineAssumptions!U56*E129</f>
        <v>0</v>
      </c>
    </row>
    <row r="130" spans="1:9" ht="20">
      <c r="A130" s="15"/>
      <c r="B130" s="18" t="str">
        <f>MachineAssumptions!B17&amp;" - Replacement Costs"</f>
        <v>Fertilizer tanks and pump - Replacement Costs</v>
      </c>
      <c r="C130" s="41" t="str">
        <f>C99</f>
        <v>acre</v>
      </c>
      <c r="D130" s="34">
        <f>MachineAssumptions!U17</f>
        <v>0.6</v>
      </c>
      <c r="E130" s="145">
        <f>E99</f>
        <v>1</v>
      </c>
      <c r="F130" s="42">
        <f t="shared" si="14"/>
        <v>0.6</v>
      </c>
      <c r="H130" s="166">
        <f>MachineAssumptions!U37*E130</f>
        <v>0.6</v>
      </c>
      <c r="I130" s="166">
        <f>MachineAssumptions!U57*E130</f>
        <v>0.6</v>
      </c>
    </row>
    <row r="131" spans="1:9" ht="20">
      <c r="A131" s="15"/>
      <c r="B131" s="18" t="str">
        <f>MachineAssumptions!B18&amp;" - Replacement Costs"</f>
        <v>Boom sprayer - Replacement Costs</v>
      </c>
      <c r="C131" s="41" t="str">
        <f>C102</f>
        <v>acre</v>
      </c>
      <c r="D131" s="34">
        <f>MachineAssumptions!U18</f>
        <v>0.80913316225248511</v>
      </c>
      <c r="E131" s="145">
        <f>E102</f>
        <v>3</v>
      </c>
      <c r="F131" s="42">
        <f t="shared" si="14"/>
        <v>2.4273994867574551</v>
      </c>
      <c r="H131" s="166">
        <f>MachineAssumptions!U38*E131</f>
        <v>2.4270356342009749</v>
      </c>
      <c r="I131" s="166">
        <f>MachineAssumptions!U58*E131</f>
        <v>2.4273994867574551</v>
      </c>
    </row>
    <row r="132" spans="1:9" ht="20">
      <c r="A132" s="15"/>
      <c r="B132" s="18" t="str">
        <f>MachineAssumptions!B15&amp;" - Replacement Costs"</f>
        <v>Bankout Wagon - Replacement Costs</v>
      </c>
      <c r="C132" s="41" t="str">
        <f>C105</f>
        <v>acre</v>
      </c>
      <c r="D132" s="34">
        <f>MachineAssumptions!U15</f>
        <v>2.9461434675395459</v>
      </c>
      <c r="E132" s="145">
        <f>E105</f>
        <v>1</v>
      </c>
      <c r="F132" s="42">
        <f t="shared" si="14"/>
        <v>2.9461434675395459</v>
      </c>
      <c r="H132" s="166">
        <f>MachineAssumptions!U39*E132</f>
        <v>2.9461434675395459</v>
      </c>
      <c r="I132" s="166">
        <f>MachineAssumptions!U59*E132</f>
        <v>2.9461434675395459</v>
      </c>
    </row>
    <row r="133" spans="1:9" ht="20">
      <c r="A133" s="15"/>
      <c r="B133" s="18" t="str">
        <f>MachineAssumptions!B19&amp;" - Replacement Costs"</f>
        <v>Tandem Axle Truck  - Replacement Costs</v>
      </c>
      <c r="C133" s="41" t="str">
        <f>C108</f>
        <v>acre</v>
      </c>
      <c r="D133" s="34">
        <f>MachineAssumptions!U19</f>
        <v>0.64</v>
      </c>
      <c r="E133" s="145">
        <f>E108</f>
        <v>1</v>
      </c>
      <c r="F133" s="42">
        <f t="shared" si="14"/>
        <v>0.64</v>
      </c>
      <c r="H133" s="166">
        <f>MachineAssumptions!U40*E133</f>
        <v>0.64</v>
      </c>
      <c r="I133" s="166">
        <f>MachineAssumptions!U60*E133</f>
        <v>0.64</v>
      </c>
    </row>
    <row r="134" spans="1:9" ht="23">
      <c r="A134" s="15"/>
      <c r="B134" s="18" t="str">
        <f>MachineAssumptions!B20&amp;" - Replacement Costs"</f>
        <v>Tandem Axle Truck  - Replacement Costs</v>
      </c>
      <c r="C134" s="41" t="str">
        <f t="shared" ref="C134" si="16">C111</f>
        <v>acre</v>
      </c>
      <c r="D134" s="34">
        <f>MachineAssumptions!U20</f>
        <v>0.64</v>
      </c>
      <c r="E134" s="145">
        <f t="shared" ref="E134" si="17">E111</f>
        <v>1</v>
      </c>
      <c r="F134" s="43">
        <f t="shared" si="14"/>
        <v>0.64</v>
      </c>
      <c r="H134" s="247">
        <f>MachineAssumptions!U41*E134</f>
        <v>0.64</v>
      </c>
      <c r="I134" s="247">
        <f>MachineAssumptions!U61*E134</f>
        <v>0.64</v>
      </c>
    </row>
    <row r="135" spans="1:9" ht="20">
      <c r="A135" s="15"/>
      <c r="B135" s="144" t="s">
        <v>38</v>
      </c>
      <c r="C135" s="29"/>
      <c r="D135" s="30"/>
      <c r="E135" s="29"/>
      <c r="F135" s="46">
        <f>SUM(F121:F134)</f>
        <v>24.198669476470602</v>
      </c>
      <c r="H135" s="46">
        <f t="shared" ref="H135:I135" si="18">SUM(H121:H134)</f>
        <v>24.198305623914123</v>
      </c>
      <c r="I135" s="46">
        <f t="shared" si="18"/>
        <v>24.198669476470602</v>
      </c>
    </row>
    <row r="136" spans="1:9" ht="20">
      <c r="A136" s="15"/>
      <c r="B136" s="16"/>
      <c r="C136" s="16"/>
      <c r="D136" s="17"/>
      <c r="E136" s="16"/>
      <c r="F136" s="113"/>
    </row>
    <row r="137" spans="1:9" ht="20">
      <c r="A137" s="15"/>
      <c r="B137" s="14" t="s">
        <v>31</v>
      </c>
      <c r="C137" s="29"/>
      <c r="D137" s="30"/>
      <c r="E137" s="29"/>
      <c r="F137" s="47">
        <f>F118+F135</f>
        <v>294.03023786207075</v>
      </c>
      <c r="H137" s="47">
        <f>SUM(F16:F70)+H114+F115+H116+H117+H135+F8+(H9*D9)+(H10*D10)+(H11*D11)+(H12*D12)+(H13*D13)+(H14*D14)+(H15*D15)</f>
        <v>294.04585737933814</v>
      </c>
      <c r="I137" s="47">
        <f>SUM(F16:F70)+I114+F115+I116+I117+I135+F8+(I9*D9)+(I10*D10)+(I11*D11)+(I12*D12)+(I13*D13)+(I14*D14)+(I15*D15)</f>
        <v>291.17360144991676</v>
      </c>
    </row>
    <row r="138" spans="1:9" ht="21">
      <c r="A138" s="15"/>
      <c r="B138" s="31" t="s">
        <v>32</v>
      </c>
      <c r="C138" s="32"/>
      <c r="D138" s="33"/>
      <c r="E138" s="32"/>
      <c r="F138" s="48">
        <f>F5-F137</f>
        <v>5.9697621379292514</v>
      </c>
      <c r="H138" s="250">
        <f>F5-H137</f>
        <v>5.9541426206618553</v>
      </c>
      <c r="I138" s="250">
        <f>F5-I137</f>
        <v>8.8263985500832405</v>
      </c>
    </row>
  </sheetData>
  <mergeCells count="1">
    <mergeCell ref="B2:F2"/>
  </mergeCells>
  <pageMargins left="0.7" right="0.7" top="0.75" bottom="0.75" header="0.3" footer="0.3"/>
  <pageSetup scale="62" orientation="portrait" horizontalDpi="0" verticalDpi="0"/>
  <ignoredErrors>
    <ignoredError sqref="B63:F70 B114:F114 B135:F138 B121:C134 E121:F134 B2 B72:B113 D72:F113 B61:F61 B3:F3 B4:F8 B54:F57 B42:F51 B33:F40 B21:F31 B60:F60 B16:G20 G60 B32:G32 G21:G31 B41:G41 G33:G40 B52:G53 G42:G51 B58:G59 G54:G57 B116:F120 B115:D115 E115:F115 C14:F14 C9:F9 C10:F10 C11:F11 C12:F12 C13:F13 C15:G15 B9:B15" unlockedFormula="1"/>
    <ignoredError sqref="D121:D134" formula="1" unlockedFormula="1"/>
  </ignoredErrors>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06B89-F4BE-A546-9828-57F327F2CF12}">
  <sheetPr codeName="Sheet9">
    <pageSetUpPr fitToPage="1"/>
  </sheetPr>
  <dimension ref="A1:AJ138"/>
  <sheetViews>
    <sheetView zoomScale="120" zoomScaleNormal="120" workbookViewId="0">
      <selection activeCell="B2" sqref="B2:F2"/>
    </sheetView>
  </sheetViews>
  <sheetFormatPr baseColWidth="10" defaultColWidth="11.5" defaultRowHeight="15"/>
  <cols>
    <col min="1" max="1" width="4.83203125" style="1" customWidth="1"/>
    <col min="2" max="2" width="57.83203125" style="1" customWidth="1"/>
    <col min="3" max="6" width="12.83203125" style="1" customWidth="1"/>
    <col min="7" max="34" width="11.5" style="1" hidden="1" customWidth="1"/>
    <col min="35" max="40" width="11.5" style="1" customWidth="1"/>
    <col min="41" max="16384" width="11.5" style="1"/>
  </cols>
  <sheetData>
    <row r="1" spans="1:36" ht="20">
      <c r="A1" s="352" t="s">
        <v>8</v>
      </c>
      <c r="B1" s="27"/>
      <c r="C1" s="16"/>
      <c r="D1" s="17"/>
      <c r="E1" s="16"/>
      <c r="F1" s="16"/>
    </row>
    <row r="2" spans="1:36" ht="20">
      <c r="A2" s="15"/>
      <c r="B2" s="807" t="str">
        <f>'Prices_Yields&amp;SeedInputs'!B28&amp;", Cash Costs and Returns of Producing, $/acre."</f>
        <v>Forage Crop-Soil Builder Blend, Cash Costs and Returns of Producing, $/acre.</v>
      </c>
      <c r="C2" s="807"/>
      <c r="D2" s="807"/>
      <c r="E2" s="807"/>
      <c r="F2" s="807"/>
    </row>
    <row r="3" spans="1:36" ht="20">
      <c r="A3" s="15"/>
      <c r="B3" s="131" t="s">
        <v>11</v>
      </c>
      <c r="C3" s="24" t="s">
        <v>2</v>
      </c>
      <c r="D3" s="25" t="s">
        <v>12</v>
      </c>
      <c r="E3" s="26" t="s">
        <v>13</v>
      </c>
      <c r="F3" s="26" t="s">
        <v>0</v>
      </c>
      <c r="H3" s="1" t="str">
        <f>'Prices_Yields&amp;SeedInputs'!F3</f>
        <v>Incremental Rotation</v>
      </c>
      <c r="I3" s="1" t="str">
        <f>'Prices_Yields&amp;SeedInputs'!G3</f>
        <v>Aspirational Rotation</v>
      </c>
      <c r="AI3" s="674"/>
      <c r="AJ3" s="674"/>
    </row>
    <row r="4" spans="1:36" ht="20">
      <c r="A4" s="15"/>
      <c r="B4" s="127" t="str">
        <f>'Prices_Yields&amp;SeedInputs'!B28</f>
        <v>Forage Crop-Soil Builder Blend</v>
      </c>
      <c r="C4" s="22" t="str">
        <f>'Prices_Yields&amp;SeedInputs'!C28</f>
        <v>acre</v>
      </c>
      <c r="D4" s="17">
        <f>'Prices_Yields&amp;SeedInputs'!D28</f>
        <v>0</v>
      </c>
      <c r="E4" s="90">
        <f>'Prices_Yields&amp;SeedInputs'!E28</f>
        <v>0</v>
      </c>
      <c r="F4" s="35">
        <f>D4*E4</f>
        <v>0</v>
      </c>
      <c r="AI4" s="674"/>
      <c r="AJ4" s="674"/>
    </row>
    <row r="5" spans="1:36" ht="20">
      <c r="A5" s="15"/>
      <c r="B5" s="14" t="s">
        <v>14</v>
      </c>
      <c r="C5" s="29"/>
      <c r="D5" s="30"/>
      <c r="E5" s="29"/>
      <c r="F5" s="46">
        <f>SUM(F4:F4)</f>
        <v>0</v>
      </c>
      <c r="H5" s="69">
        <f>D4*'Prices_Yields&amp;SeedInputs'!F28</f>
        <v>0</v>
      </c>
      <c r="I5" s="69">
        <f>D4*'Prices_Yields&amp;SeedInputs'!G28</f>
        <v>0</v>
      </c>
      <c r="AI5" s="674"/>
      <c r="AJ5" s="674"/>
    </row>
    <row r="6" spans="1:36" ht="20">
      <c r="A6" s="15"/>
      <c r="B6" s="16"/>
      <c r="C6" s="16"/>
      <c r="D6" s="17"/>
      <c r="E6" s="16"/>
      <c r="F6" s="44"/>
    </row>
    <row r="7" spans="1:36" ht="20">
      <c r="A7" s="15"/>
      <c r="B7" s="132" t="s">
        <v>37</v>
      </c>
      <c r="C7" s="19" t="s">
        <v>2</v>
      </c>
      <c r="D7" s="20" t="s">
        <v>12</v>
      </c>
      <c r="E7" s="21" t="s">
        <v>13</v>
      </c>
      <c r="F7" s="45" t="s">
        <v>0</v>
      </c>
    </row>
    <row r="8" spans="1:36" ht="20">
      <c r="A8" s="15"/>
      <c r="B8" s="89" t="s">
        <v>169</v>
      </c>
      <c r="C8" s="134" t="str">
        <f>'Prices_Yields&amp;SeedInputs'!H28</f>
        <v>acre</v>
      </c>
      <c r="D8" s="89">
        <f>'Prices_Yields&amp;SeedInputs'!I28</f>
        <v>23.15</v>
      </c>
      <c r="E8" s="90">
        <f>'Prices_Yields&amp;SeedInputs'!J28</f>
        <v>1</v>
      </c>
      <c r="F8" s="117">
        <f t="shared" ref="F8:F61" si="0">IF(D8*E8=0,"0",D8*E8)</f>
        <v>23.15</v>
      </c>
    </row>
    <row r="9" spans="1:36" ht="20">
      <c r="A9" s="15"/>
      <c r="B9" s="85" t="str">
        <f>'Chem&amp;FertInputs&amp;CInsurance'!B6</f>
        <v>Fertilizer - Nitrogen-</v>
      </c>
      <c r="C9" s="23" t="str">
        <f>'Chem&amp;FertInputs&amp;CInsurance'!D6</f>
        <v>pound</v>
      </c>
      <c r="D9" s="116">
        <f>'Chem&amp;FertInputs&amp;CInsurance'!E6</f>
        <v>0.48749999999999999</v>
      </c>
      <c r="E9" s="133">
        <f>'Chem&amp;FertInputs&amp;CInsurance'!AC6</f>
        <v>0</v>
      </c>
      <c r="F9" s="117" t="str">
        <f t="shared" si="0"/>
        <v>0</v>
      </c>
      <c r="H9" s="1">
        <f>'Chem&amp;FertInputs&amp;CInsurance'!AC7</f>
        <v>0</v>
      </c>
      <c r="I9" s="1">
        <f>'Chem&amp;FertInputs&amp;CInsurance'!AC8</f>
        <v>0</v>
      </c>
    </row>
    <row r="10" spans="1:36" ht="20">
      <c r="A10" s="15"/>
      <c r="B10" s="85" t="str">
        <f>'Chem&amp;FertInputs&amp;CInsurance'!B9</f>
        <v>Fertilizer - Anhydrous Ammonia-</v>
      </c>
      <c r="C10" s="23" t="str">
        <f>'Chem&amp;FertInputs&amp;CInsurance'!D9</f>
        <v>pound</v>
      </c>
      <c r="D10" s="116">
        <f>'Chem&amp;FertInputs&amp;CInsurance'!E9</f>
        <v>0.75770000000000004</v>
      </c>
      <c r="E10" s="133">
        <f>'Chem&amp;FertInputs&amp;CInsurance'!AC9</f>
        <v>0</v>
      </c>
      <c r="F10" s="117" t="str">
        <f t="shared" si="0"/>
        <v>0</v>
      </c>
      <c r="H10" s="1">
        <f>'Chem&amp;FertInputs&amp;CInsurance'!AC10</f>
        <v>0</v>
      </c>
      <c r="I10" s="1">
        <f>'Chem&amp;FertInputs&amp;CInsurance'!AC11</f>
        <v>0</v>
      </c>
    </row>
    <row r="11" spans="1:36" ht="20">
      <c r="A11" s="15"/>
      <c r="B11" s="85" t="str">
        <f>'Chem&amp;FertInputs&amp;CInsurance'!B12</f>
        <v xml:space="preserve">Fertilizer - Phosphorus- </v>
      </c>
      <c r="C11" s="23" t="str">
        <f>'Chem&amp;FertInputs&amp;CInsurance'!D12</f>
        <v>pound</v>
      </c>
      <c r="D11" s="116">
        <f>'Chem&amp;FertInputs&amp;CInsurance'!E12</f>
        <v>0.47499999999999998</v>
      </c>
      <c r="E11" s="133">
        <f>'Chem&amp;FertInputs&amp;CInsurance'!AC12</f>
        <v>0</v>
      </c>
      <c r="F11" s="117" t="str">
        <f t="shared" si="0"/>
        <v>0</v>
      </c>
      <c r="H11" s="1">
        <f>'Chem&amp;FertInputs&amp;CInsurance'!AC13</f>
        <v>0</v>
      </c>
      <c r="I11" s="1">
        <f>'Chem&amp;FertInputs&amp;CInsurance'!AC14</f>
        <v>0</v>
      </c>
    </row>
    <row r="12" spans="1:36" ht="20">
      <c r="A12" s="15"/>
      <c r="B12" s="85" t="str">
        <f>'Chem&amp;FertInputs&amp;CInsurance'!B15</f>
        <v>Fertilizer - Potassium-</v>
      </c>
      <c r="C12" s="23" t="str">
        <f>'Chem&amp;FertInputs&amp;CInsurance'!D15</f>
        <v>pound</v>
      </c>
      <c r="D12" s="116">
        <f>'Chem&amp;FertInputs&amp;CInsurance'!E15</f>
        <v>0.441</v>
      </c>
      <c r="E12" s="133">
        <f>'Chem&amp;FertInputs&amp;CInsurance'!AC15</f>
        <v>0</v>
      </c>
      <c r="F12" s="117" t="str">
        <f t="shared" si="0"/>
        <v>0</v>
      </c>
      <c r="H12" s="1">
        <f>'Chem&amp;FertInputs&amp;CInsurance'!AC16</f>
        <v>0</v>
      </c>
      <c r="I12" s="1">
        <f>'Chem&amp;FertInputs&amp;CInsurance'!AC17</f>
        <v>0</v>
      </c>
    </row>
    <row r="13" spans="1:36" ht="20">
      <c r="A13" s="15"/>
      <c r="B13" s="85" t="str">
        <f>'Chem&amp;FertInputs&amp;CInsurance'!B18</f>
        <v>Fertilizer - Sulfur-</v>
      </c>
      <c r="C13" s="23" t="str">
        <f>'Chem&amp;FertInputs&amp;CInsurance'!D18</f>
        <v>pound</v>
      </c>
      <c r="D13" s="116">
        <f>'Chem&amp;FertInputs&amp;CInsurance'!E18</f>
        <v>0.2555</v>
      </c>
      <c r="E13" s="133">
        <f>'Chem&amp;FertInputs&amp;CInsurance'!AC18</f>
        <v>0</v>
      </c>
      <c r="F13" s="117" t="str">
        <f t="shared" si="0"/>
        <v>0</v>
      </c>
      <c r="H13" s="1">
        <f>'Chem&amp;FertInputs&amp;CInsurance'!AC19</f>
        <v>0</v>
      </c>
      <c r="I13" s="1">
        <f>'Chem&amp;FertInputs&amp;CInsurance'!AC20</f>
        <v>0</v>
      </c>
    </row>
    <row r="14" spans="1:36" ht="20">
      <c r="A14" s="15"/>
      <c r="B14" s="85" t="str">
        <f>'Chem&amp;FertInputs&amp;CInsurance'!B21</f>
        <v>Adjuvant - Ammonium Sulfate liquid-</v>
      </c>
      <c r="C14" s="23" t="str">
        <f>'Chem&amp;FertInputs&amp;CInsurance'!D21</f>
        <v>oz</v>
      </c>
      <c r="D14" s="116">
        <f>'Chem&amp;FertInputs&amp;CInsurance'!E21</f>
        <v>0.48</v>
      </c>
      <c r="E14" s="133">
        <f>'Chem&amp;FertInputs&amp;CInsurance'!AC21</f>
        <v>0</v>
      </c>
      <c r="F14" s="117" t="str">
        <f>IF(D14*E14=0,"0",D14*E14)</f>
        <v>0</v>
      </c>
      <c r="G14" s="165">
        <f>E14/128</f>
        <v>0</v>
      </c>
      <c r="H14" s="1">
        <f>'Chem&amp;FertInputs&amp;CInsurance'!AC22</f>
        <v>0</v>
      </c>
      <c r="I14" s="1">
        <f>'Chem&amp;FertInputs&amp;CInsurance'!AC23</f>
        <v>0</v>
      </c>
    </row>
    <row r="15" spans="1:36" ht="20">
      <c r="A15" s="15"/>
      <c r="B15" s="85" t="str">
        <f>'Chem&amp;FertInputs&amp;CInsurance'!B24</f>
        <v>Adjuvant - Ammonium Sulfate  (other)-</v>
      </c>
      <c r="C15" s="23" t="str">
        <f>'Chem&amp;FertInputs&amp;CInsurance'!D24</f>
        <v>pound</v>
      </c>
      <c r="D15" s="116">
        <f>'Chem&amp;FertInputs&amp;CInsurance'!E24</f>
        <v>0.71</v>
      </c>
      <c r="E15" s="133">
        <f>'Chem&amp;FertInputs&amp;CInsurance'!AC24</f>
        <v>0</v>
      </c>
      <c r="F15" s="117" t="str">
        <f t="shared" ref="F15:F16" si="1">IF(D15*E15=0,"0",D15*E15)</f>
        <v>0</v>
      </c>
      <c r="G15" s="165">
        <f>E15/16</f>
        <v>0</v>
      </c>
      <c r="H15" s="1">
        <f>'Chem&amp;FertInputs&amp;CInsurance'!AC25</f>
        <v>0</v>
      </c>
      <c r="I15" s="1">
        <f>'Chem&amp;FertInputs&amp;CInsurance'!AC26</f>
        <v>0</v>
      </c>
    </row>
    <row r="16" spans="1:36" ht="20">
      <c r="A16" s="15"/>
      <c r="B16" s="85" t="str">
        <f>'Chem&amp;FertInputs&amp;CInsurance'!C27</f>
        <v xml:space="preserve">crop oil concentrate </v>
      </c>
      <c r="C16" s="23" t="str">
        <f>'Chem&amp;FertInputs&amp;CInsurance'!D27</f>
        <v>pint</v>
      </c>
      <c r="D16" s="116">
        <f>'Chem&amp;FertInputs&amp;CInsurance'!E27</f>
        <v>1.6559999999999999</v>
      </c>
      <c r="E16" s="133">
        <f>'Chem&amp;FertInputs&amp;CInsurance'!AC27</f>
        <v>0</v>
      </c>
      <c r="F16" s="117" t="str">
        <f t="shared" si="1"/>
        <v>0</v>
      </c>
      <c r="G16" s="165">
        <f>E16/8</f>
        <v>0</v>
      </c>
    </row>
    <row r="17" spans="1:7" ht="20">
      <c r="A17" s="15"/>
      <c r="B17" s="85" t="str">
        <f>'Chem&amp;FertInputs&amp;CInsurance'!C28</f>
        <v>In-place</v>
      </c>
      <c r="C17" s="23" t="str">
        <f>'Chem&amp;FertInputs&amp;CInsurance'!D28</f>
        <v>oz</v>
      </c>
      <c r="D17" s="116">
        <f>'Chem&amp;FertInputs&amp;CInsurance'!E28</f>
        <v>0.35649999999999998</v>
      </c>
      <c r="E17" s="133">
        <f>'Chem&amp;FertInputs&amp;CInsurance'!AC28</f>
        <v>0</v>
      </c>
      <c r="F17" s="117" t="str">
        <f>IF(D17*E17=0,"0",D17*E17)</f>
        <v>0</v>
      </c>
      <c r="G17" s="165">
        <f>E17/128</f>
        <v>0</v>
      </c>
    </row>
    <row r="18" spans="1:7" ht="20">
      <c r="A18" s="15"/>
      <c r="B18" s="85" t="str">
        <f>'Chem&amp;FertInputs&amp;CInsurance'!C29</f>
        <v xml:space="preserve">M90 </v>
      </c>
      <c r="C18" s="23" t="str">
        <f>'Chem&amp;FertInputs&amp;CInsurance'!D29</f>
        <v>oz</v>
      </c>
      <c r="D18" s="116">
        <f>'Chem&amp;FertInputs&amp;CInsurance'!E29</f>
        <v>0.253</v>
      </c>
      <c r="E18" s="133">
        <f>'Chem&amp;FertInputs&amp;CInsurance'!AC29</f>
        <v>0</v>
      </c>
      <c r="F18" s="117" t="str">
        <f>IF(D18*E18=0,"0",D18*E18)</f>
        <v>0</v>
      </c>
      <c r="G18" s="165">
        <f>E18/128</f>
        <v>0</v>
      </c>
    </row>
    <row r="19" spans="1:7" ht="20">
      <c r="A19" s="15"/>
      <c r="B19" s="85" t="str">
        <f>'Chem&amp;FertInputs&amp;CInsurance'!C30</f>
        <v>Surfactant</v>
      </c>
      <c r="C19" s="23" t="str">
        <f>'Chem&amp;FertInputs&amp;CInsurance'!D30</f>
        <v>oz</v>
      </c>
      <c r="D19" s="116">
        <f>'Chem&amp;FertInputs&amp;CInsurance'!E30</f>
        <v>0.26450000000000001</v>
      </c>
      <c r="E19" s="133">
        <f>'Chem&amp;FertInputs&amp;CInsurance'!AC30</f>
        <v>6.4</v>
      </c>
      <c r="F19" s="117">
        <f>IF(D19*E19=0,"0",D19*E19)</f>
        <v>1.6928000000000001</v>
      </c>
      <c r="G19" s="165">
        <f>E19/128</f>
        <v>0.05</v>
      </c>
    </row>
    <row r="20" spans="1:7" ht="20">
      <c r="A20" s="15"/>
      <c r="B20" s="85" t="str">
        <f>'Chem&amp;FertInputs&amp;CInsurance'!C31</f>
        <v>Syltac sticker</v>
      </c>
      <c r="C20" s="23" t="str">
        <f>'Chem&amp;FertInputs&amp;CInsurance'!D31</f>
        <v>pint</v>
      </c>
      <c r="D20" s="116">
        <f>'Chem&amp;FertInputs&amp;CInsurance'!E31</f>
        <v>7.1874999999999991</v>
      </c>
      <c r="E20" s="133">
        <f>'Chem&amp;FertInputs&amp;CInsurance'!AC31</f>
        <v>0</v>
      </c>
      <c r="F20" s="117" t="str">
        <f>IF(D20*E20=0,"0",D20*E20)</f>
        <v>0</v>
      </c>
      <c r="G20" s="165">
        <f>E20/8</f>
        <v>0</v>
      </c>
    </row>
    <row r="21" spans="1:7" ht="20">
      <c r="A21" s="15"/>
      <c r="B21" s="85" t="str">
        <f>'Chem&amp;FertInputs&amp;CInsurance'!C33</f>
        <v>2,4 - D</v>
      </c>
      <c r="C21" s="23" t="str">
        <f>'Chem&amp;FertInputs&amp;CInsurance'!D33</f>
        <v>oz</v>
      </c>
      <c r="D21" s="116">
        <f>'Chem&amp;FertInputs&amp;CInsurance'!E33</f>
        <v>0.33349999999999996</v>
      </c>
      <c r="E21" s="133">
        <f>'Chem&amp;FertInputs&amp;CInsurance'!AC33</f>
        <v>24</v>
      </c>
      <c r="F21" s="117">
        <f t="shared" si="0"/>
        <v>8.0039999999999996</v>
      </c>
      <c r="G21" s="165">
        <f t="shared" ref="G21:G30" si="2">E21/128</f>
        <v>0.1875</v>
      </c>
    </row>
    <row r="22" spans="1:7" ht="20">
      <c r="A22" s="15"/>
      <c r="B22" s="85" t="str">
        <f>'Chem&amp;FertInputs&amp;CInsurance'!C34</f>
        <v>Achieve SC</v>
      </c>
      <c r="C22" s="23" t="str">
        <f>'Chem&amp;FertInputs&amp;CInsurance'!D34</f>
        <v>oz</v>
      </c>
      <c r="D22" s="116">
        <f>'Chem&amp;FertInputs&amp;CInsurance'!E34</f>
        <v>1.3454999999999999</v>
      </c>
      <c r="E22" s="133">
        <f>'Chem&amp;FertInputs&amp;CInsurance'!AC34</f>
        <v>0</v>
      </c>
      <c r="F22" s="117" t="str">
        <f t="shared" si="0"/>
        <v>0</v>
      </c>
      <c r="G22" s="165">
        <f t="shared" si="2"/>
        <v>0</v>
      </c>
    </row>
    <row r="23" spans="1:7" ht="20">
      <c r="A23" s="15"/>
      <c r="B23" s="85" t="str">
        <f>'Chem&amp;FertInputs&amp;CInsurance'!C35</f>
        <v>Affintity TankMix</v>
      </c>
      <c r="C23" s="23" t="str">
        <f>'Chem&amp;FertInputs&amp;CInsurance'!D35</f>
        <v>oz</v>
      </c>
      <c r="D23" s="116">
        <f>'Chem&amp;FertInputs&amp;CInsurance'!E35</f>
        <v>8.9699999999999989</v>
      </c>
      <c r="E23" s="133">
        <f>'Chem&amp;FertInputs&amp;CInsurance'!AC35</f>
        <v>0</v>
      </c>
      <c r="F23" s="117" t="str">
        <f t="shared" si="0"/>
        <v>0</v>
      </c>
      <c r="G23" s="165">
        <f t="shared" si="2"/>
        <v>0</v>
      </c>
    </row>
    <row r="24" spans="1:7" ht="20">
      <c r="A24" s="15"/>
      <c r="B24" s="85" t="str">
        <f>'Chem&amp;FertInputs&amp;CInsurance'!C36</f>
        <v xml:space="preserve">Ally </v>
      </c>
      <c r="C24" s="23" t="str">
        <f>'Chem&amp;FertInputs&amp;CInsurance'!D36</f>
        <v>oz</v>
      </c>
      <c r="D24" s="116">
        <f>'Chem&amp;FertInputs&amp;CInsurance'!E36</f>
        <v>1.7249999999999999</v>
      </c>
      <c r="E24" s="133">
        <f>'Chem&amp;FertInputs&amp;CInsurance'!AC36</f>
        <v>0</v>
      </c>
      <c r="F24" s="117" t="str">
        <f t="shared" si="0"/>
        <v>0</v>
      </c>
      <c r="G24" s="165">
        <f t="shared" si="2"/>
        <v>0</v>
      </c>
    </row>
    <row r="25" spans="1:7" ht="20">
      <c r="A25" s="15"/>
      <c r="B25" s="85" t="str">
        <f>'Chem&amp;FertInputs&amp;CInsurance'!C37</f>
        <v>Assure</v>
      </c>
      <c r="C25" s="23" t="str">
        <f>'Chem&amp;FertInputs&amp;CInsurance'!D37</f>
        <v>oz</v>
      </c>
      <c r="D25" s="116">
        <f>'Chem&amp;FertInputs&amp;CInsurance'!E37</f>
        <v>0.98899999999999988</v>
      </c>
      <c r="E25" s="133">
        <f>'Chem&amp;FertInputs&amp;CInsurance'!AC37</f>
        <v>0</v>
      </c>
      <c r="F25" s="117" t="str">
        <f t="shared" si="0"/>
        <v>0</v>
      </c>
      <c r="G25" s="165">
        <f t="shared" si="2"/>
        <v>0</v>
      </c>
    </row>
    <row r="26" spans="1:7" ht="20">
      <c r="A26" s="15"/>
      <c r="B26" s="85" t="str">
        <f>'Chem&amp;FertInputs&amp;CInsurance'!C38</f>
        <v>Axial Star</v>
      </c>
      <c r="C26" s="23" t="str">
        <f>'Chem&amp;FertInputs&amp;CInsurance'!D38</f>
        <v>oz</v>
      </c>
      <c r="D26" s="116">
        <f>'Chem&amp;FertInputs&amp;CInsurance'!E38</f>
        <v>1.3224999999999998</v>
      </c>
      <c r="E26" s="133">
        <f>'Chem&amp;FertInputs&amp;CInsurance'!AC38</f>
        <v>0</v>
      </c>
      <c r="F26" s="117" t="str">
        <f t="shared" si="0"/>
        <v>0</v>
      </c>
      <c r="G26" s="165">
        <f t="shared" si="2"/>
        <v>0</v>
      </c>
    </row>
    <row r="27" spans="1:7" ht="20">
      <c r="A27" s="15"/>
      <c r="B27" s="85" t="str">
        <f>'Chem&amp;FertInputs&amp;CInsurance'!C39</f>
        <v>Axial Bold</v>
      </c>
      <c r="C27" s="23" t="str">
        <f>'Chem&amp;FertInputs&amp;CInsurance'!D39</f>
        <v>oz</v>
      </c>
      <c r="D27" s="116">
        <f>'Chem&amp;FertInputs&amp;CInsurance'!E39</f>
        <v>1.0924999999999998</v>
      </c>
      <c r="E27" s="133">
        <f>'Chem&amp;FertInputs&amp;CInsurance'!AC39</f>
        <v>0</v>
      </c>
      <c r="F27" s="117" t="str">
        <f t="shared" si="0"/>
        <v>0</v>
      </c>
      <c r="G27" s="165">
        <f t="shared" si="2"/>
        <v>0</v>
      </c>
    </row>
    <row r="28" spans="1:7" ht="20">
      <c r="A28" s="15"/>
      <c r="B28" s="85" t="str">
        <f>'Chem&amp;FertInputs&amp;CInsurance'!C40</f>
        <v>Bronate</v>
      </c>
      <c r="C28" s="23" t="str">
        <f>'Chem&amp;FertInputs&amp;CInsurance'!D40</f>
        <v>oz</v>
      </c>
      <c r="D28" s="116">
        <f>'Chem&amp;FertInputs&amp;CInsurance'!E40</f>
        <v>7.911999999999999</v>
      </c>
      <c r="E28" s="133">
        <f>'Chem&amp;FertInputs&amp;CInsurance'!AC40</f>
        <v>0</v>
      </c>
      <c r="F28" s="117" t="str">
        <f t="shared" si="0"/>
        <v>0</v>
      </c>
      <c r="G28" s="165">
        <f t="shared" si="2"/>
        <v>0</v>
      </c>
    </row>
    <row r="29" spans="1:7" ht="20">
      <c r="A29" s="15"/>
      <c r="B29" s="85" t="str">
        <f>'Chem&amp;FertInputs&amp;CInsurance'!C41</f>
        <v xml:space="preserve">Brox M </v>
      </c>
      <c r="C29" s="23" t="str">
        <f>'Chem&amp;FertInputs&amp;CInsurance'!D41</f>
        <v>oz</v>
      </c>
      <c r="D29" s="116">
        <f>'Chem&amp;FertInputs&amp;CInsurance'!E41</f>
        <v>0.42549999999999999</v>
      </c>
      <c r="E29" s="133">
        <f>'Chem&amp;FertInputs&amp;CInsurance'!AC41</f>
        <v>0</v>
      </c>
      <c r="F29" s="117" t="str">
        <f t="shared" si="0"/>
        <v>0</v>
      </c>
      <c r="G29" s="165">
        <f t="shared" si="2"/>
        <v>0</v>
      </c>
    </row>
    <row r="30" spans="1:7" ht="20">
      <c r="A30" s="15"/>
      <c r="B30" s="85" t="str">
        <f>'Chem&amp;FertInputs&amp;CInsurance'!C42</f>
        <v>Capture</v>
      </c>
      <c r="C30" s="23" t="str">
        <f>'Chem&amp;FertInputs&amp;CInsurance'!D42</f>
        <v>oz</v>
      </c>
      <c r="D30" s="116">
        <f>'Chem&amp;FertInputs&amp;CInsurance'!E42</f>
        <v>2.7024999999999997</v>
      </c>
      <c r="E30" s="133">
        <f>'Chem&amp;FertInputs&amp;CInsurance'!AC42</f>
        <v>0</v>
      </c>
      <c r="F30" s="117" t="str">
        <f t="shared" si="0"/>
        <v>0</v>
      </c>
      <c r="G30" s="165">
        <f t="shared" si="2"/>
        <v>0</v>
      </c>
    </row>
    <row r="31" spans="1:7" ht="20">
      <c r="A31" s="15"/>
      <c r="B31" s="85" t="str">
        <f>'Chem&amp;FertInputs&amp;CInsurance'!C43</f>
        <v xml:space="preserve">Dimethoate </v>
      </c>
      <c r="C31" s="23" t="str">
        <f>'Chem&amp;FertInputs&amp;CInsurance'!D43</f>
        <v>pint</v>
      </c>
      <c r="D31" s="116">
        <f>'Chem&amp;FertInputs&amp;CInsurance'!E43</f>
        <v>7.1874999999999991</v>
      </c>
      <c r="E31" s="133">
        <f>'Chem&amp;FertInputs&amp;CInsurance'!AC43</f>
        <v>0</v>
      </c>
      <c r="F31" s="117" t="str">
        <f t="shared" si="0"/>
        <v>0</v>
      </c>
      <c r="G31" s="165">
        <f>E31/8</f>
        <v>0</v>
      </c>
    </row>
    <row r="32" spans="1:7" ht="20">
      <c r="A32" s="15"/>
      <c r="B32" s="85" t="str">
        <f>'Chem&amp;FertInputs&amp;CInsurance'!C44</f>
        <v>Clethodim</v>
      </c>
      <c r="C32" s="23" t="str">
        <f>'Chem&amp;FertInputs&amp;CInsurance'!D44</f>
        <v>oz</v>
      </c>
      <c r="D32" s="116">
        <f>'Chem&amp;FertInputs&amp;CInsurance'!E44</f>
        <v>0.75900000000000001</v>
      </c>
      <c r="E32" s="133">
        <f>'Chem&amp;FertInputs&amp;CInsurance'!AC44</f>
        <v>0</v>
      </c>
      <c r="F32" s="117" t="str">
        <f t="shared" ref="F32" si="3">IF(D32*E32=0,"0",D32*E32)</f>
        <v>0</v>
      </c>
      <c r="G32" s="165">
        <f t="shared" ref="G32:G37" si="4">E32/128</f>
        <v>0</v>
      </c>
    </row>
    <row r="33" spans="1:7" ht="20">
      <c r="A33" s="15"/>
      <c r="B33" s="85" t="str">
        <f>'Chem&amp;FertInputs&amp;CInsurance'!C45</f>
        <v>Discover</v>
      </c>
      <c r="C33" s="23" t="str">
        <f>'Chem&amp;FertInputs&amp;CInsurance'!D45</f>
        <v>oz</v>
      </c>
      <c r="D33" s="116">
        <f>'Chem&amp;FertInputs&amp;CInsurance'!E45</f>
        <v>1.6904999999999999</v>
      </c>
      <c r="E33" s="133">
        <f>'Chem&amp;FertInputs&amp;CInsurance'!AC45</f>
        <v>0</v>
      </c>
      <c r="F33" s="117" t="str">
        <f t="shared" si="0"/>
        <v>0</v>
      </c>
      <c r="G33" s="165">
        <f t="shared" si="4"/>
        <v>0</v>
      </c>
    </row>
    <row r="34" spans="1:7" ht="20">
      <c r="A34" s="15"/>
      <c r="B34" s="85" t="str">
        <f>'Chem&amp;FertInputs&amp;CInsurance'!C46</f>
        <v>FarGO</v>
      </c>
      <c r="C34" s="23" t="str">
        <f>'Chem&amp;FertInputs&amp;CInsurance'!D46</f>
        <v>oz</v>
      </c>
      <c r="D34" s="116">
        <f>'Chem&amp;FertInputs&amp;CInsurance'!E46</f>
        <v>19.158999999999999</v>
      </c>
      <c r="E34" s="133">
        <f>'Chem&amp;FertInputs&amp;CInsurance'!AC46</f>
        <v>0</v>
      </c>
      <c r="F34" s="117" t="str">
        <f t="shared" si="0"/>
        <v>0</v>
      </c>
      <c r="G34" s="165">
        <f t="shared" si="4"/>
        <v>0</v>
      </c>
    </row>
    <row r="35" spans="1:7" ht="20">
      <c r="A35" s="15"/>
      <c r="B35" s="85" t="str">
        <f>'Chem&amp;FertInputs&amp;CInsurance'!C47</f>
        <v>Finesse</v>
      </c>
      <c r="C35" s="23" t="str">
        <f>'Chem&amp;FertInputs&amp;CInsurance'!D47</f>
        <v>oz</v>
      </c>
      <c r="D35" s="116">
        <f>'Chem&amp;FertInputs&amp;CInsurance'!E47</f>
        <v>19.940999999999999</v>
      </c>
      <c r="E35" s="133">
        <f>'Chem&amp;FertInputs&amp;CInsurance'!AC47</f>
        <v>0</v>
      </c>
      <c r="F35" s="117" t="str">
        <f t="shared" si="0"/>
        <v>0</v>
      </c>
      <c r="G35" s="165">
        <f t="shared" si="4"/>
        <v>0</v>
      </c>
    </row>
    <row r="36" spans="1:7" ht="20">
      <c r="A36" s="15"/>
      <c r="B36" s="85" t="str">
        <f>'Chem&amp;FertInputs&amp;CInsurance'!C48</f>
        <v>Glyphosate</v>
      </c>
      <c r="C36" s="23" t="str">
        <f>'Chem&amp;FertInputs&amp;CInsurance'!D48</f>
        <v>oz</v>
      </c>
      <c r="D36" s="116">
        <f>'Chem&amp;FertInputs&amp;CInsurance'!E48</f>
        <v>0.14949999999999999</v>
      </c>
      <c r="E36" s="133">
        <f>'Chem&amp;FertInputs&amp;CInsurance'!AC48</f>
        <v>24</v>
      </c>
      <c r="F36" s="117">
        <f t="shared" si="0"/>
        <v>3.5880000000000001</v>
      </c>
      <c r="G36" s="165">
        <f t="shared" si="4"/>
        <v>0.1875</v>
      </c>
    </row>
    <row r="37" spans="1:7" ht="20">
      <c r="A37" s="15"/>
      <c r="B37" s="85" t="str">
        <f>'Chem&amp;FertInputs&amp;CInsurance'!C49</f>
        <v>Huskie</v>
      </c>
      <c r="C37" s="23" t="str">
        <f>'Chem&amp;FertInputs&amp;CInsurance'!D49</f>
        <v>oz</v>
      </c>
      <c r="D37" s="116">
        <f>'Chem&amp;FertInputs&amp;CInsurance'!E49</f>
        <v>0.88549999999999995</v>
      </c>
      <c r="E37" s="133">
        <f>'Chem&amp;FertInputs&amp;CInsurance'!AC49</f>
        <v>0</v>
      </c>
      <c r="F37" s="117" t="str">
        <f t="shared" si="0"/>
        <v>0</v>
      </c>
      <c r="G37" s="165">
        <f t="shared" si="4"/>
        <v>0</v>
      </c>
    </row>
    <row r="38" spans="1:7" ht="20">
      <c r="A38" s="15"/>
      <c r="B38" s="85" t="str">
        <f>'Chem&amp;FertInputs&amp;CInsurance'!C50</f>
        <v>Imidan 70</v>
      </c>
      <c r="C38" s="23" t="str">
        <f>'Chem&amp;FertInputs&amp;CInsurance'!D50</f>
        <v>lb</v>
      </c>
      <c r="D38" s="116">
        <f>'Chem&amp;FertInputs&amp;CInsurance'!E50</f>
        <v>17.295999999999999</v>
      </c>
      <c r="E38" s="133">
        <f>'Chem&amp;FertInputs&amp;CInsurance'!AC50</f>
        <v>0</v>
      </c>
      <c r="F38" s="117" t="str">
        <f t="shared" si="0"/>
        <v>0</v>
      </c>
      <c r="G38" s="165">
        <f>E38/16</f>
        <v>0</v>
      </c>
    </row>
    <row r="39" spans="1:7" ht="20">
      <c r="A39" s="15"/>
      <c r="B39" s="85" t="str">
        <f>'Chem&amp;FertInputs&amp;CInsurance'!C51</f>
        <v xml:space="preserve">Maverick </v>
      </c>
      <c r="C39" s="23" t="str">
        <f>'Chem&amp;FertInputs&amp;CInsurance'!D51</f>
        <v>oz</v>
      </c>
      <c r="D39" s="116">
        <f>'Chem&amp;FertInputs&amp;CInsurance'!E51</f>
        <v>23.885499999999997</v>
      </c>
      <c r="E39" s="133">
        <f>'Chem&amp;FertInputs&amp;CInsurance'!AC51</f>
        <v>0</v>
      </c>
      <c r="F39" s="117" t="str">
        <f t="shared" si="0"/>
        <v>0</v>
      </c>
      <c r="G39" s="165">
        <f t="shared" ref="G39:G51" si="5">E39/128</f>
        <v>0</v>
      </c>
    </row>
    <row r="40" spans="1:7" ht="20">
      <c r="A40" s="15"/>
      <c r="B40" s="85" t="str">
        <f>'Chem&amp;FertInputs&amp;CInsurance'!C52</f>
        <v>Osprey</v>
      </c>
      <c r="C40" s="23" t="str">
        <f>'Chem&amp;FertInputs&amp;CInsurance'!D52</f>
        <v>oz</v>
      </c>
      <c r="D40" s="116">
        <f>'Chem&amp;FertInputs&amp;CInsurance'!E52</f>
        <v>5.0484999999999989</v>
      </c>
      <c r="E40" s="133">
        <f>'Chem&amp;FertInputs&amp;CInsurance'!AC52</f>
        <v>0</v>
      </c>
      <c r="F40" s="117" t="str">
        <f t="shared" si="0"/>
        <v>0</v>
      </c>
      <c r="G40" s="165">
        <f t="shared" si="5"/>
        <v>0</v>
      </c>
    </row>
    <row r="41" spans="1:7" ht="20">
      <c r="A41" s="15"/>
      <c r="B41" s="85" t="str">
        <f>'Chem&amp;FertInputs&amp;CInsurance'!C53</f>
        <v>Poast</v>
      </c>
      <c r="C41" s="23" t="str">
        <f>'Chem&amp;FertInputs&amp;CInsurance'!D53</f>
        <v>oz</v>
      </c>
      <c r="D41" s="116">
        <f>'Chem&amp;FertInputs&amp;CInsurance'!E53</f>
        <v>19.285499999999999</v>
      </c>
      <c r="E41" s="133">
        <f>'Chem&amp;FertInputs&amp;CInsurance'!AC53</f>
        <v>0</v>
      </c>
      <c r="F41" s="117" t="str">
        <f t="shared" ref="F41" si="6">IF(D41*E41=0,"0",D41*E41)</f>
        <v>0</v>
      </c>
      <c r="G41" s="165">
        <f t="shared" si="5"/>
        <v>0</v>
      </c>
    </row>
    <row r="42" spans="1:7" ht="20">
      <c r="A42" s="15"/>
      <c r="B42" s="85" t="str">
        <f>'Chem&amp;FertInputs&amp;CInsurance'!C54</f>
        <v>Power Flex</v>
      </c>
      <c r="C42" s="23" t="str">
        <f>'Chem&amp;FertInputs&amp;CInsurance'!D54</f>
        <v>oz</v>
      </c>
      <c r="D42" s="116">
        <f>'Chem&amp;FertInputs&amp;CInsurance'!E54</f>
        <v>8.9124999999999996</v>
      </c>
      <c r="E42" s="133">
        <f>'Chem&amp;FertInputs&amp;CInsurance'!AC54</f>
        <v>0</v>
      </c>
      <c r="F42" s="117" t="str">
        <f t="shared" si="0"/>
        <v>0</v>
      </c>
      <c r="G42" s="165">
        <f t="shared" si="5"/>
        <v>0</v>
      </c>
    </row>
    <row r="43" spans="1:7" ht="20">
      <c r="A43" s="15"/>
      <c r="B43" s="85" t="str">
        <f>'Chem&amp;FertInputs&amp;CInsurance'!C55</f>
        <v>Priaxor</v>
      </c>
      <c r="C43" s="23" t="str">
        <f>'Chem&amp;FertInputs&amp;CInsurance'!D55</f>
        <v>oz</v>
      </c>
      <c r="D43" s="116">
        <f>'Chem&amp;FertInputs&amp;CInsurance'!E55</f>
        <v>3.4269999999999996</v>
      </c>
      <c r="E43" s="133">
        <f>'Chem&amp;FertInputs&amp;CInsurance'!AC55</f>
        <v>0</v>
      </c>
      <c r="F43" s="117" t="str">
        <f t="shared" si="0"/>
        <v>0</v>
      </c>
      <c r="G43" s="165">
        <f t="shared" si="5"/>
        <v>0</v>
      </c>
    </row>
    <row r="44" spans="1:7" ht="20">
      <c r="A44" s="15"/>
      <c r="B44" s="85" t="str">
        <f>'Chem&amp;FertInputs&amp;CInsurance'!C56</f>
        <v>Prowl</v>
      </c>
      <c r="C44" s="23" t="str">
        <f>'Chem&amp;FertInputs&amp;CInsurance'!D56</f>
        <v>oz</v>
      </c>
      <c r="D44" s="116">
        <f>'Chem&amp;FertInputs&amp;CInsurance'!E56</f>
        <v>0.51749999999999996</v>
      </c>
      <c r="E44" s="133">
        <f>'Chem&amp;FertInputs&amp;CInsurance'!AC56</f>
        <v>0</v>
      </c>
      <c r="F44" s="117" t="str">
        <f t="shared" si="0"/>
        <v>0</v>
      </c>
      <c r="G44" s="165">
        <f t="shared" si="5"/>
        <v>0</v>
      </c>
    </row>
    <row r="45" spans="1:7" ht="20">
      <c r="A45" s="15"/>
      <c r="B45" s="85" t="str">
        <f>'Chem&amp;FertInputs&amp;CInsurance'!C57</f>
        <v>Pursuit</v>
      </c>
      <c r="C45" s="23" t="str">
        <f>'Chem&amp;FertInputs&amp;CInsurance'!D57</f>
        <v>oz</v>
      </c>
      <c r="D45" s="116">
        <f>'Chem&amp;FertInputs&amp;CInsurance'!E57</f>
        <v>4.0594999999999999</v>
      </c>
      <c r="E45" s="133">
        <f>'Chem&amp;FertInputs&amp;CInsurance'!AC57</f>
        <v>0</v>
      </c>
      <c r="F45" s="117" t="str">
        <f t="shared" si="0"/>
        <v>0</v>
      </c>
      <c r="G45" s="165">
        <f t="shared" si="5"/>
        <v>0</v>
      </c>
    </row>
    <row r="46" spans="1:7" ht="20">
      <c r="A46" s="15"/>
      <c r="B46" s="85" t="str">
        <f>'Chem&amp;FertInputs&amp;CInsurance'!C58</f>
        <v xml:space="preserve">Quadris </v>
      </c>
      <c r="C46" s="23" t="str">
        <f>'Chem&amp;FertInputs&amp;CInsurance'!D58</f>
        <v>oz</v>
      </c>
      <c r="D46" s="116">
        <f>'Chem&amp;FertInputs&amp;CInsurance'!E58</f>
        <v>1.127</v>
      </c>
      <c r="E46" s="133">
        <f>'Chem&amp;FertInputs&amp;CInsurance'!AC58</f>
        <v>0</v>
      </c>
      <c r="F46" s="117" t="str">
        <f t="shared" si="0"/>
        <v>0</v>
      </c>
      <c r="G46" s="165">
        <f t="shared" si="5"/>
        <v>0</v>
      </c>
    </row>
    <row r="47" spans="1:7" ht="20">
      <c r="A47" s="15"/>
      <c r="B47" s="85" t="str">
        <f>'Chem&amp;FertInputs&amp;CInsurance'!C59</f>
        <v>Quilt</v>
      </c>
      <c r="C47" s="23" t="str">
        <f>'Chem&amp;FertInputs&amp;CInsurance'!D59</f>
        <v>oz</v>
      </c>
      <c r="D47" s="116">
        <f>'Chem&amp;FertInputs&amp;CInsurance'!E59</f>
        <v>1.4834999999999998</v>
      </c>
      <c r="E47" s="133">
        <f>'Chem&amp;FertInputs&amp;CInsurance'!AC59</f>
        <v>0</v>
      </c>
      <c r="F47" s="117" t="str">
        <f t="shared" si="0"/>
        <v>0</v>
      </c>
      <c r="G47" s="165">
        <f t="shared" si="5"/>
        <v>0</v>
      </c>
    </row>
    <row r="48" spans="1:7" ht="20">
      <c r="A48" s="15"/>
      <c r="B48" s="85" t="str">
        <f>'Chem&amp;FertInputs&amp;CInsurance'!C60</f>
        <v>R11</v>
      </c>
      <c r="C48" s="23" t="str">
        <f>'Chem&amp;FertInputs&amp;CInsurance'!D60</f>
        <v>oz</v>
      </c>
      <c r="D48" s="116">
        <f>'Chem&amp;FertInputs&amp;CInsurance'!E60</f>
        <v>0.26450000000000001</v>
      </c>
      <c r="E48" s="133">
        <f>'Chem&amp;FertInputs&amp;CInsurance'!AC60</f>
        <v>0</v>
      </c>
      <c r="F48" s="117" t="str">
        <f t="shared" si="0"/>
        <v>0</v>
      </c>
      <c r="G48" s="165">
        <f t="shared" si="5"/>
        <v>0</v>
      </c>
    </row>
    <row r="49" spans="1:7" ht="20">
      <c r="A49" s="15"/>
      <c r="B49" s="85" t="str">
        <f>'Chem&amp;FertInputs&amp;CInsurance'!C61</f>
        <v>Starane</v>
      </c>
      <c r="C49" s="23" t="str">
        <f>'Chem&amp;FertInputs&amp;CInsurance'!D61</f>
        <v>oz</v>
      </c>
      <c r="D49" s="116">
        <f>'Chem&amp;FertInputs&amp;CInsurance'!E61</f>
        <v>0.77049999999999996</v>
      </c>
      <c r="E49" s="133">
        <f>'Chem&amp;FertInputs&amp;CInsurance'!AC61</f>
        <v>0</v>
      </c>
      <c r="F49" s="117" t="str">
        <f t="shared" si="0"/>
        <v>0</v>
      </c>
      <c r="G49" s="165">
        <f t="shared" si="5"/>
        <v>0</v>
      </c>
    </row>
    <row r="50" spans="1:7" ht="20">
      <c r="A50" s="15"/>
      <c r="B50" s="85" t="str">
        <f>'Chem&amp;FertInputs&amp;CInsurance'!C62</f>
        <v>Starane + Salvo</v>
      </c>
      <c r="C50" s="23" t="str">
        <f>'Chem&amp;FertInputs&amp;CInsurance'!D62</f>
        <v>oz</v>
      </c>
      <c r="D50" s="116">
        <f>'Chem&amp;FertInputs&amp;CInsurance'!E62</f>
        <v>0.77049999999999996</v>
      </c>
      <c r="E50" s="133">
        <f>'Chem&amp;FertInputs&amp;CInsurance'!AC62</f>
        <v>0</v>
      </c>
      <c r="F50" s="117" t="str">
        <f t="shared" si="0"/>
        <v>0</v>
      </c>
      <c r="G50" s="165">
        <f t="shared" si="5"/>
        <v>0</v>
      </c>
    </row>
    <row r="51" spans="1:7" ht="20">
      <c r="A51" s="15"/>
      <c r="B51" s="85" t="str">
        <f>'Chem&amp;FertInputs&amp;CInsurance'!C63</f>
        <v xml:space="preserve">Starane + Sword </v>
      </c>
      <c r="C51" s="23" t="str">
        <f>'Chem&amp;FertInputs&amp;CInsurance'!D63</f>
        <v>oz</v>
      </c>
      <c r="D51" s="116">
        <f>'Chem&amp;FertInputs&amp;CInsurance'!E63</f>
        <v>0.77049999999999996</v>
      </c>
      <c r="E51" s="133">
        <f>'Chem&amp;FertInputs&amp;CInsurance'!AC63</f>
        <v>0</v>
      </c>
      <c r="F51" s="117" t="str">
        <f t="shared" si="0"/>
        <v>0</v>
      </c>
      <c r="G51" s="165">
        <f t="shared" si="5"/>
        <v>0</v>
      </c>
    </row>
    <row r="52" spans="1:7" ht="20">
      <c r="A52" s="15"/>
      <c r="B52" s="85" t="str">
        <f>'Chem&amp;FertInputs&amp;CInsurance'!C64</f>
        <v xml:space="preserve"> Tilt</v>
      </c>
      <c r="C52" s="23" t="str">
        <f>'Chem&amp;FertInputs&amp;CInsurance'!D64</f>
        <v>oz</v>
      </c>
      <c r="D52" s="116">
        <f>'Chem&amp;FertInputs&amp;CInsurance'!E64</f>
        <v>0.88549999999999995</v>
      </c>
      <c r="E52" s="133">
        <f>'Chem&amp;FertInputs&amp;CInsurance'!AC64</f>
        <v>0</v>
      </c>
      <c r="F52" s="117" t="str">
        <f t="shared" ref="F52:F53" si="7">IF(D52*E52=0,"0",D52*E52)</f>
        <v>0</v>
      </c>
      <c r="G52" s="165">
        <f t="shared" ref="G52:G53" si="8">E52/128</f>
        <v>0</v>
      </c>
    </row>
    <row r="53" spans="1:7" ht="20">
      <c r="A53" s="15"/>
      <c r="B53" s="85" t="str">
        <f>'Chem&amp;FertInputs&amp;CInsurance'!C65</f>
        <v xml:space="preserve">Wildcard </v>
      </c>
      <c r="C53" s="23" t="str">
        <f>'Chem&amp;FertInputs&amp;CInsurance'!D65</f>
        <v>oz</v>
      </c>
      <c r="D53" s="116">
        <f>'Chem&amp;FertInputs&amp;CInsurance'!E65</f>
        <v>0.35649999999999998</v>
      </c>
      <c r="E53" s="133">
        <f>'Chem&amp;FertInputs&amp;CInsurance'!AC65</f>
        <v>0</v>
      </c>
      <c r="F53" s="117" t="str">
        <f t="shared" si="7"/>
        <v>0</v>
      </c>
      <c r="G53" s="165">
        <f t="shared" si="8"/>
        <v>0</v>
      </c>
    </row>
    <row r="54" spans="1:7" ht="20">
      <c r="A54" s="15"/>
      <c r="B54" s="85" t="str">
        <f>'Chem&amp;FertInputs&amp;CInsurance'!C66</f>
        <v>Sharpen</v>
      </c>
      <c r="C54" s="23" t="str">
        <f>'Chem&amp;FertInputs&amp;CInsurance'!D66</f>
        <v>oz</v>
      </c>
      <c r="D54" s="116">
        <f>'Chem&amp;FertInputs&amp;CInsurance'!E66</f>
        <v>6.3134999999999994</v>
      </c>
      <c r="E54" s="133">
        <f>'Chem&amp;FertInputs&amp;CInsurance'!AC66</f>
        <v>0</v>
      </c>
      <c r="F54" s="117" t="str">
        <f t="shared" si="0"/>
        <v>0</v>
      </c>
      <c r="G54" s="165">
        <f>E54/128</f>
        <v>0</v>
      </c>
    </row>
    <row r="55" spans="1:7" ht="20">
      <c r="A55" s="15"/>
      <c r="B55" s="85" t="str">
        <f>'Chem&amp;FertInputs&amp;CInsurance'!C67</f>
        <v>Sencor</v>
      </c>
      <c r="C55" s="23" t="str">
        <f>'Chem&amp;FertInputs&amp;CInsurance'!D67</f>
        <v>oz</v>
      </c>
      <c r="D55" s="116">
        <f>'Chem&amp;FertInputs&amp;CInsurance'!E67</f>
        <v>0.45999999999999996</v>
      </c>
      <c r="E55" s="133">
        <f>'Chem&amp;FertInputs&amp;CInsurance'!AC67</f>
        <v>0</v>
      </c>
      <c r="F55" s="117" t="str">
        <f t="shared" si="0"/>
        <v>0</v>
      </c>
      <c r="G55" s="165">
        <f>E55/128</f>
        <v>0</v>
      </c>
    </row>
    <row r="56" spans="1:7" ht="20">
      <c r="A56" s="15"/>
      <c r="B56" s="85" t="str">
        <f>'Chem&amp;FertInputs&amp;CInsurance'!C68</f>
        <v>Warrior</v>
      </c>
      <c r="C56" s="23" t="str">
        <f>'Chem&amp;FertInputs&amp;CInsurance'!D68</f>
        <v>acre</v>
      </c>
      <c r="D56" s="116">
        <f>'Chem&amp;FertInputs&amp;CInsurance'!E68</f>
        <v>3.4499999999999997</v>
      </c>
      <c r="E56" s="133">
        <f>'Chem&amp;FertInputs&amp;CInsurance'!AC68</f>
        <v>0</v>
      </c>
      <c r="F56" s="117" t="str">
        <f t="shared" si="0"/>
        <v>0</v>
      </c>
      <c r="G56" s="165">
        <f>E56/128</f>
        <v>0</v>
      </c>
    </row>
    <row r="57" spans="1:7" ht="20">
      <c r="A57" s="15"/>
      <c r="B57" s="85" t="str">
        <f>'Chem&amp;FertInputs&amp;CInsurance'!C69</f>
        <v xml:space="preserve"> Lorox</v>
      </c>
      <c r="C57" s="23" t="str">
        <f>'Chem&amp;FertInputs&amp;CInsurance'!D69</f>
        <v>lb</v>
      </c>
      <c r="D57" s="116">
        <f>'Chem&amp;FertInputs&amp;CInsurance'!E69</f>
        <v>26.565000000000001</v>
      </c>
      <c r="E57" s="133">
        <f>'Chem&amp;FertInputs&amp;CInsurance'!AC69</f>
        <v>0</v>
      </c>
      <c r="F57" s="117" t="str">
        <f t="shared" si="0"/>
        <v>0</v>
      </c>
      <c r="G57" s="165">
        <f>E57/128</f>
        <v>0</v>
      </c>
    </row>
    <row r="58" spans="1:7" ht="20">
      <c r="A58" s="15"/>
      <c r="B58" s="85" t="str">
        <f>'Chem&amp;FertInputs&amp;CInsurance'!C70</f>
        <v xml:space="preserve"> Valor</v>
      </c>
      <c r="C58" s="23" t="str">
        <f>'Chem&amp;FertInputs&amp;CInsurance'!D70</f>
        <v>oz</v>
      </c>
      <c r="D58" s="116">
        <f>'Chem&amp;FertInputs&amp;CInsurance'!E70</f>
        <v>6.6124999999999998</v>
      </c>
      <c r="E58" s="133">
        <f>'Chem&amp;FertInputs&amp;CInsurance'!AC70</f>
        <v>0</v>
      </c>
      <c r="F58" s="117" t="str">
        <f t="shared" ref="F58:F59" si="9">IF(D58*E58=0,"0",D58*E58)</f>
        <v>0</v>
      </c>
      <c r="G58" s="165">
        <f t="shared" ref="G58:G59" si="10">E58/128</f>
        <v>0</v>
      </c>
    </row>
    <row r="59" spans="1:7" ht="20">
      <c r="A59" s="15"/>
      <c r="B59" s="85" t="str">
        <f>'Chem&amp;FertInputs&amp;CInsurance'!C71</f>
        <v xml:space="preserve"> Diagon</v>
      </c>
      <c r="C59" s="23" t="str">
        <f>'Chem&amp;FertInputs&amp;CInsurance'!D71</f>
        <v>oz</v>
      </c>
      <c r="D59" s="116">
        <f>'Chem&amp;FertInputs&amp;CInsurance'!E71</f>
        <v>0.43699999999999994</v>
      </c>
      <c r="E59" s="133">
        <f>'Chem&amp;FertInputs&amp;CInsurance'!AC71</f>
        <v>0</v>
      </c>
      <c r="F59" s="117" t="str">
        <f t="shared" si="9"/>
        <v>0</v>
      </c>
      <c r="G59" s="165">
        <f t="shared" si="10"/>
        <v>0</v>
      </c>
    </row>
    <row r="60" spans="1:7" ht="20">
      <c r="A60" s="15"/>
      <c r="B60" s="85" t="str">
        <f>'Chem&amp;FertInputs&amp;CInsurance'!C72</f>
        <v xml:space="preserve">Spartan </v>
      </c>
      <c r="C60" s="23" t="str">
        <f>'Chem&amp;FertInputs&amp;CInsurance'!D72</f>
        <v>oz</v>
      </c>
      <c r="D60" s="116">
        <f>'Chem&amp;FertInputs&amp;CInsurance'!E72</f>
        <v>2.0469999999999997</v>
      </c>
      <c r="E60" s="133">
        <f>'Chem&amp;FertInputs&amp;CInsurance'!AC72</f>
        <v>0</v>
      </c>
      <c r="F60" s="117" t="str">
        <f t="shared" si="0"/>
        <v>0</v>
      </c>
      <c r="G60" s="165">
        <f>E60/128</f>
        <v>0</v>
      </c>
    </row>
    <row r="61" spans="1:7" ht="23">
      <c r="A61" s="15"/>
      <c r="B61" s="85" t="str">
        <f>'Chem&amp;FertInputs&amp;CInsurance'!C32</f>
        <v xml:space="preserve">Round Up </v>
      </c>
      <c r="C61" s="23" t="str">
        <f>'Chem&amp;FertInputs&amp;CInsurance'!D32</f>
        <v>oz</v>
      </c>
      <c r="D61" s="116">
        <f>'Chem&amp;FertInputs&amp;CInsurance'!E32</f>
        <v>0.14949999999999999</v>
      </c>
      <c r="E61" s="133">
        <f>'Chem&amp;FertInputs&amp;CInsurance'!AC32</f>
        <v>0</v>
      </c>
      <c r="F61" s="117" t="str">
        <f t="shared" si="0"/>
        <v>0</v>
      </c>
      <c r="G61" s="225">
        <f>E61/128</f>
        <v>0</v>
      </c>
    </row>
    <row r="62" spans="1:7" ht="20">
      <c r="A62" s="15"/>
      <c r="B62" s="139" t="s">
        <v>86</v>
      </c>
      <c r="C62" s="23"/>
      <c r="D62" s="116"/>
      <c r="E62" s="133"/>
      <c r="F62" s="117"/>
      <c r="G62" s="165">
        <f>SUM(G14:G61)</f>
        <v>0.42499999999999999</v>
      </c>
    </row>
    <row r="63" spans="1:7" ht="20">
      <c r="A63" s="15"/>
      <c r="B63" s="125" t="str">
        <f>CustomRates!B5</f>
        <v>Aerial (Custom)</v>
      </c>
      <c r="C63" s="41" t="str">
        <f>CustomRates!C5</f>
        <v>acre</v>
      </c>
      <c r="D63" s="116">
        <f>CustomRates!AA5</f>
        <v>8.9499999999999993</v>
      </c>
      <c r="E63" s="87">
        <f>CustomRates!AA6</f>
        <v>0</v>
      </c>
      <c r="F63" s="117" t="str">
        <f t="shared" ref="F63:F70" si="11">IF(D63*E63=0,"0",D63*E63)</f>
        <v>0</v>
      </c>
    </row>
    <row r="64" spans="1:7" ht="20">
      <c r="A64" s="15"/>
      <c r="B64" s="125" t="str">
        <f>CustomRates!B7</f>
        <v>Sprayer (Rental 90')</v>
      </c>
      <c r="C64" s="41" t="str">
        <f>CustomRates!C7</f>
        <v>acre</v>
      </c>
      <c r="D64" s="116">
        <f>CustomRates!AA7</f>
        <v>8</v>
      </c>
      <c r="E64" s="87">
        <f>CustomRates!AA8</f>
        <v>0</v>
      </c>
      <c r="F64" s="117" t="str">
        <f t="shared" si="11"/>
        <v>0</v>
      </c>
    </row>
    <row r="65" spans="1:9" ht="20">
      <c r="A65" s="15"/>
      <c r="B65" s="125" t="str">
        <f>CustomRates!B9</f>
        <v>Fertilizer - Anhydrous Applicator (Rent)</v>
      </c>
      <c r="C65" s="41" t="str">
        <f>CustomRates!C9</f>
        <v>acre</v>
      </c>
      <c r="D65" s="116">
        <f>CustomRates!AA9</f>
        <v>7</v>
      </c>
      <c r="E65" s="87">
        <f>CustomRates!AA10</f>
        <v>0</v>
      </c>
      <c r="F65" s="117" t="str">
        <f t="shared" si="11"/>
        <v>0</v>
      </c>
    </row>
    <row r="66" spans="1:9" ht="20">
      <c r="A66" s="15"/>
      <c r="B66" s="125" t="str">
        <f>CustomRates!B11</f>
        <v>Fertilizer Applicator</v>
      </c>
      <c r="C66" s="41" t="str">
        <f>CustomRates!C11</f>
        <v>acre</v>
      </c>
      <c r="D66" s="116">
        <f>CustomRates!AA11</f>
        <v>2</v>
      </c>
      <c r="E66" s="87">
        <f>CustomRates!AA12</f>
        <v>0</v>
      </c>
      <c r="F66" s="117" t="str">
        <f t="shared" si="11"/>
        <v>0</v>
      </c>
    </row>
    <row r="67" spans="1:9" ht="20">
      <c r="A67" s="15"/>
      <c r="B67" s="125" t="str">
        <f>CustomRates!B13</f>
        <v>26' Rental Shredder</v>
      </c>
      <c r="C67" s="41" t="str">
        <f>CustomRates!C13</f>
        <v>acre</v>
      </c>
      <c r="D67" s="116">
        <f>CustomRates!AA13</f>
        <v>10</v>
      </c>
      <c r="E67" s="87">
        <f>CustomRates!AA14</f>
        <v>0</v>
      </c>
      <c r="F67" s="117" t="str">
        <f t="shared" si="11"/>
        <v>0</v>
      </c>
    </row>
    <row r="68" spans="1:9" ht="20">
      <c r="A68" s="15"/>
      <c r="B68" s="125" t="str">
        <f>CustomRates!B15</f>
        <v>36' Ripper Shooter</v>
      </c>
      <c r="C68" s="41" t="str">
        <f>CustomRates!C15</f>
        <v>acre</v>
      </c>
      <c r="D68" s="116">
        <f>CustomRates!AA15</f>
        <v>2.5</v>
      </c>
      <c r="E68" s="87">
        <f>CustomRates!AA16</f>
        <v>0</v>
      </c>
      <c r="F68" s="117" t="str">
        <f t="shared" si="11"/>
        <v>0</v>
      </c>
    </row>
    <row r="69" spans="1:9" ht="20">
      <c r="A69" s="15"/>
      <c r="B69" s="125" t="str">
        <f>CustomRates!B17</f>
        <v>Custom self-propelled sprayer</v>
      </c>
      <c r="C69" s="41" t="str">
        <f>CustomRates!C17</f>
        <v>acre</v>
      </c>
      <c r="D69" s="116">
        <f>CustomRates!AA17</f>
        <v>8</v>
      </c>
      <c r="E69" s="87">
        <f>CustomRates!AA18</f>
        <v>0</v>
      </c>
      <c r="F69" s="117" t="str">
        <f t="shared" si="11"/>
        <v>0</v>
      </c>
    </row>
    <row r="70" spans="1:9" ht="20">
      <c r="A70" s="15"/>
      <c r="B70" s="125" t="str">
        <f>CustomRates!B19</f>
        <v>Additional Operation #8 (Custom)</v>
      </c>
      <c r="C70" s="41" t="str">
        <f>CustomRates!C19</f>
        <v>acre</v>
      </c>
      <c r="D70" s="116">
        <f>CustomRates!AA19</f>
        <v>0</v>
      </c>
      <c r="E70" s="87">
        <f>CustomRates!AA20</f>
        <v>0</v>
      </c>
      <c r="F70" s="117" t="str">
        <f t="shared" si="11"/>
        <v>0</v>
      </c>
    </row>
    <row r="71" spans="1:9" ht="20">
      <c r="A71" s="15"/>
      <c r="B71" s="139" t="s">
        <v>87</v>
      </c>
      <c r="C71" s="41"/>
      <c r="D71" s="116"/>
      <c r="E71" s="116"/>
      <c r="F71" s="117"/>
      <c r="H71" s="1" t="s">
        <v>204</v>
      </c>
      <c r="I71" s="1" t="s">
        <v>135</v>
      </c>
    </row>
    <row r="72" spans="1:9" ht="20">
      <c r="A72" s="15"/>
      <c r="B72" s="85" t="str">
        <f>MachineAssumptions!B7&amp;" - Labor"</f>
        <v>Shredder - Labor</v>
      </c>
      <c r="C72" s="41" t="s">
        <v>246</v>
      </c>
      <c r="D72" s="116">
        <f>MachineAssumptions!$R$7</f>
        <v>1.4996591683708247</v>
      </c>
      <c r="E72" s="87">
        <f>FieldApplications!$Z$6</f>
        <v>0</v>
      </c>
      <c r="F72" s="117" t="str">
        <f t="shared" ref="F72:F113" si="12">IF(D72*E72=0,"0",D72*E72)</f>
        <v>0</v>
      </c>
      <c r="H72" s="246">
        <f>MachineAssumptions!$R$28*E72</f>
        <v>0</v>
      </c>
      <c r="I72" s="166">
        <f>MachineAssumptions!$R$48*E72</f>
        <v>0</v>
      </c>
    </row>
    <row r="73" spans="1:9" ht="20">
      <c r="A73" s="15"/>
      <c r="B73" s="85" t="str">
        <f>MachineAssumptions!B7&amp;" - Fuel, Lube"</f>
        <v>Shredder - Fuel, Lube</v>
      </c>
      <c r="C73" s="41" t="s">
        <v>246</v>
      </c>
      <c r="D73" s="116">
        <f>MachineAssumptions!$S$7</f>
        <v>5.7486934787548281</v>
      </c>
      <c r="E73" s="87">
        <f>FieldApplications!$Z$6</f>
        <v>0</v>
      </c>
      <c r="F73" s="117" t="str">
        <f t="shared" si="12"/>
        <v>0</v>
      </c>
      <c r="H73" s="246">
        <f>MachineAssumptions!$S$28*E73</f>
        <v>0</v>
      </c>
      <c r="I73" s="166">
        <f>MachineAssumptions!$S$48*E73</f>
        <v>0</v>
      </c>
    </row>
    <row r="74" spans="1:9" ht="20">
      <c r="A74" s="15"/>
      <c r="B74" s="85" t="str">
        <f>MachineAssumptions!B7&amp;" - Repairs"</f>
        <v>Shredder - Repairs</v>
      </c>
      <c r="C74" s="41" t="s">
        <v>246</v>
      </c>
      <c r="D74" s="116">
        <f>MachineAssumptions!$T$7</f>
        <v>0.46726721181997538</v>
      </c>
      <c r="E74" s="87">
        <f>FieldApplications!$Z$6</f>
        <v>0</v>
      </c>
      <c r="F74" s="117" t="str">
        <f t="shared" si="12"/>
        <v>0</v>
      </c>
      <c r="H74" s="246">
        <f>MachineAssumptions!$T$28*E74</f>
        <v>0</v>
      </c>
      <c r="I74" s="166">
        <f>MachineAssumptions!$T$48*E74</f>
        <v>0</v>
      </c>
    </row>
    <row r="75" spans="1:9" ht="20">
      <c r="A75" s="15"/>
      <c r="B75" s="85" t="str">
        <f>MachineAssumptions!B8&amp;" - Labor"</f>
        <v>Harrow - Labor</v>
      </c>
      <c r="C75" s="41" t="s">
        <v>246</v>
      </c>
      <c r="D75" s="116">
        <f>MachineAssumptions!$R$8</f>
        <v>0.59412746734753996</v>
      </c>
      <c r="E75" s="87">
        <f>FieldApplications!$Z$7</f>
        <v>1</v>
      </c>
      <c r="F75" s="117">
        <f t="shared" si="12"/>
        <v>0.59412746734753996</v>
      </c>
      <c r="H75" s="246">
        <f>MachineAssumptions!$R$29*E75</f>
        <v>0.59412746734753996</v>
      </c>
      <c r="I75" s="166">
        <f>MachineAssumptions!$R$49*E75</f>
        <v>0.59412746734753996</v>
      </c>
    </row>
    <row r="76" spans="1:9" ht="20">
      <c r="A76" s="15"/>
      <c r="B76" s="85" t="str">
        <f>MachineAssumptions!B8&amp;" - Fuel, Lube"</f>
        <v>Harrow - Fuel, Lube</v>
      </c>
      <c r="C76" s="41" t="s">
        <v>246</v>
      </c>
      <c r="D76" s="116">
        <f>MachineAssumptions!$S$8</f>
        <v>2.4845330452715308</v>
      </c>
      <c r="E76" s="87">
        <f>FieldApplications!$Z$7</f>
        <v>1</v>
      </c>
      <c r="F76" s="117">
        <f t="shared" si="12"/>
        <v>2.4845330452715308</v>
      </c>
      <c r="H76" s="246">
        <f>MachineAssumptions!$S$29*E76</f>
        <v>2.4845330452715308</v>
      </c>
      <c r="I76" s="166">
        <f>MachineAssumptions!$S$49*E76</f>
        <v>2.4845330452715308</v>
      </c>
    </row>
    <row r="77" spans="1:9" ht="20">
      <c r="A77" s="15"/>
      <c r="B77" s="85" t="str">
        <f>MachineAssumptions!B8&amp;" - Repairs"</f>
        <v>Harrow - Repairs</v>
      </c>
      <c r="C77" s="41" t="s">
        <v>246</v>
      </c>
      <c r="D77" s="116">
        <f>MachineAssumptions!$T$8</f>
        <v>0.14755184964846621</v>
      </c>
      <c r="E77" s="87">
        <f>FieldApplications!$Z$7</f>
        <v>1</v>
      </c>
      <c r="F77" s="117">
        <f t="shared" si="12"/>
        <v>0.14755184964846621</v>
      </c>
      <c r="H77" s="246">
        <f>MachineAssumptions!$T$29*E77</f>
        <v>0.14755184964846621</v>
      </c>
      <c r="I77" s="166">
        <f>MachineAssumptions!$T$49*E77</f>
        <v>0.1350847093995611</v>
      </c>
    </row>
    <row r="78" spans="1:9" ht="20">
      <c r="A78" s="15"/>
      <c r="B78" s="85" t="str">
        <f>MachineAssumptions!B9&amp;" - Labor"</f>
        <v>Chisel plow - Labor</v>
      </c>
      <c r="C78" s="41" t="s">
        <v>246</v>
      </c>
      <c r="D78" s="116">
        <f>MachineAssumptions!$R$9</f>
        <v>0</v>
      </c>
      <c r="E78" s="87">
        <f>FieldApplications!$Z$8</f>
        <v>0</v>
      </c>
      <c r="F78" s="117" t="str">
        <f t="shared" si="12"/>
        <v>0</v>
      </c>
      <c r="H78" s="246">
        <f>MachineAssumptions!$R$30*E78</f>
        <v>0</v>
      </c>
      <c r="I78" s="166">
        <f>MachineAssumptions!$R$50*E78</f>
        <v>0</v>
      </c>
    </row>
    <row r="79" spans="1:9" ht="20">
      <c r="A79" s="15"/>
      <c r="B79" s="85" t="str">
        <f>MachineAssumptions!B9&amp;" - Fuel, Lube"</f>
        <v>Chisel plow - Fuel, Lube</v>
      </c>
      <c r="C79" s="41" t="s">
        <v>246</v>
      </c>
      <c r="D79" s="116">
        <f>MachineAssumptions!$S$9</f>
        <v>0</v>
      </c>
      <c r="E79" s="87">
        <f>FieldApplications!$Z$8</f>
        <v>0</v>
      </c>
      <c r="F79" s="117" t="str">
        <f t="shared" si="12"/>
        <v>0</v>
      </c>
      <c r="H79" s="246">
        <f>MachineAssumptions!$R$30*E79</f>
        <v>0</v>
      </c>
      <c r="I79" s="166">
        <f>MachineAssumptions!$S$50*E79</f>
        <v>0</v>
      </c>
    </row>
    <row r="80" spans="1:9" ht="20">
      <c r="A80" s="15"/>
      <c r="B80" s="85" t="str">
        <f>MachineAssumptions!B9&amp;" - Repairs"</f>
        <v>Chisel plow - Repairs</v>
      </c>
      <c r="C80" s="41" t="s">
        <v>246</v>
      </c>
      <c r="D80" s="116">
        <f>MachineAssumptions!$T$9</f>
        <v>0</v>
      </c>
      <c r="E80" s="87">
        <f>FieldApplications!$Z$8</f>
        <v>0</v>
      </c>
      <c r="F80" s="117" t="str">
        <f t="shared" si="12"/>
        <v>0</v>
      </c>
      <c r="H80" s="246">
        <f>MachineAssumptions!$T$30*E80</f>
        <v>0</v>
      </c>
      <c r="I80" s="166">
        <f>MachineAssumptions!$T$50*E80</f>
        <v>0</v>
      </c>
    </row>
    <row r="81" spans="1:9" ht="20">
      <c r="A81" s="15"/>
      <c r="B81" s="85" t="str">
        <f>MachineAssumptions!B10&amp;" - Labor"</f>
        <v>Moldboard plow - Labor</v>
      </c>
      <c r="C81" s="41" t="s">
        <v>246</v>
      </c>
      <c r="D81" s="116">
        <f>MachineAssumptions!$R$10</f>
        <v>0</v>
      </c>
      <c r="E81" s="87">
        <f>FieldApplications!$Z$9</f>
        <v>0</v>
      </c>
      <c r="F81" s="117" t="str">
        <f t="shared" si="12"/>
        <v>0</v>
      </c>
      <c r="H81" s="246">
        <f>MachineAssumptions!$R$31*E81</f>
        <v>0</v>
      </c>
      <c r="I81" s="166">
        <f>MachineAssumptions!$R$51*E81</f>
        <v>0</v>
      </c>
    </row>
    <row r="82" spans="1:9" ht="20">
      <c r="A82" s="15"/>
      <c r="B82" s="85" t="str">
        <f>MachineAssumptions!B10&amp;" - Fuel, Lube"</f>
        <v>Moldboard plow - Fuel, Lube</v>
      </c>
      <c r="C82" s="41" t="s">
        <v>246</v>
      </c>
      <c r="D82" s="116">
        <f>MachineAssumptions!$S$10</f>
        <v>0</v>
      </c>
      <c r="E82" s="87">
        <f>FieldApplications!$Z$9</f>
        <v>0</v>
      </c>
      <c r="F82" s="117" t="str">
        <f t="shared" si="12"/>
        <v>0</v>
      </c>
      <c r="H82" s="246">
        <f>MachineAssumptions!$S$31*E82</f>
        <v>0</v>
      </c>
      <c r="I82" s="166">
        <f>MachineAssumptions!$S$51*E82</f>
        <v>0</v>
      </c>
    </row>
    <row r="83" spans="1:9" ht="20">
      <c r="A83" s="15"/>
      <c r="B83" s="85" t="str">
        <f>MachineAssumptions!B10&amp;" - Repairs"</f>
        <v>Moldboard plow - Repairs</v>
      </c>
      <c r="C83" s="41" t="s">
        <v>246</v>
      </c>
      <c r="D83" s="116">
        <f>MachineAssumptions!$T$10</f>
        <v>0</v>
      </c>
      <c r="E83" s="87">
        <f>FieldApplications!$Z$9</f>
        <v>0</v>
      </c>
      <c r="F83" s="117" t="str">
        <f t="shared" si="12"/>
        <v>0</v>
      </c>
      <c r="H83" s="246">
        <f>MachineAssumptions!$T$31*E83</f>
        <v>0</v>
      </c>
      <c r="I83" s="166">
        <f>MachineAssumptions!$T$51*E83</f>
        <v>0</v>
      </c>
    </row>
    <row r="84" spans="1:9" ht="20">
      <c r="A84" s="15"/>
      <c r="B84" s="85" t="str">
        <f>MachineAssumptions!B11&amp;" - Labor"</f>
        <v>Cultivator - Labor</v>
      </c>
      <c r="C84" s="41" t="s">
        <v>246</v>
      </c>
      <c r="D84" s="116">
        <f>MachineAssumptions!$R$11</f>
        <v>0</v>
      </c>
      <c r="E84" s="87">
        <f>FieldApplications!$Z$10</f>
        <v>0</v>
      </c>
      <c r="F84" s="117" t="str">
        <f t="shared" si="12"/>
        <v>0</v>
      </c>
      <c r="H84" s="246">
        <f>MachineAssumptions!$R$32*E84</f>
        <v>0</v>
      </c>
      <c r="I84" s="166">
        <f>MachineAssumptions!$R$52*E84</f>
        <v>0</v>
      </c>
    </row>
    <row r="85" spans="1:9" ht="20">
      <c r="A85" s="15"/>
      <c r="B85" s="85" t="str">
        <f>MachineAssumptions!B11&amp;" - Fuel, Lube"</f>
        <v>Cultivator - Fuel, Lube</v>
      </c>
      <c r="C85" s="41" t="s">
        <v>246</v>
      </c>
      <c r="D85" s="116">
        <f>MachineAssumptions!$S$11</f>
        <v>0</v>
      </c>
      <c r="E85" s="87">
        <f>FieldApplications!$Z$10</f>
        <v>0</v>
      </c>
      <c r="F85" s="117" t="str">
        <f t="shared" si="12"/>
        <v>0</v>
      </c>
      <c r="H85" s="246">
        <f>MachineAssumptions!$S$32*E85</f>
        <v>0</v>
      </c>
      <c r="I85" s="166">
        <f>MachineAssumptions!$S$52*E85</f>
        <v>0</v>
      </c>
    </row>
    <row r="86" spans="1:9" ht="20">
      <c r="A86" s="15"/>
      <c r="B86" s="85" t="str">
        <f>MachineAssumptions!B11&amp;" - Repairs"</f>
        <v>Cultivator - Repairs</v>
      </c>
      <c r="C86" s="41" t="s">
        <v>246</v>
      </c>
      <c r="D86" s="116">
        <f>MachineAssumptions!$T$11</f>
        <v>0</v>
      </c>
      <c r="E86" s="87">
        <f>FieldApplications!$Z$10</f>
        <v>0</v>
      </c>
      <c r="F86" s="117" t="str">
        <f t="shared" si="12"/>
        <v>0</v>
      </c>
      <c r="H86" s="246">
        <f>MachineAssumptions!$T$32*E86</f>
        <v>0</v>
      </c>
      <c r="I86" s="166">
        <f>MachineAssumptions!$T$52*E86</f>
        <v>0</v>
      </c>
    </row>
    <row r="87" spans="1:9" ht="20">
      <c r="A87" s="15"/>
      <c r="B87" s="85" t="str">
        <f>MachineAssumptions!B12&amp;" - Labor"</f>
        <v>Cultiweeder - Labor</v>
      </c>
      <c r="C87" s="41" t="s">
        <v>246</v>
      </c>
      <c r="D87" s="116">
        <f>MachineAssumptions!$R$12</f>
        <v>0</v>
      </c>
      <c r="E87" s="87">
        <f>FieldApplications!$Z$11</f>
        <v>0</v>
      </c>
      <c r="F87" s="117" t="str">
        <f t="shared" si="12"/>
        <v>0</v>
      </c>
      <c r="H87" s="246">
        <f>MachineAssumptions!$R$33*E87</f>
        <v>0</v>
      </c>
      <c r="I87" s="166">
        <f>MachineAssumptions!$R$53*E87</f>
        <v>0</v>
      </c>
    </row>
    <row r="88" spans="1:9" ht="20">
      <c r="A88" s="15"/>
      <c r="B88" s="85" t="str">
        <f>MachineAssumptions!B12&amp;" - Fuel, Lube"</f>
        <v>Cultiweeder - Fuel, Lube</v>
      </c>
      <c r="C88" s="41" t="s">
        <v>246</v>
      </c>
      <c r="D88" s="116">
        <f>MachineAssumptions!$S$12</f>
        <v>0</v>
      </c>
      <c r="E88" s="87">
        <f>FieldApplications!$Z$11</f>
        <v>0</v>
      </c>
      <c r="F88" s="117" t="str">
        <f t="shared" si="12"/>
        <v>0</v>
      </c>
      <c r="H88" s="246">
        <f>MachineAssumptions!$S$33*E88</f>
        <v>0</v>
      </c>
      <c r="I88" s="166">
        <f>MachineAssumptions!$S$53*E88</f>
        <v>0</v>
      </c>
    </row>
    <row r="89" spans="1:9" ht="20">
      <c r="A89" s="15"/>
      <c r="B89" s="85" t="str">
        <f>MachineAssumptions!B12&amp;" - Repairs"</f>
        <v>Cultiweeder - Repairs</v>
      </c>
      <c r="C89" s="41" t="s">
        <v>246</v>
      </c>
      <c r="D89" s="116">
        <f>MachineAssumptions!$T$12</f>
        <v>0</v>
      </c>
      <c r="E89" s="87">
        <f>FieldApplications!$Z$11</f>
        <v>0</v>
      </c>
      <c r="F89" s="117" t="str">
        <f t="shared" si="12"/>
        <v>0</v>
      </c>
      <c r="H89" s="246">
        <f>MachineAssumptions!$T$33*E89</f>
        <v>0</v>
      </c>
      <c r="I89" s="166">
        <f>MachineAssumptions!$T$53*E89</f>
        <v>0</v>
      </c>
    </row>
    <row r="90" spans="1:9" ht="20">
      <c r="A90" s="15"/>
      <c r="B90" s="85" t="str">
        <f>MachineAssumptions!B13&amp;" - Labor"</f>
        <v>Drill - Labor</v>
      </c>
      <c r="C90" s="41" t="s">
        <v>246</v>
      </c>
      <c r="D90" s="116">
        <f>MachineAssumptions!$R$13</f>
        <v>1.6703109815354713</v>
      </c>
      <c r="E90" s="87">
        <f>FieldApplications!$Z$12</f>
        <v>1</v>
      </c>
      <c r="F90" s="117">
        <f t="shared" si="12"/>
        <v>1.6703109815354713</v>
      </c>
      <c r="H90" s="246">
        <f>MachineAssumptions!$R$34*E90</f>
        <v>1.6703109815354713</v>
      </c>
      <c r="I90" s="166">
        <f>MachineAssumptions!$R$54*E90</f>
        <v>1.6703109815354713</v>
      </c>
    </row>
    <row r="91" spans="1:9" ht="20">
      <c r="A91" s="15"/>
      <c r="B91" s="85" t="str">
        <f>MachineAssumptions!B13&amp;" - Fuel, Lube"</f>
        <v>Drill - Fuel, Lube</v>
      </c>
      <c r="C91" s="41" t="s">
        <v>246</v>
      </c>
      <c r="D91" s="116">
        <f>MachineAssumptions!$S$13</f>
        <v>6.146744412050535</v>
      </c>
      <c r="E91" s="87">
        <f>FieldApplications!$Z$12</f>
        <v>1</v>
      </c>
      <c r="F91" s="117">
        <f t="shared" si="12"/>
        <v>6.146744412050535</v>
      </c>
      <c r="H91" s="246">
        <f>MachineAssumptions!$S$34*E91</f>
        <v>6.146744412050535</v>
      </c>
      <c r="I91" s="166">
        <f>MachineAssumptions!$S$54*E91</f>
        <v>6.146744412050535</v>
      </c>
    </row>
    <row r="92" spans="1:9" ht="20">
      <c r="A92" s="15"/>
      <c r="B92" s="85" t="str">
        <f>MachineAssumptions!B13&amp;" - Repairs"</f>
        <v>Drill - Repairs</v>
      </c>
      <c r="C92" s="41" t="s">
        <v>246</v>
      </c>
      <c r="D92" s="116">
        <f>MachineAssumptions!$T$13</f>
        <v>5.740409656342587</v>
      </c>
      <c r="E92" s="87">
        <f>FieldApplications!$Z$12</f>
        <v>1</v>
      </c>
      <c r="F92" s="117">
        <f t="shared" si="12"/>
        <v>5.740409656342587</v>
      </c>
      <c r="H92" s="246">
        <f>MachineAssumptions!$T$34*E92</f>
        <v>5.740409656342587</v>
      </c>
      <c r="I92" s="166">
        <f>MachineAssumptions!$T$54*E92</f>
        <v>5.740409656342587</v>
      </c>
    </row>
    <row r="93" spans="1:9" ht="20">
      <c r="A93" s="15"/>
      <c r="B93" s="85" t="str">
        <f>MachineAssumptions!B14&amp;" - Labor"</f>
        <v>Combine w/ 36' header - Labor</v>
      </c>
      <c r="C93" s="41" t="s">
        <v>246</v>
      </c>
      <c r="D93" s="116">
        <f>MachineAssumptions!$R$14</f>
        <v>1.9161092530657748</v>
      </c>
      <c r="E93" s="87">
        <f>FieldApplications!$Z$13</f>
        <v>0</v>
      </c>
      <c r="F93" s="117" t="str">
        <f t="shared" si="12"/>
        <v>0</v>
      </c>
      <c r="H93" s="246">
        <f>MachineAssumptions!$R$35*E93</f>
        <v>0</v>
      </c>
      <c r="I93" s="166">
        <f>MachineAssumptions!$R$55*E93</f>
        <v>0</v>
      </c>
    </row>
    <row r="94" spans="1:9" ht="20">
      <c r="A94" s="15"/>
      <c r="B94" s="85" t="str">
        <f>MachineAssumptions!B14&amp;" - Fuel, Lube"</f>
        <v>Combine w/ 36' header - Fuel, Lube</v>
      </c>
      <c r="C94" s="41" t="s">
        <v>246</v>
      </c>
      <c r="D94" s="116">
        <f>MachineAssumptions!$S$14</f>
        <v>7.0512820512820511</v>
      </c>
      <c r="E94" s="87">
        <f>FieldApplications!$Z$13</f>
        <v>0</v>
      </c>
      <c r="F94" s="117" t="str">
        <f t="shared" si="12"/>
        <v>0</v>
      </c>
      <c r="H94" s="246">
        <f>MachineAssumptions!$S$35*E94</f>
        <v>0</v>
      </c>
      <c r="I94" s="166">
        <f>MachineAssumptions!$S$55*E94</f>
        <v>0</v>
      </c>
    </row>
    <row r="95" spans="1:9" ht="20">
      <c r="A95" s="15"/>
      <c r="B95" s="85" t="str">
        <f>MachineAssumptions!B14&amp;" - Repairs"</f>
        <v>Combine w/ 36' header - Repairs</v>
      </c>
      <c r="C95" s="41" t="s">
        <v>246</v>
      </c>
      <c r="D95" s="116">
        <f>MachineAssumptions!$T$14</f>
        <v>6.4258281801385913</v>
      </c>
      <c r="E95" s="87">
        <f>FieldApplications!$Z$13</f>
        <v>0</v>
      </c>
      <c r="F95" s="117" t="str">
        <f t="shared" si="12"/>
        <v>0</v>
      </c>
      <c r="H95" s="246">
        <f>MachineAssumptions!$T$35*E95</f>
        <v>0</v>
      </c>
      <c r="I95" s="166">
        <f>MachineAssumptions!$T$55*E95</f>
        <v>0</v>
      </c>
    </row>
    <row r="96" spans="1:9" ht="20">
      <c r="A96" s="15"/>
      <c r="B96" s="85" t="str">
        <f>MachineAssumptions!B16&amp;" - Labor"</f>
        <v>Fertilizer Spreader - Labor</v>
      </c>
      <c r="C96" s="41" t="s">
        <v>246</v>
      </c>
      <c r="D96" s="116">
        <f>MachineAssumptions!$R$16</f>
        <v>0</v>
      </c>
      <c r="E96" s="87">
        <f>FieldApplications!$Z$14</f>
        <v>0</v>
      </c>
      <c r="F96" s="117" t="str">
        <f t="shared" si="12"/>
        <v>0</v>
      </c>
      <c r="H96" s="246">
        <f>MachineAssumptions!$R$36*E96</f>
        <v>0</v>
      </c>
      <c r="I96" s="166">
        <f>MachineAssumptions!$R$56*E96</f>
        <v>0</v>
      </c>
    </row>
    <row r="97" spans="1:9" ht="20">
      <c r="A97" s="15"/>
      <c r="B97" s="85" t="str">
        <f>MachineAssumptions!B16&amp;" - Fuel, Lube"</f>
        <v>Fertilizer Spreader - Fuel, Lube</v>
      </c>
      <c r="C97" s="41" t="s">
        <v>246</v>
      </c>
      <c r="D97" s="116">
        <f>MachineAssumptions!$S$16</f>
        <v>0</v>
      </c>
      <c r="E97" s="87">
        <f>FieldApplications!$Z$14</f>
        <v>0</v>
      </c>
      <c r="F97" s="117" t="str">
        <f t="shared" si="12"/>
        <v>0</v>
      </c>
      <c r="H97" s="246">
        <f>MachineAssumptions!$S$36*E97</f>
        <v>0</v>
      </c>
      <c r="I97" s="166">
        <f>MachineAssumptions!$S$56*E97</f>
        <v>0</v>
      </c>
    </row>
    <row r="98" spans="1:9" ht="20">
      <c r="A98" s="15"/>
      <c r="B98" s="85" t="str">
        <f>MachineAssumptions!B16&amp;" - Repairs"</f>
        <v>Fertilizer Spreader - Repairs</v>
      </c>
      <c r="C98" s="41" t="s">
        <v>246</v>
      </c>
      <c r="D98" s="116">
        <f>MachineAssumptions!$T$16</f>
        <v>0</v>
      </c>
      <c r="E98" s="87">
        <f>FieldApplications!$Z$14</f>
        <v>0</v>
      </c>
      <c r="F98" s="117" t="str">
        <f t="shared" si="12"/>
        <v>0</v>
      </c>
      <c r="H98" s="246">
        <f>MachineAssumptions!$T$36*E98</f>
        <v>0</v>
      </c>
      <c r="I98" s="166">
        <f>MachineAssumptions!$T$56*E98</f>
        <v>0</v>
      </c>
    </row>
    <row r="99" spans="1:9" ht="20">
      <c r="A99" s="15"/>
      <c r="B99" s="85" t="str">
        <f>MachineAssumptions!B17&amp;" - Labor"</f>
        <v>Fertilizer tanks and pump - Labor</v>
      </c>
      <c r="C99" s="41" t="s">
        <v>246</v>
      </c>
      <c r="D99" s="116">
        <f>MachineAssumptions!$R$17</f>
        <v>2.2448979591836737</v>
      </c>
      <c r="E99" s="87">
        <f>FieldApplications!$Z$15</f>
        <v>0</v>
      </c>
      <c r="F99" s="117" t="str">
        <f t="shared" si="12"/>
        <v>0</v>
      </c>
      <c r="H99" s="246">
        <f>MachineAssumptions!$R$37*E99</f>
        <v>0</v>
      </c>
      <c r="I99" s="166">
        <f>MachineAssumptions!$R$57*E99</f>
        <v>0</v>
      </c>
    </row>
    <row r="100" spans="1:9" ht="20">
      <c r="A100" s="15"/>
      <c r="B100" s="85" t="str">
        <f>MachineAssumptions!B17&amp;" - Fuel, Lube"</f>
        <v>Fertilizer tanks and pump - Fuel, Lube</v>
      </c>
      <c r="C100" s="41" t="s">
        <v>246</v>
      </c>
      <c r="D100" s="116">
        <f>MachineAssumptions!$S$17</f>
        <v>9.387755102040817</v>
      </c>
      <c r="E100" s="87">
        <f>FieldApplications!$Z$15</f>
        <v>0</v>
      </c>
      <c r="F100" s="117" t="str">
        <f t="shared" si="12"/>
        <v>0</v>
      </c>
      <c r="H100" s="246">
        <f>MachineAssumptions!$S$37*E100</f>
        <v>0</v>
      </c>
      <c r="I100" s="166">
        <f>MachineAssumptions!$S$57*E100</f>
        <v>0</v>
      </c>
    </row>
    <row r="101" spans="1:9" ht="20">
      <c r="A101" s="15"/>
      <c r="B101" s="85" t="str">
        <f>MachineAssumptions!B17&amp;" - Repairs"</f>
        <v>Fertilizer tanks and pump - Repairs</v>
      </c>
      <c r="C101" s="41" t="s">
        <v>246</v>
      </c>
      <c r="D101" s="116">
        <f>MachineAssumptions!$T$17</f>
        <v>0</v>
      </c>
      <c r="E101" s="87">
        <f>FieldApplications!$Z$15</f>
        <v>0</v>
      </c>
      <c r="F101" s="117" t="str">
        <f t="shared" si="12"/>
        <v>0</v>
      </c>
      <c r="H101" s="246">
        <f>MachineAssumptions!$T$37*E101</f>
        <v>0</v>
      </c>
      <c r="I101" s="166">
        <f>MachineAssumptions!$T$57*E101</f>
        <v>0</v>
      </c>
    </row>
    <row r="102" spans="1:9" ht="20">
      <c r="A102" s="15"/>
      <c r="B102" s="85" t="str">
        <f>MachineAssumptions!B18&amp;" - Labor"</f>
        <v>Boom sprayer - Labor</v>
      </c>
      <c r="C102" s="41" t="s">
        <v>246</v>
      </c>
      <c r="D102" s="116">
        <f>MachineAssumptions!$R$18</f>
        <v>0.4708120318630365</v>
      </c>
      <c r="E102" s="87">
        <f>FieldApplications!$Z$16</f>
        <v>1</v>
      </c>
      <c r="F102" s="117">
        <f t="shared" si="12"/>
        <v>0.4708120318630365</v>
      </c>
      <c r="H102" s="246">
        <f>MachineAssumptions!$R$38*E102</f>
        <v>0.4708120318630365</v>
      </c>
      <c r="I102" s="166">
        <f>MachineAssumptions!$R$58*E102</f>
        <v>0.4708120318630365</v>
      </c>
    </row>
    <row r="103" spans="1:9" ht="20">
      <c r="A103" s="15"/>
      <c r="B103" s="85" t="str">
        <f>MachineAssumptions!B18&amp;" - Fuel, Lube"</f>
        <v>Boom sprayer - Fuel, Lube</v>
      </c>
      <c r="C103" s="41" t="s">
        <v>246</v>
      </c>
      <c r="D103" s="116">
        <f>MachineAssumptions!$S$18</f>
        <v>1.8047794554749732</v>
      </c>
      <c r="E103" s="87">
        <f>FieldApplications!$Z$16</f>
        <v>1</v>
      </c>
      <c r="F103" s="117">
        <f t="shared" si="12"/>
        <v>1.8047794554749732</v>
      </c>
      <c r="H103" s="246">
        <f>MachineAssumptions!$S$38*E103</f>
        <v>1.8047794554749732</v>
      </c>
      <c r="I103" s="166">
        <f>MachineAssumptions!$S$58*E103</f>
        <v>1.8047794554749732</v>
      </c>
    </row>
    <row r="104" spans="1:9" ht="20">
      <c r="A104" s="15"/>
      <c r="B104" s="85" t="str">
        <f>MachineAssumptions!B18&amp;" - Repairs"</f>
        <v>Boom sprayer - Repairs</v>
      </c>
      <c r="C104" s="41" t="s">
        <v>246</v>
      </c>
      <c r="D104" s="116">
        <f>MachineAssumptions!$T$18</f>
        <v>0.49795949063219769</v>
      </c>
      <c r="E104" s="87">
        <f>FieldApplications!$Z$16</f>
        <v>1</v>
      </c>
      <c r="F104" s="117">
        <f t="shared" si="12"/>
        <v>0.49795949063219769</v>
      </c>
      <c r="H104" s="246">
        <f>MachineAssumptions!$T$38*E104</f>
        <v>0.50280018563848705</v>
      </c>
      <c r="I104" s="166">
        <f>MachineAssumptions!$T$58*E104</f>
        <v>0.4510828286016228</v>
      </c>
    </row>
    <row r="105" spans="1:9" ht="20">
      <c r="A105" s="15"/>
      <c r="B105" s="85" t="str">
        <f>MachineAssumptions!B15&amp;" - Labor"</f>
        <v>Bankout Wagon - Labor</v>
      </c>
      <c r="C105" s="41" t="s">
        <v>246</v>
      </c>
      <c r="D105" s="116">
        <f>MachineAssumptions!$R$15</f>
        <v>1.6861761426978819</v>
      </c>
      <c r="E105" s="87">
        <f t="shared" ref="E105:E113" si="13">IF($E$93&gt;0,1,0)</f>
        <v>0</v>
      </c>
      <c r="F105" s="117" t="str">
        <f t="shared" si="12"/>
        <v>0</v>
      </c>
      <c r="H105" s="246">
        <f>MachineAssumptions!$R$39*E105</f>
        <v>0</v>
      </c>
      <c r="I105" s="166">
        <f>MachineAssumptions!$R$59*E105</f>
        <v>0</v>
      </c>
    </row>
    <row r="106" spans="1:9" ht="20">
      <c r="A106" s="15"/>
      <c r="B106" s="85" t="str">
        <f>MachineAssumptions!B15&amp;" - Fuel, Lube"</f>
        <v>Bankout Wagon - Fuel, Lube</v>
      </c>
      <c r="C106" s="41" t="s">
        <v>246</v>
      </c>
      <c r="D106" s="116">
        <f>MachineAssumptions!$S$15</f>
        <v>7.0512820512820511</v>
      </c>
      <c r="E106" s="87">
        <f t="shared" si="13"/>
        <v>0</v>
      </c>
      <c r="F106" s="117" t="str">
        <f t="shared" si="12"/>
        <v>0</v>
      </c>
      <c r="H106" s="246">
        <f>MachineAssumptions!$S$39*E106</f>
        <v>0</v>
      </c>
      <c r="I106" s="166">
        <f>MachineAssumptions!$S$59*E106</f>
        <v>0</v>
      </c>
    </row>
    <row r="107" spans="1:9" ht="20">
      <c r="A107" s="15"/>
      <c r="B107" s="85" t="str">
        <f>MachineAssumptions!B15&amp;" - Repairs"</f>
        <v>Bankout Wagon - Repairs</v>
      </c>
      <c r="C107" s="41" t="s">
        <v>246</v>
      </c>
      <c r="D107" s="116">
        <f>MachineAssumptions!$T$15</f>
        <v>0.5058930256896228</v>
      </c>
      <c r="E107" s="87">
        <f t="shared" si="13"/>
        <v>0</v>
      </c>
      <c r="F107" s="117" t="str">
        <f t="shared" si="12"/>
        <v>0</v>
      </c>
      <c r="H107" s="246">
        <f>MachineAssumptions!$T$39*E107</f>
        <v>0</v>
      </c>
      <c r="I107" s="166">
        <f>MachineAssumptions!$T$59*E107</f>
        <v>0</v>
      </c>
    </row>
    <row r="108" spans="1:9" ht="20">
      <c r="A108" s="15"/>
      <c r="B108" s="85" t="str">
        <f>MachineAssumptions!B19&amp;" - Labor"</f>
        <v>Tandem Axle Truck  - Labor</v>
      </c>
      <c r="C108" s="41" t="s">
        <v>246</v>
      </c>
      <c r="D108" s="116">
        <f>MachineAssumptions!$R$19</f>
        <v>3.6</v>
      </c>
      <c r="E108" s="87">
        <f t="shared" si="13"/>
        <v>0</v>
      </c>
      <c r="F108" s="117" t="str">
        <f t="shared" si="12"/>
        <v>0</v>
      </c>
      <c r="H108" s="246">
        <f>MachineAssumptions!$R$40*E108</f>
        <v>0</v>
      </c>
      <c r="I108" s="166">
        <f>MachineAssumptions!$R$60*E108</f>
        <v>0</v>
      </c>
    </row>
    <row r="109" spans="1:9" ht="20">
      <c r="A109" s="15"/>
      <c r="B109" s="85" t="str">
        <f>MachineAssumptions!B19&amp;" - Fuel, Lube"</f>
        <v>Tandem Axle Truck  - Fuel, Lube</v>
      </c>
      <c r="C109" s="41" t="s">
        <v>246</v>
      </c>
      <c r="D109" s="116">
        <f>MachineAssumptions!$S$19</f>
        <v>1.1499999999999999</v>
      </c>
      <c r="E109" s="87">
        <f t="shared" si="13"/>
        <v>0</v>
      </c>
      <c r="F109" s="117" t="str">
        <f t="shared" si="12"/>
        <v>0</v>
      </c>
      <c r="H109" s="246">
        <f>MachineAssumptions!$S$40*E109</f>
        <v>0</v>
      </c>
      <c r="I109" s="166">
        <f>MachineAssumptions!$S$60*E109</f>
        <v>0</v>
      </c>
    </row>
    <row r="110" spans="1:9" ht="20">
      <c r="A110" s="15"/>
      <c r="B110" s="85" t="str">
        <f>MachineAssumptions!B19&amp;" - Repairs"</f>
        <v>Tandem Axle Truck  - Repairs</v>
      </c>
      <c r="C110" s="41" t="s">
        <v>246</v>
      </c>
      <c r="D110" s="116">
        <f>MachineAssumptions!$T$19</f>
        <v>0.8</v>
      </c>
      <c r="E110" s="87">
        <f t="shared" si="13"/>
        <v>0</v>
      </c>
      <c r="F110" s="117" t="str">
        <f t="shared" si="12"/>
        <v>0</v>
      </c>
      <c r="H110" s="246">
        <f>MachineAssumptions!$T$40*E110</f>
        <v>0</v>
      </c>
      <c r="I110" s="166">
        <f>MachineAssumptions!$T$60*E110</f>
        <v>0</v>
      </c>
    </row>
    <row r="111" spans="1:9" ht="20">
      <c r="A111" s="15"/>
      <c r="B111" s="85" t="str">
        <f>MachineAssumptions!B20&amp;" - Labor"</f>
        <v>Tandem Axle Truck  - Labor</v>
      </c>
      <c r="C111" s="41" t="s">
        <v>246</v>
      </c>
      <c r="D111" s="116">
        <f>MachineAssumptions!$R$20</f>
        <v>3.6</v>
      </c>
      <c r="E111" s="87">
        <f t="shared" si="13"/>
        <v>0</v>
      </c>
      <c r="F111" s="117" t="str">
        <f t="shared" si="12"/>
        <v>0</v>
      </c>
      <c r="H111" s="416">
        <f>MachineAssumptions!$R$41*E111</f>
        <v>0</v>
      </c>
      <c r="I111" s="369">
        <f>MachineAssumptions!$R$61*E111</f>
        <v>0</v>
      </c>
    </row>
    <row r="112" spans="1:9" ht="20">
      <c r="A112" s="15"/>
      <c r="B112" s="85" t="str">
        <f>MachineAssumptions!B20&amp;" - Fuel, Lube"</f>
        <v>Tandem Axle Truck  - Fuel, Lube</v>
      </c>
      <c r="C112" s="41" t="s">
        <v>246</v>
      </c>
      <c r="D112" s="116">
        <f>MachineAssumptions!$S$20</f>
        <v>1.72</v>
      </c>
      <c r="E112" s="87">
        <f t="shared" si="13"/>
        <v>0</v>
      </c>
      <c r="F112" s="117" t="str">
        <f t="shared" si="12"/>
        <v>0</v>
      </c>
      <c r="H112" s="416">
        <f>MachineAssumptions!$S$41*E112</f>
        <v>0</v>
      </c>
      <c r="I112" s="369">
        <f>MachineAssumptions!$S$61*E112</f>
        <v>0</v>
      </c>
    </row>
    <row r="113" spans="1:13" ht="23">
      <c r="A113" s="15"/>
      <c r="B113" s="85" t="str">
        <f>MachineAssumptions!B20&amp;" - Repairs"</f>
        <v>Tandem Axle Truck  - Repairs</v>
      </c>
      <c r="C113" s="41" t="s">
        <v>246</v>
      </c>
      <c r="D113" s="116">
        <f>MachineAssumptions!$T$20</f>
        <v>0.8</v>
      </c>
      <c r="E113" s="87">
        <f t="shared" si="13"/>
        <v>0</v>
      </c>
      <c r="F113" s="117" t="str">
        <f t="shared" si="12"/>
        <v>0</v>
      </c>
      <c r="H113" s="248">
        <f>MachineAssumptions!$T$41*E113</f>
        <v>0</v>
      </c>
      <c r="I113" s="247">
        <f>MachineAssumptions!$T$61*E113</f>
        <v>0</v>
      </c>
    </row>
    <row r="114" spans="1:13" ht="21">
      <c r="A114" s="15"/>
      <c r="B114" s="139" t="s">
        <v>88</v>
      </c>
      <c r="C114" s="41"/>
      <c r="D114" s="116"/>
      <c r="E114" s="87"/>
      <c r="F114" s="117"/>
      <c r="H114" s="249">
        <f>SUM(H74:H113)</f>
        <v>19.562069085172627</v>
      </c>
      <c r="I114" s="249">
        <f>SUM(I74:I113)</f>
        <v>19.497884587886862</v>
      </c>
    </row>
    <row r="115" spans="1:13" ht="20">
      <c r="A115" s="15"/>
      <c r="B115" s="85" t="str">
        <f>'Chem&amp;FertInputs&amp;CInsurance'!B73</f>
        <v>Crop Insurance</v>
      </c>
      <c r="C115" s="23" t="str">
        <f>'Chem&amp;FertInputs&amp;CInsurance'!D73</f>
        <v>acre</v>
      </c>
      <c r="D115" s="116">
        <f>'Chem&amp;FertInputs&amp;CInsurance'!AC73</f>
        <v>0</v>
      </c>
      <c r="E115" s="87">
        <v>1</v>
      </c>
      <c r="F115" s="117" t="str">
        <f>IF(D115*E115=0,"0",D115*E115)</f>
        <v>0</v>
      </c>
      <c r="H115" s="1" t="s">
        <v>181</v>
      </c>
      <c r="I115" s="1" t="s">
        <v>181</v>
      </c>
    </row>
    <row r="116" spans="1:13" ht="20">
      <c r="A116" s="15"/>
      <c r="B116" s="85" t="s">
        <v>72</v>
      </c>
      <c r="C116" s="41" t="s">
        <v>83</v>
      </c>
      <c r="D116" s="111">
        <f>MachineAssumptions!D25</f>
        <v>0.05</v>
      </c>
      <c r="E116" s="87"/>
      <c r="F116" s="86">
        <f>SUM(F8:F115)*D116</f>
        <v>2.799601419508317</v>
      </c>
      <c r="G116" s="1" t="s">
        <v>111</v>
      </c>
      <c r="H116" s="49">
        <f>(SUM($F8:$F70)+$F115+SUM(H72:H113))*$D116</f>
        <v>2.7998434542586312</v>
      </c>
      <c r="I116" s="49">
        <f>(SUM($F8:$F70)+$F115+SUM(I72:I113))*$D116</f>
        <v>2.7966342293943427</v>
      </c>
      <c r="J116" s="49">
        <f>F72+F75+F78+F81+F84+F87+F90+F93+F96+F99+F102+F105+F108+F111</f>
        <v>2.735250480746048</v>
      </c>
      <c r="K116" s="1" t="s">
        <v>111</v>
      </c>
    </row>
    <row r="117" spans="1:13" ht="20">
      <c r="A117" s="15"/>
      <c r="B117" s="85" t="s">
        <v>84</v>
      </c>
      <c r="C117" s="41" t="s">
        <v>83</v>
      </c>
      <c r="D117" s="111">
        <f>MachineAssumptions!D26</f>
        <v>6.7500000000000004E-2</v>
      </c>
      <c r="E117" s="112"/>
      <c r="F117" s="140">
        <f>SUM(F8:F116)*(D117/12*MachineAssumptions!D27)</f>
        <v>2.9763262591147792</v>
      </c>
      <c r="G117" s="1" t="s">
        <v>4</v>
      </c>
      <c r="H117" s="49">
        <f>(SUM(F8:F70)+(F115+F116+H114))*((D117/12)*MachineAssumptions!D27)</f>
        <v>2.9765713192994729</v>
      </c>
      <c r="I117" s="49">
        <f>(SUM(F8:F70)+(F115+F116+I114))*((D117/12)*MachineAssumptions!D27)</f>
        <v>2.973321979124381</v>
      </c>
      <c r="J117" s="49">
        <f>F73+F76+F79+F82+F85+F88+F91+F94+F97+F100+F103+F106+F109+F112</f>
        <v>10.436056912797039</v>
      </c>
      <c r="K117" s="1" t="s">
        <v>4</v>
      </c>
    </row>
    <row r="118" spans="1:13" ht="20">
      <c r="A118" s="15"/>
      <c r="B118" s="14" t="s">
        <v>85</v>
      </c>
      <c r="C118" s="29"/>
      <c r="D118" s="141"/>
      <c r="E118" s="142"/>
      <c r="F118" s="143">
        <f>SUM(F8:F117)</f>
        <v>61.767956068789424</v>
      </c>
      <c r="G118" s="1" t="s">
        <v>112</v>
      </c>
      <c r="J118" s="49">
        <f>F74+F77+F80+F83+F86+F89+F92+F95+F98+F101+F104+F107+F110+F113</f>
        <v>6.3859209966232511</v>
      </c>
      <c r="K118" s="1" t="s">
        <v>112</v>
      </c>
      <c r="L118" s="49">
        <f>H74+H77+H80+H83+H86+H89+H92+H95+H98+H101+H104+H107+H110+H113</f>
        <v>6.3907616916295407</v>
      </c>
      <c r="M118" s="49">
        <f>I74+I77+I80+I83+I86+I89+I92+I95+I98+I101+I104+I107+I110+I113</f>
        <v>6.3265771943437707</v>
      </c>
    </row>
    <row r="119" spans="1:13">
      <c r="A119" s="15"/>
      <c r="B119" s="113"/>
      <c r="C119" s="113"/>
      <c r="D119" s="113"/>
      <c r="E119" s="114"/>
      <c r="F119" s="115"/>
      <c r="H119" s="115"/>
      <c r="J119" s="49">
        <f>SUM(J116:J118)</f>
        <v>19.557228390166337</v>
      </c>
      <c r="K119" s="115"/>
    </row>
    <row r="120" spans="1:13" ht="20">
      <c r="A120" s="15"/>
      <c r="B120" s="132" t="s">
        <v>89</v>
      </c>
      <c r="C120" s="19" t="s">
        <v>2</v>
      </c>
      <c r="D120" s="20" t="s">
        <v>12</v>
      </c>
      <c r="E120" s="21" t="s">
        <v>13</v>
      </c>
      <c r="F120" s="45" t="s">
        <v>0</v>
      </c>
      <c r="H120" s="1" t="s">
        <v>136</v>
      </c>
      <c r="I120" s="1" t="s">
        <v>139</v>
      </c>
    </row>
    <row r="121" spans="1:13" ht="20">
      <c r="A121" s="15"/>
      <c r="B121" s="18" t="str">
        <f>MachineAssumptions!B7&amp;" - Replacement Costs"</f>
        <v>Shredder - Replacement Costs</v>
      </c>
      <c r="C121" s="41" t="str">
        <f>C72</f>
        <v>acre</v>
      </c>
      <c r="D121" s="34">
        <f>MachineAssumptions!U7</f>
        <v>4.3329737628911431</v>
      </c>
      <c r="E121" s="145">
        <f>E72</f>
        <v>0</v>
      </c>
      <c r="F121" s="42" t="str">
        <f t="shared" ref="F121:F134" si="14">IF(D121*E121=0,"0",D121*E121)</f>
        <v>0</v>
      </c>
      <c r="H121" s="166">
        <f>MachineAssumptions!U28*E121</f>
        <v>0</v>
      </c>
      <c r="I121" s="166">
        <f>MachineAssumptions!U48*E121</f>
        <v>0</v>
      </c>
    </row>
    <row r="122" spans="1:13" ht="20">
      <c r="A122" s="15"/>
      <c r="B122" s="18" t="str">
        <f>MachineAssumptions!B8&amp;" - Replacement Costs"</f>
        <v>Harrow - Replacement Costs</v>
      </c>
      <c r="C122" s="41" t="str">
        <f>C75</f>
        <v>acre</v>
      </c>
      <c r="D122" s="34">
        <f>MachineAssumptions!U8</f>
        <v>1.1988479209967022</v>
      </c>
      <c r="E122" s="145">
        <f>E75</f>
        <v>1</v>
      </c>
      <c r="F122" s="42">
        <f t="shared" si="14"/>
        <v>1.1988479209967022</v>
      </c>
      <c r="H122" s="166">
        <f>MachineAssumptions!U29*E122</f>
        <v>1.1988479209967022</v>
      </c>
      <c r="I122" s="166">
        <f>MachineAssumptions!U49*E122</f>
        <v>1.1988479209967022</v>
      </c>
    </row>
    <row r="123" spans="1:13" ht="20">
      <c r="A123" s="15"/>
      <c r="B123" s="18" t="str">
        <f>MachineAssumptions!B9&amp;" - Replacement Costs"</f>
        <v>Chisel plow - Replacement Costs</v>
      </c>
      <c r="C123" s="41" t="str">
        <f>C78</f>
        <v>acre</v>
      </c>
      <c r="D123" s="34">
        <f>MachineAssumptions!U9</f>
        <v>0</v>
      </c>
      <c r="E123" s="145">
        <f>E78</f>
        <v>0</v>
      </c>
      <c r="F123" s="42" t="str">
        <f t="shared" si="14"/>
        <v>0</v>
      </c>
      <c r="H123" s="166">
        <f>MachineAssumptions!U30*E123</f>
        <v>0</v>
      </c>
      <c r="I123" s="166">
        <f>MachineAssumptions!U50*E123</f>
        <v>0</v>
      </c>
    </row>
    <row r="124" spans="1:13" ht="20">
      <c r="A124" s="15"/>
      <c r="B124" s="18" t="str">
        <f>MachineAssumptions!B10&amp;" - Replacement Costs"</f>
        <v>Moldboard plow - Replacement Costs</v>
      </c>
      <c r="C124" s="41" t="str">
        <f>C81</f>
        <v>acre</v>
      </c>
      <c r="D124" s="34">
        <f>MachineAssumptions!U10</f>
        <v>0</v>
      </c>
      <c r="E124" s="145">
        <f>E81</f>
        <v>0</v>
      </c>
      <c r="F124" s="42" t="str">
        <f t="shared" si="14"/>
        <v>0</v>
      </c>
      <c r="H124" s="166">
        <f>MachineAssumptions!U31*E124</f>
        <v>0</v>
      </c>
      <c r="I124" s="166">
        <f>MachineAssumptions!U51*E124</f>
        <v>0</v>
      </c>
    </row>
    <row r="125" spans="1:13" ht="20">
      <c r="A125" s="15"/>
      <c r="B125" s="18" t="str">
        <f>MachineAssumptions!B11&amp;" - Replacement Costs"</f>
        <v>Cultivator - Replacement Costs</v>
      </c>
      <c r="C125" s="41" t="str">
        <f t="shared" ref="C125:C126" si="15">C82</f>
        <v>acre</v>
      </c>
      <c r="D125" s="34">
        <f>MachineAssumptions!U11</f>
        <v>0</v>
      </c>
      <c r="E125" s="145">
        <f>E84</f>
        <v>0</v>
      </c>
      <c r="F125" s="42" t="str">
        <f t="shared" si="14"/>
        <v>0</v>
      </c>
      <c r="H125" s="166">
        <f>MachineAssumptions!U32*E125</f>
        <v>0</v>
      </c>
      <c r="I125" s="166">
        <f>MachineAssumptions!U52*E125</f>
        <v>0</v>
      </c>
    </row>
    <row r="126" spans="1:13" ht="20">
      <c r="A126" s="15"/>
      <c r="B126" s="18" t="str">
        <f>MachineAssumptions!B12&amp;" - Replacement Costs"</f>
        <v>Cultiweeder - Replacement Costs</v>
      </c>
      <c r="C126" s="41" t="str">
        <f t="shared" si="15"/>
        <v>acre</v>
      </c>
      <c r="D126" s="34">
        <f>MachineAssumptions!U12</f>
        <v>0</v>
      </c>
      <c r="E126" s="145">
        <f>E87</f>
        <v>0</v>
      </c>
      <c r="F126" s="42" t="str">
        <f t="shared" si="14"/>
        <v>0</v>
      </c>
      <c r="H126" s="166">
        <f>MachineAssumptions!U33*E126</f>
        <v>0</v>
      </c>
      <c r="I126" s="166">
        <f>MachineAssumptions!U53*E126</f>
        <v>0</v>
      </c>
    </row>
    <row r="127" spans="1:13" ht="20">
      <c r="A127" s="15"/>
      <c r="B127" s="18" t="str">
        <f>MachineAssumptions!B13&amp;" - Replacement Costs"</f>
        <v>Drill - Replacement Costs</v>
      </c>
      <c r="C127" s="41" t="str">
        <f>C90</f>
        <v>acre</v>
      </c>
      <c r="D127" s="34">
        <f>MachineAssumptions!U13</f>
        <v>7.2419265221735989</v>
      </c>
      <c r="E127" s="145">
        <f>E90</f>
        <v>1</v>
      </c>
      <c r="F127" s="42">
        <f t="shared" si="14"/>
        <v>7.2419265221735989</v>
      </c>
      <c r="H127" s="166">
        <f>MachineAssumptions!U34*E127</f>
        <v>7.2419265221735989</v>
      </c>
      <c r="I127" s="166">
        <f>MachineAssumptions!U54*E127</f>
        <v>7.2419265221735989</v>
      </c>
    </row>
    <row r="128" spans="1:13" ht="20">
      <c r="A128" s="15"/>
      <c r="B128" s="18" t="str">
        <f>MachineAssumptions!B14&amp;" - Replacement Costs"</f>
        <v>Combine w/ 36' header - Replacement Costs</v>
      </c>
      <c r="C128" s="41" t="str">
        <f>C93</f>
        <v>acre</v>
      </c>
      <c r="D128" s="34">
        <f>MachineAssumptions!U14</f>
        <v>9.7031999999999989</v>
      </c>
      <c r="E128" s="145">
        <f>E93</f>
        <v>0</v>
      </c>
      <c r="F128" s="42" t="str">
        <f t="shared" si="14"/>
        <v>0</v>
      </c>
      <c r="H128" s="166">
        <f>MachineAssumptions!U35*E128</f>
        <v>0</v>
      </c>
      <c r="I128" s="166">
        <f>MachineAssumptions!U55*E128</f>
        <v>0</v>
      </c>
    </row>
    <row r="129" spans="1:9" ht="20">
      <c r="A129" s="15"/>
      <c r="B129" s="18" t="str">
        <f>MachineAssumptions!B16&amp;" - Replacement Costs"</f>
        <v>Fertilizer Spreader - Replacement Costs</v>
      </c>
      <c r="C129" s="41" t="str">
        <f>C96</f>
        <v>acre</v>
      </c>
      <c r="D129" s="34">
        <f>MachineAssumptions!U16</f>
        <v>0</v>
      </c>
      <c r="E129" s="145">
        <f>E96</f>
        <v>0</v>
      </c>
      <c r="F129" s="42" t="str">
        <f t="shared" si="14"/>
        <v>0</v>
      </c>
      <c r="H129" s="166">
        <f>MachineAssumptions!U36*E129</f>
        <v>0</v>
      </c>
      <c r="I129" s="166">
        <f>MachineAssumptions!U56*E129</f>
        <v>0</v>
      </c>
    </row>
    <row r="130" spans="1:9" ht="20">
      <c r="A130" s="15"/>
      <c r="B130" s="18" t="str">
        <f>MachineAssumptions!B17&amp;" - Replacement Costs"</f>
        <v>Fertilizer tanks and pump - Replacement Costs</v>
      </c>
      <c r="C130" s="41" t="str">
        <f>C99</f>
        <v>acre</v>
      </c>
      <c r="D130" s="34">
        <f>MachineAssumptions!U17</f>
        <v>0.6</v>
      </c>
      <c r="E130" s="145">
        <f>E99</f>
        <v>0</v>
      </c>
      <c r="F130" s="42" t="str">
        <f t="shared" si="14"/>
        <v>0</v>
      </c>
      <c r="H130" s="166">
        <f>MachineAssumptions!U37*E130</f>
        <v>0</v>
      </c>
      <c r="I130" s="166">
        <f>MachineAssumptions!U57*E130</f>
        <v>0</v>
      </c>
    </row>
    <row r="131" spans="1:9" ht="20">
      <c r="A131" s="15"/>
      <c r="B131" s="18" t="str">
        <f>MachineAssumptions!B18&amp;" - Replacement Costs"</f>
        <v>Boom sprayer - Replacement Costs</v>
      </c>
      <c r="C131" s="41" t="str">
        <f>C102</f>
        <v>acre</v>
      </c>
      <c r="D131" s="34">
        <f>MachineAssumptions!U18</f>
        <v>0.80913316225248511</v>
      </c>
      <c r="E131" s="145">
        <f>E102</f>
        <v>1</v>
      </c>
      <c r="F131" s="42">
        <f t="shared" si="14"/>
        <v>0.80913316225248511</v>
      </c>
      <c r="H131" s="166">
        <f>MachineAssumptions!U38*E131</f>
        <v>0.8090118780669916</v>
      </c>
      <c r="I131" s="166">
        <f>MachineAssumptions!U58*E131</f>
        <v>0.80913316225248511</v>
      </c>
    </row>
    <row r="132" spans="1:9" ht="20">
      <c r="A132" s="15"/>
      <c r="B132" s="18" t="str">
        <f>MachineAssumptions!B15&amp;" - Replacement Costs"</f>
        <v>Bankout Wagon - Replacement Costs</v>
      </c>
      <c r="C132" s="41" t="str">
        <f>C105</f>
        <v>acre</v>
      </c>
      <c r="D132" s="34">
        <f>MachineAssumptions!U15</f>
        <v>2.9461434675395459</v>
      </c>
      <c r="E132" s="145">
        <f>E105</f>
        <v>0</v>
      </c>
      <c r="F132" s="42" t="str">
        <f t="shared" si="14"/>
        <v>0</v>
      </c>
      <c r="H132" s="166">
        <f>MachineAssumptions!U39*E132</f>
        <v>0</v>
      </c>
      <c r="I132" s="166">
        <f>MachineAssumptions!U59*E132</f>
        <v>0</v>
      </c>
    </row>
    <row r="133" spans="1:9" ht="20">
      <c r="A133" s="15"/>
      <c r="B133" s="18" t="str">
        <f>MachineAssumptions!B19&amp;" - Replacement Costs"</f>
        <v>Tandem Axle Truck  - Replacement Costs</v>
      </c>
      <c r="C133" s="41" t="str">
        <f>C108</f>
        <v>acre</v>
      </c>
      <c r="D133" s="34">
        <f>MachineAssumptions!U19</f>
        <v>0.64</v>
      </c>
      <c r="E133" s="145">
        <f>E108</f>
        <v>0</v>
      </c>
      <c r="F133" s="42" t="str">
        <f t="shared" si="14"/>
        <v>0</v>
      </c>
      <c r="H133" s="166">
        <f>MachineAssumptions!U40*E133</f>
        <v>0</v>
      </c>
      <c r="I133" s="166">
        <f>MachineAssumptions!U60*E133</f>
        <v>0</v>
      </c>
    </row>
    <row r="134" spans="1:9" ht="23">
      <c r="A134" s="15"/>
      <c r="B134" s="18" t="str">
        <f>MachineAssumptions!B20&amp;" - Replacement Costs"</f>
        <v>Tandem Axle Truck  - Replacement Costs</v>
      </c>
      <c r="C134" s="41" t="str">
        <f t="shared" ref="C134" si="16">C111</f>
        <v>acre</v>
      </c>
      <c r="D134" s="34">
        <f>MachineAssumptions!U20</f>
        <v>0.64</v>
      </c>
      <c r="E134" s="145">
        <f t="shared" ref="E134" si="17">E111</f>
        <v>0</v>
      </c>
      <c r="F134" s="43" t="str">
        <f t="shared" si="14"/>
        <v>0</v>
      </c>
      <c r="H134" s="247">
        <f>MachineAssumptions!U41*E134</f>
        <v>0</v>
      </c>
      <c r="I134" s="247">
        <f>MachineAssumptions!U61*E134</f>
        <v>0</v>
      </c>
    </row>
    <row r="135" spans="1:9" ht="20">
      <c r="A135" s="15"/>
      <c r="B135" s="144" t="s">
        <v>38</v>
      </c>
      <c r="C135" s="29"/>
      <c r="D135" s="30"/>
      <c r="E135" s="29"/>
      <c r="F135" s="46">
        <f>SUM(F121:F134)</f>
        <v>9.249907605422786</v>
      </c>
      <c r="H135" s="46">
        <f t="shared" ref="H135:I135" si="18">SUM(H121:H134)</f>
        <v>9.2497863212372931</v>
      </c>
      <c r="I135" s="46">
        <f t="shared" si="18"/>
        <v>9.249907605422786</v>
      </c>
    </row>
    <row r="136" spans="1:9" ht="20">
      <c r="A136" s="15"/>
      <c r="B136" s="16"/>
      <c r="C136" s="16"/>
      <c r="D136" s="17"/>
      <c r="E136" s="16"/>
      <c r="F136" s="113"/>
    </row>
    <row r="137" spans="1:9" ht="20">
      <c r="A137" s="15"/>
      <c r="B137" s="14" t="s">
        <v>31</v>
      </c>
      <c r="C137" s="29"/>
      <c r="D137" s="30"/>
      <c r="E137" s="29"/>
      <c r="F137" s="47">
        <f>F118+F135</f>
        <v>71.017863674212208</v>
      </c>
      <c r="H137" s="47">
        <f>SUM(F16:F70)+H114+F115+H116+H117+H135+F8+(H9*D9)+(H10*D10)+(H11*D11)+(H12*D12)+(H13*D13)+(H14*D14)+(H15*D15)</f>
        <v>71.023070179968016</v>
      </c>
      <c r="I137" s="47">
        <f>SUM(F16:F70)+I114+F115+I116+I117+I135+F8+(I9*D9)+(I10*D10)+(I11*D11)+(I12*D12)+(I13*D13)+(I14*D14)+(I15*D15)</f>
        <v>70.952548401828366</v>
      </c>
    </row>
    <row r="138" spans="1:9" ht="21">
      <c r="A138" s="15"/>
      <c r="B138" s="31" t="s">
        <v>32</v>
      </c>
      <c r="C138" s="32"/>
      <c r="D138" s="33"/>
      <c r="E138" s="32"/>
      <c r="F138" s="48">
        <f>F5-F137</f>
        <v>-71.017863674212208</v>
      </c>
      <c r="H138" s="250">
        <f>H5-H137</f>
        <v>-71.023070179968016</v>
      </c>
      <c r="I138" s="250">
        <f>I5-I137</f>
        <v>-70.952548401828366</v>
      </c>
    </row>
  </sheetData>
  <mergeCells count="1">
    <mergeCell ref="B2:F2"/>
  </mergeCells>
  <pageMargins left="0.7" right="0.7" top="0.75" bottom="0.75" header="0.3" footer="0.3"/>
  <pageSetup scale="62" orientation="portrait" horizontalDpi="0" verticalDpi="0"/>
  <ignoredErrors>
    <ignoredError sqref="B135:F138 B114:F114 B90:B113 B116:F116 B115:D115 B127:C134 E127:G134 E121:F124 B60:D60 B121:C124 B84:B89 B125:F126 B62:E62 C14:D14 B118:F120 B117:E117 C13:D13 C9:D9 C10:D10 C11:D11 C12:D12 F14 B61:D61 E4:F4 B5:F7 E8 B3:F3 B4:D4 B8:D8 F8 B71:E71 B63:C63 B64:C64 B65:C65 B66:C66 B67:C67 B68:C68 B69:C69 B70:C70 D63:E70 B2 B73:B83 B72 D72:E72 D90:E113 D84:F89 D73:E83 B57:D57 B56:D56 B55:D55 B54:D54 B51:D51 B50:D50 B49:D49 B48:D48 B47:D47 B46:D46 B45:D45 B44:D44 B43:D43 B42:D42 B40:D40 B39:D39 B38:D38 B37:D37 B36:D36 B35:D35 B34:D34 B33:D33 B31:D31 B30:D30 B29:D29 B28:D28 B27:D27 B26:D26 B25:D25 B24:D24 B23:D23 B22:D22 B21:D21 B16:H20 B32:H32 E21:H21 E22:H22 E23:H23 E24:H24 E25:H25 E26:H26 E27:H27 E28:H28 E29:H29 E30:H30 E31:H31 B41:H41 E33:H33 E34:H34 E35:H35 E36:H36 E37:H37 E38:H38 E39:H39 E40:H40 B52:H53 E42:H42 E43:H43 E44:H44 E45:H45 E46:H46 E47:H47 E48:H48 E49:H49 E50:H50 E51:H51 B58:H59 E54:H54 E55:H55 E56:H56 E57:H57 E115 C15:G15 B9:B15" unlockedFormula="1"/>
    <ignoredError sqref="D127:D134 D121:D124" formula="1" unlockedFormula="1"/>
  </ignoredErrors>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ACAD1-C248-D240-B90B-8AF59AE226C6}">
  <sheetPr codeName="Sheet2">
    <pageSetUpPr fitToPage="1"/>
  </sheetPr>
  <dimension ref="C3:AA46"/>
  <sheetViews>
    <sheetView workbookViewId="0">
      <selection activeCell="B2" sqref="B2:F2"/>
    </sheetView>
  </sheetViews>
  <sheetFormatPr baseColWidth="10" defaultColWidth="10.83203125" defaultRowHeight="15"/>
  <cols>
    <col min="3" max="3" width="14.1640625" bestFit="1" customWidth="1"/>
  </cols>
  <sheetData>
    <row r="3" spans="3:27">
      <c r="F3">
        <f>(30*0.6)+(20*0.4)</f>
        <v>26</v>
      </c>
    </row>
    <row r="7" spans="3:27">
      <c r="D7" s="808" t="s">
        <v>277</v>
      </c>
      <c r="E7" s="808"/>
      <c r="F7" s="808"/>
      <c r="G7" s="808" t="s">
        <v>206</v>
      </c>
      <c r="H7" s="808"/>
      <c r="I7" s="808"/>
      <c r="J7" s="808" t="s">
        <v>278</v>
      </c>
      <c r="K7" s="808"/>
      <c r="L7" s="808"/>
      <c r="M7" s="808" t="s">
        <v>208</v>
      </c>
      <c r="N7" s="808"/>
      <c r="O7" s="808"/>
      <c r="P7" s="808" t="s">
        <v>279</v>
      </c>
      <c r="Q7" s="808"/>
      <c r="R7" s="808"/>
      <c r="S7" s="808" t="s">
        <v>210</v>
      </c>
      <c r="T7" s="808"/>
      <c r="U7" s="808"/>
      <c r="V7" s="808" t="s">
        <v>280</v>
      </c>
      <c r="W7" s="808"/>
      <c r="X7" s="808"/>
      <c r="Y7" s="808" t="s">
        <v>212</v>
      </c>
      <c r="Z7" s="808"/>
      <c r="AA7" s="808"/>
    </row>
    <row r="8" spans="3:27">
      <c r="C8" s="319" t="s">
        <v>199</v>
      </c>
      <c r="D8" s="267" t="s">
        <v>233</v>
      </c>
      <c r="E8" s="267" t="s">
        <v>235</v>
      </c>
      <c r="F8" s="267" t="s">
        <v>234</v>
      </c>
      <c r="G8" s="267" t="s">
        <v>236</v>
      </c>
      <c r="H8" s="267" t="s">
        <v>237</v>
      </c>
      <c r="I8" s="267" t="s">
        <v>238</v>
      </c>
      <c r="J8" s="267" t="s">
        <v>233</v>
      </c>
      <c r="K8" s="267" t="s">
        <v>235</v>
      </c>
      <c r="L8" s="267" t="s">
        <v>234</v>
      </c>
      <c r="M8" s="267" t="s">
        <v>236</v>
      </c>
      <c r="N8" s="267" t="s">
        <v>237</v>
      </c>
      <c r="O8" s="267" t="s">
        <v>238</v>
      </c>
      <c r="P8" s="267" t="s">
        <v>233</v>
      </c>
      <c r="Q8" s="267" t="s">
        <v>235</v>
      </c>
      <c r="R8" s="267" t="s">
        <v>234</v>
      </c>
      <c r="S8" s="267" t="s">
        <v>236</v>
      </c>
      <c r="T8" s="267" t="s">
        <v>237</v>
      </c>
      <c r="U8" s="267" t="s">
        <v>238</v>
      </c>
      <c r="V8" s="267" t="s">
        <v>233</v>
      </c>
      <c r="W8" s="267" t="s">
        <v>235</v>
      </c>
      <c r="X8" s="267" t="s">
        <v>234</v>
      </c>
      <c r="Y8" s="267" t="s">
        <v>236</v>
      </c>
      <c r="Z8" s="267" t="s">
        <v>237</v>
      </c>
      <c r="AA8" s="267" t="s">
        <v>238</v>
      </c>
    </row>
    <row r="9" spans="3:27">
      <c r="C9">
        <v>2018</v>
      </c>
      <c r="D9" s="325">
        <f>(4.79*D27)-D15-((D35*0.36)+26)-D43-((D27-90)*0.2636)</f>
        <v>409.41385473982888</v>
      </c>
      <c r="E9" s="325">
        <f>(4.79*E27)-D15-((E35*0.36)+26)-E43-((E27-90)*0.2636)</f>
        <v>400.83651859878904</v>
      </c>
      <c r="F9" s="325">
        <f>(4.79*F27)-D15-((F35*0.36)+26)-F43-((F27-90)*0.2636)</f>
        <v>408.71989228608646</v>
      </c>
      <c r="G9" s="325">
        <f>(4.79*G27)-D15-((G35*0.36)+26)-G43-((G27-90)*0.2636)</f>
        <v>170.50239547803866</v>
      </c>
      <c r="H9" s="325">
        <f>(4.79*H27)-D15-((H35*0.36)+26)-H43-((H27-90)*0.2636)</f>
        <v>143.60737760062835</v>
      </c>
      <c r="I9" s="325">
        <f>(4.79*I27)-D15-((I35*0.36)+26)-I43-((I27-90)*0.2636)</f>
        <v>169.46096622074441</v>
      </c>
      <c r="J9" s="325">
        <f>(5.97*J27)-E15-((J35*0.36)+26)-J43-((J27-65)*0.2636)</f>
        <v>117.26872069483586</v>
      </c>
      <c r="K9" s="325">
        <f>(5.97*K27)-E15-((K35*0.36)+26)-K43-((K27-65)*0.2636)</f>
        <v>109.8007561511681</v>
      </c>
      <c r="L9" s="325">
        <v>0</v>
      </c>
      <c r="M9" s="325">
        <f>(5.97*M27)-E15-((M35*0.36)+26)-M43-((M27-65)*0.2636)</f>
        <v>51.302509713704154</v>
      </c>
      <c r="N9" s="325">
        <f>(5.97*N27)-E15-((N35*0.36)+26)-N43-((N27-65)*0.2636)</f>
        <v>50.352496479887812</v>
      </c>
      <c r="O9" s="325">
        <f>(5.97*O27)-E15-((O35*0.36)+26)-O43-((O27-65)*0.2636)</f>
        <v>82.604277209534956</v>
      </c>
      <c r="P9" s="325">
        <v>0</v>
      </c>
      <c r="Q9" s="325">
        <f>(0.08*Q27)-F15-((Q35*0.36)+26)-Q43-((Q27-2000)*0.0109)</f>
        <v>36.139545799999972</v>
      </c>
      <c r="R9" s="325">
        <v>0</v>
      </c>
      <c r="S9" s="325">
        <v>0</v>
      </c>
      <c r="T9" s="325">
        <f>(0.08*T27)-F15-((T35*0.36))-T43-((T27-2000)*0.0109)</f>
        <v>12.986504599999988</v>
      </c>
      <c r="U9" s="325">
        <v>0</v>
      </c>
      <c r="V9" s="325">
        <f>(0.16*V27)-G15-((V35*0.36))-V43-((V27-1400)*0.0169)</f>
        <v>107.7113399</v>
      </c>
      <c r="W9" s="325">
        <v>0</v>
      </c>
      <c r="X9" s="325">
        <f>(0.16*X27)-G15-((X35*0.36))-X43-((X27-1400)*0.0169)</f>
        <v>125.86142839999997</v>
      </c>
      <c r="Y9" s="325">
        <v>0</v>
      </c>
      <c r="Z9" s="325">
        <v>0</v>
      </c>
      <c r="AA9" s="325">
        <v>0</v>
      </c>
    </row>
    <row r="10" spans="3:27">
      <c r="C10">
        <v>2019</v>
      </c>
      <c r="D10" s="325">
        <f>(4.79*D28)-D15-((D36*0.36)+26)-D44-((D28-90)*0.2636)</f>
        <v>227.19025471778372</v>
      </c>
      <c r="E10" s="325">
        <f>(4.79*E28)-D15-((E36*0.36)+26)-E44-((E28-90)*0.2636)</f>
        <v>241.57191993612309</v>
      </c>
      <c r="F10" s="325">
        <f>(4.79*F28)-D15-((F36*0.36)+26)-F44-((F28-90)*0.2636)</f>
        <v>252.32730107610158</v>
      </c>
      <c r="G10" s="325">
        <f>(4.79*G28)-D15-((G36*0.36)+26)-G44-((G28-90)*0.2636)</f>
        <v>264.43764000756124</v>
      </c>
      <c r="H10" s="325">
        <f>(4.79*H28)-D15-((H36*0.36)+26)-H44-((H28-90)*0.2636)</f>
        <v>182.75631144628261</v>
      </c>
      <c r="I10" s="325">
        <f>(4.79*I28)-D15-((I36*0.36)+26)-I44-((I28-90)*0.2636)</f>
        <v>166.9733905555054</v>
      </c>
      <c r="J10" s="325">
        <f>(5.97*J28)-E15-((J36*0.36)+26)-J44-((J28-65)*0.2636)</f>
        <v>160.18693574733726</v>
      </c>
      <c r="K10" s="325">
        <f>(5.97*K28)-E15-((K36*0.36)+26)-K44-((K28-65)*0.2636)</f>
        <v>176.80836231151807</v>
      </c>
      <c r="L10" s="325">
        <v>0</v>
      </c>
      <c r="M10" s="325">
        <f>(5.97*M28)-E15-((M36*0.36)+26)-M44-((M28-65)*0.2636)</f>
        <v>115.5088972672731</v>
      </c>
      <c r="N10" s="325">
        <f>(5.97*N28)-E15-((N36*0.36)+26)-N44-((N28-65)*0.2636)</f>
        <v>107.90619892263419</v>
      </c>
      <c r="O10" s="325">
        <f>(5.97*O28)-E15-((O36*0.36)+26)-O44-((O28-65)*0.2636)</f>
        <v>129.37712242377995</v>
      </c>
      <c r="P10" s="325">
        <v>0</v>
      </c>
      <c r="Q10" s="325">
        <f>(0.08*Q28)-F15-((Q36*0.36)+26)-Q44-((Q28-2000)*0.0109)</f>
        <v>-49.102614300000013</v>
      </c>
      <c r="R10" s="325">
        <v>0</v>
      </c>
      <c r="S10" s="325">
        <v>0</v>
      </c>
      <c r="T10" s="325">
        <f>(0.08*T28)-F15-((T36*0.36))-T44-((T28-2000)*0.0109)</f>
        <v>-92.93666690000002</v>
      </c>
      <c r="U10" s="325">
        <v>0</v>
      </c>
      <c r="V10" s="325">
        <f>(0.16*V28)-G15-((V36*0.36))-V44-((V28-1400)*0.0169)</f>
        <v>97.565366600000004</v>
      </c>
      <c r="W10" s="325">
        <v>0</v>
      </c>
      <c r="X10" s="325">
        <f>(0.16*X28)-G15-((X36*0.36))-X44-((X28-1400)*0.0169)</f>
        <v>104.13151009999997</v>
      </c>
      <c r="Y10" s="325">
        <v>0</v>
      </c>
      <c r="Z10" s="325">
        <v>0</v>
      </c>
      <c r="AA10" s="325">
        <v>0</v>
      </c>
    </row>
    <row r="11" spans="3:27">
      <c r="C11">
        <v>2020</v>
      </c>
      <c r="D11" s="326">
        <f>(4.79*D29)-D15-((D37*0.36)+26)-D45-((D29-90)*0.2636)</f>
        <v>382.50216344382591</v>
      </c>
      <c r="E11" s="326">
        <f>(4.79*E29)-D15-((E37*0.36)+26)-E45-((E29-90)*0.2636)</f>
        <v>380.37004696355035</v>
      </c>
      <c r="F11" s="326">
        <f>(4.79*F29)-D15-((F37*0.36)+26)-F45-((F29-90)*0.2636)</f>
        <v>362.31670282587788</v>
      </c>
      <c r="G11" s="326">
        <f>(4.79*G29)-D15-((G37*0.36)+26)-G45-((G29-90)*0.2636)</f>
        <v>321.03352271512546</v>
      </c>
      <c r="H11" s="326">
        <f>(4.79*H29)-D15-((H37*0.36)+26)-H45-((H29-90)*0.2636)</f>
        <v>289.88190910737853</v>
      </c>
      <c r="I11" s="326">
        <f>(4.79*I29)-D15-((I37*0.36)+26)-I45-((I29-90)*0.2636)</f>
        <v>305.71342211136272</v>
      </c>
      <c r="J11" s="326">
        <f>(5.97*J29)-E15-((J37*0.36)+26)-J45-((J29-65)*0.2636)</f>
        <v>250.15108256607169</v>
      </c>
      <c r="K11" s="326">
        <f>(5.97*K29)-E15-((K37*0.36)+26)-K45-((K29-65)*0.2636)</f>
        <v>237.72698073345947</v>
      </c>
      <c r="L11" s="326">
        <v>0</v>
      </c>
      <c r="M11" s="326">
        <f>(5.97*M29)-E15-((M37*0.36)+26)-M45-((M29-65)*0.2636)</f>
        <v>108.47175349403832</v>
      </c>
      <c r="N11" s="326">
        <f>(5.97*N29)-E15-((N37*0.36)+26)-N45-((N29-65)*0.2636)</f>
        <v>97.858411071738928</v>
      </c>
      <c r="O11" s="326">
        <f>(5.97*O29)-E15-((O37*0.36)+26)-O45-((O29-65)*0.2636)</f>
        <v>104.81569088599112</v>
      </c>
      <c r="P11" s="326">
        <v>0</v>
      </c>
      <c r="Q11" s="326">
        <f>(0.08*Q29)-F15-((Q37*0.36)+26)-Q45-((Q29-2000)*0.0109)</f>
        <v>126.15031260000001</v>
      </c>
      <c r="R11" s="326">
        <v>0</v>
      </c>
      <c r="S11" s="326">
        <v>0</v>
      </c>
      <c r="T11" s="326">
        <f>(0.08*T29)-F15-((T37*0.36))-T45-((T29-2000)*0.0109)</f>
        <v>9.7192605000000025</v>
      </c>
      <c r="U11" s="326">
        <v>0</v>
      </c>
      <c r="V11" s="326">
        <f>(0.16*V29)-G15-((V37*0.36))-V45-((V29-1400)*0.0169)</f>
        <v>117.15156330000002</v>
      </c>
      <c r="W11" s="326">
        <v>0</v>
      </c>
      <c r="X11" s="326">
        <f>(0.16*X29)-G15-((X37*0.36))-X45-((X29-1400)*0.0169)</f>
        <v>91.905575099999993</v>
      </c>
      <c r="Y11" s="326">
        <v>0</v>
      </c>
      <c r="Z11" s="326">
        <v>0</v>
      </c>
      <c r="AA11" s="326">
        <v>0</v>
      </c>
    </row>
    <row r="12" spans="3:27">
      <c r="C12" s="178" t="s">
        <v>220</v>
      </c>
      <c r="D12" s="325">
        <f>AVERAGE(D10:D11)</f>
        <v>304.84620908080478</v>
      </c>
      <c r="E12" s="325">
        <f t="shared" ref="E12:O12" si="0">AVERAGE(E10:E11)</f>
        <v>310.97098344983669</v>
      </c>
      <c r="F12" s="325">
        <f t="shared" si="0"/>
        <v>307.32200195098972</v>
      </c>
      <c r="G12" s="325">
        <f t="shared" si="0"/>
        <v>292.73558136134335</v>
      </c>
      <c r="H12" s="325">
        <f t="shared" si="0"/>
        <v>236.31911027683057</v>
      </c>
      <c r="I12" s="325">
        <f t="shared" si="0"/>
        <v>236.34340633343407</v>
      </c>
      <c r="J12" s="325">
        <f t="shared" si="0"/>
        <v>205.16900915670448</v>
      </c>
      <c r="K12" s="325">
        <f t="shared" si="0"/>
        <v>207.26767152248877</v>
      </c>
      <c r="L12" s="325">
        <f t="shared" si="0"/>
        <v>0</v>
      </c>
      <c r="M12" s="325">
        <f t="shared" si="0"/>
        <v>111.99032538065572</v>
      </c>
      <c r="N12" s="325">
        <f t="shared" si="0"/>
        <v>102.88230499718657</v>
      </c>
      <c r="O12" s="325">
        <f t="shared" si="0"/>
        <v>117.09640665488553</v>
      </c>
      <c r="P12" s="325">
        <f>AVERAGE(P10:P11)</f>
        <v>0</v>
      </c>
      <c r="Q12" s="325">
        <f t="shared" ref="Q12" si="1">AVERAGE(Q10:Q11)</f>
        <v>38.523849149999997</v>
      </c>
      <c r="R12" s="325">
        <f t="shared" ref="R12" si="2">AVERAGE(R10:R11)</f>
        <v>0</v>
      </c>
      <c r="S12" s="325">
        <f t="shared" ref="S12" si="3">AVERAGE(S10:S11)</f>
        <v>0</v>
      </c>
      <c r="T12" s="325">
        <f t="shared" ref="T12" si="4">AVERAGE(T10:T11)</f>
        <v>-41.608703200000008</v>
      </c>
      <c r="U12" s="325">
        <f t="shared" ref="U12" si="5">AVERAGE(U10:U11)</f>
        <v>0</v>
      </c>
      <c r="V12" s="325">
        <f t="shared" ref="V12" si="6">AVERAGE(V10:V11)</f>
        <v>107.35846495000001</v>
      </c>
      <c r="W12" s="325">
        <f t="shared" ref="W12" si="7">AVERAGE(W10:W11)</f>
        <v>0</v>
      </c>
      <c r="X12" s="325">
        <f t="shared" ref="X12" si="8">AVERAGE(X10:X11)</f>
        <v>98.018542599999989</v>
      </c>
      <c r="Y12" s="325">
        <f t="shared" ref="Y12" si="9">AVERAGE(Y10:Y11)</f>
        <v>0</v>
      </c>
      <c r="Z12" s="325">
        <f t="shared" ref="Z12" si="10">AVERAGE(Z10:Z11)</f>
        <v>0</v>
      </c>
      <c r="AA12" s="325">
        <f t="shared" ref="AA12" si="11">AVERAGE(AA10:AA11)</f>
        <v>0</v>
      </c>
    </row>
    <row r="13" spans="3:27">
      <c r="C13" s="177" t="s">
        <v>221</v>
      </c>
      <c r="D13" s="328">
        <f>D10+D11</f>
        <v>609.69241816160957</v>
      </c>
      <c r="E13" s="328">
        <f t="shared" ref="E13:O13" si="12">E10+E11</f>
        <v>621.94196689967339</v>
      </c>
      <c r="F13" s="328">
        <f t="shared" si="12"/>
        <v>614.64400390197943</v>
      </c>
      <c r="G13" s="328">
        <f t="shared" si="12"/>
        <v>585.4711627226867</v>
      </c>
      <c r="H13" s="328">
        <f t="shared" si="12"/>
        <v>472.63822055366114</v>
      </c>
      <c r="I13" s="328">
        <f t="shared" si="12"/>
        <v>472.68681266686815</v>
      </c>
      <c r="J13" s="328">
        <f t="shared" si="12"/>
        <v>410.33801831340895</v>
      </c>
      <c r="K13" s="328">
        <f t="shared" si="12"/>
        <v>414.53534304497754</v>
      </c>
      <c r="L13" s="328">
        <f t="shared" si="12"/>
        <v>0</v>
      </c>
      <c r="M13" s="328">
        <f t="shared" si="12"/>
        <v>223.98065076131144</v>
      </c>
      <c r="N13" s="328">
        <f t="shared" si="12"/>
        <v>205.76460999437313</v>
      </c>
      <c r="O13" s="328">
        <f t="shared" si="12"/>
        <v>234.19281330977105</v>
      </c>
      <c r="P13" s="328">
        <f>P10+P11</f>
        <v>0</v>
      </c>
      <c r="Q13" s="328">
        <f t="shared" ref="Q13:AA13" si="13">Q10+Q11</f>
        <v>77.047698299999993</v>
      </c>
      <c r="R13" s="328">
        <f t="shared" si="13"/>
        <v>0</v>
      </c>
      <c r="S13" s="328">
        <f t="shared" si="13"/>
        <v>0</v>
      </c>
      <c r="T13" s="328">
        <f t="shared" si="13"/>
        <v>-83.217406400000016</v>
      </c>
      <c r="U13" s="328">
        <f t="shared" si="13"/>
        <v>0</v>
      </c>
      <c r="V13" s="328">
        <f t="shared" si="13"/>
        <v>214.71692990000003</v>
      </c>
      <c r="W13" s="328">
        <f t="shared" si="13"/>
        <v>0</v>
      </c>
      <c r="X13" s="328">
        <f t="shared" si="13"/>
        <v>196.03708519999998</v>
      </c>
      <c r="Y13" s="328">
        <f t="shared" si="13"/>
        <v>0</v>
      </c>
      <c r="Z13" s="328">
        <f t="shared" si="13"/>
        <v>0</v>
      </c>
      <c r="AA13" s="328">
        <f t="shared" si="13"/>
        <v>0</v>
      </c>
    </row>
    <row r="14" spans="3:27" s="1" customFormat="1">
      <c r="D14" s="323" t="s">
        <v>214</v>
      </c>
      <c r="E14" s="323" t="s">
        <v>215</v>
      </c>
      <c r="F14" s="323" t="s">
        <v>216</v>
      </c>
      <c r="G14" s="323" t="s">
        <v>217</v>
      </c>
      <c r="H14" s="323" t="s">
        <v>218</v>
      </c>
      <c r="I14" s="323" t="s">
        <v>219</v>
      </c>
    </row>
    <row r="15" spans="3:27" s="1" customFormat="1">
      <c r="C15" s="319" t="s">
        <v>213</v>
      </c>
      <c r="D15" s="324">
        <f>207.6-67.68-37.49-3.08-7.28</f>
        <v>92.069999999999979</v>
      </c>
      <c r="E15" s="324">
        <f>182.8-47-37.49-3.08-4.46</f>
        <v>90.77000000000001</v>
      </c>
      <c r="F15" s="324">
        <f>171.34-22.6-9.53-3.95</f>
        <v>135.26000000000002</v>
      </c>
      <c r="G15" s="324">
        <f>182.12-25.88-11.91-4.44</f>
        <v>139.89000000000001</v>
      </c>
      <c r="H15" s="324" t="s">
        <v>8</v>
      </c>
      <c r="I15" s="324" t="s">
        <v>8</v>
      </c>
      <c r="J15" s="173" t="s">
        <v>8</v>
      </c>
      <c r="K15" s="173" t="s">
        <v>8</v>
      </c>
      <c r="L15" s="173" t="s">
        <v>8</v>
      </c>
      <c r="M15" s="173" t="s">
        <v>8</v>
      </c>
      <c r="N15" s="173" t="s">
        <v>8</v>
      </c>
      <c r="V15" s="1" t="s">
        <v>222</v>
      </c>
    </row>
    <row r="16" spans="3:27" s="1" customFormat="1">
      <c r="C16" s="173" t="s">
        <v>8</v>
      </c>
      <c r="K16" s="1">
        <f>((K36*0.36)+26)</f>
        <v>78.919999999999987</v>
      </c>
    </row>
    <row r="17" spans="3:27" s="1" customFormat="1">
      <c r="C17" s="173" t="s">
        <v>8</v>
      </c>
    </row>
    <row r="18" spans="3:27" s="1" customFormat="1">
      <c r="C18" s="173" t="s">
        <v>8</v>
      </c>
      <c r="M18" s="1">
        <f>((M36*0.36)+26)</f>
        <v>67.400000000000006</v>
      </c>
      <c r="N18" s="1">
        <f t="shared" ref="N18:O19" si="14">((N36*0.36)+26)</f>
        <v>67.400000000000006</v>
      </c>
      <c r="O18" s="1">
        <f t="shared" si="14"/>
        <v>67.400000000000006</v>
      </c>
    </row>
    <row r="19" spans="3:27" s="1" customFormat="1">
      <c r="G19" s="1">
        <f>((G37*0.36)+26)</f>
        <v>33.200000000000003</v>
      </c>
      <c r="H19" s="1">
        <f t="shared" ref="H19:I19" si="15">((H37*0.36)+26)</f>
        <v>53</v>
      </c>
      <c r="I19" s="1">
        <f t="shared" si="15"/>
        <v>62</v>
      </c>
      <c r="M19" s="1">
        <f>((M37*0.36)+26)</f>
        <v>44</v>
      </c>
      <c r="N19" s="1">
        <f t="shared" si="14"/>
        <v>45.8</v>
      </c>
      <c r="O19" s="1">
        <f t="shared" si="14"/>
        <v>62</v>
      </c>
    </row>
    <row r="20" spans="3:27" s="1" customFormat="1"/>
    <row r="21" spans="3:27" s="1" customFormat="1"/>
    <row r="22" spans="3:27" s="1" customFormat="1"/>
    <row r="23" spans="3:27" s="1" customFormat="1"/>
    <row r="25" spans="3:27">
      <c r="D25" s="808" t="s">
        <v>205</v>
      </c>
      <c r="E25" s="808"/>
      <c r="F25" s="808"/>
      <c r="G25" s="810" t="s">
        <v>206</v>
      </c>
      <c r="H25" s="810"/>
      <c r="I25" s="811"/>
      <c r="J25" s="808" t="s">
        <v>207</v>
      </c>
      <c r="K25" s="808"/>
      <c r="L25" s="808"/>
      <c r="M25" s="810" t="s">
        <v>208</v>
      </c>
      <c r="N25" s="810"/>
      <c r="O25" s="811"/>
      <c r="P25" s="808" t="s">
        <v>209</v>
      </c>
      <c r="Q25" s="808"/>
      <c r="R25" s="808"/>
      <c r="S25" s="810" t="s">
        <v>210</v>
      </c>
      <c r="T25" s="810"/>
      <c r="U25" s="811"/>
      <c r="V25" s="808" t="s">
        <v>211</v>
      </c>
      <c r="W25" s="808"/>
      <c r="X25" s="808"/>
      <c r="Y25" s="810" t="s">
        <v>212</v>
      </c>
      <c r="Z25" s="810"/>
      <c r="AA25" s="811"/>
    </row>
    <row r="26" spans="3:27">
      <c r="C26" s="321" t="s">
        <v>198</v>
      </c>
      <c r="D26" s="320" t="s">
        <v>138</v>
      </c>
      <c r="E26" s="320" t="s">
        <v>204</v>
      </c>
      <c r="F26" s="320" t="s">
        <v>135</v>
      </c>
      <c r="G26" s="320" t="s">
        <v>138</v>
      </c>
      <c r="H26" s="320" t="s">
        <v>204</v>
      </c>
      <c r="I26" s="322" t="s">
        <v>135</v>
      </c>
      <c r="J26" s="320" t="s">
        <v>138</v>
      </c>
      <c r="K26" s="320" t="s">
        <v>204</v>
      </c>
      <c r="L26" s="320" t="s">
        <v>135</v>
      </c>
      <c r="M26" s="320" t="s">
        <v>138</v>
      </c>
      <c r="N26" s="320" t="s">
        <v>204</v>
      </c>
      <c r="O26" s="322" t="s">
        <v>135</v>
      </c>
      <c r="P26" s="320" t="s">
        <v>138</v>
      </c>
      <c r="Q26" s="320" t="s">
        <v>204</v>
      </c>
      <c r="R26" s="320" t="s">
        <v>135</v>
      </c>
      <c r="S26" s="320" t="s">
        <v>138</v>
      </c>
      <c r="T26" s="320" t="s">
        <v>204</v>
      </c>
      <c r="U26" s="322" t="s">
        <v>135</v>
      </c>
      <c r="V26" s="320" t="s">
        <v>138</v>
      </c>
      <c r="W26" s="320" t="s">
        <v>204</v>
      </c>
      <c r="X26" s="320" t="s">
        <v>135</v>
      </c>
      <c r="Y26" s="320" t="s">
        <v>138</v>
      </c>
      <c r="Z26" s="320" t="s">
        <v>204</v>
      </c>
      <c r="AA26" s="322" t="s">
        <v>135</v>
      </c>
    </row>
    <row r="27" spans="3:27">
      <c r="C27" s="53">
        <v>2018</v>
      </c>
      <c r="D27" s="1">
        <v>118.45171764312231</v>
      </c>
      <c r="E27" s="1">
        <v>116.55676002977842</v>
      </c>
      <c r="F27" s="1">
        <v>118.29840320919193</v>
      </c>
      <c r="G27" s="1">
        <v>65.669935374257392</v>
      </c>
      <c r="H27" s="1">
        <v>59.728123365285512</v>
      </c>
      <c r="I27" s="53">
        <v>65.43985644678871</v>
      </c>
      <c r="J27" s="1">
        <v>41.796004607955254</v>
      </c>
      <c r="K27" s="1">
        <v>40.487304807088201</v>
      </c>
      <c r="L27" s="1">
        <v>0</v>
      </c>
      <c r="M27" s="2">
        <v>33.705753139230367</v>
      </c>
      <c r="N27" s="2">
        <v>33.539271078068104</v>
      </c>
      <c r="O27" s="53">
        <v>39.191132274207028</v>
      </c>
      <c r="P27" s="1">
        <v>0</v>
      </c>
      <c r="Q27" s="1">
        <v>2541.2379999999998</v>
      </c>
      <c r="R27" s="1">
        <v>0</v>
      </c>
      <c r="S27" s="2">
        <v>0</v>
      </c>
      <c r="T27" s="2">
        <v>1829.9059999999999</v>
      </c>
      <c r="U27" s="53">
        <v>0</v>
      </c>
      <c r="V27" s="1">
        <v>1564.9290000000001</v>
      </c>
      <c r="W27" s="1">
        <v>0</v>
      </c>
      <c r="X27" s="1">
        <v>1691.7639999999999</v>
      </c>
      <c r="Y27" s="2">
        <v>0</v>
      </c>
      <c r="Z27" s="2">
        <v>0</v>
      </c>
      <c r="AA27" s="53">
        <v>0</v>
      </c>
    </row>
    <row r="28" spans="3:27">
      <c r="C28" s="53">
        <v>2019</v>
      </c>
      <c r="D28" s="1">
        <v>89.465415057834861</v>
      </c>
      <c r="E28" s="1">
        <v>92.642700586806981</v>
      </c>
      <c r="F28" s="1">
        <v>95.01884523597154</v>
      </c>
      <c r="G28" s="1">
        <v>101.27333863723075</v>
      </c>
      <c r="H28" s="1">
        <v>80.841797332600436</v>
      </c>
      <c r="I28" s="53">
        <v>79.740939942449941</v>
      </c>
      <c r="J28" s="1">
        <v>62.484742700711003</v>
      </c>
      <c r="K28" s="1">
        <v>65.397511971035698</v>
      </c>
      <c r="L28" s="1">
        <v>0</v>
      </c>
      <c r="M28" s="2">
        <v>52.743392903980293</v>
      </c>
      <c r="N28" s="2">
        <v>51.411082104765569</v>
      </c>
      <c r="O28" s="53">
        <v>55.173686110994673</v>
      </c>
      <c r="P28" s="1">
        <v>0</v>
      </c>
      <c r="Q28" s="1">
        <v>2287.2269999999999</v>
      </c>
      <c r="R28" s="1">
        <v>0</v>
      </c>
      <c r="S28" s="2">
        <v>0</v>
      </c>
      <c r="T28" s="2">
        <v>1455.0409999999999</v>
      </c>
      <c r="U28" s="53">
        <v>0</v>
      </c>
      <c r="V28" s="1">
        <v>1812.6859999999999</v>
      </c>
      <c r="W28" s="1">
        <v>0</v>
      </c>
      <c r="X28" s="1">
        <v>1858.5709999999999</v>
      </c>
      <c r="Y28" s="2">
        <v>0</v>
      </c>
      <c r="Z28" s="2">
        <v>0</v>
      </c>
      <c r="AA28" s="53">
        <v>0</v>
      </c>
    </row>
    <row r="29" spans="3:27">
      <c r="C29" s="53">
        <v>2020</v>
      </c>
      <c r="D29" s="1">
        <v>126.79351436988023</v>
      </c>
      <c r="E29" s="1">
        <v>126.32247414359099</v>
      </c>
      <c r="F29" s="1">
        <v>122.33401882862272</v>
      </c>
      <c r="G29" s="1">
        <v>101.89985920712385</v>
      </c>
      <c r="H29" s="1">
        <v>99.391991230863042</v>
      </c>
      <c r="I29" s="53">
        <v>104.87792110979206</v>
      </c>
      <c r="J29" s="1">
        <v>79.26662739486747</v>
      </c>
      <c r="K29" s="1">
        <v>77.089405007265427</v>
      </c>
      <c r="L29" s="1">
        <v>0</v>
      </c>
      <c r="M29" s="2">
        <v>45.984815907408937</v>
      </c>
      <c r="N29" s="2">
        <v>44.440349620029956</v>
      </c>
      <c r="O29" s="53">
        <v>48.498473798890913</v>
      </c>
      <c r="P29" s="1">
        <v>0</v>
      </c>
      <c r="Q29" s="1">
        <v>4560.7860000000001</v>
      </c>
      <c r="R29" s="1">
        <v>0</v>
      </c>
      <c r="S29" s="2">
        <v>0</v>
      </c>
      <c r="T29" s="2">
        <v>2240.6550000000002</v>
      </c>
      <c r="U29" s="53">
        <v>0</v>
      </c>
      <c r="V29" s="1">
        <v>2181.143</v>
      </c>
      <c r="W29" s="1">
        <v>0</v>
      </c>
      <c r="X29" s="1">
        <v>2004.721</v>
      </c>
      <c r="Y29" s="2">
        <v>0</v>
      </c>
      <c r="Z29" s="2">
        <v>0</v>
      </c>
      <c r="AA29" s="53">
        <v>0</v>
      </c>
    </row>
    <row r="30" spans="3:27">
      <c r="C30" s="173" t="s">
        <v>8</v>
      </c>
    </row>
    <row r="33" spans="3:27">
      <c r="D33" s="808" t="s">
        <v>205</v>
      </c>
      <c r="E33" s="808"/>
      <c r="F33" s="808"/>
      <c r="G33" s="810" t="s">
        <v>206</v>
      </c>
      <c r="H33" s="810"/>
      <c r="I33" s="811"/>
      <c r="J33" s="808" t="s">
        <v>207</v>
      </c>
      <c r="K33" s="808"/>
      <c r="L33" s="808"/>
      <c r="M33" s="810" t="s">
        <v>208</v>
      </c>
      <c r="N33" s="810"/>
      <c r="O33" s="811"/>
      <c r="P33" s="808" t="s">
        <v>209</v>
      </c>
      <c r="Q33" s="808"/>
      <c r="R33" s="808"/>
      <c r="S33" s="810" t="s">
        <v>210</v>
      </c>
      <c r="T33" s="810"/>
      <c r="U33" s="811"/>
      <c r="V33" s="808" t="s">
        <v>211</v>
      </c>
      <c r="W33" s="808"/>
      <c r="X33" s="808"/>
      <c r="Y33" s="810" t="s">
        <v>212</v>
      </c>
      <c r="Z33" s="810"/>
      <c r="AA33" s="811"/>
    </row>
    <row r="34" spans="3:27" ht="17">
      <c r="C34" s="318" t="s">
        <v>201</v>
      </c>
      <c r="D34" s="320" t="s">
        <v>138</v>
      </c>
      <c r="E34" s="320" t="s">
        <v>204</v>
      </c>
      <c r="F34" s="320" t="s">
        <v>135</v>
      </c>
      <c r="G34" s="320" t="s">
        <v>138</v>
      </c>
      <c r="H34" s="320" t="s">
        <v>204</v>
      </c>
      <c r="I34" s="322" t="s">
        <v>135</v>
      </c>
      <c r="J34" s="320" t="s">
        <v>138</v>
      </c>
      <c r="K34" s="320" t="s">
        <v>204</v>
      </c>
      <c r="L34" s="320" t="s">
        <v>135</v>
      </c>
      <c r="M34" s="320" t="s">
        <v>138</v>
      </c>
      <c r="N34" s="320" t="s">
        <v>204</v>
      </c>
      <c r="O34" s="322" t="s">
        <v>135</v>
      </c>
      <c r="P34" s="320" t="s">
        <v>138</v>
      </c>
      <c r="Q34" s="320" t="s">
        <v>204</v>
      </c>
      <c r="R34" s="320" t="s">
        <v>135</v>
      </c>
      <c r="S34" s="320" t="s">
        <v>138</v>
      </c>
      <c r="T34" s="320" t="s">
        <v>204</v>
      </c>
      <c r="U34" s="322" t="s">
        <v>135</v>
      </c>
      <c r="V34" s="320" t="s">
        <v>138</v>
      </c>
      <c r="W34" s="320" t="s">
        <v>204</v>
      </c>
      <c r="X34" s="320" t="s">
        <v>135</v>
      </c>
      <c r="Y34" s="320" t="s">
        <v>138</v>
      </c>
      <c r="Z34" s="320" t="s">
        <v>204</v>
      </c>
      <c r="AA34" s="322" t="s">
        <v>135</v>
      </c>
    </row>
    <row r="35" spans="3:27">
      <c r="C35" s="1">
        <v>2018</v>
      </c>
      <c r="D35" s="1">
        <v>90</v>
      </c>
      <c r="E35" s="1">
        <v>90</v>
      </c>
      <c r="F35" s="1">
        <v>90</v>
      </c>
      <c r="G35" s="1">
        <v>90</v>
      </c>
      <c r="H35" s="1">
        <v>90</v>
      </c>
      <c r="I35" s="1">
        <v>90</v>
      </c>
      <c r="J35" s="1">
        <v>60</v>
      </c>
      <c r="K35" s="1">
        <v>60</v>
      </c>
      <c r="L35" s="1">
        <v>0</v>
      </c>
      <c r="M35">
        <v>115</v>
      </c>
      <c r="N35">
        <v>115</v>
      </c>
      <c r="O35">
        <v>115</v>
      </c>
      <c r="P35" s="1">
        <v>0</v>
      </c>
      <c r="Q35" s="1">
        <v>0</v>
      </c>
      <c r="R35" s="1">
        <v>0</v>
      </c>
      <c r="S35" s="1">
        <v>0</v>
      </c>
      <c r="T35" s="1">
        <v>0</v>
      </c>
      <c r="U35" s="1">
        <v>0</v>
      </c>
      <c r="V35" s="1">
        <v>0</v>
      </c>
      <c r="W35" s="1">
        <v>0</v>
      </c>
      <c r="X35" s="1">
        <v>0</v>
      </c>
      <c r="Y35" s="1">
        <v>0</v>
      </c>
      <c r="Z35" s="1">
        <v>0</v>
      </c>
      <c r="AA35" s="1">
        <v>0</v>
      </c>
    </row>
    <row r="36" spans="3:27">
      <c r="C36" s="1">
        <v>2019</v>
      </c>
      <c r="D36" s="1">
        <v>110</v>
      </c>
      <c r="E36" s="1">
        <v>110</v>
      </c>
      <c r="F36" s="1">
        <v>110</v>
      </c>
      <c r="G36" s="1">
        <v>80</v>
      </c>
      <c r="H36" s="1">
        <v>50</v>
      </c>
      <c r="I36" s="1">
        <v>80</v>
      </c>
      <c r="J36" s="1">
        <v>147</v>
      </c>
      <c r="K36" s="1">
        <v>147</v>
      </c>
      <c r="L36" s="1">
        <v>0</v>
      </c>
      <c r="M36">
        <v>115</v>
      </c>
      <c r="N36">
        <v>115</v>
      </c>
      <c r="O36">
        <v>115</v>
      </c>
      <c r="P36" s="1">
        <v>0</v>
      </c>
      <c r="Q36" s="1">
        <v>0</v>
      </c>
      <c r="R36" s="1">
        <v>0</v>
      </c>
      <c r="S36" s="1">
        <v>0</v>
      </c>
      <c r="T36" s="1">
        <v>0</v>
      </c>
      <c r="U36" s="1">
        <v>0</v>
      </c>
      <c r="V36" s="1">
        <v>0</v>
      </c>
      <c r="W36" s="1">
        <v>0</v>
      </c>
      <c r="X36" s="1">
        <v>0</v>
      </c>
      <c r="Y36" s="1">
        <v>0</v>
      </c>
      <c r="Z36" s="1">
        <v>0</v>
      </c>
      <c r="AA36" s="1">
        <v>0</v>
      </c>
    </row>
    <row r="37" spans="3:27">
      <c r="C37" s="1">
        <v>2020</v>
      </c>
      <c r="D37" s="1">
        <v>115</v>
      </c>
      <c r="E37" s="1">
        <v>115</v>
      </c>
      <c r="F37" s="1">
        <v>115</v>
      </c>
      <c r="G37" s="1">
        <v>20</v>
      </c>
      <c r="H37" s="1">
        <v>75</v>
      </c>
      <c r="I37" s="1">
        <v>100</v>
      </c>
      <c r="J37" s="1">
        <v>147</v>
      </c>
      <c r="K37" s="1">
        <v>147</v>
      </c>
      <c r="L37" s="1">
        <v>0</v>
      </c>
      <c r="M37">
        <v>50</v>
      </c>
      <c r="N37">
        <v>55</v>
      </c>
      <c r="O37">
        <v>100</v>
      </c>
      <c r="P37" s="1">
        <v>0</v>
      </c>
      <c r="Q37" s="1">
        <v>0</v>
      </c>
      <c r="R37" s="1">
        <v>0</v>
      </c>
      <c r="S37" s="1">
        <v>0</v>
      </c>
      <c r="T37" s="1">
        <v>0</v>
      </c>
      <c r="U37" s="1">
        <v>0</v>
      </c>
      <c r="V37" s="1">
        <v>0</v>
      </c>
      <c r="W37" s="1">
        <v>0</v>
      </c>
      <c r="X37" s="1">
        <v>0</v>
      </c>
      <c r="Y37" s="1">
        <v>0</v>
      </c>
      <c r="Z37" s="1">
        <v>0</v>
      </c>
      <c r="AA37" s="1">
        <v>0</v>
      </c>
    </row>
    <row r="38" spans="3:27">
      <c r="C38" s="1">
        <v>2021</v>
      </c>
      <c r="D38" s="1">
        <v>0</v>
      </c>
      <c r="E38" s="1">
        <v>0</v>
      </c>
      <c r="F38" s="1">
        <v>0</v>
      </c>
      <c r="G38" s="1">
        <v>0</v>
      </c>
      <c r="H38" s="1">
        <v>0</v>
      </c>
      <c r="I38" s="1">
        <v>0</v>
      </c>
      <c r="J38" s="1">
        <v>0</v>
      </c>
      <c r="K38" s="1">
        <v>0</v>
      </c>
      <c r="L38" s="1">
        <v>0</v>
      </c>
      <c r="M38">
        <v>0</v>
      </c>
      <c r="N38">
        <v>0</v>
      </c>
      <c r="O38">
        <v>0</v>
      </c>
      <c r="P38" s="1">
        <v>0</v>
      </c>
      <c r="Q38" s="1">
        <v>0</v>
      </c>
      <c r="R38" s="1">
        <v>0</v>
      </c>
      <c r="S38" s="1">
        <v>0</v>
      </c>
      <c r="T38" s="1">
        <v>0</v>
      </c>
      <c r="U38" s="1">
        <v>0</v>
      </c>
      <c r="V38" s="1">
        <v>0</v>
      </c>
      <c r="W38" s="1">
        <v>0</v>
      </c>
      <c r="X38" s="1">
        <v>0</v>
      </c>
      <c r="Y38" s="1">
        <v>0</v>
      </c>
      <c r="Z38" s="1">
        <v>0</v>
      </c>
      <c r="AA38" s="1">
        <v>0</v>
      </c>
    </row>
    <row r="39" spans="3:27" ht="17">
      <c r="D39" t="s">
        <v>202</v>
      </c>
    </row>
    <row r="41" spans="3:27">
      <c r="D41" s="808" t="s">
        <v>205</v>
      </c>
      <c r="E41" s="808"/>
      <c r="F41" s="808"/>
      <c r="G41" s="810" t="s">
        <v>206</v>
      </c>
      <c r="H41" s="810"/>
      <c r="I41" s="811"/>
      <c r="J41" s="808" t="s">
        <v>207</v>
      </c>
      <c r="K41" s="808"/>
      <c r="L41" s="808"/>
      <c r="M41" s="810" t="s">
        <v>208</v>
      </c>
      <c r="N41" s="810"/>
      <c r="O41" s="811"/>
      <c r="P41" s="808" t="s">
        <v>209</v>
      </c>
      <c r="Q41" s="808"/>
      <c r="R41" s="808"/>
      <c r="S41" s="810" t="s">
        <v>210</v>
      </c>
      <c r="T41" s="810"/>
      <c r="U41" s="811"/>
      <c r="V41" s="808" t="s">
        <v>211</v>
      </c>
      <c r="W41" s="808"/>
      <c r="X41" s="808"/>
      <c r="Y41" s="810" t="s">
        <v>212</v>
      </c>
      <c r="Z41" s="810"/>
      <c r="AA41" s="811"/>
    </row>
    <row r="42" spans="3:27">
      <c r="C42" s="318" t="s">
        <v>200</v>
      </c>
      <c r="D42" s="320" t="s">
        <v>138</v>
      </c>
      <c r="E42" s="320" t="s">
        <v>204</v>
      </c>
      <c r="F42" s="320" t="s">
        <v>135</v>
      </c>
      <c r="G42" s="320" t="s">
        <v>138</v>
      </c>
      <c r="H42" s="320" t="s">
        <v>204</v>
      </c>
      <c r="I42" s="322" t="s">
        <v>135</v>
      </c>
      <c r="J42" s="320" t="s">
        <v>138</v>
      </c>
      <c r="K42" s="320" t="s">
        <v>204</v>
      </c>
      <c r="L42" s="320" t="s">
        <v>135</v>
      </c>
      <c r="M42" s="320" t="s">
        <v>138</v>
      </c>
      <c r="N42" s="320" t="s">
        <v>204</v>
      </c>
      <c r="O42" s="322" t="s">
        <v>135</v>
      </c>
      <c r="P42" s="320" t="s">
        <v>138</v>
      </c>
      <c r="Q42" s="320" t="s">
        <v>204</v>
      </c>
      <c r="R42" s="320" t="s">
        <v>135</v>
      </c>
      <c r="S42" s="320" t="s">
        <v>138</v>
      </c>
      <c r="T42" s="320" t="s">
        <v>204</v>
      </c>
      <c r="U42" s="322" t="s">
        <v>135</v>
      </c>
      <c r="V42" s="320" t="s">
        <v>138</v>
      </c>
      <c r="W42" s="320" t="s">
        <v>204</v>
      </c>
      <c r="X42" s="320" t="s">
        <v>135</v>
      </c>
      <c r="Y42" s="320" t="s">
        <v>138</v>
      </c>
      <c r="Z42" s="320" t="s">
        <v>204</v>
      </c>
      <c r="AA42" s="322" t="s">
        <v>135</v>
      </c>
    </row>
    <row r="43" spans="3:27">
      <c r="C43" s="1">
        <v>2018</v>
      </c>
      <c r="D43" s="1">
        <v>0</v>
      </c>
      <c r="E43" s="1">
        <v>0</v>
      </c>
      <c r="F43" s="1">
        <v>0</v>
      </c>
      <c r="G43" s="1">
        <v>0</v>
      </c>
      <c r="H43" s="1">
        <v>0</v>
      </c>
      <c r="I43" s="1">
        <v>0</v>
      </c>
      <c r="J43" s="1">
        <v>0</v>
      </c>
      <c r="K43" s="1">
        <v>0</v>
      </c>
      <c r="L43" s="1">
        <v>0</v>
      </c>
      <c r="M43" s="1">
        <v>0</v>
      </c>
      <c r="N43" s="1">
        <v>0</v>
      </c>
      <c r="O43" s="1">
        <v>0</v>
      </c>
      <c r="P43" s="1">
        <v>0</v>
      </c>
      <c r="Q43" s="1">
        <v>0</v>
      </c>
      <c r="R43" s="1">
        <v>0</v>
      </c>
      <c r="S43" s="1">
        <v>0</v>
      </c>
      <c r="T43" s="1">
        <v>0</v>
      </c>
      <c r="U43" s="1">
        <v>0</v>
      </c>
      <c r="V43" s="1">
        <v>0</v>
      </c>
      <c r="W43" s="1">
        <v>0</v>
      </c>
      <c r="X43" s="1">
        <v>0</v>
      </c>
      <c r="Y43" s="1">
        <v>0</v>
      </c>
      <c r="Z43" s="1">
        <v>0</v>
      </c>
      <c r="AA43" s="1">
        <v>0</v>
      </c>
    </row>
    <row r="44" spans="3:27">
      <c r="C44" s="1">
        <v>2019</v>
      </c>
      <c r="D44" s="1">
        <v>43.82</v>
      </c>
      <c r="E44" s="1">
        <v>43.82</v>
      </c>
      <c r="F44" s="1">
        <v>43.82</v>
      </c>
      <c r="G44" s="1">
        <v>70.819999999999993</v>
      </c>
      <c r="H44" s="1">
        <v>70.819999999999993</v>
      </c>
      <c r="I44" s="1">
        <v>70.819999999999993</v>
      </c>
      <c r="J44" s="1">
        <v>43.82</v>
      </c>
      <c r="K44" s="1">
        <v>43.82</v>
      </c>
      <c r="L44" s="1">
        <v>43.82</v>
      </c>
      <c r="M44" s="1">
        <v>44.43</v>
      </c>
      <c r="N44" s="1">
        <v>44.43</v>
      </c>
      <c r="O44" s="1">
        <v>44.43</v>
      </c>
      <c r="P44" s="1">
        <v>0</v>
      </c>
      <c r="Q44" s="1">
        <v>67.69</v>
      </c>
      <c r="R44" s="1">
        <v>0</v>
      </c>
      <c r="S44" s="1">
        <v>0</v>
      </c>
      <c r="T44" s="1">
        <v>80.02</v>
      </c>
      <c r="U44" s="1">
        <v>0</v>
      </c>
      <c r="V44" s="396">
        <v>45.6</v>
      </c>
      <c r="W44" s="396">
        <v>0</v>
      </c>
      <c r="X44" s="396">
        <v>45.6</v>
      </c>
      <c r="Y44" s="1">
        <v>0</v>
      </c>
      <c r="Z44" s="1">
        <v>0</v>
      </c>
      <c r="AA44" s="1">
        <v>0</v>
      </c>
    </row>
    <row r="45" spans="3:27">
      <c r="C45" s="1">
        <v>2020</v>
      </c>
      <c r="D45" s="1">
        <v>55.67</v>
      </c>
      <c r="E45" s="1">
        <v>55.67</v>
      </c>
      <c r="F45" s="1">
        <v>55.67</v>
      </c>
      <c r="G45" s="1">
        <v>38.659999999999997</v>
      </c>
      <c r="H45" s="1">
        <v>38.659999999999997</v>
      </c>
      <c r="I45" s="1">
        <v>38.659999999999997</v>
      </c>
      <c r="J45" s="1">
        <v>49.62</v>
      </c>
      <c r="K45" s="1">
        <v>49.62</v>
      </c>
      <c r="L45" s="1">
        <v>49.62</v>
      </c>
      <c r="M45" s="1">
        <v>36.299999999999997</v>
      </c>
      <c r="N45" s="1">
        <v>36.299999999999997</v>
      </c>
      <c r="O45" s="1">
        <v>36.299999999999997</v>
      </c>
      <c r="P45" s="1">
        <v>0</v>
      </c>
      <c r="Q45" s="1">
        <v>49.54</v>
      </c>
      <c r="R45" s="1">
        <v>0</v>
      </c>
      <c r="S45" s="1">
        <v>0</v>
      </c>
      <c r="T45" s="1">
        <v>31.65</v>
      </c>
      <c r="U45" s="1">
        <v>0</v>
      </c>
      <c r="V45" s="396">
        <v>78.739999999999995</v>
      </c>
      <c r="W45" s="396">
        <v>0</v>
      </c>
      <c r="X45" s="396">
        <v>78.739999999999995</v>
      </c>
      <c r="Y45" s="1">
        <v>0</v>
      </c>
      <c r="Z45" s="1">
        <v>0</v>
      </c>
      <c r="AA45" s="1">
        <v>0</v>
      </c>
    </row>
    <row r="46" spans="3:27">
      <c r="C46" s="1">
        <v>2021</v>
      </c>
      <c r="D46" s="1">
        <v>0</v>
      </c>
      <c r="E46" s="1">
        <v>0</v>
      </c>
      <c r="F46" s="1">
        <v>0</v>
      </c>
      <c r="G46" s="1">
        <v>0</v>
      </c>
      <c r="H46" s="1">
        <v>0</v>
      </c>
      <c r="I46" s="1">
        <v>0</v>
      </c>
      <c r="J46" s="1">
        <v>0</v>
      </c>
      <c r="K46" s="1">
        <v>0</v>
      </c>
      <c r="L46" s="1">
        <v>0</v>
      </c>
      <c r="M46" s="1">
        <v>0</v>
      </c>
      <c r="N46" s="1">
        <v>0</v>
      </c>
      <c r="O46" s="1">
        <v>0</v>
      </c>
      <c r="P46" s="1">
        <v>0</v>
      </c>
      <c r="Q46" s="1">
        <v>0</v>
      </c>
      <c r="R46" s="1">
        <v>0</v>
      </c>
      <c r="S46" s="1">
        <v>0</v>
      </c>
      <c r="T46" s="1">
        <v>0</v>
      </c>
      <c r="U46" s="1">
        <v>0</v>
      </c>
      <c r="V46" s="1">
        <v>0</v>
      </c>
      <c r="W46" s="1">
        <v>0</v>
      </c>
      <c r="X46" s="1">
        <v>0</v>
      </c>
      <c r="Y46" s="1">
        <v>0</v>
      </c>
      <c r="Z46" s="1">
        <v>0</v>
      </c>
      <c r="AA46" s="1">
        <v>0</v>
      </c>
    </row>
  </sheetData>
  <mergeCells count="32">
    <mergeCell ref="M25:O25"/>
    <mergeCell ref="J7:L7"/>
    <mergeCell ref="M7:O7"/>
    <mergeCell ref="D7:F7"/>
    <mergeCell ref="G7:I7"/>
    <mergeCell ref="D25:F25"/>
    <mergeCell ref="G25:I25"/>
    <mergeCell ref="J25:L25"/>
    <mergeCell ref="D41:F41"/>
    <mergeCell ref="G41:I41"/>
    <mergeCell ref="J41:L41"/>
    <mergeCell ref="M41:O41"/>
    <mergeCell ref="P33:R33"/>
    <mergeCell ref="D33:F33"/>
    <mergeCell ref="G33:I33"/>
    <mergeCell ref="J33:L33"/>
    <mergeCell ref="M33:O33"/>
    <mergeCell ref="P41:R41"/>
    <mergeCell ref="S41:U41"/>
    <mergeCell ref="V41:X41"/>
    <mergeCell ref="Y41:AA41"/>
    <mergeCell ref="V7:X7"/>
    <mergeCell ref="Y7:AA7"/>
    <mergeCell ref="S33:U33"/>
    <mergeCell ref="V33:X33"/>
    <mergeCell ref="Y33:AA33"/>
    <mergeCell ref="Y25:AA25"/>
    <mergeCell ref="P7:R7"/>
    <mergeCell ref="S7:U7"/>
    <mergeCell ref="P25:R25"/>
    <mergeCell ref="S25:U25"/>
    <mergeCell ref="V25:X25"/>
  </mergeCells>
  <pageMargins left="0.7" right="0.7" top="0.75" bottom="0.75" header="0.3" footer="0.3"/>
  <pageSetup scale="74" fitToWidth="2" orientation="landscape" horizontalDpi="0" verticalDpi="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0F654-0E64-3744-BC3B-D5825484347E}">
  <sheetPr codeName="Sheet5"/>
  <dimension ref="C1:AA78"/>
  <sheetViews>
    <sheetView workbookViewId="0">
      <selection activeCell="B2" sqref="B2:F2"/>
    </sheetView>
  </sheetViews>
  <sheetFormatPr baseColWidth="10" defaultColWidth="10.83203125" defaultRowHeight="15"/>
  <sheetData>
    <row r="1" s="15" customFormat="1"/>
    <row r="2" s="15" customFormat="1"/>
    <row r="3" s="15" customFormat="1"/>
    <row r="4" s="15" customFormat="1"/>
    <row r="5" s="15" customFormat="1"/>
    <row r="6" s="15" customFormat="1"/>
    <row r="7" s="15" customFormat="1"/>
    <row r="8" s="15" customFormat="1"/>
    <row r="9" s="15" customFormat="1"/>
    <row r="10" s="15" customFormat="1"/>
    <row r="11" s="15" customFormat="1"/>
    <row r="12" s="15" customFormat="1"/>
    <row r="13" s="15" customFormat="1"/>
    <row r="14" s="15" customFormat="1"/>
    <row r="15" s="15" customFormat="1"/>
    <row r="16" s="15" customFormat="1"/>
    <row r="17" s="15" customFormat="1"/>
    <row r="18" s="15" customFormat="1"/>
    <row r="19" s="15" customFormat="1"/>
    <row r="20" s="15" customFormat="1"/>
    <row r="21" s="15" customFormat="1"/>
    <row r="22" s="15" customFormat="1"/>
    <row r="23" s="15" customFormat="1"/>
    <row r="24" s="15" customFormat="1"/>
    <row r="25" s="15" customFormat="1"/>
    <row r="26" s="15" customFormat="1"/>
    <row r="27" s="15" customFormat="1"/>
    <row r="28" s="15" customFormat="1"/>
    <row r="29" s="15" customFormat="1"/>
    <row r="30" s="15" customFormat="1"/>
    <row r="31" s="15" customFormat="1"/>
    <row r="32" s="15" customFormat="1"/>
    <row r="33" spans="3:27" s="15" customFormat="1"/>
    <row r="34" spans="3:27" s="15" customFormat="1"/>
    <row r="35" spans="3:27" s="15" customFormat="1" ht="23">
      <c r="C35" s="351" t="s">
        <v>8</v>
      </c>
      <c r="J35" s="352" t="s">
        <v>8</v>
      </c>
    </row>
    <row r="36" spans="3:27" ht="23">
      <c r="C36" s="327" t="s">
        <v>8</v>
      </c>
      <c r="J36" s="173" t="s">
        <v>8</v>
      </c>
    </row>
    <row r="37" spans="3:27" ht="23">
      <c r="C37" s="327" t="s">
        <v>8</v>
      </c>
    </row>
    <row r="38" spans="3:27" ht="23">
      <c r="C38" s="327" t="s">
        <v>8</v>
      </c>
    </row>
    <row r="40" spans="3:27">
      <c r="I40" s="15"/>
      <c r="J40" s="15"/>
      <c r="K40" s="15"/>
      <c r="L40" s="15"/>
      <c r="M40" s="15"/>
      <c r="N40" s="15"/>
      <c r="O40" s="15"/>
      <c r="P40" s="15"/>
      <c r="Q40" s="15"/>
      <c r="R40" s="15"/>
      <c r="S40" s="15"/>
      <c r="T40" s="15"/>
      <c r="U40" s="15"/>
      <c r="V40" s="15"/>
      <c r="W40" s="15"/>
      <c r="X40" s="15"/>
      <c r="Y40" s="15"/>
      <c r="Z40" s="15"/>
      <c r="AA40" s="15"/>
    </row>
    <row r="41" spans="3:27">
      <c r="I41" s="15"/>
      <c r="J41" s="15"/>
      <c r="K41" s="15"/>
      <c r="L41" s="15"/>
      <c r="M41" s="15"/>
      <c r="N41" s="15"/>
      <c r="O41" s="15"/>
      <c r="P41" s="15"/>
      <c r="Q41" s="15"/>
      <c r="R41" s="15"/>
      <c r="S41" s="15"/>
      <c r="T41" s="15"/>
      <c r="U41" s="15"/>
      <c r="V41" s="15"/>
      <c r="W41" s="15"/>
      <c r="X41" s="15"/>
      <c r="Y41" s="15"/>
      <c r="Z41" s="15"/>
      <c r="AA41" s="15"/>
    </row>
    <row r="42" spans="3:27">
      <c r="F42" t="s">
        <v>229</v>
      </c>
      <c r="G42" t="s">
        <v>230</v>
      </c>
      <c r="I42" s="15"/>
      <c r="J42" s="15"/>
      <c r="K42" s="15"/>
      <c r="L42" s="15"/>
      <c r="M42" s="15"/>
      <c r="N42" s="15"/>
      <c r="O42" s="15"/>
      <c r="P42" s="15"/>
      <c r="Q42" s="15"/>
      <c r="R42" s="15"/>
      <c r="S42" s="15"/>
      <c r="T42" s="15"/>
      <c r="U42" s="15"/>
      <c r="V42" s="15"/>
      <c r="W42" s="15"/>
      <c r="X42" s="15"/>
      <c r="Y42" s="15"/>
      <c r="Z42" s="15"/>
      <c r="AA42" s="15"/>
    </row>
    <row r="43" spans="3:27">
      <c r="E43" t="s">
        <v>242</v>
      </c>
      <c r="F43" s="174">
        <v>2.714013</v>
      </c>
      <c r="G43" s="174">
        <v>2.2527560000000002</v>
      </c>
      <c r="I43" s="15"/>
      <c r="J43" s="15"/>
      <c r="K43" s="15"/>
      <c r="L43" s="15"/>
      <c r="M43" s="15"/>
      <c r="N43" s="15"/>
      <c r="O43" s="15"/>
      <c r="P43" s="15"/>
      <c r="Q43" s="15"/>
      <c r="R43" s="15"/>
      <c r="S43" s="15"/>
      <c r="T43" s="15"/>
      <c r="U43" s="15"/>
      <c r="V43" s="15"/>
      <c r="W43" s="15"/>
      <c r="X43" s="15"/>
      <c r="Y43" s="15"/>
      <c r="Z43" s="15"/>
      <c r="AA43" s="15"/>
    </row>
    <row r="44" spans="3:27">
      <c r="E44" t="s">
        <v>231</v>
      </c>
      <c r="F44" s="349">
        <v>75.319999999999993</v>
      </c>
      <c r="G44" s="349">
        <v>105.54</v>
      </c>
      <c r="I44" s="15"/>
      <c r="J44" s="15"/>
      <c r="K44" s="15"/>
      <c r="L44" s="15"/>
      <c r="M44" s="15"/>
      <c r="N44" s="15"/>
      <c r="O44" s="15"/>
      <c r="P44" s="15"/>
      <c r="Q44" s="15"/>
      <c r="R44" s="15"/>
      <c r="S44" s="15"/>
      <c r="T44" s="15"/>
      <c r="U44" s="15"/>
      <c r="V44" s="15"/>
      <c r="W44" s="15"/>
      <c r="X44" s="15"/>
      <c r="Y44" s="15"/>
      <c r="Z44" s="15"/>
      <c r="AA44" s="15"/>
    </row>
    <row r="45" spans="3:27">
      <c r="E45" t="s">
        <v>239</v>
      </c>
      <c r="F45" s="349">
        <f>'LivestockFencing (2)'!F22</f>
        <v>29.425138461538459</v>
      </c>
      <c r="G45" s="349">
        <f>F45</f>
        <v>29.425138461538459</v>
      </c>
      <c r="I45" s="15"/>
      <c r="J45" s="15"/>
      <c r="K45" s="15"/>
      <c r="L45" s="15"/>
      <c r="M45" s="15"/>
      <c r="N45" s="15"/>
      <c r="O45" s="15"/>
      <c r="P45" s="15"/>
      <c r="Q45" s="15"/>
      <c r="R45" s="15"/>
      <c r="S45" s="15"/>
      <c r="T45" s="15"/>
      <c r="U45" s="15"/>
      <c r="V45" s="15"/>
      <c r="W45" s="15"/>
      <c r="X45" s="15"/>
      <c r="Y45" s="15"/>
      <c r="Z45" s="15"/>
      <c r="AA45" s="15"/>
    </row>
    <row r="46" spans="3:27">
      <c r="E46" t="s">
        <v>232</v>
      </c>
      <c r="F46" s="349">
        <v>15.06</v>
      </c>
      <c r="G46" s="349">
        <v>15.06</v>
      </c>
      <c r="I46" s="15"/>
      <c r="J46" s="15"/>
      <c r="K46" s="15"/>
      <c r="L46" s="15"/>
      <c r="M46" s="15"/>
      <c r="N46" s="15"/>
      <c r="O46" s="15"/>
      <c r="P46" s="15"/>
      <c r="Q46" s="15"/>
      <c r="R46" s="15"/>
      <c r="S46" s="15"/>
      <c r="T46" s="15"/>
      <c r="U46" s="15"/>
      <c r="V46" s="15"/>
      <c r="W46" s="15"/>
      <c r="X46" s="15"/>
      <c r="Y46" s="15"/>
      <c r="Z46" s="15"/>
      <c r="AA46" s="15"/>
    </row>
    <row r="47" spans="3:27">
      <c r="I47" s="15"/>
      <c r="J47" s="15"/>
      <c r="K47" s="15"/>
      <c r="L47" s="15"/>
      <c r="M47" s="15"/>
      <c r="N47" s="15"/>
      <c r="O47" s="15"/>
      <c r="P47" s="15"/>
      <c r="Q47" s="15"/>
      <c r="R47" s="15"/>
      <c r="S47" s="15"/>
      <c r="T47" s="15"/>
      <c r="U47" s="15"/>
      <c r="V47" s="15"/>
      <c r="W47" s="15"/>
      <c r="X47" s="15"/>
      <c r="Y47" s="15"/>
      <c r="Z47" s="15"/>
      <c r="AA47" s="15"/>
    </row>
    <row r="48" spans="3:27">
      <c r="I48" s="15"/>
      <c r="J48" s="15"/>
      <c r="K48" s="15"/>
      <c r="L48" s="15"/>
      <c r="M48" s="15"/>
      <c r="N48" s="15"/>
      <c r="O48" s="15"/>
      <c r="P48" s="15"/>
      <c r="Q48" s="15"/>
      <c r="R48" s="15"/>
      <c r="S48" s="15"/>
      <c r="T48" s="15"/>
      <c r="U48" s="15"/>
      <c r="V48" s="15"/>
      <c r="W48" s="15"/>
      <c r="X48" s="15"/>
      <c r="Y48" s="15"/>
      <c r="Z48" s="15"/>
      <c r="AA48" s="15"/>
    </row>
    <row r="49" spans="9:27">
      <c r="I49" s="15"/>
      <c r="J49" s="15"/>
      <c r="K49" s="15"/>
      <c r="L49" s="15"/>
      <c r="M49" s="15"/>
      <c r="N49" s="15"/>
      <c r="O49" s="15"/>
      <c r="P49" s="15"/>
      <c r="Q49" s="15"/>
      <c r="R49" s="15"/>
      <c r="S49" s="15"/>
      <c r="T49" s="15"/>
      <c r="U49" s="15"/>
      <c r="V49" s="15"/>
      <c r="W49" s="15"/>
      <c r="X49" s="15"/>
      <c r="Y49" s="15"/>
      <c r="Z49" s="15"/>
      <c r="AA49" s="15"/>
    </row>
    <row r="50" spans="9:27">
      <c r="I50" s="15"/>
      <c r="J50" s="15"/>
      <c r="K50" s="15"/>
      <c r="L50" s="15"/>
      <c r="M50" s="15"/>
      <c r="N50" s="15"/>
      <c r="O50" s="15"/>
      <c r="P50" s="15"/>
      <c r="Q50" s="15"/>
      <c r="R50" s="15"/>
      <c r="S50" s="15"/>
      <c r="T50" s="15"/>
      <c r="U50" s="15"/>
      <c r="V50" s="15"/>
      <c r="W50" s="15"/>
      <c r="X50" s="15"/>
      <c r="Y50" s="15"/>
      <c r="Z50" s="15"/>
      <c r="AA50" s="15"/>
    </row>
    <row r="51" spans="9:27">
      <c r="I51" s="15"/>
      <c r="J51" s="15"/>
      <c r="K51" s="15"/>
      <c r="L51" s="15"/>
      <c r="M51" s="15"/>
      <c r="N51" s="15"/>
      <c r="O51" s="15"/>
      <c r="P51" s="15"/>
      <c r="Q51" s="15"/>
      <c r="R51" s="15"/>
      <c r="S51" s="15"/>
      <c r="T51" s="15"/>
      <c r="U51" s="15"/>
      <c r="V51" s="15"/>
      <c r="W51" s="15"/>
      <c r="X51" s="15"/>
      <c r="Y51" s="15"/>
      <c r="Z51" s="15"/>
      <c r="AA51" s="15"/>
    </row>
    <row r="52" spans="9:27">
      <c r="I52" s="15"/>
      <c r="J52" s="15"/>
      <c r="K52" s="15"/>
      <c r="L52" s="15"/>
      <c r="M52" s="15"/>
      <c r="N52" s="15"/>
      <c r="O52" s="15"/>
      <c r="P52" s="15"/>
      <c r="Q52" s="15"/>
      <c r="R52" s="15"/>
      <c r="S52" s="15"/>
      <c r="T52" s="15"/>
      <c r="U52" s="15"/>
      <c r="V52" s="15"/>
      <c r="W52" s="15"/>
      <c r="X52" s="15"/>
      <c r="Y52" s="15"/>
      <c r="Z52" s="15"/>
      <c r="AA52" s="15"/>
    </row>
    <row r="53" spans="9:27">
      <c r="I53" s="15"/>
      <c r="J53" s="15"/>
      <c r="K53" s="15"/>
      <c r="L53" s="15"/>
      <c r="M53" s="15"/>
      <c r="N53" s="15"/>
      <c r="O53" s="15"/>
      <c r="P53" s="15"/>
      <c r="Q53" s="15"/>
      <c r="R53" s="15"/>
      <c r="S53" s="15"/>
      <c r="T53" s="15"/>
      <c r="U53" s="15"/>
      <c r="V53" s="15"/>
      <c r="W53" s="15"/>
      <c r="X53" s="15"/>
      <c r="Y53" s="15"/>
      <c r="Z53" s="15"/>
      <c r="AA53" s="15"/>
    </row>
    <row r="54" spans="9:27">
      <c r="I54" s="15"/>
      <c r="J54" s="15"/>
      <c r="K54" s="15"/>
      <c r="L54" s="15"/>
      <c r="M54" s="15"/>
      <c r="N54" s="15"/>
      <c r="O54" s="15"/>
      <c r="P54" s="15"/>
      <c r="Q54" s="15"/>
      <c r="R54" s="15"/>
      <c r="S54" s="15"/>
      <c r="T54" s="15"/>
      <c r="U54" s="15"/>
      <c r="V54" s="15"/>
      <c r="W54" s="15"/>
      <c r="X54" s="15"/>
      <c r="Y54" s="15"/>
      <c r="Z54" s="15"/>
      <c r="AA54" s="15"/>
    </row>
    <row r="55" spans="9:27">
      <c r="I55" s="15"/>
      <c r="J55" s="15"/>
      <c r="K55" s="15"/>
      <c r="L55" s="15"/>
      <c r="M55" s="15"/>
      <c r="N55" s="15"/>
      <c r="O55" s="15"/>
      <c r="P55" s="15"/>
      <c r="Q55" s="15"/>
      <c r="R55" s="15"/>
      <c r="S55" s="15"/>
      <c r="T55" s="15"/>
      <c r="U55" s="15"/>
      <c r="V55" s="15"/>
      <c r="W55" s="15"/>
      <c r="X55" s="15"/>
      <c r="Y55" s="15"/>
      <c r="Z55" s="15"/>
      <c r="AA55" s="15"/>
    </row>
    <row r="56" spans="9:27">
      <c r="I56" s="15"/>
      <c r="J56" s="15"/>
      <c r="K56" s="15"/>
      <c r="L56" s="15"/>
      <c r="M56" s="15"/>
      <c r="N56" s="15"/>
      <c r="O56" s="15"/>
      <c r="P56" s="15"/>
      <c r="Q56" s="15"/>
      <c r="R56" s="15"/>
      <c r="S56" s="15"/>
      <c r="T56" s="15"/>
      <c r="U56" s="15"/>
      <c r="V56" s="15"/>
      <c r="W56" s="15"/>
      <c r="X56" s="15"/>
      <c r="Y56" s="15"/>
      <c r="Z56" s="15"/>
      <c r="AA56" s="15"/>
    </row>
    <row r="57" spans="9:27">
      <c r="I57" s="15"/>
      <c r="J57" s="15"/>
      <c r="K57" s="15"/>
      <c r="L57" s="15"/>
      <c r="M57" s="15"/>
      <c r="N57" s="15"/>
      <c r="O57" s="15"/>
      <c r="P57" s="15"/>
      <c r="Q57" s="15"/>
      <c r="R57" s="15"/>
      <c r="S57" s="15"/>
      <c r="T57" s="15"/>
      <c r="U57" s="15"/>
      <c r="V57" s="15"/>
      <c r="W57" s="15"/>
      <c r="X57" s="15"/>
      <c r="Y57" s="15"/>
      <c r="Z57" s="15"/>
      <c r="AA57" s="15"/>
    </row>
    <row r="58" spans="9:27">
      <c r="I58" s="15"/>
      <c r="J58" s="15"/>
      <c r="K58" s="15"/>
      <c r="L58" s="15"/>
      <c r="M58" s="15"/>
      <c r="N58" s="15"/>
      <c r="O58" s="15"/>
      <c r="P58" s="15"/>
      <c r="Q58" s="15"/>
      <c r="R58" s="15"/>
      <c r="S58" s="15"/>
      <c r="T58" s="15"/>
      <c r="U58" s="15"/>
      <c r="V58" s="15"/>
      <c r="W58" s="15"/>
      <c r="X58" s="15"/>
      <c r="Y58" s="15"/>
      <c r="Z58" s="15"/>
      <c r="AA58" s="15"/>
    </row>
    <row r="59" spans="9:27">
      <c r="I59" s="15"/>
      <c r="J59" s="15"/>
      <c r="K59" s="15"/>
      <c r="L59" s="15"/>
      <c r="M59" s="15"/>
      <c r="N59" s="15"/>
      <c r="O59" s="15"/>
      <c r="P59" s="15"/>
      <c r="Q59" s="15"/>
      <c r="R59" s="15"/>
      <c r="S59" s="15"/>
      <c r="T59" s="15"/>
      <c r="U59" s="15"/>
      <c r="V59" s="15"/>
      <c r="W59" s="15"/>
      <c r="X59" s="15"/>
      <c r="Y59" s="15"/>
      <c r="Z59" s="15"/>
      <c r="AA59" s="15"/>
    </row>
    <row r="60" spans="9:27">
      <c r="I60" s="15"/>
      <c r="J60" s="15"/>
      <c r="K60" s="15"/>
      <c r="L60" s="15"/>
      <c r="M60" s="15"/>
      <c r="N60" s="15"/>
      <c r="O60" s="15"/>
      <c r="P60" s="15"/>
      <c r="Q60" s="15"/>
      <c r="R60" s="15"/>
      <c r="S60" s="15"/>
      <c r="T60" s="15"/>
      <c r="U60" s="15"/>
      <c r="V60" s="15"/>
      <c r="W60" s="15"/>
      <c r="X60" s="15"/>
      <c r="Y60" s="15"/>
      <c r="Z60" s="15"/>
      <c r="AA60" s="15"/>
    </row>
    <row r="61" spans="9:27">
      <c r="I61" s="15"/>
      <c r="J61" s="15"/>
      <c r="K61" s="15"/>
      <c r="L61" s="15"/>
      <c r="M61" s="15"/>
      <c r="N61" s="15"/>
      <c r="O61" s="15"/>
      <c r="P61" s="15"/>
      <c r="Q61" s="15"/>
      <c r="R61" s="15"/>
      <c r="S61" s="15"/>
      <c r="T61" s="15"/>
      <c r="U61" s="15"/>
      <c r="V61" s="15"/>
      <c r="W61" s="15"/>
      <c r="X61" s="15"/>
      <c r="Y61" s="15"/>
      <c r="Z61" s="15"/>
      <c r="AA61" s="15"/>
    </row>
    <row r="62" spans="9:27">
      <c r="I62" s="15"/>
      <c r="J62" s="15"/>
      <c r="K62" s="15"/>
      <c r="L62" s="15"/>
      <c r="M62" s="15"/>
      <c r="N62" s="15"/>
      <c r="O62" s="15"/>
      <c r="P62" s="15"/>
      <c r="Q62" s="15"/>
      <c r="R62" s="15"/>
      <c r="S62" s="15"/>
      <c r="T62" s="15"/>
      <c r="U62" s="15"/>
      <c r="V62" s="15"/>
      <c r="W62" s="15"/>
      <c r="X62" s="15"/>
      <c r="Y62" s="15"/>
      <c r="Z62" s="15"/>
      <c r="AA62" s="15"/>
    </row>
    <row r="63" spans="9:27">
      <c r="I63" s="15"/>
      <c r="J63" s="15"/>
      <c r="K63" s="15"/>
      <c r="L63" s="15"/>
      <c r="M63" s="15"/>
      <c r="N63" s="15"/>
      <c r="O63" s="15"/>
      <c r="P63" s="15"/>
      <c r="Q63" s="15"/>
      <c r="R63" s="15"/>
      <c r="S63" s="15"/>
      <c r="T63" s="15"/>
      <c r="U63" s="15"/>
      <c r="V63" s="15"/>
      <c r="W63" s="15"/>
      <c r="X63" s="15"/>
      <c r="Y63" s="15"/>
      <c r="Z63" s="15"/>
      <c r="AA63" s="15"/>
    </row>
    <row r="64" spans="9:27">
      <c r="I64" s="15"/>
      <c r="J64" s="15"/>
      <c r="K64" s="15"/>
      <c r="L64" s="15"/>
      <c r="M64" s="15"/>
      <c r="N64" s="15"/>
      <c r="O64" s="15"/>
      <c r="P64" s="15"/>
      <c r="Q64" s="15"/>
      <c r="R64" s="15"/>
      <c r="S64" s="15"/>
      <c r="T64" s="15"/>
      <c r="U64" s="15"/>
      <c r="V64" s="15"/>
      <c r="W64" s="15"/>
      <c r="X64" s="15"/>
      <c r="Y64" s="15"/>
      <c r="Z64" s="15"/>
      <c r="AA64" s="15"/>
    </row>
    <row r="65" spans="9:27">
      <c r="I65" s="15"/>
      <c r="J65" s="15"/>
      <c r="K65" s="15"/>
      <c r="L65" s="15"/>
      <c r="M65" s="15"/>
      <c r="N65" s="15"/>
      <c r="O65" s="15"/>
      <c r="P65" s="15"/>
      <c r="Q65" s="15"/>
      <c r="R65" s="15"/>
      <c r="S65" s="15"/>
      <c r="T65" s="15"/>
      <c r="U65" s="15"/>
      <c r="V65" s="15"/>
      <c r="W65" s="15"/>
      <c r="X65" s="15"/>
      <c r="Y65" s="15"/>
      <c r="Z65" s="15"/>
      <c r="AA65" s="15"/>
    </row>
    <row r="66" spans="9:27">
      <c r="I66" s="15"/>
      <c r="J66" s="15"/>
      <c r="K66" s="15"/>
      <c r="L66" s="15"/>
      <c r="M66" s="15"/>
      <c r="N66" s="15"/>
      <c r="O66" s="15"/>
      <c r="P66" s="15"/>
      <c r="Q66" s="15"/>
      <c r="R66" s="15"/>
      <c r="S66" s="15"/>
      <c r="T66" s="15"/>
      <c r="U66" s="15"/>
      <c r="V66" s="15"/>
      <c r="W66" s="15"/>
      <c r="X66" s="15"/>
      <c r="Y66" s="15"/>
      <c r="Z66" s="15"/>
      <c r="AA66" s="15"/>
    </row>
    <row r="67" spans="9:27">
      <c r="I67" s="15"/>
      <c r="J67" s="15"/>
      <c r="K67" s="15"/>
      <c r="L67" s="15"/>
      <c r="M67" s="15"/>
      <c r="N67" s="15"/>
      <c r="O67" s="15"/>
      <c r="P67" s="15"/>
      <c r="Q67" s="15"/>
      <c r="R67" s="15"/>
      <c r="S67" s="15"/>
      <c r="T67" s="15"/>
      <c r="U67" s="15"/>
      <c r="V67" s="15"/>
      <c r="W67" s="15"/>
      <c r="X67" s="15"/>
      <c r="Y67" s="15"/>
      <c r="Z67" s="15"/>
      <c r="AA67" s="15"/>
    </row>
    <row r="68" spans="9:27">
      <c r="I68" s="15"/>
      <c r="J68" s="15"/>
      <c r="K68" s="15"/>
      <c r="L68" s="15"/>
      <c r="M68" s="15"/>
      <c r="N68" s="15"/>
      <c r="O68" s="15"/>
      <c r="P68" s="15"/>
      <c r="Q68" s="15"/>
      <c r="R68" s="15"/>
      <c r="S68" s="15"/>
      <c r="T68" s="15"/>
      <c r="U68" s="15"/>
      <c r="V68" s="15"/>
      <c r="W68" s="15"/>
      <c r="X68" s="15"/>
      <c r="Y68" s="15"/>
      <c r="Z68" s="15"/>
      <c r="AA68" s="15"/>
    </row>
    <row r="69" spans="9:27">
      <c r="I69" s="15"/>
      <c r="J69" s="15"/>
      <c r="K69" s="15"/>
      <c r="L69" s="15"/>
      <c r="M69" s="15"/>
      <c r="N69" s="15"/>
      <c r="O69" s="15"/>
      <c r="P69" s="15"/>
      <c r="Q69" s="15"/>
      <c r="R69" s="15"/>
      <c r="S69" s="15"/>
      <c r="T69" s="15"/>
      <c r="U69" s="15"/>
      <c r="V69" s="15"/>
      <c r="W69" s="15"/>
      <c r="X69" s="15"/>
      <c r="Y69" s="15"/>
      <c r="Z69" s="15"/>
      <c r="AA69" s="15"/>
    </row>
    <row r="70" spans="9:27">
      <c r="I70" s="15"/>
      <c r="J70" s="15"/>
      <c r="K70" s="15"/>
      <c r="L70" s="15"/>
      <c r="M70" s="15"/>
      <c r="N70" s="15"/>
      <c r="O70" s="15"/>
      <c r="P70" s="15"/>
      <c r="Q70" s="15"/>
      <c r="R70" s="15"/>
      <c r="S70" s="15"/>
      <c r="T70" s="15"/>
      <c r="U70" s="15"/>
      <c r="V70" s="15"/>
      <c r="W70" s="15"/>
      <c r="X70" s="15"/>
      <c r="Y70" s="15"/>
      <c r="Z70" s="15"/>
      <c r="AA70" s="15"/>
    </row>
    <row r="71" spans="9:27">
      <c r="I71" s="15"/>
      <c r="J71" s="15"/>
      <c r="K71" s="15"/>
      <c r="L71" s="15"/>
      <c r="M71" s="15"/>
      <c r="N71" s="15"/>
      <c r="O71" s="15"/>
      <c r="P71" s="15"/>
      <c r="Q71" s="15"/>
      <c r="R71" s="15"/>
      <c r="S71" s="15"/>
      <c r="T71" s="15"/>
      <c r="U71" s="15"/>
      <c r="V71" s="15"/>
      <c r="W71" s="15"/>
      <c r="X71" s="15"/>
      <c r="Y71" s="15"/>
      <c r="Z71" s="15"/>
      <c r="AA71" s="15"/>
    </row>
    <row r="72" spans="9:27">
      <c r="I72" s="15"/>
      <c r="J72" s="15"/>
      <c r="K72" s="15"/>
      <c r="L72" s="15"/>
      <c r="M72" s="15"/>
      <c r="N72" s="15"/>
      <c r="O72" s="15"/>
      <c r="P72" s="15"/>
      <c r="Q72" s="15"/>
      <c r="R72" s="15"/>
      <c r="S72" s="15"/>
      <c r="T72" s="15"/>
      <c r="U72" s="15"/>
      <c r="V72" s="15"/>
      <c r="W72" s="15"/>
      <c r="X72" s="15"/>
      <c r="Y72" s="15"/>
      <c r="Z72" s="15"/>
      <c r="AA72" s="15"/>
    </row>
    <row r="73" spans="9:27">
      <c r="I73" s="15"/>
      <c r="J73" s="15"/>
      <c r="K73" s="15"/>
      <c r="L73" s="15"/>
      <c r="M73" s="15"/>
      <c r="N73" s="15"/>
      <c r="O73" s="15"/>
      <c r="P73" s="15"/>
      <c r="Q73" s="15"/>
      <c r="R73" s="15"/>
      <c r="S73" s="15"/>
      <c r="T73" s="15"/>
      <c r="U73" s="15"/>
      <c r="V73" s="15"/>
      <c r="W73" s="15"/>
      <c r="X73" s="15"/>
      <c r="Y73" s="15"/>
      <c r="Z73" s="15"/>
      <c r="AA73" s="15"/>
    </row>
    <row r="74" spans="9:27" ht="24">
      <c r="I74" s="15"/>
      <c r="J74" s="813" t="s">
        <v>240</v>
      </c>
      <c r="K74" s="813"/>
      <c r="L74" s="813"/>
      <c r="M74" s="813"/>
      <c r="N74" s="813"/>
      <c r="O74" s="813"/>
      <c r="P74" s="813"/>
      <c r="Q74" s="813"/>
      <c r="R74" s="813"/>
      <c r="S74" s="813"/>
      <c r="T74" s="813"/>
      <c r="U74" s="813"/>
      <c r="V74" s="813"/>
      <c r="W74" s="813"/>
      <c r="X74" s="813"/>
      <c r="Y74" s="813"/>
      <c r="Z74" s="15"/>
      <c r="AA74" s="15"/>
    </row>
    <row r="75" spans="9:27" ht="24" customHeight="1">
      <c r="I75" s="15"/>
      <c r="J75" s="812" t="s">
        <v>241</v>
      </c>
      <c r="K75" s="812"/>
      <c r="L75" s="812"/>
      <c r="M75" s="812"/>
      <c r="N75" s="812"/>
      <c r="O75" s="812"/>
      <c r="P75" s="812"/>
      <c r="Q75" s="812"/>
      <c r="R75" s="812"/>
      <c r="S75" s="812"/>
      <c r="T75" s="812"/>
      <c r="U75" s="812"/>
      <c r="V75" s="812"/>
      <c r="W75" s="812"/>
      <c r="X75" s="812"/>
      <c r="Y75" s="812"/>
      <c r="Z75" s="15"/>
      <c r="AA75" s="15"/>
    </row>
    <row r="76" spans="9:27">
      <c r="I76" s="15"/>
      <c r="J76" s="812"/>
      <c r="K76" s="812"/>
      <c r="L76" s="812"/>
      <c r="M76" s="812"/>
      <c r="N76" s="812"/>
      <c r="O76" s="812"/>
      <c r="P76" s="812"/>
      <c r="Q76" s="812"/>
      <c r="R76" s="812"/>
      <c r="S76" s="812"/>
      <c r="T76" s="812"/>
      <c r="U76" s="812"/>
      <c r="V76" s="812"/>
      <c r="W76" s="812"/>
      <c r="X76" s="812"/>
      <c r="Y76" s="812"/>
      <c r="Z76" s="15"/>
      <c r="AA76" s="15"/>
    </row>
    <row r="77" spans="9:27">
      <c r="I77" s="15"/>
      <c r="J77" s="15"/>
      <c r="K77" s="15"/>
      <c r="L77" s="15"/>
      <c r="M77" s="15"/>
      <c r="N77" s="15"/>
      <c r="O77" s="15"/>
      <c r="P77" s="15"/>
      <c r="Q77" s="15"/>
      <c r="R77" s="15"/>
      <c r="S77" s="15"/>
      <c r="T77" s="15"/>
      <c r="U77" s="15"/>
      <c r="V77" s="15"/>
      <c r="W77" s="15"/>
      <c r="X77" s="15"/>
      <c r="Y77" s="15"/>
      <c r="Z77" s="15"/>
      <c r="AA77" s="15"/>
    </row>
    <row r="78" spans="9:27">
      <c r="I78" s="15"/>
      <c r="J78" s="15"/>
      <c r="K78" s="15"/>
      <c r="L78" s="15"/>
      <c r="M78" s="15"/>
      <c r="N78" s="15"/>
      <c r="O78" s="15"/>
      <c r="P78" s="15"/>
      <c r="Q78" s="15"/>
      <c r="R78" s="15"/>
      <c r="S78" s="15"/>
      <c r="T78" s="15"/>
      <c r="U78" s="15"/>
      <c r="V78" s="15"/>
      <c r="W78" s="15"/>
      <c r="X78" s="15"/>
      <c r="Y78" s="15"/>
      <c r="Z78" s="15"/>
      <c r="AA78" s="15"/>
    </row>
  </sheetData>
  <mergeCells count="2">
    <mergeCell ref="J75:Y76"/>
    <mergeCell ref="J74:Y74"/>
  </mergeCells>
  <phoneticPr fontId="61" type="noConversion"/>
  <pageMargins left="0.7" right="0.7" top="0.75" bottom="0.75" header="0.3" footer="0.3"/>
  <pageSetup orientation="portrait" horizontalDpi="0" verticalDpi="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341F2-CE7B-C444-99D5-A013044DF7BD}">
  <sheetPr codeName="Sheet48">
    <pageSetUpPr fitToPage="1"/>
  </sheetPr>
  <dimension ref="A1:G30"/>
  <sheetViews>
    <sheetView zoomScale="110" zoomScaleNormal="110" workbookViewId="0">
      <selection activeCell="B2" sqref="B2:F2"/>
    </sheetView>
  </sheetViews>
  <sheetFormatPr baseColWidth="10" defaultColWidth="10.83203125" defaultRowHeight="15"/>
  <cols>
    <col min="1" max="1" width="5.6640625" style="1" customWidth="1"/>
    <col min="2" max="2" width="43" style="1" bestFit="1" customWidth="1"/>
    <col min="3" max="3" width="30.5" style="1" customWidth="1"/>
    <col min="4" max="4" width="12.6640625" style="1" bestFit="1" customWidth="1"/>
    <col min="5" max="5" width="11.5" style="1" bestFit="1" customWidth="1"/>
    <col min="6" max="6" width="13.5" style="1" customWidth="1"/>
    <col min="7" max="16384" width="10.83203125" style="1"/>
  </cols>
  <sheetData>
    <row r="1" spans="1:7">
      <c r="A1" s="15"/>
      <c r="B1" s="15"/>
      <c r="C1" s="15"/>
      <c r="D1" s="15"/>
      <c r="E1" s="15"/>
      <c r="F1" s="15"/>
      <c r="G1" s="15"/>
    </row>
    <row r="2" spans="1:7">
      <c r="A2" s="15"/>
      <c r="B2" s="15"/>
      <c r="C2" s="15"/>
      <c r="D2" s="15"/>
      <c r="E2" s="15"/>
      <c r="F2" s="15"/>
      <c r="G2" s="15"/>
    </row>
    <row r="3" spans="1:7">
      <c r="A3" s="147"/>
      <c r="B3" s="147"/>
      <c r="C3" s="147"/>
      <c r="D3" s="147"/>
      <c r="E3" s="147"/>
      <c r="F3" s="148"/>
      <c r="G3" s="15"/>
    </row>
    <row r="4" spans="1:7" ht="20">
      <c r="A4" s="37"/>
      <c r="B4" s="682" t="s">
        <v>243</v>
      </c>
      <c r="C4" s="682"/>
      <c r="D4" s="682"/>
      <c r="E4" s="682"/>
      <c r="F4" s="682"/>
      <c r="G4" s="15"/>
    </row>
    <row r="5" spans="1:7" ht="20">
      <c r="A5" s="37"/>
      <c r="B5" s="37" t="s">
        <v>148</v>
      </c>
      <c r="C5" s="37"/>
      <c r="D5" s="37"/>
      <c r="E5" s="37"/>
      <c r="F5" s="336">
        <v>65</v>
      </c>
      <c r="G5" s="15"/>
    </row>
    <row r="6" spans="1:7" ht="20">
      <c r="A6" s="37"/>
      <c r="B6" s="37" t="s">
        <v>183</v>
      </c>
      <c r="C6" s="296"/>
      <c r="D6" s="296"/>
      <c r="E6" s="296"/>
      <c r="F6" s="337">
        <v>5</v>
      </c>
      <c r="G6" s="15"/>
    </row>
    <row r="7" spans="1:7" ht="20">
      <c r="A7" s="38"/>
      <c r="B7" s="151" t="s">
        <v>147</v>
      </c>
      <c r="C7" s="152" t="s">
        <v>3</v>
      </c>
      <c r="D7" s="152" t="s">
        <v>2</v>
      </c>
      <c r="E7" s="152" t="s">
        <v>12</v>
      </c>
      <c r="F7" s="12" t="s">
        <v>6</v>
      </c>
      <c r="G7" s="15"/>
    </row>
    <row r="8" spans="1:7" ht="20">
      <c r="A8" s="38"/>
      <c r="B8" s="298" t="s">
        <v>223</v>
      </c>
      <c r="C8" s="299"/>
      <c r="D8" s="300"/>
      <c r="E8" s="301"/>
      <c r="F8" s="302"/>
      <c r="G8" s="15"/>
    </row>
    <row r="9" spans="1:7" ht="21" customHeight="1">
      <c r="A9" s="37"/>
      <c r="B9" s="18" t="s">
        <v>149</v>
      </c>
      <c r="C9" s="18"/>
      <c r="D9" s="329">
        <v>180</v>
      </c>
      <c r="E9" s="89">
        <v>4.29</v>
      </c>
      <c r="F9" s="297">
        <f>IF((D9*E9)&lt;0,0,D9*E9)</f>
        <v>772.2</v>
      </c>
      <c r="G9" s="15"/>
    </row>
    <row r="10" spans="1:7" ht="20">
      <c r="A10" s="39"/>
      <c r="B10" s="18" t="s">
        <v>150</v>
      </c>
      <c r="C10" s="330" t="s">
        <v>151</v>
      </c>
      <c r="D10" s="329">
        <v>7</v>
      </c>
      <c r="E10" s="89">
        <v>155.99</v>
      </c>
      <c r="F10" s="297">
        <f t="shared" ref="F10:F19" si="0">IF((D10*E10)&lt;0,0,D10*E10)</f>
        <v>1091.93</v>
      </c>
      <c r="G10" s="15"/>
    </row>
    <row r="11" spans="1:7" ht="20">
      <c r="A11" s="149"/>
      <c r="B11" s="18" t="s">
        <v>152</v>
      </c>
      <c r="C11" s="331" t="s">
        <v>153</v>
      </c>
      <c r="D11" s="329">
        <v>50</v>
      </c>
      <c r="E11" s="89">
        <v>4.79</v>
      </c>
      <c r="F11" s="297">
        <f t="shared" si="0"/>
        <v>239.5</v>
      </c>
      <c r="G11" s="15"/>
    </row>
    <row r="12" spans="1:7" ht="20">
      <c r="A12" s="150"/>
      <c r="B12" s="18" t="s">
        <v>154</v>
      </c>
      <c r="C12" s="331" t="s">
        <v>155</v>
      </c>
      <c r="D12" s="329">
        <v>8</v>
      </c>
      <c r="E12" s="89">
        <v>12.89</v>
      </c>
      <c r="F12" s="297">
        <f t="shared" si="0"/>
        <v>103.12</v>
      </c>
      <c r="G12" s="15"/>
    </row>
    <row r="13" spans="1:7" ht="20">
      <c r="A13" s="9"/>
      <c r="B13" s="18" t="s">
        <v>156</v>
      </c>
      <c r="C13" s="332"/>
      <c r="D13" s="329">
        <v>1</v>
      </c>
      <c r="E13" s="89">
        <v>59.99</v>
      </c>
      <c r="F13" s="297">
        <f t="shared" si="0"/>
        <v>59.99</v>
      </c>
      <c r="G13" s="15"/>
    </row>
    <row r="14" spans="1:7" ht="20">
      <c r="A14" s="9"/>
      <c r="B14" s="333" t="s">
        <v>157</v>
      </c>
      <c r="C14" s="334"/>
      <c r="D14" s="329">
        <v>3</v>
      </c>
      <c r="E14" s="89">
        <v>36.99</v>
      </c>
      <c r="F14" s="297">
        <f t="shared" si="0"/>
        <v>110.97</v>
      </c>
      <c r="G14" s="15"/>
    </row>
    <row r="15" spans="1:7" ht="20">
      <c r="A15" s="9"/>
      <c r="B15" s="333" t="s">
        <v>158</v>
      </c>
      <c r="C15" s="334"/>
      <c r="D15" s="329">
        <v>1</v>
      </c>
      <c r="E15" s="89">
        <v>185.46</v>
      </c>
      <c r="F15" s="297">
        <f t="shared" si="0"/>
        <v>185.46</v>
      </c>
      <c r="G15" s="15"/>
    </row>
    <row r="16" spans="1:7" ht="20">
      <c r="A16" s="9"/>
      <c r="B16" s="335" t="s">
        <v>160</v>
      </c>
      <c r="C16" s="334" t="s">
        <v>165</v>
      </c>
      <c r="D16" s="329">
        <v>1</v>
      </c>
      <c r="E16" s="89">
        <v>500</v>
      </c>
      <c r="F16" s="297">
        <f t="shared" si="0"/>
        <v>500</v>
      </c>
      <c r="G16" s="15"/>
    </row>
    <row r="17" spans="1:7" ht="20">
      <c r="A17" s="9"/>
      <c r="B17" s="298" t="s">
        <v>184</v>
      </c>
      <c r="C17" s="299"/>
      <c r="D17" s="300"/>
      <c r="E17" s="301"/>
      <c r="F17" s="302"/>
      <c r="G17" s="15"/>
    </row>
    <row r="18" spans="1:7" ht="20">
      <c r="A18" s="9"/>
      <c r="B18" s="335" t="s">
        <v>164</v>
      </c>
      <c r="C18" s="334" t="s">
        <v>163</v>
      </c>
      <c r="D18" s="329">
        <v>20</v>
      </c>
      <c r="E18" s="89">
        <v>15</v>
      </c>
      <c r="F18" s="297">
        <f t="shared" si="0"/>
        <v>300</v>
      </c>
      <c r="G18" s="15"/>
    </row>
    <row r="19" spans="1:7" ht="20">
      <c r="A19" s="9"/>
      <c r="B19" s="335" t="s">
        <v>161</v>
      </c>
      <c r="C19" s="334" t="s">
        <v>162</v>
      </c>
      <c r="D19" s="329">
        <v>2000</v>
      </c>
      <c r="E19" s="89">
        <v>0.5</v>
      </c>
      <c r="F19" s="303">
        <f t="shared" si="0"/>
        <v>1000</v>
      </c>
      <c r="G19" s="15"/>
    </row>
    <row r="20" spans="1:7" ht="20">
      <c r="A20" s="9"/>
      <c r="B20" s="338" t="s">
        <v>91</v>
      </c>
      <c r="C20" s="338"/>
      <c r="D20" s="339" t="s">
        <v>8</v>
      </c>
      <c r="E20" s="340" t="s">
        <v>8</v>
      </c>
      <c r="F20" s="341">
        <f>SUM(F9:F19)</f>
        <v>4363.17</v>
      </c>
      <c r="G20" s="15"/>
    </row>
    <row r="21" spans="1:7" ht="20">
      <c r="A21" s="9"/>
      <c r="B21" s="342" t="s">
        <v>159</v>
      </c>
      <c r="C21" s="342"/>
      <c r="D21" s="39" t="s">
        <v>8</v>
      </c>
      <c r="E21" s="343" t="s">
        <v>8</v>
      </c>
      <c r="F21" s="344">
        <f>F20/F5</f>
        <v>67.125692307692304</v>
      </c>
      <c r="G21" s="15"/>
    </row>
    <row r="22" spans="1:7" ht="20">
      <c r="A22" s="15"/>
      <c r="B22" s="345" t="s">
        <v>224</v>
      </c>
      <c r="C22" s="345"/>
      <c r="D22" s="346" t="s">
        <v>8</v>
      </c>
      <c r="E22" s="347" t="s">
        <v>8</v>
      </c>
      <c r="F22" s="348">
        <f>((SUM(F9:F16)/F5)/F6)+((F18+F19)/F5)</f>
        <v>29.425138461538459</v>
      </c>
      <c r="G22" s="15"/>
    </row>
    <row r="23" spans="1:7">
      <c r="A23" s="15"/>
      <c r="B23" s="15"/>
      <c r="C23" s="15"/>
      <c r="D23" s="15"/>
      <c r="E23" s="15"/>
      <c r="F23" s="15"/>
      <c r="G23" s="15"/>
    </row>
    <row r="24" spans="1:7">
      <c r="A24" s="15"/>
      <c r="B24" s="15"/>
      <c r="C24" s="15"/>
      <c r="D24" s="15"/>
      <c r="E24" s="15"/>
      <c r="F24" s="15"/>
      <c r="G24" s="15"/>
    </row>
    <row r="26" spans="1:7">
      <c r="B26" s="350" t="s">
        <v>225</v>
      </c>
    </row>
    <row r="27" spans="1:7">
      <c r="B27" s="1" t="s">
        <v>226</v>
      </c>
    </row>
    <row r="29" spans="1:7">
      <c r="B29" s="173" t="s">
        <v>227</v>
      </c>
    </row>
    <row r="30" spans="1:7">
      <c r="B30" s="173" t="s">
        <v>228</v>
      </c>
    </row>
  </sheetData>
  <mergeCells count="1">
    <mergeCell ref="B4:F4"/>
  </mergeCells>
  <hyperlinks>
    <hyperlink ref="B26" r:id="rId1" xr:uid="{1150C723-A9FB-F745-B1F3-00BA02948BE9}"/>
  </hyperlinks>
  <pageMargins left="0.7" right="0.7" top="0.75" bottom="0.75" header="0.3" footer="0.3"/>
  <pageSetup scale="41" orientation="landscape" horizontalDpi="0" verticalDpi="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0D40A-551A-7643-939E-C76E22A03140}">
  <sheetPr codeName="Sheet38">
    <pageSetUpPr fitToPage="1"/>
  </sheetPr>
  <dimension ref="A1:AP33"/>
  <sheetViews>
    <sheetView topLeftCell="C1" zoomScale="110" zoomScaleNormal="110" workbookViewId="0">
      <selection activeCell="B2" sqref="B2:F2"/>
    </sheetView>
  </sheetViews>
  <sheetFormatPr baseColWidth="10" defaultColWidth="10.83203125" defaultRowHeight="15"/>
  <cols>
    <col min="1" max="1" width="5.6640625" style="1" customWidth="1"/>
    <col min="2" max="2" width="53.1640625" style="1" customWidth="1"/>
    <col min="3" max="8" width="12.83203125" style="1" customWidth="1"/>
    <col min="9" max="10" width="14.1640625" style="1" bestFit="1" customWidth="1"/>
    <col min="11" max="11" width="13.5" style="1" customWidth="1"/>
    <col min="12" max="13" width="14.1640625" style="1" customWidth="1"/>
    <col min="14" max="14" width="12.1640625" style="1" customWidth="1"/>
    <col min="15" max="18" width="12.83203125" style="1" customWidth="1"/>
    <col min="19" max="23" width="10.83203125" style="1" customWidth="1"/>
    <col min="24" max="24" width="28" style="1" customWidth="1"/>
    <col min="25" max="27" width="13.33203125" style="1" customWidth="1"/>
    <col min="28" max="43" width="10.83203125" style="1" customWidth="1"/>
    <col min="44" max="16384" width="10.83203125" style="1"/>
  </cols>
  <sheetData>
    <row r="1" spans="1:42">
      <c r="A1" s="147"/>
      <c r="B1" s="147"/>
      <c r="C1" s="147"/>
      <c r="D1" s="147"/>
      <c r="E1" s="148"/>
    </row>
    <row r="2" spans="1:42" ht="20">
      <c r="A2" s="37"/>
      <c r="B2" s="682" t="s">
        <v>167</v>
      </c>
      <c r="C2" s="682"/>
      <c r="D2" s="682"/>
      <c r="E2" s="682"/>
      <c r="F2" s="682"/>
      <c r="G2" s="682"/>
      <c r="H2" s="682"/>
      <c r="I2" s="682"/>
      <c r="J2" s="682"/>
    </row>
    <row r="3" spans="1:42" ht="20" customHeight="1" thickBot="1">
      <c r="A3" s="37"/>
      <c r="B3" s="817" t="s">
        <v>10</v>
      </c>
      <c r="C3" s="814" t="s">
        <v>168</v>
      </c>
      <c r="D3" s="814"/>
      <c r="E3" s="814"/>
      <c r="F3" s="814"/>
      <c r="G3" s="814"/>
      <c r="H3" s="814"/>
      <c r="I3" s="814"/>
      <c r="J3" s="814"/>
      <c r="M3" s="815" t="s">
        <v>138</v>
      </c>
      <c r="N3" s="816"/>
      <c r="O3" s="815" t="s">
        <v>136</v>
      </c>
      <c r="P3" s="816"/>
      <c r="Q3" s="815" t="s">
        <v>139</v>
      </c>
      <c r="R3" s="816"/>
    </row>
    <row r="4" spans="1:42" ht="22" thickBot="1">
      <c r="A4" s="38"/>
      <c r="B4" s="818"/>
      <c r="C4" s="259" t="s">
        <v>169</v>
      </c>
      <c r="D4" s="257" t="s">
        <v>125</v>
      </c>
      <c r="E4" s="12" t="s">
        <v>126</v>
      </c>
      <c r="F4" s="257" t="s">
        <v>111</v>
      </c>
      <c r="G4" s="12" t="s">
        <v>4</v>
      </c>
      <c r="H4" s="12" t="s">
        <v>173</v>
      </c>
      <c r="I4" s="12" t="s">
        <v>172</v>
      </c>
      <c r="J4" s="12" t="s">
        <v>178</v>
      </c>
      <c r="K4" s="265"/>
      <c r="L4" s="265"/>
      <c r="M4" s="440" t="s">
        <v>175</v>
      </c>
      <c r="N4" s="53" t="s">
        <v>176</v>
      </c>
      <c r="O4" s="440" t="s">
        <v>175</v>
      </c>
      <c r="P4" s="53" t="s">
        <v>176</v>
      </c>
      <c r="Q4" s="440" t="s">
        <v>175</v>
      </c>
      <c r="R4" s="53" t="s">
        <v>176</v>
      </c>
      <c r="Y4" s="385" t="s">
        <v>138</v>
      </c>
      <c r="Z4" s="386" t="s">
        <v>269</v>
      </c>
      <c r="AA4" s="387" t="s">
        <v>139</v>
      </c>
      <c r="AB4" s="374" t="s">
        <v>254</v>
      </c>
      <c r="AC4" s="374" t="s">
        <v>255</v>
      </c>
      <c r="AD4" s="374" t="s">
        <v>256</v>
      </c>
      <c r="AE4" s="374" t="s">
        <v>257</v>
      </c>
      <c r="AF4" s="375" t="s">
        <v>258</v>
      </c>
      <c r="AG4" s="373" t="s">
        <v>259</v>
      </c>
      <c r="AH4" s="374" t="s">
        <v>260</v>
      </c>
      <c r="AI4" s="374" t="s">
        <v>261</v>
      </c>
      <c r="AJ4" s="374" t="s">
        <v>262</v>
      </c>
      <c r="AK4" s="375" t="s">
        <v>263</v>
      </c>
      <c r="AL4" s="373" t="s">
        <v>264</v>
      </c>
      <c r="AM4" s="374" t="s">
        <v>265</v>
      </c>
      <c r="AN4" s="374" t="s">
        <v>266</v>
      </c>
      <c r="AO4" s="374" t="s">
        <v>267</v>
      </c>
      <c r="AP4" s="375" t="s">
        <v>268</v>
      </c>
    </row>
    <row r="5" spans="1:42" ht="21" customHeight="1">
      <c r="A5" s="37"/>
      <c r="B5" s="10" t="str">
        <f>'Prices_Yields&amp;SeedInputs'!B17</f>
        <v>SW Winter Wheat after Fallow</v>
      </c>
      <c r="C5" s="258">
        <v>1</v>
      </c>
      <c r="D5" s="258">
        <v>0.67</v>
      </c>
      <c r="E5" s="258">
        <v>0.67</v>
      </c>
      <c r="F5" s="258">
        <v>1</v>
      </c>
      <c r="G5" s="258">
        <v>1</v>
      </c>
      <c r="H5" s="258">
        <v>1</v>
      </c>
      <c r="I5" s="258">
        <v>1</v>
      </c>
      <c r="J5" s="258">
        <v>1</v>
      </c>
      <c r="K5" s="258"/>
      <c r="L5" s="258"/>
      <c r="M5" s="479" cm="1">
        <f t="array" ref="M5">(SWWinterWheatAfterFallow!F$8*C5)+(SUM(SWWinterWheatAfterFallow!F$9:F$14*D5))+(SUM(SWWinterWheatAfterFallow!F$21:F$61)*E5)+(SUM(SWWinterWheatAfterFallow!F$63:F$70)*J5)+(SWWinterWheatAfterFallow!J$116*F5)+(SWWinterWheatAfterFallow!J$117*G5)+(SWWinterWheatAfterFallow!J$118*H5)+(SWWinterWheatAfterFallow!F$135*I5)</f>
        <v>203.30422572569029</v>
      </c>
      <c r="N5" s="480">
        <f>((C$31*C$32)+C$30)+(SWWinterWheatAfterFallow!F$8*(1-C5))+(SUM(SWWinterWheatAfterFallow!F$9:F$14)*(1-D5))+(SUM(SWWinterWheatAfterFallow!F$21:F$61)*(1-E5))+((SUM(SWWinterWheatAfterFallow!F$63:F$70)*(1-J5))+(SWWinterWheatAfterFallow!J$116)*(1-F5))+(SWWinterWheatAfterFallow!J$117*(1-G5))+(SWWinterWheatAfterFallow!J$118*(1-H5))+(SWWinterWheatAfterFallow!F$135*(1-I5))</f>
        <v>104.30613549999998</v>
      </c>
      <c r="O5" s="479">
        <f>(SWWinterWheatAfterFallow!F$8*C5)+(SUM(SWWinterWheatAfterFallow!F$9:F$14)*D5)+(SUM(SWWinterWheatAfterFallow!F$21:F$61)*E5)+((SUM(SWWinterWheatAfterFallow!F$63:F$70)*J5)+((SWWinterWheatAfterFallow!F$72+SWWinterWheatAfterFallow!F$75+SWWinterWheatAfterFallow!F$78+SWWinterWheatAfterFallow!F$81+SWWinterWheatAfterFallow!F$84+SWWinterWheatAfterFallow!F$87+SWWinterWheatAfterFallow!F$90+SWWinterWheatAfterFallow!F$93+SWWinterWheatAfterFallow!F$96+SWWinterWheatAfterFallow!F$99+SWWinterWheatAfterFallow!F$102+SWWinterWheatAfterFallow!F$105+SWWinterWheatAfterFallow!F$108+SWWinterWheatAfterFallow!F$111)*F5))+((SWWinterWheatAfterFallow!F$73+SWWinterWheatAfterFallow!F$76+SWWinterWheatAfterFallow!F$79+SWWinterWheatAfterFallow!F$82+SWWinterWheatAfterFallow!F$85+SWWinterWheatAfterFallow!F$88+SWWinterWheatAfterFallow!F$91+SWWinterWheatAfterFallow!F$94+SWWinterWheatAfterFallow!F$97+SWWinterWheatAfterFallow!F$100+SWWinterWheatAfterFallow!F$103+SWWinterWheatAfterFallow!F$106+SWWinterWheatAfterFallow!F$109+SWWinterWheatAfterFallow!F$112)*G5)+(SWWinterWheatAfterFallow!H$114*H5)+(SWWinterWheatAfterFallow!H$135*I5)</f>
        <v>257.36971637330493</v>
      </c>
      <c r="P5" s="480">
        <f>((C$31*C$32)+C$30)+((SWWinterWheatAfterFallow!F$8*(1-C5))+(SUM(SWWinterWheatAfterFallow!F$9:F$14)*(1-D5)+(SUM(SWWinterWheatAfterFallow!F$21:F$61)*(1-E5))+((SUM(SWWinterWheatAfterFallow!F$63:F$70)*(1-J5))+((SWWinterWheatAfterFallow!F$72+SWWinterWheatAfterFallow!F$75+SWWinterWheatAfterFallow!F$78+SWWinterWheatAfterFallow!F$81+SWWinterWheatAfterFallow!F$84+SWWinterWheatAfterFallow!F$87+SWWinterWheatAfterFallow!F$90+SWWinterWheatAfterFallow!F$93+SWWinterWheatAfterFallow!F$96+SWWinterWheatAfterFallow!F$99+SWWinterWheatAfterFallow!F$102+SWWinterWheatAfterFallow!F$105+SWWinterWheatAfterFallow!F$108+SWWinterWheatAfterFallow!F$111)*(1-F5))+((SWWinterWheatAfterFallow!F$73+SWWinterWheatAfterFallow!F$76+SWWinterWheatAfterFallow!F$79+SWWinterWheatAfterFallow!F$82+SWWinterWheatAfterFallow!F$85+SWWinterWheatAfterFallow!F$88+SWWinterWheatAfterFallow!F$91+SWWinterWheatAfterFallow!F$94+SWWinterWheatAfterFallow!F$97+SWWinterWheatAfterFallow!F$100+SWWinterWheatAfterFallow!F$103+SWWinterWheatAfterFallow!F$106+SWWinterWheatAfterFallow!F$109+SWWinterWheatAfterFallow!F$112)*(1-G5))+(SWWinterWheatAfterFallow!H$114*(1-H5))+(SWWinterWheatAfterFallow!H$135*(1-I5)))))</f>
        <v>104.30613549999998</v>
      </c>
      <c r="Q5" s="479">
        <f>(SWWinterWheatAfterFallow!F$8*C5)+(SUM(SWWinterWheatAfterFallow!F$9:F$14)*D5)+(SUM(SWWinterWheatAfterFallow!F$21:F$61)*E5)+((SUM(SWWinterWheatAfterFallow!F$63:F$70)*J5)+((SWWinterWheatAfterFallow!F$72+SWWinterWheatAfterFallow!F$75+SWWinterWheatAfterFallow!F$78+SWWinterWheatAfterFallow!F$81+SWWinterWheatAfterFallow!F$84+SWWinterWheatAfterFallow!F$87+SWWinterWheatAfterFallow!F$90+SWWinterWheatAfterFallow!F$93+SWWinterWheatAfterFallow!F$96+SWWinterWheatAfterFallow!F$99+SWWinterWheatAfterFallow!F$102+SWWinterWheatAfterFallow!F$105+SWWinterWheatAfterFallow!F$108+SWWinterWheatAfterFallow!F$111)*F5))+((SWWinterWheatAfterFallow!F$73+SWWinterWheatAfterFallow!F$76+SWWinterWheatAfterFallow!F$79+SWWinterWheatAfterFallow!F$82+SWWinterWheatAfterFallow!F$85+SWWinterWheatAfterFallow!F$88+SWWinterWheatAfterFallow!F$91+SWWinterWheatAfterFallow!F$94+SWWinterWheatAfterFallow!F$97+SWWinterWheatAfterFallow!F$100+SWWinterWheatAfterFallow!F$103+SWWinterWheatAfterFallow!F$106+SWWinterWheatAfterFallow!F$109+SWWinterWheatAfterFallow!F$112)*G5)+(SWWinterWheatAfterFallow!I$114*H5)+(SWWinterWheatAfterFallow!I$135*I5)</f>
        <v>254.76009064541594</v>
      </c>
      <c r="R5" s="480">
        <f>((C$31*C$32)+C$30)+(SWWinterWheatAfterFallow!F$8*(1-C5))+(SUM(SWWinterWheatAfterFallow!F$9:F$14)*(1-D5))+(SUM(SWWinterWheatAfterFallow!F$21:F$61)*(1-E5))+((SUM(SWWinterWheatAfterFallow!F$63:F$70)*(1-J5))+((SWWinterWheatAfterFallow!F$72+SWWinterWheatAfterFallow!F$75+SWWinterWheatAfterFallow!F$78+SWWinterWheatAfterFallow!F$81+SWWinterWheatAfterFallow!F$84+SWWinterWheatAfterFallow!F$87+SWWinterWheatAfterFallow!F$90+SWWinterWheatAfterFallow!F$93+SWWinterWheatAfterFallow!F$96+SWWinterWheatAfterFallow!F$99+SWWinterWheatAfterFallow!F$102+SWWinterWheatAfterFallow!F$105+SWWinterWheatAfterFallow!F$108+SWWinterWheatAfterFallow!F$111)*(1-F5)))+((SWWinterWheatAfterFallow!F$73+SWWinterWheatAfterFallow!F$76+SWWinterWheatAfterFallow!F$79+SWWinterWheatAfterFallow!F$82+SWWinterWheatAfterFallow!F$85+SWWinterWheatAfterFallow!F$88+SWWinterWheatAfterFallow!F$91+SWWinterWheatAfterFallow!F$94+SWWinterWheatAfterFallow!F$97+SWWinterWheatAfterFallow!F$100+SWWinterWheatAfterFallow!F$103+SWWinterWheatAfterFallow!F$106+SWWinterWheatAfterFallow!F$109+SWWinterWheatAfterFallow!F$112)*(1-G5))+(SWWinterWheatAfterFallow!I$114*(1-H5))+(SWWinterWheatAfterFallow!I$135*(1-I5))</f>
        <v>104.30613549999998</v>
      </c>
      <c r="S5" s="1">
        <v>322.26</v>
      </c>
      <c r="T5" s="49">
        <f>M5+N5</f>
        <v>307.61036122569027</v>
      </c>
      <c r="U5" s="49">
        <f>S5-T5</f>
        <v>14.649638774309722</v>
      </c>
      <c r="V5" s="49"/>
      <c r="W5" s="379" t="str">
        <f>'Prices_Yields&amp;SeedInputs'!B17</f>
        <v>SW Winter Wheat after Fallow</v>
      </c>
      <c r="X5" s="379"/>
      <c r="Y5" s="380">
        <f>SUM(AB5:AF5)</f>
        <v>0</v>
      </c>
      <c r="Z5" s="5">
        <f>SUM(AG5:AK5)</f>
        <v>0</v>
      </c>
      <c r="AA5" s="381">
        <f>SUM(AL5:AP5)</f>
        <v>0</v>
      </c>
      <c r="AB5" s="174">
        <f>IF('Farm and Rotation Setup'!$D$5="Soft White Winter Wheat after Fallow",'Farm and Rotation Setup'!$G$5,0)</f>
        <v>0</v>
      </c>
      <c r="AC5" s="174">
        <f>IF('Farm and Rotation Setup'!$D$6="Soft White Winter Wheat after Fallow",'Farm and Rotation Setup'!$G$6,0)</f>
        <v>0</v>
      </c>
      <c r="AD5" s="174">
        <f>IF('Farm and Rotation Setup'!$D$7="Soft White Winter Wheat after Fallow",'Farm and Rotation Setup'!$G$7,0)</f>
        <v>0</v>
      </c>
      <c r="AE5" s="174">
        <f>IF('Farm and Rotation Setup'!$D$8="Soft White Winter Wheat after Fallow",'Farm and Rotation Setup'!$G$8,0)</f>
        <v>0</v>
      </c>
      <c r="AF5" s="376">
        <f>IF('Farm and Rotation Setup'!$D$9="Soft White Winter Wheat after Fallow",'Farm and Rotation Setup'!$G$9,0)</f>
        <v>0</v>
      </c>
      <c r="AG5" s="174">
        <f>IF('Farm and Rotation Setup'!$D$14="Soft White Winter Wheat after Fallow",'Farm and Rotation Setup'!$G$14,0)</f>
        <v>0</v>
      </c>
      <c r="AH5" s="174">
        <f>IF('Farm and Rotation Setup'!$D$15="Soft White Winter Wheat after Fallow",'Farm and Rotation Setup'!$G$15,0)</f>
        <v>0</v>
      </c>
      <c r="AI5" s="174">
        <f>IF('Farm and Rotation Setup'!$D$16="Soft White Winter Wheat after Fallow",'Farm and Rotation Setup'!$G$16,0)</f>
        <v>0</v>
      </c>
      <c r="AJ5" s="174">
        <f>IF('Farm and Rotation Setup'!$D$17="Soft White Winter Wheat after Fallow",'Farm and Rotation Setup'!$G$17,0)</f>
        <v>0</v>
      </c>
      <c r="AK5" s="376">
        <f>IF('Farm and Rotation Setup'!$D$18="Soft White Winter Wheat after Fallow",'Farm and Rotation Setup'!$G$18,0)</f>
        <v>0</v>
      </c>
      <c r="AL5" s="174">
        <f>IF('Farm and Rotation Setup'!$D$23="Soft White Winter Wheat after Fallow",'Farm and Rotation Setup'!$G$23,0)</f>
        <v>0</v>
      </c>
      <c r="AM5" s="174">
        <f>IF('Farm and Rotation Setup'!$D$24="Soft White Winter Wheat after Fallow",'Farm and Rotation Setup'!$G$24,0)</f>
        <v>0</v>
      </c>
      <c r="AN5" s="174">
        <f>IF('Farm and Rotation Setup'!$D$25="Soft White Winter Wheat after Fallow",'Farm and Rotation Setup'!$G$25,0)</f>
        <v>0</v>
      </c>
      <c r="AO5" s="174">
        <f>IF('Farm and Rotation Setup'!$D$26="Soft White Winter Wheat after Fallow",'Farm and Rotation Setup'!$G$26,0)</f>
        <v>0</v>
      </c>
      <c r="AP5" s="376">
        <f>IF('Farm and Rotation Setup'!$D$27="Soft White Winter Wheat after Fallow",'Farm and Rotation Setup'!$G$27,0)</f>
        <v>0</v>
      </c>
    </row>
    <row r="6" spans="1:42" ht="21" customHeight="1">
      <c r="A6" s="37"/>
      <c r="B6" s="10" t="str">
        <f>'Prices_Yields&amp;SeedInputs'!B16</f>
        <v>SW Winter Wheat after Cereal</v>
      </c>
      <c r="C6" s="258">
        <v>1</v>
      </c>
      <c r="D6" s="258">
        <v>0.67</v>
      </c>
      <c r="E6" s="258">
        <v>0.67</v>
      </c>
      <c r="F6" s="258">
        <v>1</v>
      </c>
      <c r="G6" s="258">
        <v>1</v>
      </c>
      <c r="H6" s="258">
        <v>1</v>
      </c>
      <c r="I6" s="258">
        <v>1</v>
      </c>
      <c r="J6" s="258">
        <v>1</v>
      </c>
      <c r="K6" s="258"/>
      <c r="L6" s="258"/>
      <c r="M6" s="481" cm="1">
        <f t="array" ref="M6">(SWWinterWheatafterCereal!F$8*C6)+(SUM(SWWinterWheatafterCereal!F$9:F$14*D6))+(SUM(SWWinterWheatafterCereal!F$21:F$61)*E6)+(SUM(SWWinterWheatafterCereal!F$63:F$70)*J6)+(SWWinterWheatafterCereal!J$116*F6)+(SWWinterWheatafterCereal!J$117*G6)+(SWWinterWheatafterCereal!J$118*H6)+(SWWinterWheatafterCereal!F$135*I6)</f>
        <v>203.30422572569029</v>
      </c>
      <c r="N6" s="482">
        <f>((C$31*C$32)+C$30)+(SWWinterWheatafterCereal!F$8*(1-C6))+(SUM(SWWinterWheatafterCereal!F$9:F$14)*(1-D6))+(SUM(SWWinterWheatafterCereal!F$21:F$61)*(1-E6))+((SUM(SWWinterWheatafterCereal!F$63:F$70)*(1-J6))+(SWWinterWheatafterCereal!J$116)*(1-F6))+(SWWinterWheatafterCereal!J$117*(1-G6))+(SWWinterWheatafterCereal!J$118*(1-H6))+(SWWinterWheatafterCereal!F$135*(1-I6))</f>
        <v>104.30613549999998</v>
      </c>
      <c r="O6" s="481">
        <f>(SWWinterWheatafterCereal!F$8*C6)+(SUM(SWWinterWheatafterCereal!F$9:F$14)*D6)+(SUM(SWWinterWheatafterCereal!F$21:F$61)*E6)+((SUM(SWWinterWheatafterCereal!F$63:F$70)*J6)+((SWWinterWheatafterCereal!F$72+SWWinterWheatafterCereal!F$75+SWWinterWheatafterCereal!F$78+SWWinterWheatafterCereal!F$81+SWWinterWheatafterCereal!F$84+SWWinterWheatafterCereal!F$87+SWWinterWheatafterCereal!F$90+SWWinterWheatafterCereal!F$93+SWWinterWheatafterCereal!F$96+SWWinterWheatafterCereal!F$99+SWWinterWheatafterCereal!F$102+SWWinterWheatafterCereal!F$105+SWWinterWheatafterCereal!F$108+SWWinterWheatafterCereal!F$111)*F6))+((SWWinterWheatafterCereal!F$73+SWWinterWheatafterCereal!F$76+SWWinterWheatafterCereal!F$79+SWWinterWheatafterCereal!F$82+SWWinterWheatafterCereal!F$85+SWWinterWheatafterCereal!F$88+SWWinterWheatafterCereal!F$91+SWWinterWheatafterCereal!F$94+SWWinterWheatafterCereal!F$97+SWWinterWheatafterCereal!F$100+SWWinterWheatafterCereal!F$103+SWWinterWheatafterCereal!F$106+SWWinterWheatafterCereal!F$109+SWWinterWheatafterCereal!F$112)*G6)+(SWWinterWheatafterCereal!H$114*H6)+(SWWinterWheatafterCereal!H$135*I6)</f>
        <v>257.36971637330493</v>
      </c>
      <c r="P6" s="482">
        <f>((C$31*C$32)+C$30)+((SWWinterWheatafterCereal!F$8*(1-C6))+(SUM(SWWinterWheatafterCereal!F$9:F$14)*(1-D6)+(SUM(SWWinterWheatafterCereal!F$21:F$61)*(1-E6))+((SUM(SWWinterWheatafterCereal!F$63:F$70)*(1-J6))+((SWWinterWheatafterCereal!F$72+SWWinterWheatafterCereal!F$75+SWWinterWheatafterCereal!F$78+SWWinterWheatafterCereal!F$81+SWWinterWheatafterCereal!F$84+SWWinterWheatafterCereal!F$87+SWWinterWheatafterCereal!F$90+SWWinterWheatafterCereal!F$93+SWWinterWheatafterCereal!F$96+SWWinterWheatafterCereal!F$99+SWWinterWheatafterCereal!F$102+SWWinterWheatafterCereal!F$105+SWWinterWheatafterCereal!F$108+SWWinterWheatafterCereal!F$111)*(1-F6))+((SWWinterWheatafterCereal!F$73+SWWinterWheatafterCereal!F$76+SWWinterWheatafterCereal!F$79+SWWinterWheatafterCereal!F$82+SWWinterWheatafterCereal!F$85+SWWinterWheatafterCereal!F$88+SWWinterWheatafterCereal!F$91+SWWinterWheatafterCereal!F$94+SWWinterWheatafterCereal!F$97+SWWinterWheatafterCereal!F$100+SWWinterWheatafterCereal!F$103+SWWinterWheatafterCereal!F$106+SWWinterWheatafterCereal!F$109+SWWinterWheatafterCereal!F$112)*(1-G6))+(SWWinterWheatafterCereal!H$114*(1-H6))+(SWWinterWheatafterCereal!H$135*(1-I6)))))</f>
        <v>104.30613549999998</v>
      </c>
      <c r="Q6" s="481">
        <f>(SWWinterWheatafterCereal!F$8*C6)+(SUM(SWWinterWheatafterCereal!F$9:F$14)*D6)+(SUM(SWWinterWheatafterCereal!F$21:F$61)*E6)+((SUM(SWWinterWheatafterCereal!F$63:F$70)*J6)+((SWWinterWheatafterCereal!F$72+SWWinterWheatafterCereal!F$75+SWWinterWheatafterCereal!F$78+SWWinterWheatafterCereal!F$81+SWWinterWheatafterCereal!F$84+SWWinterWheatafterCereal!F$87+SWWinterWheatafterCereal!F$90+SWWinterWheatafterCereal!F$93+SWWinterWheatafterCereal!F$96+SWWinterWheatafterCereal!F$99+SWWinterWheatafterCereal!F$102+SWWinterWheatafterCereal!F$105+SWWinterWheatafterCereal!F$108+SWWinterWheatafterCereal!F$111)*F6))+((SWWinterWheatafterCereal!F$73+SWWinterWheatafterCereal!F$76+SWWinterWheatafterCereal!F$79+SWWinterWheatafterCereal!F$82+SWWinterWheatafterCereal!F$85+SWWinterWheatafterCereal!F$88+SWWinterWheatafterCereal!F$91+SWWinterWheatafterCereal!F$94+SWWinterWheatafterCereal!F$97+SWWinterWheatafterCereal!F$100+SWWinterWheatafterCereal!F$103+SWWinterWheatafterCereal!F$106+SWWinterWheatafterCereal!F$109+SWWinterWheatafterCereal!F$112)*G6)+(SWWinterWheatafterCereal!I$114*H6)+(SWWinterWheatafterCereal!I$135*I6)</f>
        <v>254.76009064541594</v>
      </c>
      <c r="R6" s="482">
        <f>((C$31*C$32)+C$30)+(SWWinterWheatafterCereal!F$8*(1-C6))+(SUM(SWWinterWheatafterCereal!F$9:F$14)*(1-D6))+(SUM(SWWinterWheatafterCereal!F$21:F$61)*(1-E6))+((SUM(SWWinterWheatafterCereal!F$63:F$70)*(1-J6))+((SWWinterWheatafterCereal!F$72+SWWinterWheatafterCereal!F$75+SWWinterWheatafterCereal!F$78+SWWinterWheatafterCereal!F$81+SWWinterWheatafterCereal!F$84+SWWinterWheatafterCereal!F$87+SWWinterWheatafterCereal!F$90+SWWinterWheatafterCereal!F$93+SWWinterWheatafterCereal!F$96+SWWinterWheatafterCereal!F$99+SWWinterWheatafterCereal!F$102+SWWinterWheatafterCereal!F$105+SWWinterWheatafterCereal!F$108+SWWinterWheatafterCereal!F$111)*(1-F6)))+((SWWinterWheatafterCereal!F$73+SWWinterWheatafterCereal!F$76+SWWinterWheatafterCereal!F$79+SWWinterWheatafterCereal!F$82+SWWinterWheatafterCereal!F$85+SWWinterWheatafterCereal!F$88+SWWinterWheatafterCereal!F$91+SWWinterWheatafterCereal!F$94+SWWinterWheatafterCereal!F$97+SWWinterWheatafterCereal!F$100+SWWinterWheatafterCereal!F$103+SWWinterWheatafterCereal!F$106+SWWinterWheatafterCereal!F$109+SWWinterWheatafterCereal!F$112)*(1-G6))+(SWWinterWheatafterCereal!I$114*(1-H6))+(SWWinterWheatafterCereal!I$135*(1-I6))</f>
        <v>104.30613549999998</v>
      </c>
      <c r="S6" s="3">
        <v>323.26</v>
      </c>
      <c r="T6" s="368">
        <f t="shared" ref="T6:T8" si="0">M6+N6</f>
        <v>307.61036122569027</v>
      </c>
      <c r="U6" s="368">
        <f t="shared" ref="U6:U8" si="1">S6-T6</f>
        <v>15.649638774309722</v>
      </c>
      <c r="V6" s="368"/>
      <c r="W6" s="379" t="str">
        <f>'Prices_Yields&amp;SeedInputs'!B16</f>
        <v>SW Winter Wheat after Cereal</v>
      </c>
      <c r="X6" s="379"/>
      <c r="Y6" s="380">
        <f t="shared" ref="Y6:Y27" si="2">SUM(AB6:AF6)</f>
        <v>0</v>
      </c>
      <c r="Z6" s="5">
        <f t="shared" ref="Z6:Z27" si="3">SUM(AG6:AK6)</f>
        <v>0</v>
      </c>
      <c r="AA6" s="381">
        <f t="shared" ref="AA6:AA27" si="4">SUM(AL6:AP6)</f>
        <v>0</v>
      </c>
      <c r="AB6" s="174">
        <f>IF('Farm and Rotation Setup'!$D$5="Soft White Winter Wheat after Cereal",'Farm and Rotation Setup'!$G$5,0)</f>
        <v>0</v>
      </c>
      <c r="AC6" s="174">
        <f>IF('Farm and Rotation Setup'!$D$6="Soft White Winter Wheat after Cereal",'Farm and Rotation Setup'!$G$6,0)</f>
        <v>0</v>
      </c>
      <c r="AD6" s="174">
        <f>IF('Farm and Rotation Setup'!$D$7="Soft White Winter Wheat after Cereal",'Farm and Rotation Setup'!$G$7,0)</f>
        <v>0</v>
      </c>
      <c r="AE6" s="174">
        <f>IF('Farm and Rotation Setup'!$D$8="Soft White Winter Wheat after Cereal",'Farm and Rotation Setup'!$G$8,0)</f>
        <v>0</v>
      </c>
      <c r="AF6" s="377">
        <f>IF('Farm and Rotation Setup'!$D$9="Soft White Winter Wheat after Cereal",'Farm and Rotation Setup'!$G$9,0)</f>
        <v>0</v>
      </c>
      <c r="AG6" s="174">
        <f>IF('Farm and Rotation Setup'!$D$14="Soft White Winter Wheat after Cereal",'Farm and Rotation Setup'!$G$14,0)</f>
        <v>0</v>
      </c>
      <c r="AH6" s="174">
        <f>IF('Farm and Rotation Setup'!$D$15="Soft White Winter Wheat after Cereal",'Farm and Rotation Setup'!$G$15,0)</f>
        <v>0</v>
      </c>
      <c r="AI6" s="174">
        <f>IF('Farm and Rotation Setup'!$D$16="Soft White Winter Wheat after Cereal",'Farm and Rotation Setup'!$G$16,0)</f>
        <v>0</v>
      </c>
      <c r="AJ6" s="174">
        <f>IF('Farm and Rotation Setup'!$D$17="Soft White Winter Wheat after Cereal",'Farm and Rotation Setup'!$G$17,0)</f>
        <v>0</v>
      </c>
      <c r="AK6" s="377">
        <f>IF('Farm and Rotation Setup'!$D$18="Soft White Winter Wheat after Cereal",'Farm and Rotation Setup'!$G$18,0)</f>
        <v>0</v>
      </c>
      <c r="AL6" s="174">
        <f>IF('Farm and Rotation Setup'!$D$23="Soft White Winter Wheat after Cereal",'Farm and Rotation Setup'!$G$23,0)</f>
        <v>0</v>
      </c>
      <c r="AM6" s="174">
        <f>IF('Farm and Rotation Setup'!$D$24="Soft White Winter Wheat after Cereal",'Farm and Rotation Setup'!$G$24,0)</f>
        <v>0</v>
      </c>
      <c r="AN6" s="174">
        <f>IF('Farm and Rotation Setup'!$D$25="Soft White Winter Wheat after Cereal",'Farm and Rotation Setup'!$G$25,0)</f>
        <v>0</v>
      </c>
      <c r="AO6" s="174">
        <f>IF('Farm and Rotation Setup'!$D$26="Soft White Winter Wheat after Cereal",'Farm and Rotation Setup'!$G$26,0)</f>
        <v>0</v>
      </c>
      <c r="AP6" s="377">
        <f>IF('Farm and Rotation Setup'!$D$27="Soft White Winter Wheat after Cereal",'Farm and Rotation Setup'!$G$27,0)</f>
        <v>0</v>
      </c>
    </row>
    <row r="7" spans="1:42" ht="21" customHeight="1">
      <c r="A7" s="37"/>
      <c r="B7" s="10" t="str">
        <f>'Prices_Yields&amp;SeedInputs'!B5</f>
        <v>SW Winter Wheat after Spring Legume</v>
      </c>
      <c r="C7" s="258">
        <v>1</v>
      </c>
      <c r="D7" s="258">
        <v>0.67</v>
      </c>
      <c r="E7" s="258">
        <v>0.67</v>
      </c>
      <c r="F7" s="258">
        <v>1</v>
      </c>
      <c r="G7" s="258">
        <v>1</v>
      </c>
      <c r="H7" s="258">
        <v>1</v>
      </c>
      <c r="I7" s="258">
        <v>1</v>
      </c>
      <c r="J7" s="258">
        <v>1</v>
      </c>
      <c r="K7" s="258"/>
      <c r="L7" s="258"/>
      <c r="M7" s="481" cm="1">
        <f t="array" ref="M7">(SWWinterWheatAfterSpringLegume!F$8*C7)+(SUM(SWWinterWheatAfterSpringLegume!F$9:F$14*D7))+(SUM(SWWinterWheatAfterSpringLegume!F$21:F$61)*E7)+(SUM(SWWinterWheatAfterSpringLegume!F$63:F$70)*J7)+(SWWinterWheatAfterSpringLegume!J$116*F7)+(SWWinterWheatAfterSpringLegume!J$117*G7)+(SWWinterWheatAfterSpringLegume!J$118*H7)+(SWWinterWheatAfterSpringLegume!F$135*I7)</f>
        <v>203.30422572569029</v>
      </c>
      <c r="N7" s="482">
        <f>((C$31*C$32)+C$30)+(SWWinterWheatAfterSpringLegume!F$8*(1-C7))+(SUM(SWWinterWheatAfterSpringLegume!F$9:F$14)*(1-D7))+(SUM(SWWinterWheatAfterSpringLegume!F$21:F$61)*(1-E7))+((SUM(SWWinterWheatAfterSpringLegume!F$63:F$70)*(1-J7))+(SWWinterWheatAfterSpringLegume!J$116)*(1-F7))+(SWWinterWheatAfterSpringLegume!J$117*(1-G7))+(SWWinterWheatAfterSpringLegume!J$118*(1-H7))+(SWWinterWheatAfterSpringLegume!F$135*(1-I7))</f>
        <v>104.30613549999998</v>
      </c>
      <c r="O7" s="481">
        <f>(SWWinterWheatAfterSpringLegume!F$8*C7)+(SUM(SWWinterWheatAfterSpringLegume!F$9:F$14)*D7)+(SUM(SWWinterWheatAfterSpringLegume!F$21:F$61)*E7)+((SUM(SWWinterWheatAfterSpringLegume!F$63:F$70)*J7)+((SWWinterWheatAfterSpringLegume!F$72+SWWinterWheatAfterSpringLegume!F$75+SWWinterWheatAfterSpringLegume!F$78+SWWinterWheatAfterSpringLegume!F$81+SWWinterWheatAfterSpringLegume!F$84+SWWinterWheatAfterSpringLegume!F$87+SWWinterWheatAfterSpringLegume!F$90+SWWinterWheatAfterSpringLegume!F$93+SWWinterWheatAfterSpringLegume!F$96+SWWinterWheatAfterSpringLegume!F$99+SWWinterWheatAfterSpringLegume!F$102+SWWinterWheatAfterSpringLegume!F$105+SWWinterWheatAfterSpringLegume!F$108+SWWinterWheatAfterSpringLegume!F$111)*F7))+((SWWinterWheatAfterSpringLegume!F$73+SWWinterWheatAfterSpringLegume!F$76+SWWinterWheatAfterSpringLegume!F$79+SWWinterWheatAfterSpringLegume!F$82+SWWinterWheatAfterSpringLegume!F$85+SWWinterWheatAfterSpringLegume!F$88+SWWinterWheatAfterSpringLegume!F$91+SWWinterWheatAfterSpringLegume!F$94+SWWinterWheatAfterSpringLegume!F$97+SWWinterWheatAfterSpringLegume!F$100+SWWinterWheatAfterSpringLegume!F$103+SWWinterWheatAfterSpringLegume!F$106+SWWinterWheatAfterSpringLegume!F$109+SWWinterWheatAfterSpringLegume!F$112)*G7)+(SWWinterWheatAfterSpringLegume!H$114*H7)+(SWWinterWheatAfterSpringLegume!H$135*I7)</f>
        <v>257.36971637330493</v>
      </c>
      <c r="P7" s="482">
        <f>((C$31*C$32)+C$30)+((SWWinterWheatAfterSpringLegume!F$8*(1-C7))+(SUM(SWWinterWheatAfterSpringLegume!F$9:F$14)*(1-D7)+(SUM(SWWinterWheatAfterSpringLegume!F$21:F$61)*(1-E7))+((SUM(SWWinterWheatAfterSpringLegume!F$63:F$70)*(1-J7))+((SWWinterWheatAfterSpringLegume!F$72+SWWinterWheatAfterSpringLegume!F$75+SWWinterWheatAfterSpringLegume!F$78+SWWinterWheatAfterSpringLegume!F$81+SWWinterWheatAfterSpringLegume!F$84+SWWinterWheatAfterSpringLegume!F$87+SWWinterWheatAfterSpringLegume!F$90+SWWinterWheatAfterSpringLegume!F$93+SWWinterWheatAfterSpringLegume!F$96+SWWinterWheatAfterSpringLegume!F$99+SWWinterWheatAfterSpringLegume!F$102+SWWinterWheatAfterSpringLegume!F$105+SWWinterWheatAfterSpringLegume!F$108+SWWinterWheatAfterSpringLegume!F$111)*(1-F7))+((SWWinterWheatAfterSpringLegume!F$73+SWWinterWheatAfterSpringLegume!F$76+SWWinterWheatAfterSpringLegume!F$79+SWWinterWheatAfterSpringLegume!F$82+SWWinterWheatAfterSpringLegume!F$85+SWWinterWheatAfterSpringLegume!F$88+SWWinterWheatAfterSpringLegume!F$91+SWWinterWheatAfterSpringLegume!F$94+SWWinterWheatAfterSpringLegume!F$97+SWWinterWheatAfterSpringLegume!F$100+SWWinterWheatAfterSpringLegume!F$103+SWWinterWheatAfterSpringLegume!F$106+SWWinterWheatAfterSpringLegume!F$109+SWWinterWheatAfterSpringLegume!F$112)*(1-G7))+(SWWinterWheatAfterSpringLegume!H$114*(1-H7))+(SWWinterWheatAfterSpringLegume!H$135*(1-I7)))))</f>
        <v>104.30613549999998</v>
      </c>
      <c r="Q7" s="481">
        <f>(SWWinterWheatAfterSpringLegume!F$8*C7)+(SUM(SWWinterWheatAfterSpringLegume!F$9:F$14)*D7)+(SUM(SWWinterWheatAfterSpringLegume!F$21:F$61)*E7)+((SUM(SWWinterWheatAfterSpringLegume!F$63:F$70)*J7)+((SWWinterWheatAfterSpringLegume!F$72+SWWinterWheatAfterSpringLegume!F$75+SWWinterWheatAfterSpringLegume!F$78+SWWinterWheatAfterSpringLegume!F$81+SWWinterWheatAfterSpringLegume!F$84+SWWinterWheatAfterSpringLegume!F$87+SWWinterWheatAfterSpringLegume!F$90+SWWinterWheatAfterSpringLegume!F$93+SWWinterWheatAfterSpringLegume!F$96+SWWinterWheatAfterSpringLegume!F$99+SWWinterWheatAfterSpringLegume!F$102+SWWinterWheatAfterSpringLegume!F$105+SWWinterWheatAfterSpringLegume!F$108+SWWinterWheatAfterSpringLegume!F$111)*F7))+((SWWinterWheatAfterSpringLegume!F$73+SWWinterWheatAfterSpringLegume!F$76+SWWinterWheatAfterSpringLegume!F$79+SWWinterWheatAfterSpringLegume!F$82+SWWinterWheatAfterSpringLegume!F$85+SWWinterWheatAfterSpringLegume!F$88+SWWinterWheatAfterSpringLegume!F$91+SWWinterWheatAfterSpringLegume!F$94+SWWinterWheatAfterSpringLegume!F$97+SWWinterWheatAfterSpringLegume!F$100+SWWinterWheatAfterSpringLegume!F$103+SWWinterWheatAfterSpringLegume!F$106+SWWinterWheatAfterSpringLegume!F$109+SWWinterWheatAfterSpringLegume!F$112)*G7)+(SWWinterWheatAfterSpringLegume!I$114*H7)+(SWWinterWheatAfterSpringLegume!I$135*I7)</f>
        <v>254.76009064541594</v>
      </c>
      <c r="R7" s="482">
        <f>((C$31*C$32)+C$30)+(SWWinterWheatAfterSpringLegume!F$8*(1-C7))+(SUM(SWWinterWheatAfterSpringLegume!F$9:F$14)*(1-D7))+(SUM(SWWinterWheatAfterSpringLegume!F$21:F$61)*(1-E7))+((SUM(SWWinterWheatAfterSpringLegume!F$63:F$70)*(1-J7))+((SWWinterWheatAfterSpringLegume!F$72+SWWinterWheatAfterSpringLegume!F$75+SWWinterWheatAfterSpringLegume!F$78+SWWinterWheatAfterSpringLegume!F$81+SWWinterWheatAfterSpringLegume!F$84+SWWinterWheatAfterSpringLegume!F$87+SWWinterWheatAfterSpringLegume!F$90+SWWinterWheatAfterSpringLegume!F$93+SWWinterWheatAfterSpringLegume!F$96+SWWinterWheatAfterSpringLegume!F$99+SWWinterWheatAfterSpringLegume!F$102+SWWinterWheatAfterSpringLegume!F$105+SWWinterWheatAfterSpringLegume!F$108+SWWinterWheatAfterSpringLegume!F$111)*(1-F7)))+((SWWinterWheatAfterSpringLegume!F$73+SWWinterWheatAfterSpringLegume!F$76+SWWinterWheatAfterSpringLegume!F$79+SWWinterWheatAfterSpringLegume!F$82+SWWinterWheatAfterSpringLegume!F$85+SWWinterWheatAfterSpringLegume!F$88+SWWinterWheatAfterSpringLegume!F$91+SWWinterWheatAfterSpringLegume!F$94+SWWinterWheatAfterSpringLegume!F$97+SWWinterWheatAfterSpringLegume!F$100+SWWinterWheatAfterSpringLegume!F$103+SWWinterWheatAfterSpringLegume!F$106+SWWinterWheatAfterSpringLegume!F$109+SWWinterWheatAfterSpringLegume!F$112)*(1-G7))+(SWWinterWheatAfterSpringLegume!I$114*(1-H7))+(SWWinterWheatAfterSpringLegume!I$135*(1-I7))</f>
        <v>104.30613549999998</v>
      </c>
      <c r="S7" s="3">
        <v>324.26</v>
      </c>
      <c r="T7" s="368">
        <f t="shared" si="0"/>
        <v>307.61036122569027</v>
      </c>
      <c r="U7" s="368">
        <f t="shared" si="1"/>
        <v>16.649638774309722</v>
      </c>
      <c r="V7" s="368"/>
      <c r="W7" s="379" t="str">
        <f>'Prices_Yields&amp;SeedInputs'!B5</f>
        <v>SW Winter Wheat after Spring Legume</v>
      </c>
      <c r="X7" s="379"/>
      <c r="Y7" s="380">
        <f t="shared" si="2"/>
        <v>0</v>
      </c>
      <c r="Z7" s="5">
        <f t="shared" si="3"/>
        <v>0</v>
      </c>
      <c r="AA7" s="381">
        <f t="shared" si="4"/>
        <v>0</v>
      </c>
      <c r="AB7" s="174">
        <f>IF('Farm and Rotation Setup'!$D$5="Soft White Winter Wheat after Winter Pea",'Farm and Rotation Setup'!$G$5,0)</f>
        <v>0</v>
      </c>
      <c r="AC7" s="174">
        <f>IF('Farm and Rotation Setup'!$D$6="Soft White Winter Wheat after Winter Pea",'Farm and Rotation Setup'!$G$6,0)</f>
        <v>0</v>
      </c>
      <c r="AD7" s="174">
        <f>IF('Farm and Rotation Setup'!$D$7="Soft White Winter Wheat after Winter Pea",'Farm and Rotation Setup'!$G$7,0)</f>
        <v>0</v>
      </c>
      <c r="AE7" s="174">
        <f>IF('Farm and Rotation Setup'!$D$8="Soft White Winter Wheat after Winter Pea",'Farm and Rotation Setup'!$G$8,0)</f>
        <v>0</v>
      </c>
      <c r="AF7" s="377">
        <f>IF('Farm and Rotation Setup'!$D$9="Soft White Winter Wheat after Winter Pea",'Farm and Rotation Setup'!$G$9,0)</f>
        <v>0</v>
      </c>
      <c r="AG7" s="174">
        <f>IF('Farm and Rotation Setup'!$D$14="Soft White Winter Wheat after Winter Pea",'Farm and Rotation Setup'!$G$14,0)</f>
        <v>0</v>
      </c>
      <c r="AH7" s="174">
        <f>IF('Farm and Rotation Setup'!$D$15="Soft White Winter Wheat after Winter Pea",'Farm and Rotation Setup'!$G$15,0)</f>
        <v>0</v>
      </c>
      <c r="AI7" s="174">
        <f>IF('Farm and Rotation Setup'!$D$16="Soft White Winter Wheat after Winter Pea",'Farm and Rotation Setup'!$G$16,0)</f>
        <v>0</v>
      </c>
      <c r="AJ7" s="174">
        <f>IF('Farm and Rotation Setup'!$D$17="Soft White Winter Wheat after Winter Pea",'Farm and Rotation Setup'!$G$17,0)</f>
        <v>0</v>
      </c>
      <c r="AK7" s="377">
        <f>IF('Farm and Rotation Setup'!$D$18="Soft White Winter Wheat after Winter Pea",'Farm and Rotation Setup'!$G$18,0)</f>
        <v>0</v>
      </c>
      <c r="AL7" s="174">
        <f>IF('Farm and Rotation Setup'!$D$23="Soft White Winter Wheat after Winter Pea",'Farm and Rotation Setup'!$G$23,0)</f>
        <v>0</v>
      </c>
      <c r="AM7" s="174">
        <f>IF('Farm and Rotation Setup'!$D$24="Soft White Winter Wheat after Winter Pea",'Farm and Rotation Setup'!$G$24,0)</f>
        <v>0</v>
      </c>
      <c r="AN7" s="174">
        <f>IF('Farm and Rotation Setup'!$D$25="Soft White Winter Wheat after Winter Pea",'Farm and Rotation Setup'!$G$25,0)</f>
        <v>0</v>
      </c>
      <c r="AO7" s="174">
        <f>IF('Farm and Rotation Setup'!$D$26="Soft White Winter Wheat after Winter Pea",'Farm and Rotation Setup'!$G$26,0)</f>
        <v>0</v>
      </c>
      <c r="AP7" s="377">
        <f>IF('Farm and Rotation Setup'!$D$27="Soft White Winter Wheat after Winter Pea",'Farm and Rotation Setup'!$G$27,0)</f>
        <v>0</v>
      </c>
    </row>
    <row r="8" spans="1:42" ht="21" customHeight="1">
      <c r="A8" s="37"/>
      <c r="B8" s="10" t="str">
        <f>'Prices_Yields&amp;SeedInputs'!B6</f>
        <v>SW Winter Wheat after Forage Crop</v>
      </c>
      <c r="C8" s="258">
        <v>1</v>
      </c>
      <c r="D8" s="258">
        <v>0.67</v>
      </c>
      <c r="E8" s="258">
        <v>0.67</v>
      </c>
      <c r="F8" s="258">
        <v>1</v>
      </c>
      <c r="G8" s="258">
        <v>1</v>
      </c>
      <c r="H8" s="258">
        <v>1</v>
      </c>
      <c r="I8" s="258">
        <v>1</v>
      </c>
      <c r="J8" s="258">
        <v>1</v>
      </c>
      <c r="K8" s="258"/>
      <c r="L8" s="258"/>
      <c r="M8" s="481" cm="1">
        <f t="array" ref="M8">(SWWinterWheatAfterForageCrop!F$8*C8)+(SUM(SWWinterWheatAfterForageCrop!F$9:F$17*D8))+(SUM(SWWinterWheatAfterForageCrop!F$21:F$61)*E8)+(SUM(SWWinterWheatAfterForageCrop!F$63:F$70)*J8)+(SWWinterWheatAfterForageCrop!J$116*F8)+(SWWinterWheatAfterForageCrop!J$117*G8)+(SWWinterWheatAfterForageCrop!J$118*H8)+(SWWinterWheatAfterForageCrop!F$135*I8)</f>
        <v>203.30422572569029</v>
      </c>
      <c r="N8" s="482">
        <f>((C$31*C$32)+C$30)+(SWWinterWheatAfterForageCrop!F$8*(1-C8))+(SUM(SWWinterWheatAfterForageCrop!F$9:F$17)*(1-D8))+(SUM(SWWinterWheatAfterForageCrop!F$21:F$61)*(1-E8))+((SUM(SWWinterWheatAfterForageCrop!F$63:F$70)*(1-J8))+(SWWinterWheatAfterForageCrop!J$116)*(1-F8))+(SWWinterWheatAfterForageCrop!J$117*(1-G8))+(SWWinterWheatAfterForageCrop!J$118*(1-H8))+(SWWinterWheatAfterForageCrop!F$135*(1-I8))</f>
        <v>104.30613549999998</v>
      </c>
      <c r="O8" s="481">
        <f>(SWWinterWheatAfterForageCrop!F$8*C8)+(SUM(SWWinterWheatAfterForageCrop!F$9:F$17)*D8)+(SUM(SWWinterWheatAfterForageCrop!F$21:F$61)*E8)+((SUM(SWWinterWheatAfterForageCrop!F$63:F$70)*J8)+((SWWinterWheatAfterForageCrop!F$72+SWWinterWheatAfterForageCrop!F$75+SWWinterWheatAfterForageCrop!F$78+SWWinterWheatAfterForageCrop!F$81+SWWinterWheatAfterForageCrop!F$84+SWWinterWheatAfterForageCrop!F$87+SWWinterWheatAfterForageCrop!F$90+SWWinterWheatAfterForageCrop!F$93+SWWinterWheatAfterForageCrop!F$96+SWWinterWheatAfterForageCrop!F$99+SWWinterWheatAfterForageCrop!F$102+SWWinterWheatAfterForageCrop!F$105+SWWinterWheatAfterForageCrop!F$108+SWWinterWheatAfterForageCrop!F$111)*F8))+((SWWinterWheatAfterForageCrop!F$73+SWWinterWheatAfterForageCrop!F$76+SWWinterWheatAfterForageCrop!F$79+SWWinterWheatAfterForageCrop!F$82+SWWinterWheatAfterForageCrop!F$85+SWWinterWheatAfterForageCrop!F$88+SWWinterWheatAfterForageCrop!F$91+SWWinterWheatAfterForageCrop!F$94+SWWinterWheatAfterForageCrop!F$97+SWWinterWheatAfterForageCrop!F$100+SWWinterWheatAfterForageCrop!F$103+SWWinterWheatAfterForageCrop!F$106+SWWinterWheatAfterForageCrop!F$109+SWWinterWheatAfterForageCrop!F$112)*G8)+(SWWinterWheatAfterForageCrop!H$114*H8)+(SWWinterWheatAfterForageCrop!H$135*I8)</f>
        <v>257.36971637330493</v>
      </c>
      <c r="P8" s="482">
        <f>((C$31*C$32)+C$30)+((SWWinterWheatAfterForageCrop!F$8*(1-C8))+(SUM(SWWinterWheatAfterForageCrop!F$9:F$17)*(1-D8)+(SUM(SWWinterWheatAfterForageCrop!F$21:F$61)*(1-E8))+((SUM(SWWinterWheatAfterForageCrop!F$63:F$70)*(1-J8))+((SWWinterWheatAfterForageCrop!F$72+SWWinterWheatAfterForageCrop!F$75+SWWinterWheatAfterForageCrop!F$78+SWWinterWheatAfterForageCrop!F$81+SWWinterWheatAfterForageCrop!F$84+SWWinterWheatAfterForageCrop!F$87+SWWinterWheatAfterForageCrop!F$90+SWWinterWheatAfterForageCrop!F$93+SWWinterWheatAfterForageCrop!F$96+SWWinterWheatAfterForageCrop!F$99+SWWinterWheatAfterForageCrop!F$102+SWWinterWheatAfterForageCrop!F$105+SWWinterWheatAfterForageCrop!F$108+SWWinterWheatAfterForageCrop!F$111)*(1-F8))+((SWWinterWheatAfterForageCrop!F$73+SWWinterWheatAfterForageCrop!F$76+SWWinterWheatAfterForageCrop!F$79+SWWinterWheatAfterForageCrop!F$82+SWWinterWheatAfterForageCrop!F$85+SWWinterWheatAfterForageCrop!F$88+SWWinterWheatAfterForageCrop!F$91+SWWinterWheatAfterForageCrop!F$94+SWWinterWheatAfterForageCrop!F$97+SWWinterWheatAfterForageCrop!F$100+SWWinterWheatAfterForageCrop!F$103+SWWinterWheatAfterForageCrop!F$106+SWWinterWheatAfterForageCrop!F$109+SWWinterWheatAfterForageCrop!F$112)*(1-G8))+(SWWinterWheatAfterForageCrop!H$114*(1-H8))+(SWWinterWheatAfterForageCrop!H$135*(1-I8)))))</f>
        <v>104.30613549999998</v>
      </c>
      <c r="Q8" s="481">
        <f>(SWWinterWheatAfterForageCrop!F$8*C8)+(SUM(SWWinterWheatAfterForageCrop!F$9:F$17)*D8)+(SUM(SWWinterWheatAfterForageCrop!F$21:F$61)*E8)+((SUM(SWWinterWheatAfterForageCrop!F$63:F$70)*J8)+((SWWinterWheatAfterForageCrop!F$72+SWWinterWheatAfterForageCrop!F$75+SWWinterWheatAfterForageCrop!F$78+SWWinterWheatAfterForageCrop!F$81+SWWinterWheatAfterForageCrop!F$84+SWWinterWheatAfterForageCrop!F$87+SWWinterWheatAfterForageCrop!F$90+SWWinterWheatAfterForageCrop!F$93+SWWinterWheatAfterForageCrop!F$96+SWWinterWheatAfterForageCrop!F$99+SWWinterWheatAfterForageCrop!F$102+SWWinterWheatAfterForageCrop!F$105+SWWinterWheatAfterForageCrop!F$108+SWWinterWheatAfterForageCrop!F$111)*F8))+((SWWinterWheatAfterForageCrop!F$73+SWWinterWheatAfterForageCrop!F$76+SWWinterWheatAfterForageCrop!F$79+SWWinterWheatAfterForageCrop!F$82+SWWinterWheatAfterForageCrop!F$85+SWWinterWheatAfterForageCrop!F$88+SWWinterWheatAfterForageCrop!F$91+SWWinterWheatAfterForageCrop!F$94+SWWinterWheatAfterForageCrop!F$97+SWWinterWheatAfterForageCrop!F$100+SWWinterWheatAfterForageCrop!F$103+SWWinterWheatAfterForageCrop!F$106+SWWinterWheatAfterForageCrop!F$109+SWWinterWheatAfterForageCrop!F$112)*G8)+(SWWinterWheatAfterForageCrop!I$114*H8)+(SWWinterWheatAfterForageCrop!I$135*I8)</f>
        <v>254.76009064541594</v>
      </c>
      <c r="R8" s="482">
        <f>((C$31*C$32)+C$30)+(SWWinterWheatAfterForageCrop!F$8*(1-C8))+(SUM(SWWinterWheatAfterForageCrop!F$9:F$17)*(1-D8))+(SUM(SWWinterWheatAfterForageCrop!F$21:F$61)*(1-E8))+((SUM(SWWinterWheatAfterForageCrop!F$63:F$70)*(1-J8))+((SWWinterWheatAfterForageCrop!F$72+SWWinterWheatAfterForageCrop!F$75+SWWinterWheatAfterForageCrop!F$78+SWWinterWheatAfterForageCrop!F$81+SWWinterWheatAfterForageCrop!F$84+SWWinterWheatAfterForageCrop!F$87+SWWinterWheatAfterForageCrop!F$90+SWWinterWheatAfterForageCrop!F$93+SWWinterWheatAfterForageCrop!F$96+SWWinterWheatAfterForageCrop!F$99+SWWinterWheatAfterForageCrop!F$102+SWWinterWheatAfterForageCrop!F$105+SWWinterWheatAfterForageCrop!F$108+SWWinterWheatAfterForageCrop!F$111)*(1-F8)))+((SWWinterWheatAfterForageCrop!F$73+SWWinterWheatAfterForageCrop!F$76+SWWinterWheatAfterForageCrop!F$79+SWWinterWheatAfterForageCrop!F$82+SWWinterWheatAfterForageCrop!F$85+SWWinterWheatAfterForageCrop!F$88+SWWinterWheatAfterForageCrop!F$91+SWWinterWheatAfterForageCrop!F$94+SWWinterWheatAfterForageCrop!F$97+SWWinterWheatAfterForageCrop!F$100+SWWinterWheatAfterForageCrop!F$103+SWWinterWheatAfterForageCrop!F$106+SWWinterWheatAfterForageCrop!F$109+SWWinterWheatAfterForageCrop!F$112)*(1-G8))+(SWWinterWheatAfterForageCrop!I$114*(1-H8))+(SWWinterWheatAfterForageCrop!I$135*(1-I8))</f>
        <v>104.30613549999998</v>
      </c>
      <c r="S8" s="3">
        <v>325.26</v>
      </c>
      <c r="T8" s="368">
        <f t="shared" si="0"/>
        <v>307.61036122569027</v>
      </c>
      <c r="U8" s="368">
        <f t="shared" si="1"/>
        <v>17.649638774309722</v>
      </c>
      <c r="V8" s="368"/>
      <c r="W8" s="379" t="str">
        <f>'Prices_Yields&amp;SeedInputs'!B6</f>
        <v>SW Winter Wheat after Forage Crop</v>
      </c>
      <c r="X8" s="379"/>
      <c r="Y8" s="380">
        <f t="shared" si="2"/>
        <v>0</v>
      </c>
      <c r="Z8" s="5">
        <f t="shared" si="3"/>
        <v>0</v>
      </c>
      <c r="AA8" s="381">
        <f t="shared" si="4"/>
        <v>0</v>
      </c>
      <c r="AB8" s="174">
        <f>IF('Farm and Rotation Setup'!$D$5="Soft White Winter Wheat after Cover Crop",'Farm and Rotation Setup'!$G$5,0)</f>
        <v>0</v>
      </c>
      <c r="AC8" s="174">
        <f>IF('Farm and Rotation Setup'!$D$6="Soft White Winter Wheat after Cover Crop",'Farm and Rotation Setup'!$G$6,0)</f>
        <v>0</v>
      </c>
      <c r="AD8" s="174">
        <f>IF('Farm and Rotation Setup'!$D$7="Soft White Winter Wheat after Cover Crop",'Farm and Rotation Setup'!$G$7,0)</f>
        <v>0</v>
      </c>
      <c r="AE8" s="174">
        <f>IF('Farm and Rotation Setup'!$D$8="Soft White Winter Wheat after Cover Crop",'Farm and Rotation Setup'!$G$8,0)</f>
        <v>0</v>
      </c>
      <c r="AF8" s="377">
        <f>IF('Farm and Rotation Setup'!$D$9="Soft White Winter Wheat after Cover Crop",'Farm and Rotation Setup'!$G$9,0)</f>
        <v>0</v>
      </c>
      <c r="AG8" s="174">
        <f>IF('Farm and Rotation Setup'!$D$14="Soft White Winter Wheat after Cover Crop",'Farm and Rotation Setup'!$G$14,0)</f>
        <v>0</v>
      </c>
      <c r="AH8" s="174">
        <f>IF('Farm and Rotation Setup'!$D$15="Soft White Winter Wheat after Cover Crop",'Farm and Rotation Setup'!$G$15,0)</f>
        <v>0</v>
      </c>
      <c r="AI8" s="174">
        <f>IF('Farm and Rotation Setup'!$D$16="Soft White Winter Wheat after Cover Crop",'Farm and Rotation Setup'!$G$16,0)</f>
        <v>0</v>
      </c>
      <c r="AJ8" s="174">
        <f>IF('Farm and Rotation Setup'!$D$17="Soft White Winter Wheat after Cover Crop",'Farm and Rotation Setup'!$G$17,0)</f>
        <v>0</v>
      </c>
      <c r="AK8" s="377">
        <f>IF('Farm and Rotation Setup'!$D$18="Soft White Winter Wheat after Cover Crop",'Farm and Rotation Setup'!$G$18,0)</f>
        <v>0</v>
      </c>
      <c r="AL8" s="174">
        <f>IF('Farm and Rotation Setup'!$D$23="Soft White Winter Wheat after Cover Crop",'Farm and Rotation Setup'!$G$23,0)</f>
        <v>0</v>
      </c>
      <c r="AM8" s="174">
        <f>IF('Farm and Rotation Setup'!$D$24="Soft White Winter Wheat after Cover Crop",'Farm and Rotation Setup'!$G$24,0)</f>
        <v>0</v>
      </c>
      <c r="AN8" s="174">
        <f>IF('Farm and Rotation Setup'!$D$25="Soft White Winter Wheat after Cover Crop",'Farm and Rotation Setup'!$G$25,0)</f>
        <v>0</v>
      </c>
      <c r="AO8" s="174">
        <f>IF('Farm and Rotation Setup'!$D$26="Soft White Winter Wheat after Cover Crop",'Farm and Rotation Setup'!$G$26,0)</f>
        <v>0</v>
      </c>
      <c r="AP8" s="377">
        <f>IF('Farm and Rotation Setup'!$D$27="Soft White Winter Wheat after Cover Crop",'Farm and Rotation Setup'!$G$27,0)</f>
        <v>0</v>
      </c>
    </row>
    <row r="9" spans="1:42" ht="20">
      <c r="A9" s="39"/>
      <c r="B9" s="10" t="str">
        <f>'Prices_Yields&amp;SeedInputs'!B24</f>
        <v>SW Spring Wheat</v>
      </c>
      <c r="C9" s="258">
        <v>1</v>
      </c>
      <c r="D9" s="258">
        <v>0.67</v>
      </c>
      <c r="E9" s="258">
        <v>0.67</v>
      </c>
      <c r="F9" s="258">
        <v>1</v>
      </c>
      <c r="G9" s="258">
        <v>1</v>
      </c>
      <c r="H9" s="258">
        <v>1</v>
      </c>
      <c r="I9" s="258">
        <v>1</v>
      </c>
      <c r="J9" s="258">
        <v>1</v>
      </c>
      <c r="K9" s="258"/>
      <c r="L9" s="258"/>
      <c r="M9" s="479" cm="1">
        <f t="array" ref="M9">(SWSpringWheat!F$8*C9)+(SUM(SWSpringWheat!F$9:F$18*D9))+(SUM(SWSpringWheat!F$21:F$61)*E9)+(SUM(SWSpringWheat!F$63:F$70)*J9)+(SWSpringWheat!J$116*F9)+(SWSpringWheat!J$117*G9)+(SWSpringWheat!J$118*H9)+(SWSpringWheat!F$135*I9)</f>
        <v>197.88956572569029</v>
      </c>
      <c r="N9" s="480">
        <f>((C$31*C$32)+C$30)+(SWSpringWheat!F$8*(1-C9))+(SUM(SWSpringWheat!F$9:F$18)*(1-D9))+(SUM(SWSpringWheat!F$21:F$61)*(1-E9))+((SUM(SWSpringWheat!F$63:F$70)*(1-J9))+(SWSpringWheat!J$116)*(1-F9))+(SWSpringWheat!J$117*(1-G9))+(SWSpringWheat!J$118*(1-H9))+(SWSpringWheat!F$135*(1-I9))</f>
        <v>99.422795499999978</v>
      </c>
      <c r="O9" s="479">
        <f>(SWSpringWheat!F$8*C9)+(SUM(SWSpringWheat!F$9:F$18)*D9)+(SUM(SWSpringWheat!F$21:F$61)*E9)+((SUM(SWSpringWheat!F$63:F$70)*J9)+((SWSpringWheat!F$72+SWSpringWheat!F$75+SWSpringWheat!F$78+SWSpringWheat!F$81+SWSpringWheat!F$84+SWSpringWheat!F$87+SWSpringWheat!F$90+SWSpringWheat!F$93+SWSpringWheat!F$96+SWSpringWheat!F$99+SWSpringWheat!F$102+SWSpringWheat!F$105+SWSpringWheat!F$108+SWSpringWheat!F$111)*F9))+((SWSpringWheat!F$73+SWSpringWheat!F$76+SWSpringWheat!F$79+SWSpringWheat!F$82+SWSpringWheat!F$85+SWSpringWheat!F$88+SWSpringWheat!F$91+SWSpringWheat!F$94+SWSpringWheat!F$97+SWSpringWheat!F$100+SWSpringWheat!F$103+SWSpringWheat!F$106+SWSpringWheat!F$109+SWSpringWheat!F$112)*G9)+(SWSpringWheat!H$114*H9)+(SWSpringWheat!H$135*I9)</f>
        <v>251.95505637330496</v>
      </c>
      <c r="P9" s="480">
        <f>((C$31*C$32)+C$30)+((SWSpringWheat!F$8*(1-C9))+(SUM(SWSpringWheat!F$9:F$18)*(1-D9)+(SUM(SWSpringWheat!F$21:F$61)*(1-E9))+((SUM(SWSpringWheat!F$63:F$70)*(1-J9))+((SWSpringWheat!F$72+SWSpringWheat!F$75+SWSpringWheat!F$78+SWSpringWheat!F$81+SWSpringWheat!F$84+SWSpringWheat!F$87+SWSpringWheat!F$90+SWSpringWheat!F$93+SWSpringWheat!F$96+SWSpringWheat!F$99+SWSpringWheat!F$102+SWSpringWheat!F$105+SWSpringWheat!F$108+SWSpringWheat!F$111)*(1-F9))+((SWSpringWheat!F$73+SWSpringWheat!F$76+SWSpringWheat!F$79+SWSpringWheat!F$82+SWSpringWheat!F$85+SWSpringWheat!F$88+SWSpringWheat!F$91+SWSpringWheat!F$94+SWSpringWheat!F$97+SWSpringWheat!F$100+SWSpringWheat!F$103+SWSpringWheat!F$106+SWSpringWheat!F$109+SWSpringWheat!F$112)*(1-G9))+(SWSpringWheat!H$114*(1-H9))+(SWSpringWheat!H$135*(1-I9)))))</f>
        <v>99.422795499999992</v>
      </c>
      <c r="Q9" s="479">
        <f>(SWSpringWheat!F$8*C9)+(SUM(SWSpringWheat!F$9:F$18)*D9)+(SUM(SWSpringWheat!F$21:F$61)*E9)+((SUM(SWSpringWheat!F$63:F$70)*J9)+((SWSpringWheat!F$72+SWSpringWheat!F$75+SWSpringWheat!F$78+SWSpringWheat!F$81+SWSpringWheat!F$84+SWSpringWheat!F$87+SWSpringWheat!F$90+SWSpringWheat!F$93+SWSpringWheat!F$96+SWSpringWheat!F$99+SWSpringWheat!F$102+SWSpringWheat!F$105+SWSpringWheat!F$108+SWSpringWheat!F$111)*F9))+((SWSpringWheat!F$73+SWSpringWheat!F$76+SWSpringWheat!F$79+SWSpringWheat!F$82+SWSpringWheat!F$85+SWSpringWheat!F$88+SWSpringWheat!F$91+SWSpringWheat!F$94+SWSpringWheat!F$97+SWSpringWheat!F$100+SWSpringWheat!F$103+SWSpringWheat!F$106+SWSpringWheat!F$109+SWSpringWheat!F$112)*G9)+(SWSpringWheat!I$114*H9)+(SWSpringWheat!I$135*I9)</f>
        <v>249.34543064541597</v>
      </c>
      <c r="R9" s="480">
        <f>((C$31*C$32)+C$30)+(SWSpringWheat!F$8*(1-C9))+(SUM(SWSpringWheat!F$9:F$18)*(1-D9))+(SUM(SWSpringWheat!F$21:F$61)*(1-E9))+((SUM(SWSpringWheat!F$63:F$70)*(1-J9))+((SWSpringWheat!F$72+SWSpringWheat!F$75+SWSpringWheat!F$78+SWSpringWheat!F$81+SWSpringWheat!F$84+SWSpringWheat!F$87+SWSpringWheat!F$90+SWSpringWheat!F$93+SWSpringWheat!F$96+SWSpringWheat!F$99+SWSpringWheat!F$102+SWSpringWheat!F$105+SWSpringWheat!F$108+SWSpringWheat!F$111)*(1-F9)))+((SWSpringWheat!F$73+SWSpringWheat!F$76+SWSpringWheat!F$79+SWSpringWheat!F$82+SWSpringWheat!F$85+SWSpringWheat!F$88+SWSpringWheat!F$91+SWSpringWheat!F$94+SWSpringWheat!F$97+SWSpringWheat!F$100+SWSpringWheat!F$103+SWSpringWheat!F$106+SWSpringWheat!F$109+SWSpringWheat!F$112)*(1-G9))+(SWSpringWheat!I$114*(1-H9))+(SWSpringWheat!I$135*(1-I9))</f>
        <v>99.422795499999978</v>
      </c>
      <c r="S9" s="1">
        <v>323.26</v>
      </c>
      <c r="T9" s="49">
        <f t="shared" ref="T9:T27" si="5">M9+N9</f>
        <v>297.31236122569027</v>
      </c>
      <c r="U9" s="49">
        <f t="shared" ref="U9:U27" si="6">S9-T9</f>
        <v>25.947638774309723</v>
      </c>
      <c r="V9" s="49"/>
      <c r="W9" s="379" t="str">
        <f>'Prices_Yields&amp;SeedInputs'!B24</f>
        <v>SW Spring Wheat</v>
      </c>
      <c r="X9" s="379"/>
      <c r="Y9" s="380">
        <f t="shared" si="2"/>
        <v>0</v>
      </c>
      <c r="Z9" s="5">
        <f t="shared" si="3"/>
        <v>0</v>
      </c>
      <c r="AA9" s="381">
        <f t="shared" si="4"/>
        <v>0</v>
      </c>
      <c r="AB9" s="174">
        <f>IF('Farm and Rotation Setup'!$D$5="Soft White Spring Wheat after Winter Crop",'Farm and Rotation Setup'!$G$5,0)</f>
        <v>0</v>
      </c>
      <c r="AC9" s="174">
        <f>IF('Farm and Rotation Setup'!$D$6="Soft White Spring Wheat after Winter Crop",'Farm and Rotation Setup'!$G$6,0)</f>
        <v>0</v>
      </c>
      <c r="AD9" s="174">
        <f>IF('Farm and Rotation Setup'!$D$7="Soft White Spring Wheat after Winter Crop",'Farm and Rotation Setup'!$G$7,0)</f>
        <v>0</v>
      </c>
      <c r="AE9" s="174">
        <f>IF('Farm and Rotation Setup'!$D$8="Soft White Spring Wheat after Winter Crop",'Farm and Rotation Setup'!$G$8,0)</f>
        <v>0</v>
      </c>
      <c r="AF9" s="377">
        <f>IF('Farm and Rotation Setup'!$D$9="Soft White Spring Wheat after Winter Crop",'Farm and Rotation Setup'!$G$9,0)</f>
        <v>0</v>
      </c>
      <c r="AG9" s="174">
        <f>IF('Farm and Rotation Setup'!$D$14="Soft White Spring Wheat after Winter Crop",'Farm and Rotation Setup'!$G$14,0)</f>
        <v>0</v>
      </c>
      <c r="AH9" s="174">
        <f>IF('Farm and Rotation Setup'!$D$15="Soft White Spring Wheat after Winter Crop",'Farm and Rotation Setup'!$G$15,0)</f>
        <v>0</v>
      </c>
      <c r="AI9" s="174">
        <f>IF('Farm and Rotation Setup'!$D$16="Soft White Spring Wheat after Winter Crop",'Farm and Rotation Setup'!$G$16,0)</f>
        <v>0</v>
      </c>
      <c r="AJ9" s="174">
        <f>IF('Farm and Rotation Setup'!$D$17="Soft White Spring Wheat after Winter Crop",'Farm and Rotation Setup'!$G$17,0)</f>
        <v>0</v>
      </c>
      <c r="AK9" s="377">
        <f>IF('Farm and Rotation Setup'!$D$18="Soft White Spring Wheat after Winter Crop",'Farm and Rotation Setup'!$G$18,0)</f>
        <v>0</v>
      </c>
      <c r="AL9" s="174">
        <f>IF('Farm and Rotation Setup'!$D$23="Soft White Spring Wheat after Winter Crop",'Farm and Rotation Setup'!$G$23,0)</f>
        <v>0</v>
      </c>
      <c r="AM9" s="174">
        <f>IF('Farm and Rotation Setup'!$D$24="Soft White Spring Wheat after Winter Crop",'Farm and Rotation Setup'!$G$24,0)</f>
        <v>0</v>
      </c>
      <c r="AN9" s="174">
        <f>IF('Farm and Rotation Setup'!$D$25="Soft White Spring Wheat after Winter Crop",'Farm and Rotation Setup'!$G$25,0)</f>
        <v>0</v>
      </c>
      <c r="AO9" s="174">
        <f>IF('Farm and Rotation Setup'!$D$26="Soft White Spring Wheat after Winter Crop",'Farm and Rotation Setup'!$G$26,0)</f>
        <v>0</v>
      </c>
      <c r="AP9" s="377">
        <f>IF('Farm and Rotation Setup'!$D$27="Soft White Spring Wheat after Winter Crop",'Farm and Rotation Setup'!$G$27,0)</f>
        <v>0</v>
      </c>
    </row>
    <row r="10" spans="1:42" ht="20">
      <c r="A10" s="39"/>
      <c r="B10" s="10" t="str">
        <f>'Prices_Yields&amp;SeedInputs'!B7</f>
        <v>DN Spring Wheat after Spring Legume</v>
      </c>
      <c r="C10" s="258">
        <v>1</v>
      </c>
      <c r="D10" s="258">
        <v>0.67</v>
      </c>
      <c r="E10" s="258">
        <v>0.67</v>
      </c>
      <c r="F10" s="258">
        <v>1</v>
      </c>
      <c r="G10" s="258">
        <v>1</v>
      </c>
      <c r="H10" s="258">
        <v>1</v>
      </c>
      <c r="I10" s="258">
        <v>1</v>
      </c>
      <c r="J10" s="258">
        <v>1</v>
      </c>
      <c r="K10" s="370" t="s">
        <v>8</v>
      </c>
      <c r="L10" s="370" t="s">
        <v>8</v>
      </c>
      <c r="M10" s="481" cm="1">
        <f t="array" ref="M10">(DNSpringWinterAfterSpringLegume!F$8*C10)+(SUM(DNSpringWinterAfterSpringLegume!F$9:F$14*D10))+(SUM(DNSpringWinterAfterSpringLegume!F$21:F$61)*E10)+(SUM(DNSpringWinterAfterSpringLegume!F$63:F$70)*J10)+(DNSpringWinterAfterSpringLegume!J$116*F10)+(DNSpringWinterAfterSpringLegume!J$117*G10)+(DNSpringWinterAfterSpringLegume!J$118*H10)+(DNSpringWinterAfterSpringLegume!F$135*I10)</f>
        <v>200.38103572569028</v>
      </c>
      <c r="N10" s="482">
        <f>((C$31*C$32)+C$30)+(DNSpringWinterAfterSpringLegume!F$8*(1-C10))+(SUM(DNSpringWinterAfterSpringLegume!F$9:F$14)*(1-D10))+(SUM(DNSpringWinterAfterSpringLegume!F$21:F$61)*(1-E10))+((SUM(DNSpringWinterAfterSpringLegume!F$63:F$70)*(1-J10))+(DNSpringWinterAfterSpringLegume!J$116)*(1-F10))+(DNSpringWinterAfterSpringLegume!J$117*(1-G10))+(DNSpringWinterAfterSpringLegume!J$118*(1-H10))+(DNSpringWinterAfterSpringLegume!F$135*(1-I10))</f>
        <v>99.172325499999999</v>
      </c>
      <c r="O10" s="481">
        <f>(DNSpringWinterAfterSpringLegume!F$8*C10)+(SUM(DNSpringWinterAfterSpringLegume!F$9:F$14)*D10)+(SUM(DNSpringWinterAfterSpringLegume!F$21:F$61)*E10)+((SUM(DNSpringWinterAfterSpringLegume!F$63:F$70)*J10)+((DNSpringWinterAfterSpringLegume!F$72+DNSpringWinterAfterSpringLegume!F$75+DNSpringWinterAfterSpringLegume!F$78+DNSpringWinterAfterSpringLegume!F$81+DNSpringWinterAfterSpringLegume!F$84+DNSpringWinterAfterSpringLegume!F$87+DNSpringWinterAfterSpringLegume!F$90+DNSpringWinterAfterSpringLegume!F$93+DNSpringWinterAfterSpringLegume!F$96+DNSpringWinterAfterSpringLegume!F$99+DNSpringWinterAfterSpringLegume!F$102+DNSpringWinterAfterSpringLegume!F$105+DNSpringWinterAfterSpringLegume!F$108+DNSpringWinterAfterSpringLegume!F$111)*F10))+((DNSpringWinterAfterSpringLegume!F$73+DNSpringWinterAfterSpringLegume!F$76+DNSpringWinterAfterSpringLegume!F$79+DNSpringWinterAfterSpringLegume!F$82+DNSpringWinterAfterSpringLegume!F$85+DNSpringWinterAfterSpringLegume!F$88+DNSpringWinterAfterSpringLegume!F$91+DNSpringWinterAfterSpringLegume!F$94+DNSpringWinterAfterSpringLegume!F$97+DNSpringWinterAfterSpringLegume!F$100+DNSpringWinterAfterSpringLegume!F$103+DNSpringWinterAfterSpringLegume!F$106+DNSpringWinterAfterSpringLegume!F$109+DNSpringWinterAfterSpringLegume!F$112)*G10)+(DNSpringWinterAfterSpringLegume!H$114*H10)+(DNSpringWinterAfterSpringLegume!H$135*I10)</f>
        <v>254.44652637330495</v>
      </c>
      <c r="P10" s="482">
        <f>((C$31*C$32)+C$30)+((DNSpringWinterAfterSpringLegume!F$8*(1-C10))+(SUM(DNSpringWinterAfterSpringLegume!F$9:F$14)*(1-D10)+(SUM(DNSpringWinterAfterSpringLegume!F$21:F$61)*(1-E10))+((SUM(DNSpringWinterAfterSpringLegume!F$63:F$70)*(1-J10))+((DNSpringWinterAfterSpringLegume!F$72+DNSpringWinterAfterSpringLegume!F$75+DNSpringWinterAfterSpringLegume!F$78+DNSpringWinterAfterSpringLegume!F$81+DNSpringWinterAfterSpringLegume!F$84+DNSpringWinterAfterSpringLegume!F$87+DNSpringWinterAfterSpringLegume!F$90+DNSpringWinterAfterSpringLegume!F$93+DNSpringWinterAfterSpringLegume!F$96+DNSpringWinterAfterSpringLegume!F$99+DNSpringWinterAfterSpringLegume!F$102+DNSpringWinterAfterSpringLegume!F$105+DNSpringWinterAfterSpringLegume!F$108+DNSpringWinterAfterSpringLegume!F$111)*(1-F10))+((DNSpringWinterAfterSpringLegume!F$73+DNSpringWinterAfterSpringLegume!F$76+DNSpringWinterAfterSpringLegume!F$79+DNSpringWinterAfterSpringLegume!F$82+DNSpringWinterAfterSpringLegume!F$85+DNSpringWinterAfterSpringLegume!F$88+DNSpringWinterAfterSpringLegume!F$91+DNSpringWinterAfterSpringLegume!F$94+DNSpringWinterAfterSpringLegume!F$97+DNSpringWinterAfterSpringLegume!F$100+DNSpringWinterAfterSpringLegume!F$103+DNSpringWinterAfterSpringLegume!F$106+DNSpringWinterAfterSpringLegume!F$109+DNSpringWinterAfterSpringLegume!F$112)*(1-G10))+(DNSpringWinterAfterSpringLegume!H$114*(1-H10))+(DNSpringWinterAfterSpringLegume!H$135*(1-I10)))))</f>
        <v>99.172325499999999</v>
      </c>
      <c r="Q10" s="481">
        <f>(DNSpringWinterAfterSpringLegume!F$8*C10)+(SUM(DNSpringWinterAfterSpringLegume!F$9:F$14)*D10)+(SUM(DNSpringWinterAfterSpringLegume!F$21:F$61)*E10)+((SUM(DNSpringWinterAfterSpringLegume!F$63:F$70)*J10)+((DNSpringWinterAfterSpringLegume!F$72+DNSpringWinterAfterSpringLegume!F$75+DNSpringWinterAfterSpringLegume!F$78+DNSpringWinterAfterSpringLegume!F$81+DNSpringWinterAfterSpringLegume!F$84+DNSpringWinterAfterSpringLegume!F$87+DNSpringWinterAfterSpringLegume!F$90+DNSpringWinterAfterSpringLegume!F$93+DNSpringWinterAfterSpringLegume!F$96+DNSpringWinterAfterSpringLegume!F$99+DNSpringWinterAfterSpringLegume!F$102+DNSpringWinterAfterSpringLegume!F$105+DNSpringWinterAfterSpringLegume!F$108+DNSpringWinterAfterSpringLegume!F$111)*F10))+((DNSpringWinterAfterSpringLegume!F$73+DNSpringWinterAfterSpringLegume!F$76+DNSpringWinterAfterSpringLegume!F$79+DNSpringWinterAfterSpringLegume!F$82+DNSpringWinterAfterSpringLegume!F$85+DNSpringWinterAfterSpringLegume!F$88+DNSpringWinterAfterSpringLegume!F$91+DNSpringWinterAfterSpringLegume!F$94+DNSpringWinterAfterSpringLegume!F$97+DNSpringWinterAfterSpringLegume!F$100+DNSpringWinterAfterSpringLegume!F$103+DNSpringWinterAfterSpringLegume!F$106+DNSpringWinterAfterSpringLegume!F$109+DNSpringWinterAfterSpringLegume!F$112)*G10)+(DNSpringWinterAfterSpringLegume!I$114*H10)+(DNSpringWinterAfterSpringLegume!I$135*I10)</f>
        <v>251.83690064541597</v>
      </c>
      <c r="R10" s="482">
        <f>((C$31*C$32)+C$30)+(DNSpringWinterAfterSpringLegume!F$8*(1-C10))+(SUM(DNSpringWinterAfterSpringLegume!F$9:F$14)*(1-D10))+(SUM(DNSpringWinterAfterSpringLegume!F$21:F$61)*(1-E10))+((SUM(DNSpringWinterAfterSpringLegume!F$63:F$70)*(1-J10))+((DNSpringWinterAfterSpringLegume!F$72+DNSpringWinterAfterSpringLegume!F$75+DNSpringWinterAfterSpringLegume!F$78+DNSpringWinterAfterSpringLegume!F$81+DNSpringWinterAfterSpringLegume!F$84+DNSpringWinterAfterSpringLegume!F$87+DNSpringWinterAfterSpringLegume!F$90+DNSpringWinterAfterSpringLegume!F$93+DNSpringWinterAfterSpringLegume!F$96+DNSpringWinterAfterSpringLegume!F$99+DNSpringWinterAfterSpringLegume!F$102+DNSpringWinterAfterSpringLegume!F$105+DNSpringWinterAfterSpringLegume!F$108+DNSpringWinterAfterSpringLegume!F$111)*(1-F10)))+((DNSpringWinterAfterSpringLegume!F$73+DNSpringWinterAfterSpringLegume!F$76+DNSpringWinterAfterSpringLegume!F$79+DNSpringWinterAfterSpringLegume!F$82+DNSpringWinterAfterSpringLegume!F$85+DNSpringWinterAfterSpringLegume!F$88+DNSpringWinterAfterSpringLegume!F$91+DNSpringWinterAfterSpringLegume!F$94+DNSpringWinterAfterSpringLegume!F$97+DNSpringWinterAfterSpringLegume!F$100+DNSpringWinterAfterSpringLegume!F$103+DNSpringWinterAfterSpringLegume!F$106+DNSpringWinterAfterSpringLegume!F$109+DNSpringWinterAfterSpringLegume!F$112)*(1-G10))+(DNSpringWinterAfterSpringLegume!I$114*(1-H10))+(DNSpringWinterAfterSpringLegume!I$135*(1-I10))</f>
        <v>99.172325499999999</v>
      </c>
      <c r="S10" s="3">
        <v>324.26</v>
      </c>
      <c r="T10" s="368">
        <f t="shared" ref="T10" si="7">M10+N10</f>
        <v>299.55336122569031</v>
      </c>
      <c r="U10" s="368">
        <f t="shared" ref="U10" si="8">S10-T10</f>
        <v>24.706638774309681</v>
      </c>
      <c r="V10" s="368"/>
      <c r="W10" s="379" t="str">
        <f>'Prices_Yields&amp;SeedInputs'!B7</f>
        <v>DN Spring Wheat after Spring Legume</v>
      </c>
      <c r="X10" s="379"/>
      <c r="Y10" s="380">
        <f t="shared" si="2"/>
        <v>0</v>
      </c>
      <c r="Z10" s="5">
        <f t="shared" si="3"/>
        <v>0</v>
      </c>
      <c r="AA10" s="381">
        <f t="shared" si="4"/>
        <v>0</v>
      </c>
      <c r="AB10" s="174">
        <f>IF('Farm and Rotation Setup'!$D$5="Soft White Spring Wheat after Spring Legume",'Farm and Rotation Setup'!$G$5,0)</f>
        <v>0</v>
      </c>
      <c r="AC10" s="174">
        <f>IF('Farm and Rotation Setup'!$D$6="Soft White Spring Wheat after Spring Legume",'Farm and Rotation Setup'!$G$6,0)</f>
        <v>0</v>
      </c>
      <c r="AD10" s="174">
        <f>IF('Farm and Rotation Setup'!$D$7="Soft White Spring Wheat after Spring Legume",'Farm and Rotation Setup'!$G$7,0)</f>
        <v>0</v>
      </c>
      <c r="AE10" s="174">
        <f>IF('Farm and Rotation Setup'!$D$8="Soft White Spring Wheat after Spring Legume",'Farm and Rotation Setup'!$G$8,0)</f>
        <v>0</v>
      </c>
      <c r="AF10" s="377">
        <f>IF('Farm and Rotation Setup'!$D$9="Soft White Spring Wheat after Spring Legume",'Farm and Rotation Setup'!$G$9,0)</f>
        <v>0</v>
      </c>
      <c r="AG10" s="174">
        <f>IF('Farm and Rotation Setup'!$D$14="Soft White Spring Wheat after Spring Legume",'Farm and Rotation Setup'!$G$14,0)</f>
        <v>0</v>
      </c>
      <c r="AH10" s="174">
        <f>IF('Farm and Rotation Setup'!$D$15="Soft White Spring Wheat after Spring Legume",'Farm and Rotation Setup'!$G$15,0)</f>
        <v>0</v>
      </c>
      <c r="AI10" s="174">
        <f>IF('Farm and Rotation Setup'!$D$16="Soft White Spring Wheat after Spring Legume",'Farm and Rotation Setup'!$G$16,0)</f>
        <v>0</v>
      </c>
      <c r="AJ10" s="174">
        <f>IF('Farm and Rotation Setup'!$D$17="Soft White Spring Wheat after Spring Legume",'Farm and Rotation Setup'!$G$17,0)</f>
        <v>0</v>
      </c>
      <c r="AK10" s="377">
        <f>IF('Farm and Rotation Setup'!$D$18="Soft White Spring Wheat after Spring Legume",'Farm and Rotation Setup'!$G$18,0)</f>
        <v>0</v>
      </c>
      <c r="AL10" s="174">
        <f>IF('Farm and Rotation Setup'!$D$23="Soft White Spring Wheat after Spring Legume",'Farm and Rotation Setup'!$G$23,0)</f>
        <v>0</v>
      </c>
      <c r="AM10" s="174">
        <f>IF('Farm and Rotation Setup'!$D$24="Soft White Spring Wheat after Spring Legume",'Farm and Rotation Setup'!$G$24,0)</f>
        <v>0</v>
      </c>
      <c r="AN10" s="174">
        <f>IF('Farm and Rotation Setup'!$D$25="Soft White Spring Wheat after Spring Legume",'Farm and Rotation Setup'!$G$25,0)</f>
        <v>0</v>
      </c>
      <c r="AO10" s="174">
        <f>IF('Farm and Rotation Setup'!$D$26="Soft White Spring Wheat after Spring Legume",'Farm and Rotation Setup'!$G$26,0)</f>
        <v>0</v>
      </c>
      <c r="AP10" s="377">
        <f>IF('Farm and Rotation Setup'!$D$27="Soft White Spring Wheat after Spring Legume",'Farm and Rotation Setup'!$G$27,0)</f>
        <v>0</v>
      </c>
    </row>
    <row r="11" spans="1:42" ht="20">
      <c r="A11" s="149"/>
      <c r="B11" s="10" t="str">
        <f>'Prices_Yields&amp;SeedInputs'!B9</f>
        <v>DN Spring Wheat after Winter Crop</v>
      </c>
      <c r="C11" s="258">
        <v>1</v>
      </c>
      <c r="D11" s="258">
        <v>0.67</v>
      </c>
      <c r="E11" s="258">
        <v>0.67</v>
      </c>
      <c r="F11" s="258">
        <v>1</v>
      </c>
      <c r="G11" s="258">
        <v>1</v>
      </c>
      <c r="H11" s="258">
        <v>1</v>
      </c>
      <c r="I11" s="258">
        <v>1</v>
      </c>
      <c r="J11" s="258">
        <v>1</v>
      </c>
      <c r="K11" s="258"/>
      <c r="L11" s="258"/>
      <c r="M11" s="481" cm="1">
        <f t="array" ref="M11">(DNSpringWheatAfterWinterCrop!F$8*C11)+(SUM(DNSpringWheatAfterWinterCrop!F$9:F$14*D11))+(SUM(DNSpringWheatAfterWinterCrop!F$21:F$61)*E11)+(SUM(DNSpringWheatAfterWinterCrop!F$63:F$70)*J11)+(DNSpringWheatAfterWinterCrop!J$116*F11)+(DNSpringWheatAfterWinterCrop!J$117*G11)+(DNSpringWheatAfterWinterCrop!J$118*H11)+(DNSpringWheatAfterWinterCrop!F$135*I11)</f>
        <v>210.48899072569029</v>
      </c>
      <c r="N11" s="482">
        <f>((C$31*C$32)+C$30)+(DNSpringWheatAfterWinterCrop!F$8*(1-C11))+(SUM(DNSpringWheatAfterWinterCrop!F$9:F$14)*(1-D11))+(SUM(DNSpringWheatAfterWinterCrop!F$21:F$61)*(1-E11))+((SUM(DNSpringWheatAfterWinterCrop!F$63:F$70)*(1-J11))+(DNSpringWheatAfterWinterCrop!J$116)*(1-F11))+(DNSpringWheatAfterWinterCrop!J$117*(1-G11))+(DNSpringWheatAfterWinterCrop!J$118*(1-H11))+(DNSpringWheatAfterWinterCrop!F$135*(1-I11))</f>
        <v>104.1508705</v>
      </c>
      <c r="O11" s="481">
        <f>(DNSpringWheatAfterWinterCrop!F$8*C11)+(SUM(DNSpringWheatAfterWinterCrop!F$9:F$14)*D11)+(SUM(DNSpringWheatAfterWinterCrop!F$21:F$61)*E11)+((SUM(DNSpringWheatAfterWinterCrop!F$63:F$70)*J11)+((DNSpringWheatAfterWinterCrop!F$72+DNSpringWheatAfterWinterCrop!F$75+DNSpringWheatAfterWinterCrop!F$78+DNSpringWheatAfterWinterCrop!F$81+DNSpringWheatAfterWinterCrop!F$84+DNSpringWheatAfterWinterCrop!F$87+DNSpringWheatAfterWinterCrop!F$90+DNSpringWheatAfterWinterCrop!F$93+DNSpringWheatAfterWinterCrop!F$96+DNSpringWheatAfterWinterCrop!F$99+DNSpringWheatAfterWinterCrop!F$102+DNSpringWheatAfterWinterCrop!F$105+DNSpringWheatAfterWinterCrop!F$108+DNSpringWheatAfterWinterCrop!F$111)*F11))+((DNSpringWheatAfterWinterCrop!F$73+DNSpringWheatAfterWinterCrop!F$76+DNSpringWheatAfterWinterCrop!F$79+DNSpringWheatAfterWinterCrop!F$82+DNSpringWheatAfterWinterCrop!F$85+DNSpringWheatAfterWinterCrop!F$88+DNSpringWheatAfterWinterCrop!F$91+DNSpringWheatAfterWinterCrop!F$94+DNSpringWheatAfterWinterCrop!F$97+DNSpringWheatAfterWinterCrop!F$100+DNSpringWheatAfterWinterCrop!F$103+DNSpringWheatAfterWinterCrop!F$106+DNSpringWheatAfterWinterCrop!F$109+DNSpringWheatAfterWinterCrop!F$112)*G11)+(DNSpringWheatAfterWinterCrop!H$114*H11)+(DNSpringWheatAfterWinterCrop!H$135*I11)</f>
        <v>264.55448137330495</v>
      </c>
      <c r="P11" s="482">
        <f>((C$31*C$32)+C$30)+((DNSpringWheatAfterWinterCrop!F$8*(1-C11))+(SUM(DNSpringWheatAfterWinterCrop!F$9:F$14)*(1-D11)+(SUM(DNSpringWheatAfterWinterCrop!F$21:F$61)*(1-E11))+((SUM(DNSpringWheatAfterWinterCrop!F$63:F$70)*(1-J11))+((DNSpringWheatAfterWinterCrop!F$72+DNSpringWheatAfterWinterCrop!F$75+DNSpringWheatAfterWinterCrop!F$78+DNSpringWheatAfterWinterCrop!F$81+DNSpringWheatAfterWinterCrop!F$84+DNSpringWheatAfterWinterCrop!F$87+DNSpringWheatAfterWinterCrop!F$90+DNSpringWheatAfterWinterCrop!F$93+DNSpringWheatAfterWinterCrop!F$96+DNSpringWheatAfterWinterCrop!F$99+DNSpringWheatAfterWinterCrop!F$102+DNSpringWheatAfterWinterCrop!F$105+DNSpringWheatAfterWinterCrop!F$108+DNSpringWheatAfterWinterCrop!F$111)*(1-F11))+((DNSpringWheatAfterWinterCrop!F$73+DNSpringWheatAfterWinterCrop!F$76+DNSpringWheatAfterWinterCrop!F$79+DNSpringWheatAfterWinterCrop!F$82+DNSpringWheatAfterWinterCrop!F$85+DNSpringWheatAfterWinterCrop!F$88+DNSpringWheatAfterWinterCrop!F$91+DNSpringWheatAfterWinterCrop!F$94+DNSpringWheatAfterWinterCrop!F$97+DNSpringWheatAfterWinterCrop!F$100+DNSpringWheatAfterWinterCrop!F$103+DNSpringWheatAfterWinterCrop!F$106+DNSpringWheatAfterWinterCrop!F$109+DNSpringWheatAfterWinterCrop!F$112)*(1-G11))+(DNSpringWheatAfterWinterCrop!H$114*(1-H11))+(DNSpringWheatAfterWinterCrop!H$135*(1-I11)))))</f>
        <v>104.1508705</v>
      </c>
      <c r="Q11" s="481">
        <f>(DNSpringWheatAfterWinterCrop!F$8*C11)+(SUM(DNSpringWheatAfterWinterCrop!F$9:F$14)*D11)+(SUM(DNSpringWheatAfterWinterCrop!F$21:F$61)*E11)+((SUM(DNSpringWheatAfterWinterCrop!F$63:F$70)*J11)+((DNSpringWheatAfterWinterCrop!F$72+DNSpringWheatAfterWinterCrop!F$75+DNSpringWheatAfterWinterCrop!F$78+DNSpringWheatAfterWinterCrop!F$81+DNSpringWheatAfterWinterCrop!F$84+DNSpringWheatAfterWinterCrop!F$87+DNSpringWheatAfterWinterCrop!F$90+DNSpringWheatAfterWinterCrop!F$93+DNSpringWheatAfterWinterCrop!F$96+DNSpringWheatAfterWinterCrop!F$99+DNSpringWheatAfterWinterCrop!F$102+DNSpringWheatAfterWinterCrop!F$105+DNSpringWheatAfterWinterCrop!F$108+DNSpringWheatAfterWinterCrop!F$111)*F11))+((DNSpringWheatAfterWinterCrop!F$73+DNSpringWheatAfterWinterCrop!F$76+DNSpringWheatAfterWinterCrop!F$79+DNSpringWheatAfterWinterCrop!F$82+DNSpringWheatAfterWinterCrop!F$85+DNSpringWheatAfterWinterCrop!F$88+DNSpringWheatAfterWinterCrop!F$91+DNSpringWheatAfterWinterCrop!F$94+DNSpringWheatAfterWinterCrop!F$97+DNSpringWheatAfterWinterCrop!F$100+DNSpringWheatAfterWinterCrop!F$103+DNSpringWheatAfterWinterCrop!F$106+DNSpringWheatAfterWinterCrop!F$109+DNSpringWheatAfterWinterCrop!F$112)*G11)+(DNSpringWheatAfterWinterCrop!I$114*H11)+(DNSpringWheatAfterWinterCrop!I$135*I11)</f>
        <v>261.944855645416</v>
      </c>
      <c r="R11" s="482">
        <f>((C$31*C$32)+C$30)+(DNSpringWheatAfterWinterCrop!F$8*(1-C11))+(SUM(DNSpringWheatAfterWinterCrop!F$9:F$14)*(1-D11))+(SUM(DNSpringWheatAfterWinterCrop!F$21:F$61)*(1-E11))+((SUM(DNSpringWheatAfterWinterCrop!F$63:F$70)*(1-J11))+((DNSpringWheatAfterWinterCrop!F$72+DNSpringWheatAfterWinterCrop!F$75+DNSpringWheatAfterWinterCrop!F$78+DNSpringWheatAfterWinterCrop!F$81+DNSpringWheatAfterWinterCrop!F$84+DNSpringWheatAfterWinterCrop!F$87+DNSpringWheatAfterWinterCrop!F$90+DNSpringWheatAfterWinterCrop!F$93+DNSpringWheatAfterWinterCrop!F$96+DNSpringWheatAfterWinterCrop!F$99+DNSpringWheatAfterWinterCrop!F$102+DNSpringWheatAfterWinterCrop!F$105+DNSpringWheatAfterWinterCrop!F$108+DNSpringWheatAfterWinterCrop!F$111)*(1-F11)))+((DNSpringWheatAfterWinterCrop!F$73+DNSpringWheatAfterWinterCrop!F$76+DNSpringWheatAfterWinterCrop!F$79+DNSpringWheatAfterWinterCrop!F$82+DNSpringWheatAfterWinterCrop!F$85+DNSpringWheatAfterWinterCrop!F$88+DNSpringWheatAfterWinterCrop!F$91+DNSpringWheatAfterWinterCrop!F$94+DNSpringWheatAfterWinterCrop!F$97+DNSpringWheatAfterWinterCrop!F$100+DNSpringWheatAfterWinterCrop!F$103+DNSpringWheatAfterWinterCrop!F$106+DNSpringWheatAfterWinterCrop!F$109+DNSpringWheatAfterWinterCrop!F$112)*(1-G11))+(DNSpringWheatAfterWinterCrop!I$114*(1-H11))+(DNSpringWheatAfterWinterCrop!I$135*(1-I11))</f>
        <v>104.1508705</v>
      </c>
      <c r="S11" s="3">
        <v>324.26</v>
      </c>
      <c r="T11" s="368">
        <f t="shared" si="5"/>
        <v>314.63986122569031</v>
      </c>
      <c r="U11" s="368">
        <f t="shared" si="6"/>
        <v>9.6201387743096802</v>
      </c>
      <c r="V11" s="368"/>
      <c r="W11" s="379" t="str">
        <f>'Prices_Yields&amp;SeedInputs'!B9</f>
        <v>DN Spring Wheat after Winter Crop</v>
      </c>
      <c r="X11" s="379"/>
      <c r="Y11" s="380">
        <f t="shared" si="2"/>
        <v>0</v>
      </c>
      <c r="Z11" s="5">
        <f t="shared" si="3"/>
        <v>0</v>
      </c>
      <c r="AA11" s="381">
        <f t="shared" si="4"/>
        <v>0</v>
      </c>
      <c r="AB11" s="174">
        <f>IF('Farm and Rotation Setup'!$D$5="Dark Northern Spring Wheat",'Farm and Rotation Setup'!$G$5,0)</f>
        <v>0</v>
      </c>
      <c r="AC11" s="174">
        <f>IF('Farm and Rotation Setup'!$D$6="Dark Northern Spring Wheat",'Farm and Rotation Setup'!$G$6,0)</f>
        <v>0</v>
      </c>
      <c r="AD11" s="174">
        <f>IF('Farm and Rotation Setup'!$D$7="Dark Northern Spring Wheat",'Farm and Rotation Setup'!$G$7,0)</f>
        <v>0</v>
      </c>
      <c r="AE11" s="174">
        <f>IF('Farm and Rotation Setup'!$D$8="Dark Northern Spring Wheat",'Farm and Rotation Setup'!$G$8,0)</f>
        <v>0</v>
      </c>
      <c r="AF11" s="377">
        <f>IF('Farm and Rotation Setup'!$D$9="Dark Northern Spring Wheat",'Farm and Rotation Setup'!$G$9,0)</f>
        <v>0</v>
      </c>
      <c r="AG11" s="174">
        <f>IF('Farm and Rotation Setup'!$D$14="Dark Northern Spring Wheat",'Farm and Rotation Setup'!$G$14,0)</f>
        <v>0</v>
      </c>
      <c r="AH11" s="174">
        <f>IF('Farm and Rotation Setup'!$D$15="Dark Northern Spring Wheat",'Farm and Rotation Setup'!$G$15,0)</f>
        <v>0</v>
      </c>
      <c r="AI11" s="174">
        <f>IF('Farm and Rotation Setup'!$D$16="Dark Northern Spring Wheat",'Farm and Rotation Setup'!$G$16,0)</f>
        <v>0</v>
      </c>
      <c r="AJ11" s="174">
        <f>IF('Farm and Rotation Setup'!$D$17="Dark Northern Spring Wheat",'Farm and Rotation Setup'!$G$17,0)</f>
        <v>0</v>
      </c>
      <c r="AK11" s="377">
        <f>IF('Farm and Rotation Setup'!$D$18="Dark Northern Spring Wheat",'Farm and Rotation Setup'!$G$18,0)</f>
        <v>0</v>
      </c>
      <c r="AL11" s="174">
        <f>IF('Farm and Rotation Setup'!$D$23="Dark Northern Spring Wheat",'Farm and Rotation Setup'!$G$23,0)</f>
        <v>0</v>
      </c>
      <c r="AM11" s="174">
        <f>IF('Farm and Rotation Setup'!$D$24="Dark Northern Spring Wheat",'Farm and Rotation Setup'!$G$24,0)</f>
        <v>0</v>
      </c>
      <c r="AN11" s="174">
        <f>IF('Farm and Rotation Setup'!$D$25="Dark Northern Spring Wheat",'Farm and Rotation Setup'!$G$25,0)</f>
        <v>0</v>
      </c>
      <c r="AO11" s="174">
        <f>IF('Farm and Rotation Setup'!$D$26="Dark Northern Spring Wheat",'Farm and Rotation Setup'!$G$26,0)</f>
        <v>0</v>
      </c>
      <c r="AP11" s="377">
        <f>IF('Farm and Rotation Setup'!$D$27="Dark Northern Spring Wheat",'Farm and Rotation Setup'!$G$27,0)</f>
        <v>0</v>
      </c>
    </row>
    <row r="12" spans="1:42" ht="20">
      <c r="A12" s="150"/>
      <c r="B12" s="10" t="str">
        <f>'Prices_Yields&amp;SeedInputs'!B25</f>
        <v>HR Winter Wheat</v>
      </c>
      <c r="C12" s="258">
        <v>1</v>
      </c>
      <c r="D12" s="258">
        <v>0.67</v>
      </c>
      <c r="E12" s="258">
        <v>0.67</v>
      </c>
      <c r="F12" s="258">
        <v>1</v>
      </c>
      <c r="G12" s="258">
        <v>1</v>
      </c>
      <c r="H12" s="258">
        <v>1</v>
      </c>
      <c r="I12" s="258">
        <v>1</v>
      </c>
      <c r="J12" s="258">
        <v>1</v>
      </c>
      <c r="K12" s="258"/>
      <c r="L12" s="258"/>
      <c r="M12" s="481" cm="1">
        <f t="array" ref="M12">(HRWinterWheat!F$8*C12)+(SUM(HRWinterWheat!F$9:F$14*D12))+(SUM(HRWinterWheat!F$21:F$61)*E12)+(SUM(HRWinterWheat!F$63:F$70)*J12)+(HRWinterWheat!J$116*F12)+(HRWinterWheat!J$117*G12)+(HRWinterWheat!J$118*H12)+(HRWinterWheat!F$135*I12)</f>
        <v>210.48899072569029</v>
      </c>
      <c r="N12" s="482">
        <f>((C$31*C$32)+C$30)+(HRWinterWheat!F$8*(1-C12))+(SUM(HRWinterWheat!F$9:F$14)*(1-D12))+(SUM(HRWinterWheat!F$21:F$61)*(1-E12))+((SUM(HRWinterWheat!F$63:F$70)*(1-J12))+(HRWinterWheat!J$116)*(1-F12))+(HRWinterWheat!J$117*(1-G12))+(HRWinterWheat!J$118*(1-H12))+(HRWinterWheat!F$135*(1-I12))</f>
        <v>104.1508705</v>
      </c>
      <c r="O12" s="481">
        <f>(HRWinterWheat!F$8*C12)+(SUM(HRWinterWheat!F$9:F$14)*D12)+(SUM(HRWinterWheat!F$21:F$61)*E12)+((SUM(HRWinterWheat!F$63:F$70)*J12)+((HRWinterWheat!F$72+HRWinterWheat!F$75+HRWinterWheat!F$78+HRWinterWheat!F$81+HRWinterWheat!F$84+HRWinterWheat!F$87+HRWinterWheat!F$90+HRWinterWheat!F$93+HRWinterWheat!F$96+HRWinterWheat!F$99+HRWinterWheat!F$102+HRWinterWheat!F$105+HRWinterWheat!F$108+HRWinterWheat!F$111)*F12))+((HRWinterWheat!F$73+HRWinterWheat!F$76+HRWinterWheat!F$79+HRWinterWheat!F$82+HRWinterWheat!F$85+HRWinterWheat!F$88+HRWinterWheat!F$91+HRWinterWheat!F$94+HRWinterWheat!F$97+HRWinterWheat!F$100+HRWinterWheat!F$103+HRWinterWheat!F$106+HRWinterWheat!F$109+HRWinterWheat!F$112)*G12)+(HRWinterWheat!H$114*H12)+(HRWinterWheat!H$135*I12)</f>
        <v>264.55448137330495</v>
      </c>
      <c r="P12" s="482">
        <f>((C$31*C$32)+C$30)+((HRWinterWheat!F$8*(1-C12))+(SUM(HRWinterWheat!F$9:F$14)*(1-D12)+(SUM(HRWinterWheat!F$21:F$61)*(1-E12))+((SUM(HRWinterWheat!F$63:F$70)*(1-J12))+((HRWinterWheat!F$72+HRWinterWheat!F$75+HRWinterWheat!F$78+HRWinterWheat!F$81+HRWinterWheat!F$84+HRWinterWheat!F$87+HRWinterWheat!F$90+HRWinterWheat!F$93+HRWinterWheat!F$96+HRWinterWheat!F$99+HRWinterWheat!F$102+HRWinterWheat!F$105+HRWinterWheat!F$108+HRWinterWheat!F$111)*(1-F12))+((HRWinterWheat!F$73+HRWinterWheat!F$76+HRWinterWheat!F$79+HRWinterWheat!F$82+HRWinterWheat!F$85+HRWinterWheat!F$88+HRWinterWheat!F$91+HRWinterWheat!F$94+HRWinterWheat!F$97+HRWinterWheat!F$100+HRWinterWheat!F$103+HRWinterWheat!F$106+HRWinterWheat!F$109+HRWinterWheat!F$112)*(1-G12))+(HRWinterWheat!H$114*(1-H12))+(HRWinterWheat!H$135*(1-I12)))))</f>
        <v>104.1508705</v>
      </c>
      <c r="Q12" s="481">
        <f>(HRWinterWheat!F$8*C12)+(SUM(HRWinterWheat!F$9:F$14)*D12)+(SUM(HRWinterWheat!F$21:F$61)*E12)+((SUM(HRWinterWheat!F$63:F$70)*J12)+((HRWinterWheat!F$72+HRWinterWheat!F$75+HRWinterWheat!F$78+HRWinterWheat!F$81+HRWinterWheat!F$84+HRWinterWheat!F$87+HRWinterWheat!F$90+HRWinterWheat!F$93+HRWinterWheat!F$96+HRWinterWheat!F$99+HRWinterWheat!F$102+HRWinterWheat!F$105+HRWinterWheat!F$108+HRWinterWheat!F$111)*F12))+((HRWinterWheat!F$73+HRWinterWheat!F$76+HRWinterWheat!F$79+HRWinterWheat!F$82+HRWinterWheat!F$85+HRWinterWheat!F$88+HRWinterWheat!F$91+HRWinterWheat!F$94+HRWinterWheat!F$97+HRWinterWheat!F$100+HRWinterWheat!F$103+HRWinterWheat!F$106+HRWinterWheat!F$109+HRWinterWheat!F$112)*G12)+(HRWinterWheat!I$114*H12)+(HRWinterWheat!I$135*I12)</f>
        <v>261.944855645416</v>
      </c>
      <c r="R12" s="482">
        <f>((C$31*C$32)+C$30)+(HRWinterWheat!F$8*(1-C12))+(SUM(HRWinterWheat!F$9:F$14)*(1-D12))+(SUM(HRWinterWheat!F$21:F$61)*(1-E12))+((SUM(HRWinterWheat!F$63:F$70)*(1-J12))+((HRWinterWheat!F$72+HRWinterWheat!F$75+HRWinterWheat!F$78+HRWinterWheat!F$81+HRWinterWheat!F$84+HRWinterWheat!F$87+HRWinterWheat!F$90+HRWinterWheat!F$93+HRWinterWheat!F$96+HRWinterWheat!F$99+HRWinterWheat!F$102+HRWinterWheat!F$105+HRWinterWheat!F$108+HRWinterWheat!F$111)*(1-F12)))+((HRWinterWheat!F$73+HRWinterWheat!F$76+HRWinterWheat!F$79+HRWinterWheat!F$82+HRWinterWheat!F$85+HRWinterWheat!F$88+HRWinterWheat!F$91+HRWinterWheat!F$94+HRWinterWheat!F$97+HRWinterWheat!F$100+HRWinterWheat!F$103+HRWinterWheat!F$106+HRWinterWheat!F$109+HRWinterWheat!F$112)*(1-G12))+(HRWinterWheat!I$114*(1-H12))+(HRWinterWheat!I$135*(1-I12))</f>
        <v>104.1508705</v>
      </c>
      <c r="S12" s="3">
        <v>325.26</v>
      </c>
      <c r="T12" s="368">
        <f t="shared" si="5"/>
        <v>314.63986122569031</v>
      </c>
      <c r="U12" s="368">
        <f t="shared" si="6"/>
        <v>10.62013877430968</v>
      </c>
      <c r="V12" s="368"/>
      <c r="W12" s="379" t="str">
        <f>'Prices_Yields&amp;SeedInputs'!B25</f>
        <v>HR Winter Wheat</v>
      </c>
      <c r="X12" s="379"/>
      <c r="Y12" s="380">
        <f t="shared" si="2"/>
        <v>0</v>
      </c>
      <c r="Z12" s="5">
        <f t="shared" si="3"/>
        <v>0</v>
      </c>
      <c r="AA12" s="381">
        <f t="shared" si="4"/>
        <v>0</v>
      </c>
      <c r="AB12" s="174">
        <f>IF('Farm and Rotation Setup'!$D$5="Hard Red Winter Wheat",'Farm and Rotation Setup'!$G$5,0)</f>
        <v>0</v>
      </c>
      <c r="AC12" s="174">
        <f>IF('Farm and Rotation Setup'!$D$6="Hard Red Winter Wheat",'Farm and Rotation Setup'!$G$6,0)</f>
        <v>0</v>
      </c>
      <c r="AD12" s="174">
        <f>IF('Farm and Rotation Setup'!$D$7="Hard Red Winter Wheat",'Farm and Rotation Setup'!$G$7,0)</f>
        <v>0</v>
      </c>
      <c r="AE12" s="174">
        <f>IF('Farm and Rotation Setup'!$D$8="Hard Red Winter Wheat",'Farm and Rotation Setup'!$G$8,0)</f>
        <v>0</v>
      </c>
      <c r="AF12" s="377">
        <f>IF('Farm and Rotation Setup'!$D$9="Hard Red Winter Wheat",'Farm and Rotation Setup'!$G$9,0)</f>
        <v>0</v>
      </c>
      <c r="AG12" s="174">
        <f>IF('Farm and Rotation Setup'!$D$14="Hard Red Winter Wheat",'Farm and Rotation Setup'!$G$14,0)</f>
        <v>0</v>
      </c>
      <c r="AH12" s="174">
        <f>IF('Farm and Rotation Setup'!$D$15="Hard Red Winter Wheat",'Farm and Rotation Setup'!$G$15,0)</f>
        <v>0</v>
      </c>
      <c r="AI12" s="174">
        <f>IF('Farm and Rotation Setup'!$D$16="Hard Red Winter Wheat",'Farm and Rotation Setup'!$G$16,0)</f>
        <v>0</v>
      </c>
      <c r="AJ12" s="174">
        <f>IF('Farm and Rotation Setup'!$D$17="Hard Red Winter Wheat",'Farm and Rotation Setup'!$G$17,0)</f>
        <v>0</v>
      </c>
      <c r="AK12" s="377">
        <f>IF('Farm and Rotation Setup'!$D$18="Hard Red Winter Wheat",'Farm and Rotation Setup'!$G$18,0)</f>
        <v>0</v>
      </c>
      <c r="AL12" s="174">
        <f>IF('Farm and Rotation Setup'!$D$23="Hard Red Winter Wheat",'Farm and Rotation Setup'!$G$23,0)</f>
        <v>0</v>
      </c>
      <c r="AM12" s="174">
        <f>IF('Farm and Rotation Setup'!$D$24="Hard Red Winter Wheat",'Farm and Rotation Setup'!$G$24,0)</f>
        <v>0</v>
      </c>
      <c r="AN12" s="174">
        <f>IF('Farm and Rotation Setup'!$D$25="Hard Red Winter Wheat",'Farm and Rotation Setup'!$G$25,0)</f>
        <v>0</v>
      </c>
      <c r="AO12" s="174">
        <f>IF('Farm and Rotation Setup'!$D$26="Hard Red Winter Wheat",'Farm and Rotation Setup'!$G$26,0)</f>
        <v>0</v>
      </c>
      <c r="AP12" s="377">
        <f>IF('Farm and Rotation Setup'!$D$27="Hard Red Winter Wheat",'Farm and Rotation Setup'!$G$27,0)</f>
        <v>0</v>
      </c>
    </row>
    <row r="13" spans="1:42" ht="20">
      <c r="A13" s="9"/>
      <c r="B13" s="10" t="str">
        <f>'Prices_Yields&amp;SeedInputs'!B20</f>
        <v>Spring Barley</v>
      </c>
      <c r="C13" s="258">
        <v>1</v>
      </c>
      <c r="D13" s="258">
        <v>0.67</v>
      </c>
      <c r="E13" s="258">
        <v>0.67</v>
      </c>
      <c r="F13" s="258">
        <v>1</v>
      </c>
      <c r="G13" s="258">
        <v>1</v>
      </c>
      <c r="H13" s="258">
        <v>1</v>
      </c>
      <c r="I13" s="258">
        <v>1</v>
      </c>
      <c r="J13" s="258">
        <v>1</v>
      </c>
      <c r="K13" s="258"/>
      <c r="L13" s="258"/>
      <c r="M13" s="481" cm="1">
        <f t="array" ref="M13">(SpringBarley!F$8*C13)+(SUM(SpringBarley!F$9:F$14*D13))+(SUM(SpringBarley!F$21:F$61)*E13)+(SUM(SpringBarley!F$63:F$70)*J13)+(SpringBarley!J$116*F13)+(SpringBarley!J$117*G13)+(SpringBarley!J$118*H13)+(SpringBarley!F$135*I13)</f>
        <v>181.64589072569029</v>
      </c>
      <c r="N13" s="482">
        <f>((C$31*C$32)+C$30)+(SpringBarley!F$8*(1-C13))+(SUM(SpringBarley!F$9:F$14)*(1-D13))+(SUM(SpringBarley!F$21:F$61)*(1-E13))+((SUM(SpringBarley!F$63:F$70)*(1-J13))+(SpringBarley!J$116)*(1-F13))+(SpringBarley!J$117*(1-G13))+(SpringBarley!J$118*(1-H13))+(SpringBarley!F$135*(1-I13))</f>
        <v>95.263970499999999</v>
      </c>
      <c r="O13" s="481">
        <f>(SpringBarley!F$8*C13)+(SUM(SpringBarley!F$9:F$14)*D13)+(SUM(SpringBarley!F$21:F$61)*E13)+((SUM(SpringBarley!F$63:F$70)*J13)+((SpringBarley!F$72+SpringBarley!F$75+SpringBarley!F$78+SpringBarley!F$81+SpringBarley!F$84+SpringBarley!F$87+SpringBarley!F$90+SpringBarley!F$93+SpringBarley!F$96+SpringBarley!F$99+SpringBarley!F$102+SpringBarley!F$105+SpringBarley!F$108+SpringBarley!F$111)*F13))+((SpringBarley!F$73+SpringBarley!F$76+SpringBarley!F$79+SpringBarley!F$82+SpringBarley!F$85+SpringBarley!F$88+SpringBarley!F$91+SpringBarley!F$94+SpringBarley!F$97+SpringBarley!F$100+SpringBarley!F$103+SpringBarley!F$106+SpringBarley!F$109+SpringBarley!F$112)*G13)+(SpringBarley!H$114*H13)+(SpringBarley!H$135*I13)</f>
        <v>235.71138137330496</v>
      </c>
      <c r="P13" s="482">
        <f>((C$31*C$32)+C$30)+((SpringBarley!F$8*(1-C13))+(SUM(SpringBarley!F$9:F$14)*(1-D13)+(SUM(SpringBarley!F$21:F$61)*(1-E13))+((SUM(SpringBarley!F$63:F$70)*(1-J13))+((SpringBarley!F$72+SpringBarley!F$75+SpringBarley!F$78+SpringBarley!F$81+SpringBarley!F$84+SpringBarley!F$87+SpringBarley!F$90+SpringBarley!F$93+SpringBarley!F$96+SpringBarley!F$99+SpringBarley!F$102+SpringBarley!F$105+SpringBarley!F$108+SpringBarley!F$111)*(1-F13))+((SpringBarley!F$73+SpringBarley!F$76+SpringBarley!F$79+SpringBarley!F$82+SpringBarley!F$85+SpringBarley!F$88+SpringBarley!F$91+SpringBarley!F$94+SpringBarley!F$97+SpringBarley!F$100+SpringBarley!F$103+SpringBarley!F$106+SpringBarley!F$109+SpringBarley!F$112)*(1-G13))+(SpringBarley!H$114*(1-H13))+(SpringBarley!H$135*(1-I13)))))</f>
        <v>95.263970499999999</v>
      </c>
      <c r="Q13" s="481">
        <f>(SpringBarley!F$8*C13)+(SUM(SpringBarley!F$9:F$14)*D13)+(SUM(SpringBarley!F$21:F$61)*E13)+((SUM(SpringBarley!F$63:F$70)*J13)+((SpringBarley!F$72+SpringBarley!F$75+SpringBarley!F$78+SpringBarley!F$81+SpringBarley!F$84+SpringBarley!F$87+SpringBarley!F$90+SpringBarley!F$93+SpringBarley!F$96+SpringBarley!F$99+SpringBarley!F$102+SpringBarley!F$105+SpringBarley!F$108+SpringBarley!F$111)*F13))+((SpringBarley!F$73+SpringBarley!F$76+SpringBarley!F$79+SpringBarley!F$82+SpringBarley!F$85+SpringBarley!F$88+SpringBarley!F$91+SpringBarley!F$94+SpringBarley!F$97+SpringBarley!F$100+SpringBarley!F$103+SpringBarley!F$106+SpringBarley!F$109+SpringBarley!F$112)*G13)+(SpringBarley!I$114*H13)+(SpringBarley!I$135*I13)</f>
        <v>233.10175564541598</v>
      </c>
      <c r="R13" s="482">
        <f>((C$31*C$32)+C$30)+(SpringBarley!F$8*(1-C13))+(SUM(SpringBarley!F$9:F$14)*(1-D13))+(SUM(SpringBarley!F$21:F$61)*(1-E13))+((SUM(SpringBarley!F$63:F$70)*(1-J13))+((SpringBarley!F$72+SpringBarley!F$75+SpringBarley!F$78+SpringBarley!F$81+SpringBarley!F$84+SpringBarley!F$87+SpringBarley!F$90+SpringBarley!F$93+SpringBarley!F$96+SpringBarley!F$99+SpringBarley!F$102+SpringBarley!F$105+SpringBarley!F$108+SpringBarley!F$111)*(1-F13)))+((SpringBarley!F$73+SpringBarley!F$76+SpringBarley!F$79+SpringBarley!F$82+SpringBarley!F$85+SpringBarley!F$88+SpringBarley!F$91+SpringBarley!F$94+SpringBarley!F$97+SpringBarley!F$100+SpringBarley!F$103+SpringBarley!F$106+SpringBarley!F$109+SpringBarley!F$112)*(1-G13))+(SpringBarley!I$114*(1-H13))+(SpringBarley!I$135*(1-I13))</f>
        <v>95.263970499999999</v>
      </c>
      <c r="S13" s="3">
        <v>326.26</v>
      </c>
      <c r="T13" s="368">
        <f t="shared" si="5"/>
        <v>276.90986122569029</v>
      </c>
      <c r="U13" s="368">
        <f t="shared" si="6"/>
        <v>49.350138774309698</v>
      </c>
      <c r="V13" s="368"/>
      <c r="W13" s="379" t="str">
        <f>'Prices_Yields&amp;SeedInputs'!B20</f>
        <v>Spring Barley</v>
      </c>
      <c r="X13" s="379"/>
      <c r="Y13" s="380">
        <f t="shared" si="2"/>
        <v>0</v>
      </c>
      <c r="Z13" s="5">
        <f t="shared" si="3"/>
        <v>0</v>
      </c>
      <c r="AA13" s="381">
        <f t="shared" si="4"/>
        <v>0</v>
      </c>
      <c r="AB13" s="174">
        <f>IF('Farm and Rotation Setup'!$D$5="Spring Barley",'Farm and Rotation Setup'!$G$5,0)</f>
        <v>0</v>
      </c>
      <c r="AC13" s="174">
        <f>IF('Farm and Rotation Setup'!$D$6="Spring Barley",'Farm and Rotation Setup'!$G$6,0)</f>
        <v>0</v>
      </c>
      <c r="AD13" s="174">
        <f>IF('Farm and Rotation Setup'!$D$7="Spring Barley",'Farm and Rotation Setup'!$G$7,0)</f>
        <v>0</v>
      </c>
      <c r="AE13" s="174">
        <f>IF('Farm and Rotation Setup'!$D$8="Spring Barley",'Farm and Rotation Setup'!$G$8,0)</f>
        <v>0</v>
      </c>
      <c r="AF13" s="377">
        <f>IF('Farm and Rotation Setup'!$D$9="Spring Barley",'Farm and Rotation Setup'!$G$9,0)</f>
        <v>0</v>
      </c>
      <c r="AG13" s="174">
        <f>IF('Farm and Rotation Setup'!$D$14="Spring Barley",'Farm and Rotation Setup'!$G$14,0)</f>
        <v>0</v>
      </c>
      <c r="AH13" s="174">
        <f>IF('Farm and Rotation Setup'!$D$15="Spring Barley",'Farm and Rotation Setup'!$G$15,0)</f>
        <v>0</v>
      </c>
      <c r="AI13" s="174">
        <f>IF('Farm and Rotation Setup'!$D$16="Spring Barley",'Farm and Rotation Setup'!$G$16,0)</f>
        <v>0</v>
      </c>
      <c r="AJ13" s="174">
        <f>IF('Farm and Rotation Setup'!$D$17="Spring Barley",'Farm and Rotation Setup'!$G$17,0)</f>
        <v>0</v>
      </c>
      <c r="AK13" s="377">
        <f>IF('Farm and Rotation Setup'!$D$18="Spring Barley",'Farm and Rotation Setup'!$G$18,0)</f>
        <v>0</v>
      </c>
      <c r="AL13" s="174">
        <f>IF('Farm and Rotation Setup'!$D$23="Spring Barley",'Farm and Rotation Setup'!$G$23,0)</f>
        <v>0</v>
      </c>
      <c r="AM13" s="174">
        <f>IF('Farm and Rotation Setup'!$D$24="Spring Barley",'Farm and Rotation Setup'!$G$24,0)</f>
        <v>0</v>
      </c>
      <c r="AN13" s="174">
        <f>IF('Farm and Rotation Setup'!$D$25="Spring Barley",'Farm and Rotation Setup'!$G$25,0)</f>
        <v>0</v>
      </c>
      <c r="AO13" s="174">
        <f>IF('Farm and Rotation Setup'!$D$26="Spring Barley",'Farm and Rotation Setup'!$G$26,0)</f>
        <v>0</v>
      </c>
      <c r="AP13" s="377">
        <f>IF('Farm and Rotation Setup'!$D$27="Spring Barley",'Farm and Rotation Setup'!$G$27,0)</f>
        <v>0</v>
      </c>
    </row>
    <row r="14" spans="1:42" ht="20">
      <c r="A14" s="9"/>
      <c r="B14" s="10" t="str">
        <f>'Prices_Yields&amp;SeedInputs'!B18</f>
        <v>Chem-Fallow</v>
      </c>
      <c r="C14" s="258">
        <v>1</v>
      </c>
      <c r="D14" s="258">
        <v>0.67</v>
      </c>
      <c r="E14" s="258">
        <v>0.67</v>
      </c>
      <c r="F14" s="258">
        <v>1</v>
      </c>
      <c r="G14" s="258">
        <v>1</v>
      </c>
      <c r="H14" s="258">
        <v>1</v>
      </c>
      <c r="I14" s="258">
        <v>1</v>
      </c>
      <c r="J14" s="258">
        <v>1</v>
      </c>
      <c r="K14" s="258"/>
      <c r="L14" s="258"/>
      <c r="M14" s="481" cm="1">
        <f t="array" ref="M14">('Chem-Fallow'!F$8*C14)+(SUM('Chem-Fallow'!F$9:F$14*D14))+(SUM('Chem-Fallow'!F$21:F$61)*E14)+(SUM('Chem-Fallow'!F$63:F$70)*J14)+('Chem-Fallow'!J$116*F14)+('Chem-Fallow'!J$117*G14)+('Chem-Fallow'!J$118*H14)+('Chem-Fallow'!F$135*I14)</f>
        <v>5.9323741402226924</v>
      </c>
      <c r="N14" s="482">
        <f>((C$31*C$32)+C$30)+('Chem-Fallow'!F$8*(1-C14))+(SUM('Chem-Fallow'!F$9:F$14)*(1-D14))+(SUM('Chem-Fallow'!F$21:F$61)*(1-E14))+((SUM('Chem-Fallow'!F$63:F$70)*(1-J14))+('Chem-Fallow'!J$116)*(1-F14))+('Chem-Fallow'!J$117*(1-G14))+('Chem-Fallow'!J$118*(1-H14))+('Chem-Fallow'!F$135*(1-I14))</f>
        <v>66.657309999999995</v>
      </c>
      <c r="O14" s="481">
        <f>('Chem-Fallow'!F$8*C14)+(SUM('Chem-Fallow'!F$9:F$14)*D14)+(SUM('Chem-Fallow'!F$21:F$61)*E14)+((SUM('Chem-Fallow'!F$63:F$70)*J14)+(('Chem-Fallow'!F$72+'Chem-Fallow'!F$75+'Chem-Fallow'!F$78+'Chem-Fallow'!F$81+'Chem-Fallow'!F$84+'Chem-Fallow'!F$87+'Chem-Fallow'!F$90+'Chem-Fallow'!F$93+'Chem-Fallow'!F$96+'Chem-Fallow'!F$99+'Chem-Fallow'!F$102+'Chem-Fallow'!F$105+'Chem-Fallow'!F$108+'Chem-Fallow'!F$111)*F14))+(('Chem-Fallow'!F$73+'Chem-Fallow'!F$76+'Chem-Fallow'!F$79+'Chem-Fallow'!F$82+'Chem-Fallow'!F$85+'Chem-Fallow'!F$88+'Chem-Fallow'!F$91+'Chem-Fallow'!F$94+'Chem-Fallow'!F$97+'Chem-Fallow'!F$100+'Chem-Fallow'!F$103+'Chem-Fallow'!F$106+'Chem-Fallow'!F$109+'Chem-Fallow'!F$112)*G14)+('Chem-Fallow'!H$114*H14)+('Chem-Fallow'!H$135*I14)</f>
        <v>8.2126850383814975</v>
      </c>
      <c r="P14" s="482">
        <f>((C$31*C$32)+C$30)+(('Chem-Fallow'!F$8*(1-C14))+(SUM('Chem-Fallow'!F$9:F$14)*(1-D14)+(SUM('Chem-Fallow'!F$21:F$61)*(1-E14))+((SUM('Chem-Fallow'!F$63:F$70)*(1-J14))+(('Chem-Fallow'!F$72+'Chem-Fallow'!F$75+'Chem-Fallow'!F$78+'Chem-Fallow'!F$81+'Chem-Fallow'!F$84+'Chem-Fallow'!F$87+'Chem-Fallow'!F$90+'Chem-Fallow'!F$93+'Chem-Fallow'!F$96+'Chem-Fallow'!F$99+'Chem-Fallow'!F$102+'Chem-Fallow'!F$105+'Chem-Fallow'!F$108+'Chem-Fallow'!F$111)*(1-F14))+(('Chem-Fallow'!F$73+'Chem-Fallow'!F$76+'Chem-Fallow'!F$79+'Chem-Fallow'!F$82+'Chem-Fallow'!F$85+'Chem-Fallow'!F$88+'Chem-Fallow'!F$91+'Chem-Fallow'!F$94+'Chem-Fallow'!F$97+'Chem-Fallow'!F$100+'Chem-Fallow'!F$103+'Chem-Fallow'!F$106+'Chem-Fallow'!F$109+'Chem-Fallow'!F$112)*(1-G14))+('Chem-Fallow'!H$114*(1-H14))+('Chem-Fallow'!H$135*(1-I14)))))</f>
        <v>66.657309999999995</v>
      </c>
      <c r="Q14" s="481">
        <f>('Chem-Fallow'!F$8*C14)+(SUM('Chem-Fallow'!F$9:F$14)*D14)+(SUM('Chem-Fallow'!F$21:F$61)*E14)+((SUM('Chem-Fallow'!F$63:F$70)*J14)+(('Chem-Fallow'!F$72+'Chem-Fallow'!F$75+'Chem-Fallow'!F$78+'Chem-Fallow'!F$81+'Chem-Fallow'!F$84+'Chem-Fallow'!F$87+'Chem-Fallow'!F$90+'Chem-Fallow'!F$93+'Chem-Fallow'!F$96+'Chem-Fallow'!F$99+'Chem-Fallow'!F$102+'Chem-Fallow'!F$105+'Chem-Fallow'!F$108+'Chem-Fallow'!F$111)*F14))+(('Chem-Fallow'!F$73+'Chem-Fallow'!F$76+'Chem-Fallow'!F$79+'Chem-Fallow'!F$82+'Chem-Fallow'!F$85+'Chem-Fallow'!F$88+'Chem-Fallow'!F$91+'Chem-Fallow'!F$94+'Chem-Fallow'!F$97+'Chem-Fallow'!F$100+'Chem-Fallow'!F$103+'Chem-Fallow'!F$106+'Chem-Fallow'!F$109+'Chem-Fallow'!F$112)*G14)+('Chem-Fallow'!I$114*H14)+('Chem-Fallow'!I$135*I14)</f>
        <v>8.1610889655301264</v>
      </c>
      <c r="R14" s="482">
        <f>((C$31*C$32)+C$30)+('Chem-Fallow'!F$8*(1-C14))+(SUM('Chem-Fallow'!F$9:F$14)*(1-D14))+(SUM('Chem-Fallow'!F$21:F$61)*(1-E14))+((SUM('Chem-Fallow'!F$63:F$70)*(1-J14))+(('Chem-Fallow'!F$72+'Chem-Fallow'!F$75+'Chem-Fallow'!F$78+'Chem-Fallow'!F$81+'Chem-Fallow'!F$84+'Chem-Fallow'!F$87+'Chem-Fallow'!F$90+'Chem-Fallow'!F$93+'Chem-Fallow'!F$96+'Chem-Fallow'!F$99+'Chem-Fallow'!F$102+'Chem-Fallow'!F$105+'Chem-Fallow'!F$108+'Chem-Fallow'!F$111)*(1-F14)))+(('Chem-Fallow'!F$73+'Chem-Fallow'!F$76+'Chem-Fallow'!F$79+'Chem-Fallow'!F$82+'Chem-Fallow'!F$85+'Chem-Fallow'!F$88+'Chem-Fallow'!F$91+'Chem-Fallow'!F$94+'Chem-Fallow'!F$97+'Chem-Fallow'!F$100+'Chem-Fallow'!F$103+'Chem-Fallow'!F$106+'Chem-Fallow'!F$109+'Chem-Fallow'!F$112)*(1-G14))+('Chem-Fallow'!I$114*(1-H14))+('Chem-Fallow'!I$135*(1-I14))</f>
        <v>66.657309999999995</v>
      </c>
      <c r="S14" s="3">
        <v>327.26</v>
      </c>
      <c r="T14" s="368">
        <f t="shared" si="5"/>
        <v>72.589684140222687</v>
      </c>
      <c r="U14" s="368">
        <f t="shared" si="6"/>
        <v>254.6703158597773</v>
      </c>
      <c r="V14" s="368"/>
      <c r="W14" s="379" t="str">
        <f>'Prices_Yields&amp;SeedInputs'!B18</f>
        <v>Chem-Fallow</v>
      </c>
      <c r="X14" s="379"/>
      <c r="Y14" s="380">
        <f t="shared" si="2"/>
        <v>0</v>
      </c>
      <c r="Z14" s="5">
        <f t="shared" si="3"/>
        <v>0</v>
      </c>
      <c r="AA14" s="381">
        <f t="shared" si="4"/>
        <v>0</v>
      </c>
      <c r="AB14" s="174">
        <f>IF('Farm and Rotation Setup'!$D$5="Chem-Fallow",'Farm and Rotation Setup'!$G$5,0)</f>
        <v>0</v>
      </c>
      <c r="AC14" s="174">
        <f>IF('Farm and Rotation Setup'!$D$6="Chem-Fallow",'Farm and Rotation Setup'!$G$6,0)</f>
        <v>0</v>
      </c>
      <c r="AD14" s="174">
        <f>IF('Farm and Rotation Setup'!$D$7="Chem-Fallow",'Farm and Rotation Setup'!$G$7,0)</f>
        <v>0</v>
      </c>
      <c r="AE14" s="174">
        <f>IF('Farm and Rotation Setup'!$D$8="Chem-Fallow",'Farm and Rotation Setup'!$G$8,0)</f>
        <v>0</v>
      </c>
      <c r="AF14" s="377">
        <f>IF('Farm and Rotation Setup'!$D$9="Chem-Fallow",'Farm and Rotation Setup'!$G$9,0)</f>
        <v>0</v>
      </c>
      <c r="AG14" s="174">
        <f>IF('Farm and Rotation Setup'!$D$14="Chem-Fallow",'Farm and Rotation Setup'!$G$14,0)</f>
        <v>0</v>
      </c>
      <c r="AH14" s="174">
        <f>IF('Farm and Rotation Setup'!$D$15="Chem-Fallow",'Farm and Rotation Setup'!$G$15,0)</f>
        <v>0</v>
      </c>
      <c r="AI14" s="174">
        <f>IF('Farm and Rotation Setup'!$D$16="Chem-Fallow",'Farm and Rotation Setup'!$G$16,0)</f>
        <v>0</v>
      </c>
      <c r="AJ14" s="174">
        <f>IF('Farm and Rotation Setup'!$D$17="Chem-Fallow",'Farm and Rotation Setup'!$G$17,0)</f>
        <v>0</v>
      </c>
      <c r="AK14" s="377">
        <f>IF('Farm and Rotation Setup'!$D$18="Chem-Fallow",'Farm and Rotation Setup'!$G$18,0)</f>
        <v>0</v>
      </c>
      <c r="AL14" s="174">
        <f>IF('Farm and Rotation Setup'!$D$23="Chem-Fallow",'Farm and Rotation Setup'!$G$23,0)</f>
        <v>0</v>
      </c>
      <c r="AM14" s="174">
        <f>IF('Farm and Rotation Setup'!$D$24="Chem-Fallow",'Farm and Rotation Setup'!$G$24,0)</f>
        <v>0</v>
      </c>
      <c r="AN14" s="174">
        <f>IF('Farm and Rotation Setup'!$D$25="Chem-Fallow",'Farm and Rotation Setup'!$G$25,0)</f>
        <v>0</v>
      </c>
      <c r="AO14" s="174">
        <f>IF('Farm and Rotation Setup'!$D$26="Chem-Fallow",'Farm and Rotation Setup'!$G$26,0)</f>
        <v>0</v>
      </c>
      <c r="AP14" s="377">
        <f>IF('Farm and Rotation Setup'!$D$27="Chem-Fallow",'Farm and Rotation Setup'!$G$27,0)</f>
        <v>0</v>
      </c>
    </row>
    <row r="15" spans="1:42" ht="20">
      <c r="A15" s="9"/>
      <c r="B15" s="10" t="str">
        <f>'Prices_Yields&amp;SeedInputs'!B19</f>
        <v>Flex-Fallow</v>
      </c>
      <c r="C15" s="258">
        <v>1</v>
      </c>
      <c r="D15" s="258">
        <v>0.67</v>
      </c>
      <c r="E15" s="258">
        <v>0.67</v>
      </c>
      <c r="F15" s="258">
        <v>1</v>
      </c>
      <c r="G15" s="258">
        <v>1</v>
      </c>
      <c r="H15" s="258">
        <v>1</v>
      </c>
      <c r="I15" s="258">
        <v>1</v>
      </c>
      <c r="J15" s="258">
        <v>1</v>
      </c>
      <c r="K15" s="258"/>
      <c r="L15" s="258"/>
      <c r="M15" s="481" cm="1">
        <f t="array" ref="M15">('Flex-Fallow'!F$8*C15)+(SUM('Flex-Fallow'!F$9:F$14*D15))+(SUM('Flex-Fallow'!F$21:F$61)*E15)+(SUM('Flex-Fallow'!F$63:F$70)*J15)+('Flex-Fallow'!J$116*F15)+('Flex-Fallow'!J$117*G15)+('Flex-Fallow'!J$118*H15)+('Flex-Fallow'!F$135*I15)</f>
        <v>5.9323741402226924</v>
      </c>
      <c r="N15" s="482">
        <f>((C$31*C$32)+C$30)+('Flex-Fallow'!F$8*(1-C15))+(SUM('Flex-Fallow'!F$9:F$14)*(1-D15))+(SUM('Flex-Fallow'!F$21:F$61)*(1-E15))+((SUM('Flex-Fallow'!F$63:F$70)*(1-J15))+('Flex-Fallow'!J$116)*(1-F15))+('Flex-Fallow'!J$117*(1-G15))+('Flex-Fallow'!J$118*(1-H15))+('Flex-Fallow'!F$135*(1-I15))</f>
        <v>66.657309999999995</v>
      </c>
      <c r="O15" s="481">
        <f>('Flex-Fallow'!F$8*C15)+(SUM('Flex-Fallow'!F$9:F$14)*D15)+(SUM('Flex-Fallow'!F$21:F$61)*E15)+((SUM('Flex-Fallow'!F$63:F$70)*J15)+(('Flex-Fallow'!F$72+'Flex-Fallow'!F$75+'Flex-Fallow'!F$78+'Flex-Fallow'!F$81+'Flex-Fallow'!F$84+'Flex-Fallow'!F$87+'Flex-Fallow'!F$90+'Flex-Fallow'!F$93+'Flex-Fallow'!F$96+'Flex-Fallow'!F$99+'Flex-Fallow'!F$102+'Flex-Fallow'!F$105+'Flex-Fallow'!F$108+'Flex-Fallow'!F$111)*F15))+(('Flex-Fallow'!F$73+'Flex-Fallow'!F$76+'Flex-Fallow'!F$79+'Flex-Fallow'!F$82+'Flex-Fallow'!F$85+'Flex-Fallow'!F$88+'Flex-Fallow'!F$91+'Flex-Fallow'!F$94+'Flex-Fallow'!F$97+'Flex-Fallow'!F$100+'Flex-Fallow'!F$103+'Flex-Fallow'!F$106+'Flex-Fallow'!F$109+'Flex-Fallow'!F$112)*G15)+('Flex-Fallow'!H$114*H15)+('Flex-Fallow'!H$135*I15)</f>
        <v>8.2126850383814975</v>
      </c>
      <c r="P15" s="482">
        <f>((C$31*C$32)+C$30)+(('Flex-Fallow'!F$8*(1-C15))+(SUM('Flex-Fallow'!F$9:F$14)*(1-D15)+(SUM('Flex-Fallow'!F$21:F$61)*(1-E15))+((SUM('Flex-Fallow'!F$63:F$70)*(1-J15))+(('Flex-Fallow'!F$72+'Flex-Fallow'!F$75+'Flex-Fallow'!F$78+'Flex-Fallow'!F$81+'Flex-Fallow'!F$84+'Flex-Fallow'!F$87+'Flex-Fallow'!F$90+'Flex-Fallow'!F$93+'Flex-Fallow'!F$96+'Flex-Fallow'!F$99+'Flex-Fallow'!F$102+'Flex-Fallow'!F$105+'Flex-Fallow'!F$108+'Flex-Fallow'!F$111)*(1-F15))+(('Flex-Fallow'!F$73+'Flex-Fallow'!F$76+'Flex-Fallow'!F$79+'Flex-Fallow'!F$82+'Flex-Fallow'!F$85+'Flex-Fallow'!F$88+'Flex-Fallow'!F$91+'Flex-Fallow'!F$94+'Flex-Fallow'!F$97+'Flex-Fallow'!F$100+'Flex-Fallow'!F$103+'Flex-Fallow'!F$106+'Flex-Fallow'!F$109+'Flex-Fallow'!F$112)*(1-G15))+('Flex-Fallow'!H$114*(1-H15))+('Flex-Fallow'!H$135*(1-I15)))))</f>
        <v>66.657309999999995</v>
      </c>
      <c r="Q15" s="481">
        <f>('Flex-Fallow'!F$8*C15)+(SUM('Flex-Fallow'!F$9:F$14)*D15)+(SUM('Flex-Fallow'!F$21:F$61)*E15)+((SUM('Flex-Fallow'!F$63:F$70)*J15)+(('Flex-Fallow'!F$72+'Flex-Fallow'!F$75+'Flex-Fallow'!F$78+'Flex-Fallow'!F$81+'Flex-Fallow'!F$84+'Flex-Fallow'!F$87+'Flex-Fallow'!F$90+'Flex-Fallow'!F$93+'Flex-Fallow'!F$96+'Flex-Fallow'!F$99+'Flex-Fallow'!F$102+'Flex-Fallow'!F$105+'Flex-Fallow'!F$108+'Flex-Fallow'!F$111)*F15))+(('Flex-Fallow'!F$73+'Flex-Fallow'!F$76+'Flex-Fallow'!F$79+'Flex-Fallow'!F$82+'Flex-Fallow'!F$85+'Flex-Fallow'!F$88+'Flex-Fallow'!F$91+'Flex-Fallow'!F$94+'Flex-Fallow'!F$97+'Flex-Fallow'!F$100+'Flex-Fallow'!F$103+'Flex-Fallow'!F$106+'Flex-Fallow'!F$109+'Flex-Fallow'!F$112)*G15)+('Flex-Fallow'!I$114*H15)+('Flex-Fallow'!I$135*I15)</f>
        <v>8.1610889655301264</v>
      </c>
      <c r="R15" s="482">
        <f>((C$31*C$32)+C$30)+('Flex-Fallow'!F$8*(1-C15))+(SUM('Flex-Fallow'!F$9:F$14)*(1-D15))+(SUM('Flex-Fallow'!F$21:F$61)*(1-E15))+((SUM('Flex-Fallow'!F$63:F$70)*(1-J15))+(('Flex-Fallow'!F$72+'Flex-Fallow'!F$75+'Flex-Fallow'!F$78+'Flex-Fallow'!F$81+'Flex-Fallow'!F$84+'Flex-Fallow'!F$87+'Flex-Fallow'!F$90+'Flex-Fallow'!F$93+'Flex-Fallow'!F$96+'Flex-Fallow'!F$99+'Flex-Fallow'!F$102+'Flex-Fallow'!F$105+'Flex-Fallow'!F$108+'Flex-Fallow'!F$111)*(1-F15)))+(('Flex-Fallow'!F$73+'Flex-Fallow'!F$76+'Flex-Fallow'!F$79+'Flex-Fallow'!F$82+'Flex-Fallow'!F$85+'Flex-Fallow'!F$88+'Flex-Fallow'!F$91+'Flex-Fallow'!F$94+'Flex-Fallow'!F$97+'Flex-Fallow'!F$100+'Flex-Fallow'!F$103+'Flex-Fallow'!F$106+'Flex-Fallow'!F$109+'Flex-Fallow'!F$112)*(1-G15))+('Flex-Fallow'!I$114*(1-H15))+('Flex-Fallow'!I$135*(1-I15))</f>
        <v>66.657309999999995</v>
      </c>
      <c r="S15" s="3">
        <v>328.26</v>
      </c>
      <c r="T15" s="368">
        <f t="shared" ref="T15" si="9">M15+N15</f>
        <v>72.589684140222687</v>
      </c>
      <c r="U15" s="368">
        <f t="shared" ref="U15" si="10">S15-T15</f>
        <v>255.6703158597773</v>
      </c>
      <c r="V15" s="368"/>
      <c r="W15" s="379" t="str">
        <f>'Prices_Yields&amp;SeedInputs'!B19</f>
        <v>Flex-Fallow</v>
      </c>
      <c r="X15" s="379"/>
      <c r="Y15" s="380">
        <f t="shared" si="2"/>
        <v>0</v>
      </c>
      <c r="Z15" s="5">
        <f t="shared" si="3"/>
        <v>0</v>
      </c>
      <c r="AA15" s="381">
        <f t="shared" si="4"/>
        <v>0</v>
      </c>
      <c r="AB15" s="174">
        <f>IF('Farm and Rotation Setup'!$D$5="Flex-Fallow",'Farm and Rotation Setup'!$G$5,0)</f>
        <v>0</v>
      </c>
      <c r="AC15" s="174">
        <f>IF('Farm and Rotation Setup'!$D$6="Flex-Fallow",'Farm and Rotation Setup'!$G$6,0)</f>
        <v>0</v>
      </c>
      <c r="AD15" s="174">
        <f>IF('Farm and Rotation Setup'!$D$7="Flex-Fallow",'Farm and Rotation Setup'!$G$7,0)</f>
        <v>0</v>
      </c>
      <c r="AE15" s="174">
        <f>IF('Farm and Rotation Setup'!$D$8="Flex-Fallow",'Farm and Rotation Setup'!$G$8,0)</f>
        <v>0</v>
      </c>
      <c r="AF15" s="377">
        <f>IF('Farm and Rotation Setup'!$D$9="Flex-Fallow",'Farm and Rotation Setup'!$G$9,0)</f>
        <v>0</v>
      </c>
      <c r="AG15" s="174">
        <f>IF('Farm and Rotation Setup'!$D$14="Flex-Fallow",'Farm and Rotation Setup'!$G$14,0)</f>
        <v>0</v>
      </c>
      <c r="AH15" s="174">
        <f>IF('Farm and Rotation Setup'!$D$15="Flex-Fallow",'Farm and Rotation Setup'!$G$15,0)</f>
        <v>0</v>
      </c>
      <c r="AI15" s="174">
        <f>IF('Farm and Rotation Setup'!$D$16="Flex-Fallow",'Farm and Rotation Setup'!$G$16,0)</f>
        <v>0</v>
      </c>
      <c r="AJ15" s="174">
        <f>IF('Farm and Rotation Setup'!$D$17="Flex-Fallow",'Farm and Rotation Setup'!$G$17,0)</f>
        <v>0</v>
      </c>
      <c r="AK15" s="377">
        <f>IF('Farm and Rotation Setup'!$D$18="Flex-Fallow",'Farm and Rotation Setup'!$G$18,0)</f>
        <v>0</v>
      </c>
      <c r="AL15" s="174">
        <f>IF('Farm and Rotation Setup'!$D$23="Flex-Fallow",'Farm and Rotation Setup'!$G$23,0)</f>
        <v>0</v>
      </c>
      <c r="AM15" s="174">
        <f>IF('Farm and Rotation Setup'!$D$24="Flex-Fallow",'Farm and Rotation Setup'!$G$24,0)</f>
        <v>0</v>
      </c>
      <c r="AN15" s="174">
        <f>IF('Farm and Rotation Setup'!$D$25="Flex-Fallow",'Farm and Rotation Setup'!$G$25,0)</f>
        <v>0</v>
      </c>
      <c r="AO15" s="174">
        <f>IF('Farm and Rotation Setup'!$D$26="Flex-Fallow",'Farm and Rotation Setup'!$G$26,0)</f>
        <v>0</v>
      </c>
      <c r="AP15" s="377">
        <f>IF('Farm and Rotation Setup'!$D$27="Flex-Fallow",'Farm and Rotation Setup'!$G$27,0)</f>
        <v>0</v>
      </c>
    </row>
    <row r="16" spans="1:42" ht="20">
      <c r="A16" s="9"/>
      <c r="B16" s="10" t="str">
        <f>'Prices_Yields&amp;SeedInputs'!B10</f>
        <v>Chickpea after Forage Crop</v>
      </c>
      <c r="C16" s="258">
        <v>1</v>
      </c>
      <c r="D16" s="258">
        <v>0.67</v>
      </c>
      <c r="E16" s="258">
        <v>0.67</v>
      </c>
      <c r="F16" s="258">
        <v>1</v>
      </c>
      <c r="G16" s="258">
        <v>1</v>
      </c>
      <c r="H16" s="258">
        <v>1</v>
      </c>
      <c r="I16" s="258">
        <v>1</v>
      </c>
      <c r="J16" s="258">
        <v>1</v>
      </c>
      <c r="K16" s="258"/>
      <c r="L16" s="258"/>
      <c r="M16" s="481" cm="1">
        <f t="array" ref="M16">(ChickpeaAfterForageCrop!F$8*C16)+(SUM(ChickpeaAfterForageCrop!F$9:F$14*D16))+(SUM(ChickpeaAfterForageCrop!F$21:F$61)*E16)+(SUM(ChickpeaAfterForageCrop!F$63:F$70)*J16)+(ChickpeaAfterForageCrop!J$116*F16)+(ChickpeaAfterForageCrop!J$117*G16)+(ChickpeaAfterForageCrop!J$118*H16)+(ChickpeaAfterForageCrop!F$135*I16)</f>
        <v>189.48715208546756</v>
      </c>
      <c r="N16" s="482">
        <f>((C$31*C$32)+C$30)+(ChickpeaAfterForageCrop!F$8*(1-C16))+(SUM(ChickpeaAfterForageCrop!F$9:F$14)*(1-D16))+(SUM(ChickpeaAfterForageCrop!F$21:F$61)*(1-E16))+((SUM(ChickpeaAfterForageCrop!F$63:F$70)*(1-J16))+(ChickpeaAfterForageCrop!J$116)*(1-F16))+(ChickpeaAfterForageCrop!J$117*(1-G16))+(ChickpeaAfterForageCrop!J$118*(1-H16))+(ChickpeaAfterForageCrop!F$135*(1-I16))</f>
        <v>75.943674999999985</v>
      </c>
      <c r="O16" s="481">
        <f>(ChickpeaAfterForageCrop!F$8*C16)+(SUM(ChickpeaAfterForageCrop!F$9:F$14)*D16)+(SUM(ChickpeaAfterForageCrop!F$21:F$61)*E16)+((SUM(ChickpeaAfterForageCrop!F$63:F$70)*J16)+((ChickpeaAfterForageCrop!F$72+ChickpeaAfterForageCrop!F$75+ChickpeaAfterForageCrop!F$78+ChickpeaAfterForageCrop!F$81+ChickpeaAfterForageCrop!F$84+ChickpeaAfterForageCrop!F$87+ChickpeaAfterForageCrop!F$90+ChickpeaAfterForageCrop!F$93+ChickpeaAfterForageCrop!F$96+ChickpeaAfterForageCrop!F$99+ChickpeaAfterForageCrop!F$102+ChickpeaAfterForageCrop!F$105+ChickpeaAfterForageCrop!F$108+ChickpeaAfterForageCrop!F$111)*F16))+((ChickpeaAfterForageCrop!F$73+ChickpeaAfterForageCrop!F$76+ChickpeaAfterForageCrop!F$79+ChickpeaAfterForageCrop!F$82+ChickpeaAfterForageCrop!F$85+ChickpeaAfterForageCrop!F$88+ChickpeaAfterForageCrop!F$91+ChickpeaAfterForageCrop!F$94+ChickpeaAfterForageCrop!F$97+ChickpeaAfterForageCrop!F$100+ChickpeaAfterForageCrop!F$103+ChickpeaAfterForageCrop!F$106+ChickpeaAfterForageCrop!F$109+ChickpeaAfterForageCrop!F$112)*G16)+(ChickpeaAfterForageCrop!H$114*H16)+(ChickpeaAfterForageCrop!H$135*I16)</f>
        <v>241.27233183492345</v>
      </c>
      <c r="P16" s="482">
        <f>((C$31*C$32)+C$30)+((ChickpeaAfterForageCrop!F$8*(1-C16))+(SUM(ChickpeaAfterForageCrop!F$9:F$14)*(1-D16)+(SUM(ChickpeaAfterForageCrop!F$21:F$61)*(1-E16))+((SUM(ChickpeaAfterForageCrop!F$63:F$70)*(1-J16))+((ChickpeaAfterForageCrop!F$72+ChickpeaAfterForageCrop!F$75+ChickpeaAfterForageCrop!F$78+ChickpeaAfterForageCrop!F$81+ChickpeaAfterForageCrop!F$84+ChickpeaAfterForageCrop!F$87+ChickpeaAfterForageCrop!F$90+ChickpeaAfterForageCrop!F$93+ChickpeaAfterForageCrop!F$96+ChickpeaAfterForageCrop!F$99+ChickpeaAfterForageCrop!F$102+ChickpeaAfterForageCrop!F$105+ChickpeaAfterForageCrop!F$108+ChickpeaAfterForageCrop!F$111)*(1-F16))+((ChickpeaAfterForageCrop!F$73+ChickpeaAfterForageCrop!F$76+ChickpeaAfterForageCrop!F$79+ChickpeaAfterForageCrop!F$82+ChickpeaAfterForageCrop!F$85+ChickpeaAfterForageCrop!F$88+ChickpeaAfterForageCrop!F$91+ChickpeaAfterForageCrop!F$94+ChickpeaAfterForageCrop!F$97+ChickpeaAfterForageCrop!F$100+ChickpeaAfterForageCrop!F$103+ChickpeaAfterForageCrop!F$106+ChickpeaAfterForageCrop!F$109+ChickpeaAfterForageCrop!F$112)*(1-G16))+(ChickpeaAfterForageCrop!H$114*(1-H16))+(ChickpeaAfterForageCrop!H$135*(1-I16)))))</f>
        <v>75.943674999999999</v>
      </c>
      <c r="Q16" s="481">
        <f>(ChickpeaAfterForageCrop!F$8*C16)+(SUM(ChickpeaAfterForageCrop!F$9:F$14)*D16)+(SUM(ChickpeaAfterForageCrop!F$21:F$61)*E16)+((SUM(ChickpeaAfterForageCrop!F$63:F$70)*J16)+((ChickpeaAfterForageCrop!F$72+ChickpeaAfterForageCrop!F$75+ChickpeaAfterForageCrop!F$78+ChickpeaAfterForageCrop!F$81+ChickpeaAfterForageCrop!F$84+ChickpeaAfterForageCrop!F$87+ChickpeaAfterForageCrop!F$90+ChickpeaAfterForageCrop!F$93+ChickpeaAfterForageCrop!F$96+ChickpeaAfterForageCrop!F$99+ChickpeaAfterForageCrop!F$102+ChickpeaAfterForageCrop!F$105+ChickpeaAfterForageCrop!F$108+ChickpeaAfterForageCrop!F$111)*F16))+((ChickpeaAfterForageCrop!F$73+ChickpeaAfterForageCrop!F$76+ChickpeaAfterForageCrop!F$79+ChickpeaAfterForageCrop!F$82+ChickpeaAfterForageCrop!F$85+ChickpeaAfterForageCrop!F$88+ChickpeaAfterForageCrop!F$91+ChickpeaAfterForageCrop!F$94+ChickpeaAfterForageCrop!F$97+ChickpeaAfterForageCrop!F$100+ChickpeaAfterForageCrop!F$103+ChickpeaAfterForageCrop!F$106+ChickpeaAfterForageCrop!F$109+ChickpeaAfterForageCrop!F$112)*G16)+(ChickpeaAfterForageCrop!I$114*H16)+(ChickpeaAfterForageCrop!I$135*I16)</f>
        <v>238.71430217988581</v>
      </c>
      <c r="R16" s="482">
        <f>((C$31*C$32)+C$30)+(ChickpeaAfterForageCrop!F$8*(1-C16))+(SUM(ChickpeaAfterForageCrop!F$9:F$14)*(1-D16))+(SUM(ChickpeaAfterForageCrop!F$21:F$61)*(1-E16))+((SUM(ChickpeaAfterForageCrop!F$63:F$70)*(1-J16))+((ChickpeaAfterForageCrop!F$72+ChickpeaAfterForageCrop!F$75+ChickpeaAfterForageCrop!F$78+ChickpeaAfterForageCrop!F$81+ChickpeaAfterForageCrop!F$84+ChickpeaAfterForageCrop!F$87+ChickpeaAfterForageCrop!F$90+ChickpeaAfterForageCrop!F$93+ChickpeaAfterForageCrop!F$96+ChickpeaAfterForageCrop!F$99+ChickpeaAfterForageCrop!F$102+ChickpeaAfterForageCrop!F$105+ChickpeaAfterForageCrop!F$108+ChickpeaAfterForageCrop!F$111)*(1-F16)))+((ChickpeaAfterForageCrop!F$73+ChickpeaAfterForageCrop!F$76+ChickpeaAfterForageCrop!F$79+ChickpeaAfterForageCrop!F$82+ChickpeaAfterForageCrop!F$85+ChickpeaAfterForageCrop!F$88+ChickpeaAfterForageCrop!F$91+ChickpeaAfterForageCrop!F$94+ChickpeaAfterForageCrop!F$97+ChickpeaAfterForageCrop!F$100+ChickpeaAfterForageCrop!F$103+ChickpeaAfterForageCrop!F$106+ChickpeaAfterForageCrop!F$109+ChickpeaAfterForageCrop!F$112)*(1-G16))+(ChickpeaAfterForageCrop!I$114*(1-H16))+(ChickpeaAfterForageCrop!I$135*(1-I16))</f>
        <v>75.943674999999985</v>
      </c>
      <c r="S16" s="3">
        <v>328.26</v>
      </c>
      <c r="T16" s="368">
        <f t="shared" si="5"/>
        <v>265.43082708546751</v>
      </c>
      <c r="U16" s="368">
        <f t="shared" si="6"/>
        <v>62.829172914532478</v>
      </c>
      <c r="V16" s="368"/>
      <c r="W16" s="379" t="str">
        <f>'Prices_Yields&amp;SeedInputs'!B10</f>
        <v>Chickpea after Forage Crop</v>
      </c>
      <c r="X16" s="379"/>
      <c r="Y16" s="380">
        <f t="shared" si="2"/>
        <v>0</v>
      </c>
      <c r="Z16" s="5">
        <f t="shared" si="3"/>
        <v>250</v>
      </c>
      <c r="AA16" s="381">
        <f t="shared" si="4"/>
        <v>0</v>
      </c>
      <c r="AB16" s="174">
        <f>IF('Farm and Rotation Setup'!$D$5="Winter Pea",'Farm and Rotation Setup'!$G$5,0)</f>
        <v>0</v>
      </c>
      <c r="AC16" s="174">
        <f>IF('Farm and Rotation Setup'!$D$6="Winter Pea",'Farm and Rotation Setup'!$G$6,0)</f>
        <v>0</v>
      </c>
      <c r="AD16" s="174">
        <f>IF('Farm and Rotation Setup'!$D$7="Winter Pea",'Farm and Rotation Setup'!$G$7,0)</f>
        <v>0</v>
      </c>
      <c r="AE16" s="174">
        <f>IF('Farm and Rotation Setup'!$D$8="Winter Pea",'Farm and Rotation Setup'!$G$8,0)</f>
        <v>0</v>
      </c>
      <c r="AF16" s="377">
        <f>IF('Farm and Rotation Setup'!$D$9="Winter Pea",'Farm and Rotation Setup'!$G$9,0)</f>
        <v>0</v>
      </c>
      <c r="AG16" s="174">
        <f>IF('Farm and Rotation Setup'!$D$14="Winter Pea",'Farm and Rotation Setup'!$G$14,0)</f>
        <v>0</v>
      </c>
      <c r="AH16" s="174">
        <f>IF('Farm and Rotation Setup'!$D$15="Winter Pea",'Farm and Rotation Setup'!$G$15,0)</f>
        <v>0</v>
      </c>
      <c r="AI16" s="174">
        <f>IF('Farm and Rotation Setup'!$D$16="Winter Pea",'Farm and Rotation Setup'!$G$16,0)</f>
        <v>250</v>
      </c>
      <c r="AJ16" s="174">
        <f>IF('Farm and Rotation Setup'!$D$17="Winter Pea",'Farm and Rotation Setup'!$G$17,0)</f>
        <v>0</v>
      </c>
      <c r="AK16" s="377">
        <f>IF('Farm and Rotation Setup'!$D$18="Winter Pea",'Farm and Rotation Setup'!$G$18,0)</f>
        <v>0</v>
      </c>
      <c r="AL16" s="174">
        <f>IF('Farm and Rotation Setup'!$D$23="Winter Pea",'Farm and Rotation Setup'!$G$23,0)</f>
        <v>0</v>
      </c>
      <c r="AM16" s="174">
        <f>IF('Farm and Rotation Setup'!$D$24="Winter Pea",'Farm and Rotation Setup'!$G$24,0)</f>
        <v>0</v>
      </c>
      <c r="AN16" s="174">
        <f>IF('Farm and Rotation Setup'!$D$25="Winter Pea",'Farm and Rotation Setup'!$G$25,0)</f>
        <v>0</v>
      </c>
      <c r="AO16" s="174">
        <f>IF('Farm and Rotation Setup'!$D$26="Winter Pea",'Farm and Rotation Setup'!$G$26,0)</f>
        <v>0</v>
      </c>
      <c r="AP16" s="377">
        <f>IF('Farm and Rotation Setup'!$D$27="Winter Pea",'Farm and Rotation Setup'!$G$27,0)</f>
        <v>0</v>
      </c>
    </row>
    <row r="17" spans="1:42" ht="20">
      <c r="A17" s="9"/>
      <c r="B17" s="10" t="str">
        <f>'Prices_Yields&amp;SeedInputs'!B26</f>
        <v>Winter Pea</v>
      </c>
      <c r="C17" s="258">
        <v>1</v>
      </c>
      <c r="D17" s="258">
        <v>0.67</v>
      </c>
      <c r="E17" s="258">
        <v>0.67</v>
      </c>
      <c r="F17" s="258">
        <v>1</v>
      </c>
      <c r="G17" s="258">
        <v>1</v>
      </c>
      <c r="H17" s="258">
        <v>1</v>
      </c>
      <c r="I17" s="258">
        <v>1</v>
      </c>
      <c r="J17" s="258">
        <v>1</v>
      </c>
      <c r="K17" s="258"/>
      <c r="L17" s="258"/>
      <c r="M17" s="481" cm="1">
        <f t="array" ref="M17">(WinterPea!F$8*C17)+(SUM(WinterPea!F$9:F$14*D17))+(SUM(WinterPea!F$21:F$61)*E17)+(SUM(WinterPea!F$63:F$70)*J17)+(WinterPea!J$116*F17)+(WinterPea!J$117*G17)+(WinterPea!J$118*H17)+(WinterPea!F$135*I17)</f>
        <v>188.58715208546755</v>
      </c>
      <c r="N17" s="482">
        <f>((C$31*C$32)+C$30)+(WinterPea!F$8*(1-C17))+(SUM(WinterPea!F$9:F$14)*(1-D17))+(SUM(WinterPea!F$21:F$61)*(1-E17))+((SUM(WinterPea!F$63:F$70)*(1-J17))+(WinterPea!J$116)*(1-F17))+(WinterPea!J$117*(1-G17))+(WinterPea!J$118*(1-H17))+(WinterPea!F$135*(1-I17))</f>
        <v>75.943674999999985</v>
      </c>
      <c r="O17" s="481">
        <f>(WinterPea!F$8*C17)+(SUM(WinterPea!F$9:F$14)*D17)+(SUM(WinterPea!F$21:F$61)*E17)+((SUM(WinterPea!F$63:F$70)*J17)+((WinterPea!F$72+WinterPea!F$75+WinterPea!F$78+WinterPea!F$81+WinterPea!F$84+WinterPea!F$87+WinterPea!F$90+WinterPea!F$93+WinterPea!F$96+WinterPea!F$99+WinterPea!F$102+WinterPea!F$105+WinterPea!F$108+WinterPea!F$111)*F17))+((WinterPea!F$73+WinterPea!F$76+WinterPea!F$79+WinterPea!F$82+WinterPea!F$85+WinterPea!F$88+WinterPea!F$91+WinterPea!F$94+WinterPea!F$97+WinterPea!F$100+WinterPea!F$103+WinterPea!F$106+WinterPea!F$109+WinterPea!F$112)*G17)+(WinterPea!H$114*H17)+(WinterPea!H$135*I17)</f>
        <v>240.37233183492344</v>
      </c>
      <c r="P17" s="482">
        <f>((C$31*C$32)+C$30)+((WinterPea!F$8*(1-C17))+(SUM(WinterPea!F$9:F$14)*(1-D17)+(SUM(WinterPea!F$21:F$61)*(1-E17))+((SUM(WinterPea!F$63:F$70)*(1-J17))+((WinterPea!F$72+WinterPea!F$75+WinterPea!F$78+WinterPea!F$81+WinterPea!F$84+WinterPea!F$87+WinterPea!F$90+WinterPea!F$93+WinterPea!F$96+WinterPea!F$99+WinterPea!F$102+WinterPea!F$105+WinterPea!F$108+WinterPea!F$111)*(1-F17))+((WinterPea!F$73+WinterPea!F$76+WinterPea!F$79+WinterPea!F$82+WinterPea!F$85+WinterPea!F$88+WinterPea!F$91+WinterPea!F$94+WinterPea!F$97+WinterPea!F$100+WinterPea!F$103+WinterPea!F$106+WinterPea!F$109+WinterPea!F$112)*(1-G17))+(WinterPea!H$114*(1-H17))+(WinterPea!H$135*(1-I17)))))</f>
        <v>75.943674999999999</v>
      </c>
      <c r="Q17" s="481">
        <f>(WinterPea!F$8*C17)+(SUM(WinterPea!F$9:F$14)*D17)+(SUM(WinterPea!F$21:F$61)*E17)+((SUM(WinterPea!F$63:F$70)*J17)+((WinterPea!F$72+WinterPea!F$75+WinterPea!F$78+WinterPea!F$81+WinterPea!F$84+WinterPea!F$87+WinterPea!F$90+WinterPea!F$93+WinterPea!F$96+WinterPea!F$99+WinterPea!F$102+WinterPea!F$105+WinterPea!F$108+WinterPea!F$111)*F17))+((WinterPea!F$73+WinterPea!F$76+WinterPea!F$79+WinterPea!F$82+WinterPea!F$85+WinterPea!F$88+WinterPea!F$91+WinterPea!F$94+WinterPea!F$97+WinterPea!F$100+WinterPea!F$103+WinterPea!F$106+WinterPea!F$109+WinterPea!F$112)*G17)+(WinterPea!I$114*H17)+(WinterPea!I$135*I17)</f>
        <v>237.81430217988583</v>
      </c>
      <c r="R17" s="482">
        <f>((C$31*C$32)+C$30)+(WinterPea!F$8*(1-C17))+(SUM(WinterPea!F$9:F$14)*(1-D17))+(SUM(WinterPea!F$21:F$61)*(1-E17))+((SUM(WinterPea!F$63:F$70)*(1-J17))+((WinterPea!F$72+WinterPea!F$75+WinterPea!F$78+WinterPea!F$81+WinterPea!F$84+WinterPea!F$87+WinterPea!F$90+WinterPea!F$93+WinterPea!F$96+WinterPea!F$99+WinterPea!F$102+WinterPea!F$105+WinterPea!F$108+WinterPea!F$111)*(1-F17)))+((WinterPea!F$73+WinterPea!F$76+WinterPea!F$79+WinterPea!F$82+WinterPea!F$85+WinterPea!F$88+WinterPea!F$91+WinterPea!F$94+WinterPea!F$97+WinterPea!F$100+WinterPea!F$103+WinterPea!F$106+WinterPea!F$109+WinterPea!F$112)*(1-G17))+(WinterPea!I$114*(1-H17))+(WinterPea!I$135*(1-I17))</f>
        <v>75.943674999999985</v>
      </c>
      <c r="S17" s="3">
        <v>329.26</v>
      </c>
      <c r="T17" s="368">
        <f t="shared" ref="T17:T18" si="11">M17+N17</f>
        <v>264.53082708546754</v>
      </c>
      <c r="U17" s="368">
        <f t="shared" ref="U17:U18" si="12">S17-T17</f>
        <v>64.729172914532455</v>
      </c>
      <c r="V17" s="368"/>
      <c r="W17" s="379" t="str">
        <f>'Prices_Yields&amp;SeedInputs'!B26</f>
        <v>Winter Pea</v>
      </c>
      <c r="X17" s="379"/>
      <c r="Y17" s="380">
        <f t="shared" si="2"/>
        <v>0</v>
      </c>
      <c r="Z17" s="5">
        <f t="shared" si="3"/>
        <v>0</v>
      </c>
      <c r="AA17" s="381">
        <f t="shared" si="4"/>
        <v>0</v>
      </c>
      <c r="AB17" s="174">
        <f>IF('Farm and Rotation Setup'!$D$5="Winter Pea after Fallow",'Farm and Rotation Setup'!$G$5,0)</f>
        <v>0</v>
      </c>
      <c r="AC17" s="174">
        <f>IF('Farm and Rotation Setup'!$D$6="Winter Pea after Fallow",'Farm and Rotation Setup'!$G$6,0)</f>
        <v>0</v>
      </c>
      <c r="AD17" s="174">
        <f>IF('Farm and Rotation Setup'!$D$7="Winter Pea after Fallow",'Farm and Rotation Setup'!$G$7,0)</f>
        <v>0</v>
      </c>
      <c r="AE17" s="174">
        <f>IF('Farm and Rotation Setup'!$D$8="Winter Pea after Fallow",'Farm and Rotation Setup'!$G$8,0)</f>
        <v>0</v>
      </c>
      <c r="AF17" s="377">
        <f>IF('Farm and Rotation Setup'!$D$9="Winter Pea after Fallow",'Farm and Rotation Setup'!$G$9,0)</f>
        <v>0</v>
      </c>
      <c r="AG17" s="174">
        <f>IF('Farm and Rotation Setup'!$D$14="Winter Pea after Fallow",'Farm and Rotation Setup'!$G$14,0)</f>
        <v>0</v>
      </c>
      <c r="AH17" s="174">
        <f>IF('Farm and Rotation Setup'!$D$15="Winter Pea after Fallow",'Farm and Rotation Setup'!$G$15,0)</f>
        <v>0</v>
      </c>
      <c r="AI17" s="174">
        <f>IF('Farm and Rotation Setup'!$D$16="Winter Pea after Fallow",'Farm and Rotation Setup'!$G$16,0)</f>
        <v>0</v>
      </c>
      <c r="AJ17" s="174">
        <f>IF('Farm and Rotation Setup'!$D$17="Winter Pea after Fallow",'Farm and Rotation Setup'!$G$17,0)</f>
        <v>0</v>
      </c>
      <c r="AK17" s="377">
        <f>IF('Farm and Rotation Setup'!$D$18="Winter Pea after Fallow",'Farm and Rotation Setup'!$G$18,0)</f>
        <v>0</v>
      </c>
      <c r="AL17" s="174">
        <f>IF('Farm and Rotation Setup'!$D$23="Winter Pea after Fallow",'Farm and Rotation Setup'!$G$23,0)</f>
        <v>0</v>
      </c>
      <c r="AM17" s="174">
        <f>IF('Farm and Rotation Setup'!$D$24="Winter Pea after Fallow",'Farm and Rotation Setup'!$G$24,0)</f>
        <v>0</v>
      </c>
      <c r="AN17" s="174">
        <f>IF('Farm and Rotation Setup'!$D$25="Winter Pea after Fallow",'Farm and Rotation Setup'!$G$25,0)</f>
        <v>0</v>
      </c>
      <c r="AO17" s="174">
        <f>IF('Farm and Rotation Setup'!$D$26="Winter Pea after Fallow",'Farm and Rotation Setup'!$G$26,0)</f>
        <v>0</v>
      </c>
      <c r="AP17" s="377">
        <f>IF('Farm and Rotation Setup'!$D$27="Winter Pea after Fallow",'Farm and Rotation Setup'!$G$27,0)</f>
        <v>0</v>
      </c>
    </row>
    <row r="18" spans="1:42" ht="20">
      <c r="A18" s="9"/>
      <c r="B18" s="10" t="str">
        <f>'Prices_Yields&amp;SeedInputs'!B12</f>
        <v>Spring Pea after Cereal</v>
      </c>
      <c r="C18" s="258">
        <v>1</v>
      </c>
      <c r="D18" s="258">
        <v>0.67</v>
      </c>
      <c r="E18" s="258">
        <v>0.67</v>
      </c>
      <c r="F18" s="258">
        <v>1</v>
      </c>
      <c r="G18" s="258">
        <v>1</v>
      </c>
      <c r="H18" s="258">
        <v>1</v>
      </c>
      <c r="I18" s="258">
        <v>1</v>
      </c>
      <c r="J18" s="258">
        <v>1</v>
      </c>
      <c r="K18" s="258"/>
      <c r="L18" s="258"/>
      <c r="M18" s="481" cm="1">
        <f t="array" ref="M18">(SpringPeaAfterCereal!F$8*C18)+(SUM(SpringPeaAfterCereal!F$9:F$14*D18))+(SUM(SpringPeaAfterCereal!F$21:F$61)*E18)+(SUM(SpringPeaAfterCereal!F$63:F$70)*J18)+(SpringPeaAfterCereal!J$116*F18)+(SpringPeaAfterCereal!J$117*G18)+(SpringPeaAfterCereal!J$118*H18)+(SpringPeaAfterCereal!F$135*I18)</f>
        <v>195.93464008546758</v>
      </c>
      <c r="N18" s="482">
        <f>((C$31*C$32)+C$30)+(SpringPeaAfterCereal!F$8*(1-C18))+(SUM(SpringPeaAfterCereal!F$9:F$14)*(1-D18))+(SUM(SpringPeaAfterCereal!F$21:F$61)*(1-E18))+((SUM(SpringPeaAfterCereal!F$63:F$70)*(1-J18))+(SpringPeaAfterCereal!J$116)*(1-F18))+(SpringPeaAfterCereal!J$117*(1-G18))+(SpringPeaAfterCereal!J$118*(1-H18))+(SpringPeaAfterCereal!F$135*(1-I18))</f>
        <v>79.562586999999994</v>
      </c>
      <c r="O18" s="481">
        <f>(SpringPeaAfterCereal!F$8*C18)+(SUM(SpringPeaAfterCereal!F$9:F$14)*D18)+(SUM(SpringPeaAfterCereal!F$21:F$61)*E18)+((SUM(SpringPeaAfterCereal!F$63:F$70)*J18)+((SpringPeaAfterCereal!F$72+SpringPeaAfterCereal!F$75+SpringPeaAfterCereal!F$78+SpringPeaAfterCereal!F$81+SpringPeaAfterCereal!F$84+SpringPeaAfterCereal!F$87+SpringPeaAfterCereal!F$90+SpringPeaAfterCereal!F$93+SpringPeaAfterCereal!F$96+SpringPeaAfterCereal!F$99+SpringPeaAfterCereal!F$102+SpringPeaAfterCereal!F$105+SpringPeaAfterCereal!F$108+SpringPeaAfterCereal!F$111)*F18))+((SpringPeaAfterCereal!F$73+SpringPeaAfterCereal!F$76+SpringPeaAfterCereal!F$79+SpringPeaAfterCereal!F$82+SpringPeaAfterCereal!F$85+SpringPeaAfterCereal!F$88+SpringPeaAfterCereal!F$91+SpringPeaAfterCereal!F$94+SpringPeaAfterCereal!F$97+SpringPeaAfterCereal!F$100+SpringPeaAfterCereal!F$103+SpringPeaAfterCereal!F$106+SpringPeaAfterCereal!F$109+SpringPeaAfterCereal!F$112)*G18)+(SpringPeaAfterCereal!H$114*H18)+(SpringPeaAfterCereal!H$135*I18)</f>
        <v>247.71981983492347</v>
      </c>
      <c r="P18" s="482">
        <f>((C$31*C$32)+C$30)+((SpringPeaAfterCereal!F$8*(1-C18))+(SUM(SpringPeaAfterCereal!F$9:F$14)*(1-D18)+(SUM(SpringPeaAfterCereal!F$21:F$61)*(1-E18))+((SUM(SpringPeaAfterCereal!F$63:F$70)*(1-J18))+((SpringPeaAfterCereal!F$72+SpringPeaAfterCereal!F$75+SpringPeaAfterCereal!F$78+SpringPeaAfterCereal!F$81+SpringPeaAfterCereal!F$84+SpringPeaAfterCereal!F$87+SpringPeaAfterCereal!F$90+SpringPeaAfterCereal!F$93+SpringPeaAfterCereal!F$96+SpringPeaAfterCereal!F$99+SpringPeaAfterCereal!F$102+SpringPeaAfterCereal!F$105+SpringPeaAfterCereal!F$108+SpringPeaAfterCereal!F$111)*(1-F18))+((SpringPeaAfterCereal!F$73+SpringPeaAfterCereal!F$76+SpringPeaAfterCereal!F$79+SpringPeaAfterCereal!F$82+SpringPeaAfterCereal!F$85+SpringPeaAfterCereal!F$88+SpringPeaAfterCereal!F$91+SpringPeaAfterCereal!F$94+SpringPeaAfterCereal!F$97+SpringPeaAfterCereal!F$100+SpringPeaAfterCereal!F$103+SpringPeaAfterCereal!F$106+SpringPeaAfterCereal!F$109+SpringPeaAfterCereal!F$112)*(1-G18))+(SpringPeaAfterCereal!H$114*(1-H18))+(SpringPeaAfterCereal!H$135*(1-I18)))))</f>
        <v>79.562587000000008</v>
      </c>
      <c r="Q18" s="481">
        <f>(SpringPeaAfterCereal!F$8*C18)+(SUM(SpringPeaAfterCereal!F$9:F$14)*D18)+(SUM(SpringPeaAfterCereal!F$21:F$61)*E18)+((SUM(SpringPeaAfterCereal!F$63:F$70)*J18)+((SpringPeaAfterCereal!F$72+SpringPeaAfterCereal!F$75+SpringPeaAfterCereal!F$78+SpringPeaAfterCereal!F$81+SpringPeaAfterCereal!F$84+SpringPeaAfterCereal!F$87+SpringPeaAfterCereal!F$90+SpringPeaAfterCereal!F$93+SpringPeaAfterCereal!F$96+SpringPeaAfterCereal!F$99+SpringPeaAfterCereal!F$102+SpringPeaAfterCereal!F$105+SpringPeaAfterCereal!F$108+SpringPeaAfterCereal!F$111)*F18))+((SpringPeaAfterCereal!F$73+SpringPeaAfterCereal!F$76+SpringPeaAfterCereal!F$79+SpringPeaAfterCereal!F$82+SpringPeaAfterCereal!F$85+SpringPeaAfterCereal!F$88+SpringPeaAfterCereal!F$91+SpringPeaAfterCereal!F$94+SpringPeaAfterCereal!F$97+SpringPeaAfterCereal!F$100+SpringPeaAfterCereal!F$103+SpringPeaAfterCereal!F$106+SpringPeaAfterCereal!F$109+SpringPeaAfterCereal!F$112)*G18)+(SpringPeaAfterCereal!I$114*H18)+(SpringPeaAfterCereal!I$135*I18)</f>
        <v>245.16179017988583</v>
      </c>
      <c r="R18" s="482">
        <f>((C$31*C$32)+C$30)+(SpringPeaAfterCereal!F$8*(1-C18))+(SUM(SpringPeaAfterCereal!F$9:F$14)*(1-D18))+(SUM(SpringPeaAfterCereal!F$21:F$61)*(1-E18))+((SUM(SpringPeaAfterCereal!F$63:F$70)*(1-J18))+((SpringPeaAfterCereal!F$72+SpringPeaAfterCereal!F$75+SpringPeaAfterCereal!F$78+SpringPeaAfterCereal!F$81+SpringPeaAfterCereal!F$84+SpringPeaAfterCereal!F$87+SpringPeaAfterCereal!F$90+SpringPeaAfterCereal!F$93+SpringPeaAfterCereal!F$96+SpringPeaAfterCereal!F$99+SpringPeaAfterCereal!F$102+SpringPeaAfterCereal!F$105+SpringPeaAfterCereal!F$108+SpringPeaAfterCereal!F$111)*(1-F18)))+((SpringPeaAfterCereal!F$73+SpringPeaAfterCereal!F$76+SpringPeaAfterCereal!F$79+SpringPeaAfterCereal!F$82+SpringPeaAfterCereal!F$85+SpringPeaAfterCereal!F$88+SpringPeaAfterCereal!F$91+SpringPeaAfterCereal!F$94+SpringPeaAfterCereal!F$97+SpringPeaAfterCereal!F$100+SpringPeaAfterCereal!F$103+SpringPeaAfterCereal!F$106+SpringPeaAfterCereal!F$109+SpringPeaAfterCereal!F$112)*(1-G18))+(SpringPeaAfterCereal!I$114*(1-H18))+(SpringPeaAfterCereal!I$135*(1-I18))</f>
        <v>79.562586999999994</v>
      </c>
      <c r="S18" s="3">
        <v>330.26</v>
      </c>
      <c r="T18" s="368">
        <f t="shared" si="11"/>
        <v>275.49722708546756</v>
      </c>
      <c r="U18" s="368">
        <f t="shared" si="12"/>
        <v>54.762772914532434</v>
      </c>
      <c r="V18" s="368"/>
      <c r="W18" s="379" t="str">
        <f>'Prices_Yields&amp;SeedInputs'!B12</f>
        <v>Spring Pea after Cereal</v>
      </c>
      <c r="X18" s="379"/>
      <c r="Y18" s="380">
        <f t="shared" si="2"/>
        <v>0</v>
      </c>
      <c r="Z18" s="5">
        <f t="shared" si="3"/>
        <v>0</v>
      </c>
      <c r="AA18" s="381">
        <f t="shared" si="4"/>
        <v>0</v>
      </c>
      <c r="AB18" s="174">
        <f>IF('Farm and Rotation Setup'!$D$5="Spring Pea",'Farm and Rotation Setup'!$G$5,0)</f>
        <v>0</v>
      </c>
      <c r="AC18" s="174">
        <f>IF('Farm and Rotation Setup'!$D$6="Spring Pea",'Farm and Rotation Setup'!$G$6,0)</f>
        <v>0</v>
      </c>
      <c r="AD18" s="174">
        <f>IF('Farm and Rotation Setup'!$D$7="Spring Pea",'Farm and Rotation Setup'!$G$7,0)</f>
        <v>0</v>
      </c>
      <c r="AE18" s="174">
        <f>IF('Farm and Rotation Setup'!$D$8="Spring Pea",'Farm and Rotation Setup'!$G$8,0)</f>
        <v>0</v>
      </c>
      <c r="AF18" s="377">
        <f>IF('Farm and Rotation Setup'!$D$9="Spring Pea",'Farm and Rotation Setup'!$G$9,0)</f>
        <v>0</v>
      </c>
      <c r="AG18" s="174">
        <f>IF('Farm and Rotation Setup'!$D$14="Spring Pea",'Farm and Rotation Setup'!$G$14,0)</f>
        <v>0</v>
      </c>
      <c r="AH18" s="174">
        <f>IF('Farm and Rotation Setup'!$D$15="Spring Pea",'Farm and Rotation Setup'!$G$15,0)</f>
        <v>0</v>
      </c>
      <c r="AI18" s="174">
        <f>IF('Farm and Rotation Setup'!$D$16="Spring Pea",'Farm and Rotation Setup'!$G$16,0)</f>
        <v>0</v>
      </c>
      <c r="AJ18" s="174">
        <f>IF('Farm and Rotation Setup'!$D$17="Spring Pea",'Farm and Rotation Setup'!$G$17,0)</f>
        <v>0</v>
      </c>
      <c r="AK18" s="377">
        <f>IF('Farm and Rotation Setup'!$D$18="Spring Pea",'Farm and Rotation Setup'!$G$18,0)</f>
        <v>0</v>
      </c>
      <c r="AL18" s="174">
        <f>IF('Farm and Rotation Setup'!$D$23="Spring Pea",'Farm and Rotation Setup'!$G$23,0)</f>
        <v>0</v>
      </c>
      <c r="AM18" s="174">
        <f>IF('Farm and Rotation Setup'!$D$24="Spring Pea",'Farm and Rotation Setup'!$G$24,0)</f>
        <v>0</v>
      </c>
      <c r="AN18" s="174">
        <f>IF('Farm and Rotation Setup'!$D$25="Spring Pea",'Farm and Rotation Setup'!$G$25,0)</f>
        <v>0</v>
      </c>
      <c r="AO18" s="174">
        <f>IF('Farm and Rotation Setup'!$D$26="Spring Pea",'Farm and Rotation Setup'!$G$26,0)</f>
        <v>0</v>
      </c>
      <c r="AP18" s="377">
        <f>IF('Farm and Rotation Setup'!$D$27="Spring Pea",'Farm and Rotation Setup'!$G$27,0)</f>
        <v>0</v>
      </c>
    </row>
    <row r="19" spans="1:42" ht="20">
      <c r="A19" s="9"/>
      <c r="B19" s="10" t="str">
        <f>'Prices_Yields&amp;SeedInputs'!B11</f>
        <v>Chickpea after Cereal</v>
      </c>
      <c r="C19" s="258">
        <v>1</v>
      </c>
      <c r="D19" s="258">
        <v>0.67</v>
      </c>
      <c r="E19" s="258">
        <v>0.67</v>
      </c>
      <c r="F19" s="258">
        <v>1</v>
      </c>
      <c r="G19" s="258">
        <v>1</v>
      </c>
      <c r="H19" s="258">
        <v>1</v>
      </c>
      <c r="I19" s="258">
        <v>1</v>
      </c>
      <c r="J19" s="258">
        <v>1</v>
      </c>
      <c r="K19" s="258"/>
      <c r="L19" s="258"/>
      <c r="M19" s="479" cm="1">
        <f t="array" ref="M19">(ChickpeaAfterCereal!F$8*C19)+(SUM(ChickpeaAfterCereal!F$9:F$14*D19))+(SUM(ChickpeaAfterCereal!F$21:F$61)*E19)+(SUM(ChickpeaAfterCereal!F$63:F$70)*J19)+(ChickpeaAfterCereal!J$116*F19)+(ChickpeaAfterCereal!J$117*G19)+(ChickpeaAfterCereal!J$118*H19)+(ChickpeaAfterCereal!F$135*I19)</f>
        <v>196.14165208546757</v>
      </c>
      <c r="N19" s="480">
        <f>((C$31*C$32)+C$30)+(ChickpeaAfterCereal!F$8*(1-C19))+(SUM(ChickpeaAfterCereal!F$9:F$14)*(1-D19))+(SUM(ChickpeaAfterCereal!F$21:F$61)*(1-E19))+((SUM(ChickpeaAfterCereal!F$63:F$70)*(1-J19))+(ChickpeaAfterCereal!J$116)*(1-F19))+(ChickpeaAfterCereal!J$117*(1-G19))+(ChickpeaAfterCereal!J$118*(1-H19))+(ChickpeaAfterCereal!F$135*(1-I19))</f>
        <v>79.689175000000006</v>
      </c>
      <c r="O19" s="479">
        <f>(ChickpeaAfterCereal!F$8*C19)+(SUM(ChickpeaAfterCereal!F$9:F$14)*D19)+(SUM(ChickpeaAfterCereal!F$21:F$61)*E19)+((SUM(ChickpeaAfterCereal!F$63:F$70)*J19)+((ChickpeaAfterCereal!F$72+ChickpeaAfterCereal!F$75+ChickpeaAfterCereal!F$78+ChickpeaAfterCereal!F$81+ChickpeaAfterCereal!F$84+ChickpeaAfterCereal!F$87+ChickpeaAfterCereal!F$90+ChickpeaAfterCereal!F$93+ChickpeaAfterCereal!F$96+ChickpeaAfterCereal!F$99+ChickpeaAfterCereal!F$102+ChickpeaAfterCereal!F$105+ChickpeaAfterCereal!F$108+ChickpeaAfterCereal!F$111)*F19))+((ChickpeaAfterCereal!F$73+ChickpeaAfterCereal!F$76+ChickpeaAfterCereal!F$79+ChickpeaAfterCereal!F$82+ChickpeaAfterCereal!F$85+ChickpeaAfterCereal!F$88+ChickpeaAfterCereal!F$91+ChickpeaAfterCereal!F$94+ChickpeaAfterCereal!F$97+ChickpeaAfterCereal!F$100+ChickpeaAfterCereal!F$103+ChickpeaAfterCereal!F$106+ChickpeaAfterCereal!F$109+ChickpeaAfterCereal!F$112)*G19)+(ChickpeaAfterCereal!H$114*H19)+(ChickpeaAfterCereal!H$135*I19)</f>
        <v>247.92683183492346</v>
      </c>
      <c r="P19" s="480">
        <f>((C$31*C$32)+C$30)+((ChickpeaAfterCereal!F$8*(1-C19))+(SUM(ChickpeaAfterCereal!F$9:F$14)*(1-D19)+(SUM(ChickpeaAfterCereal!F$21:F$61)*(1-E19))+((SUM(ChickpeaAfterCereal!F$63:F$70)*(1-J19))+((ChickpeaAfterCereal!F$72+ChickpeaAfterCereal!F$75+ChickpeaAfterCereal!F$78+ChickpeaAfterCereal!F$81+ChickpeaAfterCereal!F$84+ChickpeaAfterCereal!F$87+ChickpeaAfterCereal!F$90+ChickpeaAfterCereal!F$93+ChickpeaAfterCereal!F$96+ChickpeaAfterCereal!F$99+ChickpeaAfterCereal!F$102+ChickpeaAfterCereal!F$105+ChickpeaAfterCereal!F$108+ChickpeaAfterCereal!F$111)*(1-F19))+((ChickpeaAfterCereal!F$73+ChickpeaAfterCereal!F$76+ChickpeaAfterCereal!F$79+ChickpeaAfterCereal!F$82+ChickpeaAfterCereal!F$85+ChickpeaAfterCereal!F$88+ChickpeaAfterCereal!F$91+ChickpeaAfterCereal!F$94+ChickpeaAfterCereal!F$97+ChickpeaAfterCereal!F$100+ChickpeaAfterCereal!F$103+ChickpeaAfterCereal!F$106+ChickpeaAfterCereal!F$109+ChickpeaAfterCereal!F$112)*(1-G19))+(ChickpeaAfterCereal!H$114*(1-H19))+(ChickpeaAfterCereal!H$135*(1-I19)))))</f>
        <v>79.689174999999992</v>
      </c>
      <c r="Q19" s="479">
        <f>(ChickpeaAfterCereal!F$8*C19)+(SUM(ChickpeaAfterCereal!F$9:F$14)*D19)+(SUM(ChickpeaAfterCereal!F$21:F$61)*E19)+((SUM(ChickpeaAfterCereal!F$63:F$70)*J19)+((ChickpeaAfterCereal!F$72+ChickpeaAfterCereal!F$75+ChickpeaAfterCereal!F$78+ChickpeaAfterCereal!F$81+ChickpeaAfterCereal!F$84+ChickpeaAfterCereal!F$87+ChickpeaAfterCereal!F$90+ChickpeaAfterCereal!F$93+ChickpeaAfterCereal!F$96+ChickpeaAfterCereal!F$99+ChickpeaAfterCereal!F$102+ChickpeaAfterCereal!F$105+ChickpeaAfterCereal!F$108+ChickpeaAfterCereal!F$111)*F19))+((ChickpeaAfterCereal!F$73+ChickpeaAfterCereal!F$76+ChickpeaAfterCereal!F$79+ChickpeaAfterCereal!F$82+ChickpeaAfterCereal!F$85+ChickpeaAfterCereal!F$88+ChickpeaAfterCereal!F$91+ChickpeaAfterCereal!F$94+ChickpeaAfterCereal!F$97+ChickpeaAfterCereal!F$100+ChickpeaAfterCereal!F$103+ChickpeaAfterCereal!F$106+ChickpeaAfterCereal!F$109+ChickpeaAfterCereal!F$112)*G19)+(ChickpeaAfterCereal!I$114*H19)+(ChickpeaAfterCereal!I$135*I19)</f>
        <v>245.36880217988585</v>
      </c>
      <c r="R19" s="480">
        <f>((C$31*C$32)+C$30)+(ChickpeaAfterCereal!F$8*(1-C19))+(SUM(ChickpeaAfterCereal!F$9:F$14)*(1-D19))+(SUM(ChickpeaAfterCereal!F$21:F$61)*(1-E19))+((SUM(ChickpeaAfterCereal!F$63:F$70)*(1-J19))+((ChickpeaAfterCereal!F$72+ChickpeaAfterCereal!F$75+ChickpeaAfterCereal!F$78+ChickpeaAfterCereal!F$81+ChickpeaAfterCereal!F$84+ChickpeaAfterCereal!F$87+ChickpeaAfterCereal!F$90+ChickpeaAfterCereal!F$93+ChickpeaAfterCereal!F$96+ChickpeaAfterCereal!F$99+ChickpeaAfterCereal!F$102+ChickpeaAfterCereal!F$105+ChickpeaAfterCereal!F$108+ChickpeaAfterCereal!F$111)*(1-F19)))+((ChickpeaAfterCereal!F$73+ChickpeaAfterCereal!F$76+ChickpeaAfterCereal!F$79+ChickpeaAfterCereal!F$82+ChickpeaAfterCereal!F$85+ChickpeaAfterCereal!F$88+ChickpeaAfterCereal!F$91+ChickpeaAfterCereal!F$94+ChickpeaAfterCereal!F$97+ChickpeaAfterCereal!F$100+ChickpeaAfterCereal!F$103+ChickpeaAfterCereal!F$106+ChickpeaAfterCereal!F$109+ChickpeaAfterCereal!F$112)*(1-G19))+(ChickpeaAfterCereal!I$114*(1-H19))+(ChickpeaAfterCereal!I$135*(1-I19))</f>
        <v>79.689175000000006</v>
      </c>
      <c r="S19" s="1">
        <v>329.26</v>
      </c>
      <c r="T19" s="49">
        <f t="shared" si="5"/>
        <v>275.8308270854676</v>
      </c>
      <c r="U19" s="49">
        <f t="shared" si="6"/>
        <v>53.429172914532387</v>
      </c>
      <c r="V19" s="49"/>
      <c r="W19" s="379" t="str">
        <f>'Prices_Yields&amp;SeedInputs'!B11</f>
        <v>Chickpea after Cereal</v>
      </c>
      <c r="X19" s="379"/>
      <c r="Y19" s="380">
        <f t="shared" si="2"/>
        <v>0</v>
      </c>
      <c r="Z19" s="5">
        <f t="shared" si="3"/>
        <v>0</v>
      </c>
      <c r="AA19" s="381">
        <f t="shared" si="4"/>
        <v>0</v>
      </c>
      <c r="AB19" s="174">
        <f>IF('Farm and Rotation Setup'!$D$5="Spring Chickpea",'Farm and Rotation Setup'!$G$5,0)</f>
        <v>0</v>
      </c>
      <c r="AC19" s="174">
        <f>IF('Farm and Rotation Setup'!$D$6="Spring Chickpea",'Farm and Rotation Setup'!$G$6,0)</f>
        <v>0</v>
      </c>
      <c r="AD19" s="174">
        <f>IF('Farm and Rotation Setup'!$D$7="Spring Chickpea",'Farm and Rotation Setup'!$G$7,0)</f>
        <v>0</v>
      </c>
      <c r="AE19" s="174">
        <f>IF('Farm and Rotation Setup'!$D$8="Spring Chickpea",'Farm and Rotation Setup'!$G$8,0)</f>
        <v>0</v>
      </c>
      <c r="AF19" s="377">
        <f>IF('Farm and Rotation Setup'!$D$9="Spring Chickpea",'Farm and Rotation Setup'!$G$9,0)</f>
        <v>0</v>
      </c>
      <c r="AG19" s="174">
        <f>IF('Farm and Rotation Setup'!$D$14="Spring Chickpea",'Farm and Rotation Setup'!$G$14,0)</f>
        <v>0</v>
      </c>
      <c r="AH19" s="174">
        <f>IF('Farm and Rotation Setup'!$D$15="Spring Chickpea",'Farm and Rotation Setup'!$G$15,0)</f>
        <v>0</v>
      </c>
      <c r="AI19" s="174">
        <f>IF('Farm and Rotation Setup'!$D$16="Spring Chickpea",'Farm and Rotation Setup'!$G$16,0)</f>
        <v>0</v>
      </c>
      <c r="AJ19" s="174">
        <f>IF('Farm and Rotation Setup'!$D$17="Spring Chickpea",'Farm and Rotation Setup'!$G$17,0)</f>
        <v>0</v>
      </c>
      <c r="AK19" s="377">
        <f>IF('Farm and Rotation Setup'!$D$18="Spring Chickpea",'Farm and Rotation Setup'!$G$18,0)</f>
        <v>0</v>
      </c>
      <c r="AL19" s="174">
        <f>IF('Farm and Rotation Setup'!$D$23="Spring Chickpea",'Farm and Rotation Setup'!$G$23,0)</f>
        <v>0</v>
      </c>
      <c r="AM19" s="174">
        <f>IF('Farm and Rotation Setup'!$D$24="Spring Chickpea",'Farm and Rotation Setup'!$G$24,0)</f>
        <v>0</v>
      </c>
      <c r="AN19" s="174">
        <f>IF('Farm and Rotation Setup'!$D$25="Spring Chickpea",'Farm and Rotation Setup'!$G$25,0)</f>
        <v>0</v>
      </c>
      <c r="AO19" s="174">
        <f>IF('Farm and Rotation Setup'!$D$26="Spring Chickpea",'Farm and Rotation Setup'!$G$26,0)</f>
        <v>0</v>
      </c>
      <c r="AP19" s="377">
        <f>IF('Farm and Rotation Setup'!$D$27="Spring Chickpea",'Farm and Rotation Setup'!$G$27,0)</f>
        <v>0</v>
      </c>
    </row>
    <row r="20" spans="1:42" ht="20">
      <c r="A20" s="9"/>
      <c r="B20" s="10" t="str">
        <f>'Prices_Yields&amp;SeedInputs'!B23</f>
        <v>Spring Lentils</v>
      </c>
      <c r="C20" s="258">
        <v>1</v>
      </c>
      <c r="D20" s="258">
        <v>0.67</v>
      </c>
      <c r="E20" s="258">
        <v>0.67</v>
      </c>
      <c r="F20" s="258">
        <v>1</v>
      </c>
      <c r="G20" s="258">
        <v>1</v>
      </c>
      <c r="H20" s="258">
        <v>1</v>
      </c>
      <c r="I20" s="258">
        <v>1</v>
      </c>
      <c r="J20" s="258">
        <v>1</v>
      </c>
      <c r="K20" s="258"/>
      <c r="L20" s="258"/>
      <c r="M20" s="479" cm="1">
        <f t="array" ref="M20">(SpringLentils!F$8*C20)+(SUM(SpringLentils!F$9:F$14*D20))+(SUM(SpringLentils!F$21:F$61)*E20)+(SUM(SpringLentils!F$63:F$70)*J20)+(SpringLentils!J$116*F20)+(SpringLentils!J$117*G20)+(SpringLentils!J$118*H20)+(SpringLentils!F$135*I20)</f>
        <v>159.31092758546757</v>
      </c>
      <c r="N20" s="480">
        <f>((C$31*C$32)+C$30)+(SpringLentils!F$8*(1-C20))+(SUM(SpringLentils!F$9:F$14)*(1-D20))+(SUM(SpringLentils!F$21:F$61)*(1-E20))+((SUM(SpringLentils!F$63:F$70)*(1-J20))+(SpringLentils!J$116)*(1-F20))+(SpringLentils!J$117*(1-G20))+(SpringLentils!J$118*(1-H20))+(SpringLentils!F$135*(1-I20))</f>
        <v>86.372549500000005</v>
      </c>
      <c r="O20" s="479">
        <f>(SpringLentils!F$8*C20)+(SUM(SpringLentils!F$9:F$14)*D20)+(SUM(SpringLentils!F$21:F$61)*E20)+((SUM(SpringLentils!F$63:F$70)*J20)+((SpringLentils!F$72+SpringLentils!F$75+SpringLentils!F$78+SpringLentils!F$81+SpringLentils!F$84+SpringLentils!F$87+SpringLentils!F$90+SpringLentils!F$93+SpringLentils!F$96+SpringLentils!F$99+SpringLentils!F$102+SpringLentils!F$105+SpringLentils!F$108+SpringLentils!F$111)*F20))+((SpringLentils!F$73+SpringLentils!F$76+SpringLentils!F$79+SpringLentils!F$82+SpringLentils!F$85+SpringLentils!F$88+SpringLentils!F$91+SpringLentils!F$94+SpringLentils!F$97+SpringLentils!F$100+SpringLentils!F$103+SpringLentils!F$106+SpringLentils!F$109+SpringLentils!F$112)*G20)+(SpringLentils!H$114*H20)+(SpringLentils!H$135*I20)</f>
        <v>211.09610733492346</v>
      </c>
      <c r="P20" s="480">
        <f>((C$31*C$32)+C$30)+((SpringLentils!F$8*(1-C20))+(SUM(SpringLentils!F$9:F$14)*(1-D20)+(SUM(SpringLentils!F$21:F$61)*(1-E20))+((SUM(SpringLentils!F$63:F$70)*(1-J20))+((SpringLentils!F$72+SpringLentils!F$75+SpringLentils!F$78+SpringLentils!F$81+SpringLentils!F$84+SpringLentils!F$87+SpringLentils!F$90+SpringLentils!F$93+SpringLentils!F$96+SpringLentils!F$99+SpringLentils!F$102+SpringLentils!F$105+SpringLentils!F$108+SpringLentils!F$111)*(1-F20))+((SpringLentils!F$73+SpringLentils!F$76+SpringLentils!F$79+SpringLentils!F$82+SpringLentils!F$85+SpringLentils!F$88+SpringLentils!F$91+SpringLentils!F$94+SpringLentils!F$97+SpringLentils!F$100+SpringLentils!F$103+SpringLentils!F$106+SpringLentils!F$109+SpringLentils!F$112)*(1-G20))+(SpringLentils!H$114*(1-H20))+(SpringLentils!H$135*(1-I20)))))</f>
        <v>86.372549500000005</v>
      </c>
      <c r="Q20" s="479">
        <f>(SpringLentils!F$8*C20)+(SUM(SpringLentils!F$9:F$14)*D20)+(SUM(SpringLentils!F$21:F$61)*E20)+((SUM(SpringLentils!F$63:F$70)*J20)+((SpringLentils!F$72+SpringLentils!F$75+SpringLentils!F$78+SpringLentils!F$81+SpringLentils!F$84+SpringLentils!F$87+SpringLentils!F$90+SpringLentils!F$93+SpringLentils!F$96+SpringLentils!F$99+SpringLentils!F$102+SpringLentils!F$105+SpringLentils!F$108+SpringLentils!F$111)*F20))+((SpringLentils!F$73+SpringLentils!F$76+SpringLentils!F$79+SpringLentils!F$82+SpringLentils!F$85+SpringLentils!F$88+SpringLentils!F$91+SpringLentils!F$94+SpringLentils!F$97+SpringLentils!F$100+SpringLentils!F$103+SpringLentils!F$106+SpringLentils!F$109+SpringLentils!F$112)*G20)+(SpringLentils!I$114*H20)+(SpringLentils!I$135*I20)</f>
        <v>208.53807767988582</v>
      </c>
      <c r="R20" s="480">
        <f>((C$31*C$32)+C$30)+(SpringLentils!F$8*(1-C20))+(SUM(SpringLentils!F$9:F$14)*(1-D20))+(SUM(SpringLentils!F$21:F$61)*(1-E20))+((SUM(SpringLentils!F$63:F$70)*(1-J20))+((SpringLentils!F$72+SpringLentils!F$75+SpringLentils!F$78+SpringLentils!F$81+SpringLentils!F$84+SpringLentils!F$87+SpringLentils!F$90+SpringLentils!F$93+SpringLentils!F$96+SpringLentils!F$99+SpringLentils!F$102+SpringLentils!F$105+SpringLentils!F$108+SpringLentils!F$111)*(1-F20)))+((SpringLentils!F$73+SpringLentils!F$76+SpringLentils!F$79+SpringLentils!F$82+SpringLentils!F$85+SpringLentils!F$88+SpringLentils!F$91+SpringLentils!F$94+SpringLentils!F$97+SpringLentils!F$100+SpringLentils!F$103+SpringLentils!F$106+SpringLentils!F$109+SpringLentils!F$112)*(1-G20))+(SpringLentils!I$114*(1-H20))+(SpringLentils!I$135*(1-I20))</f>
        <v>86.372549500000005</v>
      </c>
      <c r="S20" s="1">
        <v>330.26</v>
      </c>
      <c r="T20" s="49">
        <f t="shared" si="5"/>
        <v>245.68347708546759</v>
      </c>
      <c r="U20" s="49">
        <f t="shared" si="6"/>
        <v>84.576522914532404</v>
      </c>
      <c r="V20" s="49"/>
      <c r="W20" s="379" t="str">
        <f>'Prices_Yields&amp;SeedInputs'!B23</f>
        <v>Spring Lentils</v>
      </c>
      <c r="X20" s="379"/>
      <c r="Y20" s="380">
        <f t="shared" si="2"/>
        <v>0</v>
      </c>
      <c r="Z20" s="5">
        <f t="shared" si="3"/>
        <v>0</v>
      </c>
      <c r="AA20" s="381">
        <f t="shared" si="4"/>
        <v>0</v>
      </c>
      <c r="AB20" s="174">
        <f>IF('Farm and Rotation Setup'!$D$5="Spring Lentils",'Farm and Rotation Setup'!$G$5,0)</f>
        <v>0</v>
      </c>
      <c r="AC20" s="174">
        <f>IF('Farm and Rotation Setup'!$D$6="Spring Lentils",'Farm and Rotation Setup'!$G$6,0)</f>
        <v>0</v>
      </c>
      <c r="AD20" s="174">
        <f>IF('Farm and Rotation Setup'!$D$7="Spring Lentils",'Farm and Rotation Setup'!$G$7,0)</f>
        <v>0</v>
      </c>
      <c r="AE20" s="174">
        <f>IF('Farm and Rotation Setup'!$D$8="Spring Lentils",'Farm and Rotation Setup'!$G$8,0)</f>
        <v>0</v>
      </c>
      <c r="AF20" s="377">
        <f>IF('Farm and Rotation Setup'!$D$9="Spring Lentils",'Farm and Rotation Setup'!$G$9,0)</f>
        <v>0</v>
      </c>
      <c r="AG20" s="174">
        <f>IF('Farm and Rotation Setup'!$D$14="Spring Lentils",'Farm and Rotation Setup'!$G$14,0)</f>
        <v>0</v>
      </c>
      <c r="AH20" s="174">
        <f>IF('Farm and Rotation Setup'!$D$15="Spring Lentils",'Farm and Rotation Setup'!$G$15,0)</f>
        <v>0</v>
      </c>
      <c r="AI20" s="174">
        <f>IF('Farm and Rotation Setup'!$D$16="Spring Lentils",'Farm and Rotation Setup'!$G$16,0)</f>
        <v>0</v>
      </c>
      <c r="AJ20" s="174">
        <f>IF('Farm and Rotation Setup'!$D$17="Spring Lentils",'Farm and Rotation Setup'!$G$17,0)</f>
        <v>0</v>
      </c>
      <c r="AK20" s="377">
        <f>IF('Farm and Rotation Setup'!$D$18="Spring Lentils",'Farm and Rotation Setup'!$G$18,0)</f>
        <v>0</v>
      </c>
      <c r="AL20" s="174">
        <f>IF('Farm and Rotation Setup'!$D$23="Spring Lentils",'Farm and Rotation Setup'!$G$23,0)</f>
        <v>0</v>
      </c>
      <c r="AM20" s="174">
        <f>IF('Farm and Rotation Setup'!$D$24="Spring Lentils",'Farm and Rotation Setup'!$G$24,0)</f>
        <v>0</v>
      </c>
      <c r="AN20" s="174">
        <f>IF('Farm and Rotation Setup'!$D$25="Spring Lentils",'Farm and Rotation Setup'!$G$25,0)</f>
        <v>0</v>
      </c>
      <c r="AO20" s="174">
        <f>IF('Farm and Rotation Setup'!$D$26="Spring Lentils",'Farm and Rotation Setup'!$G$26,0)</f>
        <v>0</v>
      </c>
      <c r="AP20" s="377">
        <f>IF('Farm and Rotation Setup'!$D$27="Spring Lentils",'Farm and Rotation Setup'!$G$27,0)</f>
        <v>0</v>
      </c>
    </row>
    <row r="21" spans="1:42" ht="20">
      <c r="A21" s="9"/>
      <c r="B21" s="10" t="str">
        <f>'Prices_Yields&amp;SeedInputs'!B22</f>
        <v>Spring Canola</v>
      </c>
      <c r="C21" s="258">
        <v>1</v>
      </c>
      <c r="D21" s="258">
        <v>0.67</v>
      </c>
      <c r="E21" s="258">
        <v>0.67</v>
      </c>
      <c r="F21" s="258">
        <v>1</v>
      </c>
      <c r="G21" s="258">
        <v>1</v>
      </c>
      <c r="H21" s="258">
        <v>1</v>
      </c>
      <c r="I21" s="258">
        <v>1</v>
      </c>
      <c r="J21" s="258">
        <v>1</v>
      </c>
      <c r="K21" s="258"/>
      <c r="L21" s="258"/>
      <c r="M21" s="479" cm="1">
        <f t="array" ref="M21">(SpringCanola!F$8*C21)+(SUM(SpringCanola!F$9:F$14*D21))+(SUM(SpringCanola!F$21:F$61)*E21)+(SUM(SpringCanola!F$63:F$70)*J21)+(SpringCanola!J$116*F21)+(SpringCanola!J$117*G21)+(SpringCanola!J$118*H21)+(SpringCanola!F$135*I21)</f>
        <v>163.66196708546758</v>
      </c>
      <c r="N21" s="480">
        <f>((C$31*C$32)+C$30)+(SpringCanola!F$8*(1-C21))+(SUM(SpringCanola!F$9:F$14)*(1-D21))+(SUM(SpringCanola!F$21:F$61)*(1-E21))+((SUM(SpringCanola!F$63:F$70)*(1-J21))+(SpringCanola!J$116)*(1-F21))+(SpringCanola!J$117*(1-G21))+(SpringCanola!J$118*(1-H21))+(SpringCanola!F$135*(1-I21))</f>
        <v>91.963359999999994</v>
      </c>
      <c r="O21" s="479">
        <f>(SpringCanola!F$8*C21)+(SUM(SpringCanola!F$9:F$14)*D21)+(SUM(SpringCanola!F$21:F$61)*E21)+((SUM(SpringCanola!F$63:F$70)*J21)+((SpringCanola!F$72+SpringCanola!F$75+SpringCanola!F$78+SpringCanola!F$81+SpringCanola!F$84+SpringCanola!F$87+SpringCanola!F$90+SpringCanola!F$93+SpringCanola!F$96+SpringCanola!F$99+SpringCanola!F$102+SpringCanola!F$105+SpringCanola!F$108+SpringCanola!F$111)*F21))+((SpringCanola!F$73+SpringCanola!F$76+SpringCanola!F$79+SpringCanola!F$82+SpringCanola!F$85+SpringCanola!F$88+SpringCanola!F$91+SpringCanola!F$94+SpringCanola!F$97+SpringCanola!F$100+SpringCanola!F$103+SpringCanola!F$106+SpringCanola!F$109+SpringCanola!F$112)*G21)+(SpringCanola!H$114*H21)+(SpringCanola!H$135*I21)</f>
        <v>215.44714683492347</v>
      </c>
      <c r="P21" s="480">
        <f>((C$31*C$32)+C$30)+((SpringCanola!F$8*(1-C21))+(SUM(SpringCanola!F$9:F$14)*(1-D21)+(SUM(SpringCanola!F$21:F$61)*(1-E21))+((SUM(SpringCanola!F$63:F$70)*(1-J21))+((SpringCanola!F$72+SpringCanola!F$75+SpringCanola!F$78+SpringCanola!F$81+SpringCanola!F$84+SpringCanola!F$87+SpringCanola!F$90+SpringCanola!F$93+SpringCanola!F$96+SpringCanola!F$99+SpringCanola!F$102+SpringCanola!F$105+SpringCanola!F$108+SpringCanola!F$111)*(1-F21))+((SpringCanola!F$73+SpringCanola!F$76+SpringCanola!F$79+SpringCanola!F$82+SpringCanola!F$85+SpringCanola!F$88+SpringCanola!F$91+SpringCanola!F$94+SpringCanola!F$97+SpringCanola!F$100+SpringCanola!F$103+SpringCanola!F$106+SpringCanola!F$109+SpringCanola!F$112)*(1-G21))+(SpringCanola!H$114*(1-H21))+(SpringCanola!H$135*(1-I21)))))</f>
        <v>91.963359999999994</v>
      </c>
      <c r="Q21" s="479">
        <f>(SpringCanola!F$8*C21)+(SUM(SpringCanola!F$9:F$14)*D21)+(SUM(SpringCanola!F$21:F$61)*E21)+((SUM(SpringCanola!F$63:F$70)*J21)+((SpringCanola!F$72+SpringCanola!F$75+SpringCanola!F$78+SpringCanola!F$81+SpringCanola!F$84+SpringCanola!F$87+SpringCanola!F$90+SpringCanola!F$93+SpringCanola!F$96+SpringCanola!F$99+SpringCanola!F$102+SpringCanola!F$105+SpringCanola!F$108+SpringCanola!F$111)*F21))+((SpringCanola!F$73+SpringCanola!F$76+SpringCanola!F$79+SpringCanola!F$82+SpringCanola!F$85+SpringCanola!F$88+SpringCanola!F$91+SpringCanola!F$94+SpringCanola!F$97+SpringCanola!F$100+SpringCanola!F$103+SpringCanola!F$106+SpringCanola!F$109+SpringCanola!F$112)*G21)+(SpringCanola!I$114*H21)+(SpringCanola!I$135*I21)</f>
        <v>212.88911717988583</v>
      </c>
      <c r="R21" s="480">
        <f>((C$31*C$32)+C$30)+(SpringCanola!F$8*(1-C21))+(SUM(SpringCanola!F$9:F$14)*(1-D21))+(SUM(SpringCanola!F$21:F$61)*(1-E21))+((SUM(SpringCanola!F$63:F$70)*(1-J21))+((SpringCanola!F$72+SpringCanola!F$75+SpringCanola!F$78+SpringCanola!F$81+SpringCanola!F$84+SpringCanola!F$87+SpringCanola!F$90+SpringCanola!F$93+SpringCanola!F$96+SpringCanola!F$99+SpringCanola!F$102+SpringCanola!F$105+SpringCanola!F$108+SpringCanola!F$111)*(1-F21)))+((SpringCanola!F$73+SpringCanola!F$76+SpringCanola!F$79+SpringCanola!F$82+SpringCanola!F$85+SpringCanola!F$88+SpringCanola!F$91+SpringCanola!F$94+SpringCanola!F$97+SpringCanola!F$100+SpringCanola!F$103+SpringCanola!F$106+SpringCanola!F$109+SpringCanola!F$112)*(1-G21))+(SpringCanola!I$114*(1-H21))+(SpringCanola!I$135*(1-I21))</f>
        <v>91.963359999999994</v>
      </c>
      <c r="S21" s="1">
        <v>331.26</v>
      </c>
      <c r="T21" s="49">
        <f t="shared" si="5"/>
        <v>255.62532708546757</v>
      </c>
      <c r="U21" s="49">
        <f t="shared" si="6"/>
        <v>75.634672914532416</v>
      </c>
      <c r="V21" s="49"/>
      <c r="W21" s="379" t="str">
        <f>'Prices_Yields&amp;SeedInputs'!B22</f>
        <v>Spring Canola</v>
      </c>
      <c r="X21" s="379"/>
      <c r="Y21" s="380">
        <f t="shared" si="2"/>
        <v>0</v>
      </c>
      <c r="Z21" s="5">
        <f t="shared" si="3"/>
        <v>0</v>
      </c>
      <c r="AA21" s="381">
        <f t="shared" si="4"/>
        <v>0</v>
      </c>
      <c r="AB21" s="174">
        <f>IF('Farm and Rotation Setup'!$D$5="Spring Canola",'Farm and Rotation Setup'!$G$5,0)</f>
        <v>0</v>
      </c>
      <c r="AC21" s="174">
        <f>IF('Farm and Rotation Setup'!$D$6="Spring Canola",'Farm and Rotation Setup'!$G$6,0)</f>
        <v>0</v>
      </c>
      <c r="AD21" s="174">
        <f>IF('Farm and Rotation Setup'!$D$7="Spring Canola",'Farm and Rotation Setup'!$G$7,0)</f>
        <v>0</v>
      </c>
      <c r="AE21" s="174">
        <f>IF('Farm and Rotation Setup'!$D$8="Spring Canola",'Farm and Rotation Setup'!$G$8,0)</f>
        <v>0</v>
      </c>
      <c r="AF21" s="377">
        <f>IF('Farm and Rotation Setup'!$D$9="Spring Canola",'Farm and Rotation Setup'!$G$9,0)</f>
        <v>0</v>
      </c>
      <c r="AG21" s="174">
        <f>IF('Farm and Rotation Setup'!$D$14="Spring Canola",'Farm and Rotation Setup'!$G$14,0)</f>
        <v>0</v>
      </c>
      <c r="AH21" s="174">
        <f>IF('Farm and Rotation Setup'!$D$15="Spring Canola",'Farm and Rotation Setup'!$G$15,0)</f>
        <v>0</v>
      </c>
      <c r="AI21" s="174">
        <f>IF('Farm and Rotation Setup'!$D$16="Spring Canola",'Farm and Rotation Setup'!$G$16,0)</f>
        <v>0</v>
      </c>
      <c r="AJ21" s="174">
        <f>IF('Farm and Rotation Setup'!$D$17="Spring Canola",'Farm and Rotation Setup'!$G$17,0)</f>
        <v>0</v>
      </c>
      <c r="AK21" s="377">
        <f>IF('Farm and Rotation Setup'!$D$18="Spring Canola",'Farm and Rotation Setup'!$G$18,0)</f>
        <v>0</v>
      </c>
      <c r="AL21" s="174">
        <f>IF('Farm and Rotation Setup'!$D$23="Spring Canola",'Farm and Rotation Setup'!$G$23,0)</f>
        <v>0</v>
      </c>
      <c r="AM21" s="174">
        <f>IF('Farm and Rotation Setup'!$D$24="Spring Canola",'Farm and Rotation Setup'!$G$24,0)</f>
        <v>0</v>
      </c>
      <c r="AN21" s="174">
        <f>IF('Farm and Rotation Setup'!$D$25="Spring Canola",'Farm and Rotation Setup'!$G$25,0)</f>
        <v>0</v>
      </c>
      <c r="AO21" s="174">
        <f>IF('Farm and Rotation Setup'!$D$26="Spring Canola",'Farm and Rotation Setup'!$G$26,0)</f>
        <v>0</v>
      </c>
      <c r="AP21" s="377">
        <f>IF('Farm and Rotation Setup'!$D$27="Spring Canola",'Farm and Rotation Setup'!$G$27,0)</f>
        <v>0</v>
      </c>
    </row>
    <row r="22" spans="1:42" ht="20">
      <c r="A22" s="9"/>
      <c r="B22" s="10" t="str">
        <f>'Prices_Yields&amp;SeedInputs'!B21</f>
        <v>Roundup Ready Spring Canola</v>
      </c>
      <c r="C22" s="258">
        <v>1</v>
      </c>
      <c r="D22" s="258">
        <v>0.67</v>
      </c>
      <c r="E22" s="258">
        <v>0.67</v>
      </c>
      <c r="F22" s="258">
        <v>1</v>
      </c>
      <c r="G22" s="258">
        <v>1</v>
      </c>
      <c r="H22" s="258">
        <v>1</v>
      </c>
      <c r="I22" s="258">
        <v>1</v>
      </c>
      <c r="J22" s="258">
        <v>1</v>
      </c>
      <c r="K22" s="258"/>
      <c r="L22" s="258"/>
      <c r="M22" s="481" cm="1">
        <f t="array" ref="M22">('SpringCanola_R-Ready'!F$8*C22)+(SUM('SpringCanola_R-Ready'!F$9:F$14*D22))+(SUM('SpringCanola_R-Ready'!F$21:F$61)*E22)+(SUM('SpringCanola_R-Ready'!F$63:F$70)*J22)+('SpringCanola_R-Ready'!J$116*F22)+('SpringCanola_R-Ready'!J$117*G22)+('SpringCanola_R-Ready'!J$118*H22)+('SpringCanola_R-Ready'!F$135*I22)</f>
        <v>210.44465122569031</v>
      </c>
      <c r="N22" s="482">
        <f>((C$31*C$32)+C$30)+('SpringCanola_R-Ready'!F$8*(1-C22))+(SUM('SpringCanola_R-Ready'!F$9:F$14)*(1-D22))+(SUM('SpringCanola_R-Ready'!F$21:F$61)*(1-E22))+((SUM('SpringCanola_R-Ready'!F$63:F$70)*(1-J22))+('SpringCanola_R-Ready'!J$116)*(1-F22))+('SpringCanola_R-Ready'!J$117*(1-G22))+('SpringCanola_R-Ready'!J$118*(1-H22))+('SpringCanola_R-Ready'!F$135*(1-I22))</f>
        <v>91.963359999999994</v>
      </c>
      <c r="O22" s="481">
        <f>('SpringCanola_R-Ready'!F$8*C22)+(SUM('SpringCanola_R-Ready'!F$9:F$14)*D22)+(SUM('SpringCanola_R-Ready'!F$21:F$61)*E22)+((SUM('SpringCanola_R-Ready'!F$63:F$70)*J22)+(('SpringCanola_R-Ready'!F$72+'SpringCanola_R-Ready'!F$75+'SpringCanola_R-Ready'!F$78+'SpringCanola_R-Ready'!F$81+'SpringCanola_R-Ready'!F$84+'SpringCanola_R-Ready'!F$87+'SpringCanola_R-Ready'!F$90+'SpringCanola_R-Ready'!F$93+'SpringCanola_R-Ready'!F$96+'SpringCanola_R-Ready'!F$99+'SpringCanola_R-Ready'!F$102+'SpringCanola_R-Ready'!F$105+'SpringCanola_R-Ready'!F$108+'SpringCanola_R-Ready'!F$111)*F22))+(('SpringCanola_R-Ready'!F$73+'SpringCanola_R-Ready'!F$76+'SpringCanola_R-Ready'!F$79+'SpringCanola_R-Ready'!F$82+'SpringCanola_R-Ready'!F$85+'SpringCanola_R-Ready'!F$88+'SpringCanola_R-Ready'!F$91+'SpringCanola_R-Ready'!F$94+'SpringCanola_R-Ready'!F$97+'SpringCanola_R-Ready'!F$100+'SpringCanola_R-Ready'!F$103+'SpringCanola_R-Ready'!F$106+'SpringCanola_R-Ready'!F$109+'SpringCanola_R-Ready'!F$112)*G22)+('SpringCanola_R-Ready'!H$114*H22)+('SpringCanola_R-Ready'!H$135*I22)</f>
        <v>264.51014187330497</v>
      </c>
      <c r="P22" s="482">
        <f>((C$31*C$32)+C$30)+(('SpringCanola_R-Ready'!F$8*(1-C22))+(SUM('SpringCanola_R-Ready'!F$9:F$14)*(1-D22)+(SUM('SpringCanola_R-Ready'!F$21:F$61)*(1-E22))+((SUM('SpringCanola_R-Ready'!F$63:F$70)*(1-J22))+(('SpringCanola_R-Ready'!F$72+'SpringCanola_R-Ready'!F$75+'SpringCanola_R-Ready'!F$78+'SpringCanola_R-Ready'!F$81+'SpringCanola_R-Ready'!F$84+'SpringCanola_R-Ready'!F$87+'SpringCanola_R-Ready'!F$90+'SpringCanola_R-Ready'!F$93+'SpringCanola_R-Ready'!F$96+'SpringCanola_R-Ready'!F$99+'SpringCanola_R-Ready'!F$102+'SpringCanola_R-Ready'!F$105+'SpringCanola_R-Ready'!F$108+'SpringCanola_R-Ready'!F$111)*(1-F22))+(('SpringCanola_R-Ready'!F$73+'SpringCanola_R-Ready'!F$76+'SpringCanola_R-Ready'!F$79+'SpringCanola_R-Ready'!F$82+'SpringCanola_R-Ready'!F$85+'SpringCanola_R-Ready'!F$88+'SpringCanola_R-Ready'!F$91+'SpringCanola_R-Ready'!F$94+'SpringCanola_R-Ready'!F$97+'SpringCanola_R-Ready'!F$100+'SpringCanola_R-Ready'!F$103+'SpringCanola_R-Ready'!F$106+'SpringCanola_R-Ready'!F$109+'SpringCanola_R-Ready'!F$112)*(1-G22))+('SpringCanola_R-Ready'!H$114*(1-H22))+('SpringCanola_R-Ready'!H$135*(1-I22)))))</f>
        <v>91.963359999999994</v>
      </c>
      <c r="Q22" s="481">
        <f>('SpringCanola_R-Ready'!F$8*C22)+(SUM('SpringCanola_R-Ready'!F$9:F$14)*D22)+(SUM('SpringCanola_R-Ready'!F$21:F$61)*E22)+((SUM('SpringCanola_R-Ready'!F$63:F$70)*J22)+(('SpringCanola_R-Ready'!F$72+'SpringCanola_R-Ready'!F$75+'SpringCanola_R-Ready'!F$78+'SpringCanola_R-Ready'!F$81+'SpringCanola_R-Ready'!F$84+'SpringCanola_R-Ready'!F$87+'SpringCanola_R-Ready'!F$90+'SpringCanola_R-Ready'!F$93+'SpringCanola_R-Ready'!F$96+'SpringCanola_R-Ready'!F$99+'SpringCanola_R-Ready'!F$102+'SpringCanola_R-Ready'!F$105+'SpringCanola_R-Ready'!F$108+'SpringCanola_R-Ready'!F$111)*F22))+(('SpringCanola_R-Ready'!F$73+'SpringCanola_R-Ready'!F$76+'SpringCanola_R-Ready'!F$79+'SpringCanola_R-Ready'!F$82+'SpringCanola_R-Ready'!F$85+'SpringCanola_R-Ready'!F$88+'SpringCanola_R-Ready'!F$91+'SpringCanola_R-Ready'!F$94+'SpringCanola_R-Ready'!F$97+'SpringCanola_R-Ready'!F$100+'SpringCanola_R-Ready'!F$103+'SpringCanola_R-Ready'!F$106+'SpringCanola_R-Ready'!F$109+'SpringCanola_R-Ready'!F$112)*G22)+('SpringCanola_R-Ready'!I$114*H22)+('SpringCanola_R-Ready'!I$135*I22)</f>
        <v>261.90051614541602</v>
      </c>
      <c r="R22" s="482">
        <f>((C$31*C$32)+C$30)+('SpringCanola_R-Ready'!F$8*(1-C22))+(SUM('SpringCanola_R-Ready'!F$9:F$14)*(1-D22))+(SUM('SpringCanola_R-Ready'!F$21:F$61)*(1-E22))+((SUM('SpringCanola_R-Ready'!F$63:F$70)*(1-J22))+(('SpringCanola_R-Ready'!F$72+'SpringCanola_R-Ready'!F$75+'SpringCanola_R-Ready'!F$78+'SpringCanola_R-Ready'!F$81+'SpringCanola_R-Ready'!F$84+'SpringCanola_R-Ready'!F$87+'SpringCanola_R-Ready'!F$90+'SpringCanola_R-Ready'!F$93+'SpringCanola_R-Ready'!F$96+'SpringCanola_R-Ready'!F$99+'SpringCanola_R-Ready'!F$102+'SpringCanola_R-Ready'!F$105+'SpringCanola_R-Ready'!F$108+'SpringCanola_R-Ready'!F$111)*(1-F22)))+(('SpringCanola_R-Ready'!F$73+'SpringCanola_R-Ready'!F$76+'SpringCanola_R-Ready'!F$79+'SpringCanola_R-Ready'!F$82+'SpringCanola_R-Ready'!F$85+'SpringCanola_R-Ready'!F$88+'SpringCanola_R-Ready'!F$91+'SpringCanola_R-Ready'!F$94+'SpringCanola_R-Ready'!F$97+'SpringCanola_R-Ready'!F$100+'SpringCanola_R-Ready'!F$103+'SpringCanola_R-Ready'!F$106+'SpringCanola_R-Ready'!F$109+'SpringCanola_R-Ready'!F$112)*(1-G22))+('SpringCanola_R-Ready'!I$114*(1-H22))+('SpringCanola_R-Ready'!I$135*(1-I22))</f>
        <v>91.963359999999994</v>
      </c>
      <c r="S22" s="3">
        <v>332.26</v>
      </c>
      <c r="T22" s="368">
        <f t="shared" ref="T22:T23" si="13">M22+N22</f>
        <v>302.4080112256903</v>
      </c>
      <c r="U22" s="368">
        <f t="shared" ref="U22:U23" si="14">S22-T22</f>
        <v>29.851988774309689</v>
      </c>
      <c r="V22" s="368"/>
      <c r="W22" s="379" t="str">
        <f>'Prices_Yields&amp;SeedInputs'!B21</f>
        <v>Roundup Ready Spring Canola</v>
      </c>
      <c r="X22" s="379"/>
      <c r="Y22" s="380">
        <f t="shared" si="2"/>
        <v>0</v>
      </c>
      <c r="Z22" s="5">
        <f t="shared" si="3"/>
        <v>0</v>
      </c>
      <c r="AA22" s="381">
        <f t="shared" si="4"/>
        <v>0</v>
      </c>
      <c r="AB22" s="174">
        <f>IF('Farm and Rotation Setup'!$D$5="Roundup Ready Spring Canola",'Farm and Rotation Setup'!$G$5,0)</f>
        <v>0</v>
      </c>
      <c r="AC22" s="174">
        <f>IF('Farm and Rotation Setup'!$D$6="Roundup Ready Spring Canola",'Farm and Rotation Setup'!$G$6,0)</f>
        <v>0</v>
      </c>
      <c r="AD22" s="174">
        <f>IF('Farm and Rotation Setup'!$D$7="Roundup Ready Spring Canola",'Farm and Rotation Setup'!$G$7,0)</f>
        <v>0</v>
      </c>
      <c r="AE22" s="174">
        <f>IF('Farm and Rotation Setup'!$D$8="Roundup Ready Spring Canola",'Farm and Rotation Setup'!$G$8,0)</f>
        <v>0</v>
      </c>
      <c r="AF22" s="377">
        <f>IF('Farm and Rotation Setup'!$D$9="Roundup Ready Spring Canola",'Farm and Rotation Setup'!$G$9,0)</f>
        <v>0</v>
      </c>
      <c r="AG22" s="174">
        <f>IF('Farm and Rotation Setup'!$D$14="Roundup Ready Spring Canola",'Farm and Rotation Setup'!$G$14,0)</f>
        <v>0</v>
      </c>
      <c r="AH22" s="174">
        <f>IF('Farm and Rotation Setup'!$D$15="Roundup Ready Spring Canola",'Farm and Rotation Setup'!$G$15,0)</f>
        <v>0</v>
      </c>
      <c r="AI22" s="174">
        <f>IF('Farm and Rotation Setup'!$D$16="Roundup Ready Spring Canola",'Farm and Rotation Setup'!$G$16,0)</f>
        <v>0</v>
      </c>
      <c r="AJ22" s="174">
        <f>IF('Farm and Rotation Setup'!$D$17="Roundup Ready Spring Canola",'Farm and Rotation Setup'!$G$17,0)</f>
        <v>0</v>
      </c>
      <c r="AK22" s="377">
        <f>IF('Farm and Rotation Setup'!$D$18="Roundup Ready Spring Canola",'Farm and Rotation Setup'!$G$18,0)</f>
        <v>0</v>
      </c>
      <c r="AL22" s="174">
        <f>IF('Farm and Rotation Setup'!$D$23="Roundup Ready Spring Canola",'Farm and Rotation Setup'!$G$23,0)</f>
        <v>0</v>
      </c>
      <c r="AM22" s="174">
        <f>IF('Farm and Rotation Setup'!$D$24="Roundup Ready Spring Canola",'Farm and Rotation Setup'!$G$24,0)</f>
        <v>0</v>
      </c>
      <c r="AN22" s="174">
        <f>IF('Farm and Rotation Setup'!$D$25="Roundup Ready Spring Canola",'Farm and Rotation Setup'!$G$25,0)</f>
        <v>0</v>
      </c>
      <c r="AO22" s="174">
        <f>IF('Farm and Rotation Setup'!$D$26="Roundup Ready Spring Canola",'Farm and Rotation Setup'!$G$26,0)</f>
        <v>0</v>
      </c>
      <c r="AP22" s="377">
        <f>IF('Farm and Rotation Setup'!$D$27="Roundup Ready Spring Canola",'Farm and Rotation Setup'!$G$27,0)</f>
        <v>0</v>
      </c>
    </row>
    <row r="23" spans="1:42" ht="20">
      <c r="A23" s="9"/>
      <c r="B23" s="10" t="str">
        <f>'Prices_Yields&amp;SeedInputs'!B27</f>
        <v>Winter Canola</v>
      </c>
      <c r="C23" s="258">
        <v>1</v>
      </c>
      <c r="D23" s="258">
        <v>0.67</v>
      </c>
      <c r="E23" s="258">
        <v>0.67</v>
      </c>
      <c r="F23" s="258">
        <v>1</v>
      </c>
      <c r="G23" s="258">
        <v>1</v>
      </c>
      <c r="H23" s="258">
        <v>1</v>
      </c>
      <c r="I23" s="258">
        <v>1</v>
      </c>
      <c r="J23" s="258">
        <v>1</v>
      </c>
      <c r="K23" s="258"/>
      <c r="L23" s="258"/>
      <c r="M23" s="481" cm="1">
        <f t="array" ref="M23">(WinterCanola!F$8*C23)+(SUM(WinterCanola!F$9:F$14*D23))+(SUM(WinterCanola!F$21:F$61)*E23)+(SUM(WinterCanola!F$63:F$70)*J23)+(WinterCanola!J$116*F23)+(WinterCanola!J$117*G23)+(WinterCanola!J$118*H23)+(WinterCanola!F$135*I23)</f>
        <v>223.1446512256903</v>
      </c>
      <c r="N23" s="482">
        <f>((C$31*C$32)+C$30)+(WinterCanola!F$8*(1-C23))+(SUM(WinterCanola!F$9:F$14)*(1-D23))+(SUM(WinterCanola!F$21:F$61)*(1-E23))+((SUM(WinterCanola!F$63:F$70)*(1-J23))+(WinterCanola!J$116)*(1-F23))+(WinterCanola!J$117*(1-G23))+(WinterCanola!J$118*(1-H23))+(WinterCanola!F$135*(1-I23))</f>
        <v>91.963359999999994</v>
      </c>
      <c r="O23" s="481">
        <f>(WinterCanola!F$8*C23)+(SUM(WinterCanola!F$9:F$14)*D23)+(SUM(WinterCanola!F$21:F$61)*E23)+((SUM(WinterCanola!F$63:F$70)*J23)+((WinterCanola!F$72+WinterCanola!F$75+WinterCanola!F$78+WinterCanola!F$81+WinterCanola!F$84+WinterCanola!F$87+WinterCanola!F$90+WinterCanola!F$93+WinterCanola!F$96+WinterCanola!F$99+WinterCanola!F$102+WinterCanola!F$105+WinterCanola!F$108+WinterCanola!F$111)*F23))+((WinterCanola!F$73+WinterCanola!F$76+WinterCanola!F$79+WinterCanola!F$82+WinterCanola!F$85+WinterCanola!F$88+WinterCanola!F$91+WinterCanola!F$94+WinterCanola!F$97+WinterCanola!F$100+WinterCanola!F$103+WinterCanola!F$106+WinterCanola!F$109+WinterCanola!F$112)*G23)+(WinterCanola!H$114*H23)+(WinterCanola!H$135*I23)</f>
        <v>277.21014187330496</v>
      </c>
      <c r="P23" s="482">
        <f>((C$31*C$32)+C$30)+((WinterCanola!F$8*(1-C23))+(SUM(WinterCanola!F$9:F$14)*(1-D23)+(SUM(WinterCanola!F$21:F$61)*(1-E23))+((SUM(WinterCanola!F$63:F$70)*(1-J23))+((WinterCanola!F$72+WinterCanola!F$75+WinterCanola!F$78+WinterCanola!F$81+WinterCanola!F$84+WinterCanola!F$87+WinterCanola!F$90+WinterCanola!F$93+WinterCanola!F$96+WinterCanola!F$99+WinterCanola!F$102+WinterCanola!F$105+WinterCanola!F$108+WinterCanola!F$111)*(1-F23))+((WinterCanola!F$73+WinterCanola!F$76+WinterCanola!F$79+WinterCanola!F$82+WinterCanola!F$85+WinterCanola!F$88+WinterCanola!F$91+WinterCanola!F$94+WinterCanola!F$97+WinterCanola!F$100+WinterCanola!F$103+WinterCanola!F$106+WinterCanola!F$109+WinterCanola!F$112)*(1-G23))+(WinterCanola!H$114*(1-H23))+(WinterCanola!H$135*(1-I23)))))</f>
        <v>91.963359999999994</v>
      </c>
      <c r="Q23" s="481">
        <f>(WinterCanola!F$8*C23)+(SUM(WinterCanola!F$9:F$14)*D23)+(SUM(WinterCanola!F$21:F$61)*E23)+((SUM(WinterCanola!F$63:F$70)*J23)+((WinterCanola!F$72+WinterCanola!F$75+WinterCanola!F$78+WinterCanola!F$81+WinterCanola!F$84+WinterCanola!F$87+WinterCanola!F$90+WinterCanola!F$93+WinterCanola!F$96+WinterCanola!F$99+WinterCanola!F$102+WinterCanola!F$105+WinterCanola!F$108+WinterCanola!F$111)*F23))+((WinterCanola!F$73+WinterCanola!F$76+WinterCanola!F$79+WinterCanola!F$82+WinterCanola!F$85+WinterCanola!F$88+WinterCanola!F$91+WinterCanola!F$94+WinterCanola!F$97+WinterCanola!F$100+WinterCanola!F$103+WinterCanola!F$106+WinterCanola!F$109+WinterCanola!F$112)*G23)+(WinterCanola!I$114*H23)+(WinterCanola!I$135*I23)</f>
        <v>274.60051614541601</v>
      </c>
      <c r="R23" s="482">
        <f>((C$31*C$32)+C$30)+(WinterCanola!F$8*(1-C23))+(SUM(WinterCanola!F$9:F$14)*(1-D23))+(SUM(WinterCanola!F$21:F$61)*(1-E23))+((SUM(WinterCanola!F$63:F$70)*(1-J23))+((WinterCanola!F$72+WinterCanola!F$75+WinterCanola!F$78+WinterCanola!F$81+WinterCanola!F$84+WinterCanola!F$87+WinterCanola!F$90+WinterCanola!F$93+WinterCanola!F$96+WinterCanola!F$99+WinterCanola!F$102+WinterCanola!F$105+WinterCanola!F$108+WinterCanola!F$111)*(1-F23)))+((WinterCanola!F$73+WinterCanola!F$76+WinterCanola!F$79+WinterCanola!F$82+WinterCanola!F$85+WinterCanola!F$88+WinterCanola!F$91+WinterCanola!F$94+WinterCanola!F$97+WinterCanola!F$100+WinterCanola!F$103+WinterCanola!F$106+WinterCanola!F$109+WinterCanola!F$112)*(1-G23))+(WinterCanola!I$114*(1-H23))+(WinterCanola!I$135*(1-I23))</f>
        <v>91.963359999999994</v>
      </c>
      <c r="S23" s="3">
        <v>333.26</v>
      </c>
      <c r="T23" s="368">
        <f t="shared" si="13"/>
        <v>315.10801122569029</v>
      </c>
      <c r="U23" s="368">
        <f t="shared" si="14"/>
        <v>18.1519887743097</v>
      </c>
      <c r="V23" s="368"/>
      <c r="W23" s="379" t="str">
        <f>'Prices_Yields&amp;SeedInputs'!B27</f>
        <v>Winter Canola</v>
      </c>
      <c r="X23" s="379"/>
      <c r="Y23" s="380">
        <f t="shared" si="2"/>
        <v>1000</v>
      </c>
      <c r="Z23" s="5">
        <f t="shared" si="3"/>
        <v>0</v>
      </c>
      <c r="AA23" s="381">
        <f t="shared" si="4"/>
        <v>0</v>
      </c>
      <c r="AB23" s="174">
        <f>IF('Farm and Rotation Setup'!$D$5="Winter Canola",'Farm and Rotation Setup'!$G$5,0)</f>
        <v>0</v>
      </c>
      <c r="AC23" s="174">
        <f>IF('Farm and Rotation Setup'!$D$6="Winter Canola",'Farm and Rotation Setup'!$G$6,0)</f>
        <v>1000</v>
      </c>
      <c r="AD23" s="174">
        <f>IF('Farm and Rotation Setup'!$D$7="Winter Canola",'Farm and Rotation Setup'!$G$7,0)</f>
        <v>0</v>
      </c>
      <c r="AE23" s="174">
        <f>IF('Farm and Rotation Setup'!$D$8="Winter Canola",'Farm and Rotation Setup'!$G$8,0)</f>
        <v>0</v>
      </c>
      <c r="AF23" s="377">
        <f>IF('Farm and Rotation Setup'!$D$9="Winter Canola",'Farm and Rotation Setup'!$G$9,0)</f>
        <v>0</v>
      </c>
      <c r="AG23" s="174">
        <f>IF('Farm and Rotation Setup'!$D$14="Winter Canola",'Farm and Rotation Setup'!$G$14,0)</f>
        <v>0</v>
      </c>
      <c r="AH23" s="174">
        <f>IF('Farm and Rotation Setup'!$D$15="Winter Canola",'Farm and Rotation Setup'!$G$15,0)</f>
        <v>0</v>
      </c>
      <c r="AI23" s="174">
        <f>IF('Farm and Rotation Setup'!$D$16="Winter Canola",'Farm and Rotation Setup'!$G$16,0)</f>
        <v>0</v>
      </c>
      <c r="AJ23" s="174">
        <f>IF('Farm and Rotation Setup'!$D$17="Winter Canola",'Farm and Rotation Setup'!$G$17,0)</f>
        <v>0</v>
      </c>
      <c r="AK23" s="377">
        <f>IF('Farm and Rotation Setup'!$D$18="Winter Canola",'Farm and Rotation Setup'!$G$18,0)</f>
        <v>0</v>
      </c>
      <c r="AL23" s="174">
        <f>IF('Farm and Rotation Setup'!$D$23="Winter Canola",'Farm and Rotation Setup'!$G$23,0)</f>
        <v>0</v>
      </c>
      <c r="AM23" s="174">
        <f>IF('Farm and Rotation Setup'!$D$24="Winter Canola",'Farm and Rotation Setup'!$G$24,0)</f>
        <v>0</v>
      </c>
      <c r="AN23" s="174">
        <f>IF('Farm and Rotation Setup'!$D$25="Winter Canola",'Farm and Rotation Setup'!$G$25,0)</f>
        <v>0</v>
      </c>
      <c r="AO23" s="174">
        <f>IF('Farm and Rotation Setup'!$D$26="Winter Canola",'Farm and Rotation Setup'!$G$26,0)</f>
        <v>0</v>
      </c>
      <c r="AP23" s="377">
        <f>IF('Farm and Rotation Setup'!$D$27="Winter Canola",'Farm and Rotation Setup'!$G$27,0)</f>
        <v>0</v>
      </c>
    </row>
    <row r="24" spans="1:42" s="203" customFormat="1" ht="20">
      <c r="A24" s="9"/>
      <c r="B24" s="10" t="str">
        <f>'Prices_Yields&amp;SeedInputs'!B8</f>
        <v>DN Spring Wheat after Forage Crop</v>
      </c>
      <c r="C24" s="258">
        <v>1</v>
      </c>
      <c r="D24" s="258">
        <v>0.67</v>
      </c>
      <c r="E24" s="258">
        <v>0.67</v>
      </c>
      <c r="F24" s="258">
        <v>1</v>
      </c>
      <c r="G24" s="258">
        <v>1</v>
      </c>
      <c r="H24" s="258">
        <v>1</v>
      </c>
      <c r="I24" s="258">
        <v>1</v>
      </c>
      <c r="J24" s="258">
        <v>1</v>
      </c>
      <c r="K24" s="258"/>
      <c r="L24" s="258"/>
      <c r="M24" s="479" cm="1">
        <f t="array" ref="M24">(DNSpringWheatAfterForageCrop!F$8*C24)+(SUM(DNSpringWheatAfterForageCrop!F$9:F$14*D24))+(SUM(DNSpringWheatAfterForageCrop!F$21:F$61)*E24)+(SUM(DNSpringWheatAfterForageCrop!F$63:F$70)*J24)+(DNSpringWheatAfterForageCrop!J$116*F24)+(DNSpringWheatAfterForageCrop!J$117*G24)+(DNSpringWheatAfterForageCrop!J$118*H24)+(DNSpringWheatAfterForageCrop!F$135*I24)</f>
        <v>132.96601122569029</v>
      </c>
      <c r="N24" s="480">
        <f>((C$31*C$32)+C$30)+(DNSpringWheatAfterForageCrop!F$8*(1-C24))+(SUM(DNSpringWheatAfterForageCrop!F$9:F$14)*(1-D24))+(SUM(DNSpringWheatAfterForageCrop!F$21:F$61)*(1-E24))+((SUM(DNSpringWheatAfterForageCrop!F$63:F$70)*(1-J24))+(DNSpringWheatAfterForageCrop!J$116)*(1-F24))+(DNSpringWheatAfterForageCrop!J$117*(1-G24))+(DNSpringWheatAfterForageCrop!J$118*(1-H24))+(DNSpringWheatAfterForageCrop!F$135*(1-I24))</f>
        <v>65.5</v>
      </c>
      <c r="O24" s="479">
        <f>(DNSpringWheatAfterForageCrop!F$8*C24)+(SUM(DNSpringWheatAfterForageCrop!F$9:F$14)*D24)+(SUM(DNSpringWheatAfterForageCrop!F$21:F$61)*E24)+((SUM(DNSpringWheatAfterForageCrop!F$63:F$70)*J24)+((DNSpringWheatAfterForageCrop!F$72+DNSpringWheatAfterForageCrop!F$75+DNSpringWheatAfterForageCrop!F$78+DNSpringWheatAfterForageCrop!F$81+DNSpringWheatAfterForageCrop!F$84+DNSpringWheatAfterForageCrop!F$87+DNSpringWheatAfterForageCrop!F$90+DNSpringWheatAfterForageCrop!F$93+DNSpringWheatAfterForageCrop!F$96+DNSpringWheatAfterForageCrop!F$99+DNSpringWheatAfterForageCrop!F$102+DNSpringWheatAfterForageCrop!F$105+DNSpringWheatAfterForageCrop!F$108+DNSpringWheatAfterForageCrop!F$111)*F24))+((DNSpringWheatAfterForageCrop!F$73+DNSpringWheatAfterForageCrop!F$76+DNSpringWheatAfterForageCrop!F$79+DNSpringWheatAfterForageCrop!F$82+DNSpringWheatAfterForageCrop!F$85+DNSpringWheatAfterForageCrop!F$88+DNSpringWheatAfterForageCrop!F$91+DNSpringWheatAfterForageCrop!F$94+DNSpringWheatAfterForageCrop!F$97+DNSpringWheatAfterForageCrop!F$100+DNSpringWheatAfterForageCrop!F$103+DNSpringWheatAfterForageCrop!F$106+DNSpringWheatAfterForageCrop!F$109+DNSpringWheatAfterForageCrop!F$112)*G24)+(DNSpringWheatAfterForageCrop!H$114*H24)+(DNSpringWheatAfterForageCrop!H$135*I24)</f>
        <v>187.03150187330493</v>
      </c>
      <c r="P24" s="480">
        <f>((C$31*C$32)+C$30)+((DNSpringWheatAfterForageCrop!F$8*(1-C24))+(SUM(DNSpringWheatAfterForageCrop!F$9:F$14)*(1-D24)+(SUM(DNSpringWheatAfterForageCrop!F$21:F$61)*(1-E24))+((SUM(DNSpringWheatAfterForageCrop!F$63:F$70)*(1-J24))+((DNSpringWheatAfterForageCrop!F$72+DNSpringWheatAfterForageCrop!F$75+DNSpringWheatAfterForageCrop!F$78+DNSpringWheatAfterForageCrop!F$81+DNSpringWheatAfterForageCrop!F$84+DNSpringWheatAfterForageCrop!F$87+DNSpringWheatAfterForageCrop!F$90+DNSpringWheatAfterForageCrop!F$93+DNSpringWheatAfterForageCrop!F$96+DNSpringWheatAfterForageCrop!F$99+DNSpringWheatAfterForageCrop!F$102+DNSpringWheatAfterForageCrop!F$105+DNSpringWheatAfterForageCrop!F$108+DNSpringWheatAfterForageCrop!F$111)*(1-F24))+((DNSpringWheatAfterForageCrop!F$73+DNSpringWheatAfterForageCrop!F$76+DNSpringWheatAfterForageCrop!F$79+DNSpringWheatAfterForageCrop!F$82+DNSpringWheatAfterForageCrop!F$85+DNSpringWheatAfterForageCrop!F$88+DNSpringWheatAfterForageCrop!F$91+DNSpringWheatAfterForageCrop!F$94+DNSpringWheatAfterForageCrop!F$97+DNSpringWheatAfterForageCrop!F$100+DNSpringWheatAfterForageCrop!F$103+DNSpringWheatAfterForageCrop!F$106+DNSpringWheatAfterForageCrop!F$109+DNSpringWheatAfterForageCrop!F$112)*(1-G24))+(DNSpringWheatAfterForageCrop!H$114*(1-H24))+(DNSpringWheatAfterForageCrop!H$135*(1-I24)))))</f>
        <v>65.5</v>
      </c>
      <c r="Q24" s="479">
        <f>(DNSpringWheatAfterForageCrop!F$8*C24)+(SUM(DNSpringWheatAfterForageCrop!F$9:F$14)*D24)+(SUM(DNSpringWheatAfterForageCrop!F$21:F$61)*E24)+((SUM(DNSpringWheatAfterForageCrop!F$63:F$70)*J24)+((DNSpringWheatAfterForageCrop!F$72+DNSpringWheatAfterForageCrop!F$75+DNSpringWheatAfterForageCrop!F$78+DNSpringWheatAfterForageCrop!F$81+DNSpringWheatAfterForageCrop!F$84+DNSpringWheatAfterForageCrop!F$87+DNSpringWheatAfterForageCrop!F$90+DNSpringWheatAfterForageCrop!F$93+DNSpringWheatAfterForageCrop!F$96+DNSpringWheatAfterForageCrop!F$99+DNSpringWheatAfterForageCrop!F$102+DNSpringWheatAfterForageCrop!F$105+DNSpringWheatAfterForageCrop!F$108+DNSpringWheatAfterForageCrop!F$111)*F24))+((DNSpringWheatAfterForageCrop!F$73+DNSpringWheatAfterForageCrop!F$76+DNSpringWheatAfterForageCrop!F$79+DNSpringWheatAfterForageCrop!F$82+DNSpringWheatAfterForageCrop!F$85+DNSpringWheatAfterForageCrop!F$88+DNSpringWheatAfterForageCrop!F$91+DNSpringWheatAfterForageCrop!F$94+DNSpringWheatAfterForageCrop!F$97+DNSpringWheatAfterForageCrop!F$100+DNSpringWheatAfterForageCrop!F$103+DNSpringWheatAfterForageCrop!F$106+DNSpringWheatAfterForageCrop!F$109+DNSpringWheatAfterForageCrop!F$112)*G24)+(DNSpringWheatAfterForageCrop!I$114*H24)+(DNSpringWheatAfterForageCrop!I$135*I24)</f>
        <v>184.42187614541595</v>
      </c>
      <c r="R24" s="480">
        <f>((C$31*C$32)+C$30)+(DNSpringWheatAfterForageCrop!F$8*(1-C24))+(SUM(DNSpringWheatAfterForageCrop!F$9:F$14)*(1-D24))+(SUM(DNSpringWheatAfterForageCrop!F$21:F$61)*(1-E24))+((SUM(DNSpringWheatAfterForageCrop!F$63:F$70)*(1-J24))+((DNSpringWheatAfterForageCrop!F$72+DNSpringWheatAfterForageCrop!F$75+DNSpringWheatAfterForageCrop!F$78+DNSpringWheatAfterForageCrop!F$81+DNSpringWheatAfterForageCrop!F$84+DNSpringWheatAfterForageCrop!F$87+DNSpringWheatAfterForageCrop!F$90+DNSpringWheatAfterForageCrop!F$93+DNSpringWheatAfterForageCrop!F$96+DNSpringWheatAfterForageCrop!F$99+DNSpringWheatAfterForageCrop!F$102+DNSpringWheatAfterForageCrop!F$105+DNSpringWheatAfterForageCrop!F$108+DNSpringWheatAfterForageCrop!F$111)*(1-F24)))+((DNSpringWheatAfterForageCrop!F$73+DNSpringWheatAfterForageCrop!F$76+DNSpringWheatAfterForageCrop!F$79+DNSpringWheatAfterForageCrop!F$82+DNSpringWheatAfterForageCrop!F$85+DNSpringWheatAfterForageCrop!F$88+DNSpringWheatAfterForageCrop!F$91+DNSpringWheatAfterForageCrop!F$94+DNSpringWheatAfterForageCrop!F$97+DNSpringWheatAfterForageCrop!F$100+DNSpringWheatAfterForageCrop!F$103+DNSpringWheatAfterForageCrop!F$106+DNSpringWheatAfterForageCrop!F$109+DNSpringWheatAfterForageCrop!F$112)*(1-G24))+(DNSpringWheatAfterForageCrop!I$114*(1-H24))+(DNSpringWheatAfterForageCrop!I$135*(1-I24))</f>
        <v>65.5</v>
      </c>
      <c r="S24" s="1">
        <v>332.26</v>
      </c>
      <c r="T24" s="49">
        <f t="shared" si="5"/>
        <v>198.46601122569029</v>
      </c>
      <c r="U24" s="49">
        <f t="shared" si="6"/>
        <v>133.7939887743097</v>
      </c>
      <c r="V24" s="49"/>
      <c r="W24" s="379" t="str">
        <f>'Prices_Yields&amp;SeedInputs'!B8</f>
        <v>DN Spring Wheat after Forage Crop</v>
      </c>
      <c r="X24" s="379"/>
      <c r="Y24" s="380">
        <f t="shared" si="2"/>
        <v>0</v>
      </c>
      <c r="Z24" s="5">
        <f t="shared" si="3"/>
        <v>0</v>
      </c>
      <c r="AA24" s="381">
        <f t="shared" si="4"/>
        <v>0</v>
      </c>
      <c r="AB24" s="174">
        <f>IF('Farm and Rotation Setup'!$D$5="Winter Chickpea",'Farm and Rotation Setup'!$G$5,0)</f>
        <v>0</v>
      </c>
      <c r="AC24" s="174">
        <f>IF('Farm and Rotation Setup'!$D$6="Winter Chickpea",'Farm and Rotation Setup'!$G$6,0)</f>
        <v>0</v>
      </c>
      <c r="AD24" s="174">
        <f>IF('Farm and Rotation Setup'!$D$7="Winter Chickpea",'Farm and Rotation Setup'!$G$7,0)</f>
        <v>0</v>
      </c>
      <c r="AE24" s="174">
        <f>IF('Farm and Rotation Setup'!$D$8="Winter Chickpea",'Farm and Rotation Setup'!$G$8,0)</f>
        <v>0</v>
      </c>
      <c r="AF24" s="377">
        <f>IF('Farm and Rotation Setup'!$D$9="Winter Chickpea",'Farm and Rotation Setup'!$G$9,0)</f>
        <v>0</v>
      </c>
      <c r="AG24" s="174">
        <f>IF('Farm and Rotation Setup'!$D$14="Winter Chickpea",'Farm and Rotation Setup'!$G$14,0)</f>
        <v>0</v>
      </c>
      <c r="AH24" s="174">
        <f>IF('Farm and Rotation Setup'!$D$15="Winter Chickpea",'Farm and Rotation Setup'!$G$15,0)</f>
        <v>0</v>
      </c>
      <c r="AI24" s="174">
        <f>IF('Farm and Rotation Setup'!$D$16="Winter Chickpea",'Farm and Rotation Setup'!$G$16,0)</f>
        <v>0</v>
      </c>
      <c r="AJ24" s="174">
        <f>IF('Farm and Rotation Setup'!$D$17="Winter Chickpea",'Farm and Rotation Setup'!$G$17,0)</f>
        <v>0</v>
      </c>
      <c r="AK24" s="377">
        <f>IF('Farm and Rotation Setup'!$D$18="Winter Chickpea",'Farm and Rotation Setup'!$G$18,0)</f>
        <v>0</v>
      </c>
      <c r="AL24" s="174">
        <f>IF('Farm and Rotation Setup'!$D$23="Winter Chickpea",'Farm and Rotation Setup'!$G$23,0)</f>
        <v>0</v>
      </c>
      <c r="AM24" s="174">
        <f>IF('Farm and Rotation Setup'!$D$24="Winter Chickpea",'Farm and Rotation Setup'!$G$24,0)</f>
        <v>0</v>
      </c>
      <c r="AN24" s="174">
        <f>IF('Farm and Rotation Setup'!$D$25="Winter Chickpea",'Farm and Rotation Setup'!$G$25,0)</f>
        <v>0</v>
      </c>
      <c r="AO24" s="174">
        <f>IF('Farm and Rotation Setup'!$D$26="Winter Chickpea",'Farm and Rotation Setup'!$G$26,0)</f>
        <v>0</v>
      </c>
      <c r="AP24" s="377">
        <f>IF('Farm and Rotation Setup'!$D$27="Winter Chickpea",'Farm and Rotation Setup'!$G$27,0)</f>
        <v>0</v>
      </c>
    </row>
    <row r="25" spans="1:42" ht="20">
      <c r="A25" s="9"/>
      <c r="B25" s="10" t="str">
        <f>'Prices_Yields&amp;SeedInputs'!B28</f>
        <v>Forage Crop-Soil Builder Blend</v>
      </c>
      <c r="C25" s="258">
        <v>1</v>
      </c>
      <c r="D25" s="258">
        <v>0.67</v>
      </c>
      <c r="E25" s="258">
        <v>0.67</v>
      </c>
      <c r="F25" s="258">
        <v>1</v>
      </c>
      <c r="G25" s="258">
        <v>1</v>
      </c>
      <c r="H25" s="258">
        <v>1</v>
      </c>
      <c r="I25" s="258">
        <v>1</v>
      </c>
      <c r="J25" s="258">
        <v>1</v>
      </c>
      <c r="K25" s="258"/>
      <c r="L25" s="258"/>
      <c r="M25" s="479" cm="1">
        <f t="array" ref="M25">(ForageCrop!F$8*C25)+(SUM(ForageCrop!F$9:F$14*D25))+(SUM(ForageCrop!F$21:F$61)*E25)+(SUM(ForageCrop!F$63:F$70)*J25)+(ForageCrop!J$116*F25)+(ForageCrop!J$117*G25)+(ForageCrop!J$118*H25)+(ForageCrop!F$135*I25)</f>
        <v>59.723775995589122</v>
      </c>
      <c r="N25" s="480">
        <f>((C$31*C$32)+C$30)+(ForageCrop!F$8*(1-C25))+(SUM(ForageCrop!F$9:F$14)*(1-D25))+(SUM(ForageCrop!F$21:F$61)*(1-E25))+((SUM(ForageCrop!F$63:F$70)*(1-J25))+(ForageCrop!J$116)*(1-F25))+(ForageCrop!J$117*(1-G25))+(ForageCrop!J$118*(1-H25))+(ForageCrop!F$135*(1-I25))</f>
        <v>69.325360000000003</v>
      </c>
      <c r="O25" s="479">
        <f>(ForageCrop!F$8*C25)+(SUM(ForageCrop!F$9:F$14)*D25)+(SUM(ForageCrop!F$21:F$61)*E25)+((SUM(ForageCrop!F$63:F$70)*J25)+((ForageCrop!F$72+ForageCrop!F$75+ForageCrop!F$78+ForageCrop!F$81+ForageCrop!F$84+ForageCrop!F$87+ForageCrop!F$90+ForageCrop!F$93+ForageCrop!F$96+ForageCrop!F$99+ForageCrop!F$102+ForageCrop!F$105+ForageCrop!F$108+ForageCrop!F$111)*F25))+((ForageCrop!F$73+ForageCrop!F$76+ForageCrop!F$79+ForageCrop!F$82+ForageCrop!F$85+ForageCrop!F$88+ForageCrop!F$91+ForageCrop!F$94+ForageCrop!F$97+ForageCrop!F$100+ForageCrop!F$103+ForageCrop!F$106+ForageCrop!F$109+ForageCrop!F$112)*G25)+(ForageCrop!H$114*H25)+(ForageCrop!H$135*I25)</f>
        <v>72.899802799953008</v>
      </c>
      <c r="P25" s="480">
        <f>((C$31*C$32)+C$30)+((ForageCrop!F$8*(1-C25))+(SUM(ForageCrop!F$9:F$14)*(1-D25)+(SUM(ForageCrop!F$21:F$61)*(1-E25))+((SUM(ForageCrop!F$63:F$70)*(1-J25))+((ForageCrop!F$72+ForageCrop!F$75+ForageCrop!F$78+ForageCrop!F$81+ForageCrop!F$84+ForageCrop!F$87+ForageCrop!F$90+ForageCrop!F$93+ForageCrop!F$96+ForageCrop!F$99+ForageCrop!F$102+ForageCrop!F$105+ForageCrop!F$108+ForageCrop!F$111)*(1-F25))+((ForageCrop!F$73+ForageCrop!F$76+ForageCrop!F$79+ForageCrop!F$82+ForageCrop!F$85+ForageCrop!F$88+ForageCrop!F$91+ForageCrop!F$94+ForageCrop!F$97+ForageCrop!F$100+ForageCrop!F$103+ForageCrop!F$106+ForageCrop!F$109+ForageCrop!F$112)*(1-G25))+(ForageCrop!H$114*(1-H25))+(ForageCrop!H$135*(1-I25)))))</f>
        <v>69.325360000000003</v>
      </c>
      <c r="Q25" s="479">
        <f>(ForageCrop!F$8*C25)+(SUM(ForageCrop!F$9:F$14)*D25)+(SUM(ForageCrop!F$21:F$61)*E25)+((SUM(ForageCrop!F$63:F$70)*J25)+((ForageCrop!F$72+ForageCrop!F$75+ForageCrop!F$78+ForageCrop!F$81+ForageCrop!F$84+ForageCrop!F$87+ForageCrop!F$90+ForageCrop!F$93+ForageCrop!F$96+ForageCrop!F$99+ForageCrop!F$102+ForageCrop!F$105+ForageCrop!F$108+ForageCrop!F$111)*F25))+((ForageCrop!F$73+ForageCrop!F$76+ForageCrop!F$79+ForageCrop!F$82+ForageCrop!F$85+ForageCrop!F$88+ForageCrop!F$91+ForageCrop!F$94+ForageCrop!F$97+ForageCrop!F$100+ForageCrop!F$103+ForageCrop!F$106+ForageCrop!F$109+ForageCrop!F$112)*G25)+(ForageCrop!I$114*H25)+(ForageCrop!I$135*I25)</f>
        <v>72.835739586852739</v>
      </c>
      <c r="R25" s="480">
        <f>((C$31*C$32)+C$30)+(ForageCrop!F$8*(1-C25))+(SUM(ForageCrop!F$9:F$14)*(1-D25))+(SUM(ForageCrop!F$21:F$61)*(1-E25))+((SUM(ForageCrop!F$63:F$70)*(1-J25))+((ForageCrop!F$72+ForageCrop!F$75+ForageCrop!F$78+ForageCrop!F$81+ForageCrop!F$84+ForageCrop!F$87+ForageCrop!F$90+ForageCrop!F$93+ForageCrop!F$96+ForageCrop!F$99+ForageCrop!F$102+ForageCrop!F$105+ForageCrop!F$108+ForageCrop!F$111)*(1-F25)))+((ForageCrop!F$73+ForageCrop!F$76+ForageCrop!F$79+ForageCrop!F$82+ForageCrop!F$85+ForageCrop!F$88+ForageCrop!F$91+ForageCrop!F$94+ForageCrop!F$97+ForageCrop!F$100+ForageCrop!F$103+ForageCrop!F$106+ForageCrop!F$109+ForageCrop!F$112)*(1-G25))+(ForageCrop!I$114*(1-H25))+(ForageCrop!I$135*(1-I25))</f>
        <v>69.325360000000003</v>
      </c>
      <c r="S25" s="1">
        <v>333.26</v>
      </c>
      <c r="T25" s="49">
        <f t="shared" si="5"/>
        <v>129.04913599558913</v>
      </c>
      <c r="U25" s="49">
        <f t="shared" si="6"/>
        <v>204.21086400441087</v>
      </c>
      <c r="V25" s="49"/>
      <c r="W25" s="379" t="str">
        <f>'Prices_Yields&amp;SeedInputs'!B28</f>
        <v>Forage Crop-Soil Builder Blend</v>
      </c>
      <c r="X25" s="379"/>
      <c r="Y25" s="380">
        <f t="shared" si="2"/>
        <v>0</v>
      </c>
      <c r="Z25" s="5">
        <f t="shared" si="3"/>
        <v>0</v>
      </c>
      <c r="AA25" s="381">
        <f t="shared" si="4"/>
        <v>0</v>
      </c>
      <c r="AB25" s="174">
        <f>IF('Farm and Rotation Setup'!$D$5="Cover Crop-Soil Builder Blend",'Farm and Rotation Setup'!$G$5,0)</f>
        <v>0</v>
      </c>
      <c r="AC25" s="174">
        <f>IF('Farm and Rotation Setup'!$D$6="Cover Crop-Soil Builder Blend",'Farm and Rotation Setup'!$G$6,0)</f>
        <v>0</v>
      </c>
      <c r="AD25" s="174">
        <f>IF('Farm and Rotation Setup'!$D$7="Cover Crop-Soil Builder Blend",'Farm and Rotation Setup'!$G$7,0)</f>
        <v>0</v>
      </c>
      <c r="AE25" s="174">
        <f>IF('Farm and Rotation Setup'!$D$8="Cover Crop-Soil Builder Blend",'Farm and Rotation Setup'!$G$8,0)</f>
        <v>0</v>
      </c>
      <c r="AF25" s="377">
        <f>IF('Farm and Rotation Setup'!$D$9="Cover Crop-Soil Builder Blend",'Farm and Rotation Setup'!$G$9,0)</f>
        <v>0</v>
      </c>
      <c r="AG25" s="174">
        <f>IF('Farm and Rotation Setup'!$D$14="Cover Crop-Soil Builder Blend",'Farm and Rotation Setup'!$G$14,0)</f>
        <v>0</v>
      </c>
      <c r="AH25" s="174">
        <f>IF('Farm and Rotation Setup'!$D$15="Cover Crop-Soil Builder Blend",'Farm and Rotation Setup'!$G$15,0)</f>
        <v>0</v>
      </c>
      <c r="AI25" s="174">
        <f>IF('Farm and Rotation Setup'!$D$16="Cover Crop-Soil Builder Blend",'Farm and Rotation Setup'!$G$16,0)</f>
        <v>0</v>
      </c>
      <c r="AJ25" s="174">
        <f>IF('Farm and Rotation Setup'!$D$17="Cover Crop-Soil Builder Blend",'Farm and Rotation Setup'!$G$17,0)</f>
        <v>0</v>
      </c>
      <c r="AK25" s="377">
        <f>IF('Farm and Rotation Setup'!$D$18="Cover Crop-Soil Builder Blend",'Farm and Rotation Setup'!$G$18,0)</f>
        <v>0</v>
      </c>
      <c r="AL25" s="174">
        <f>IF('Farm and Rotation Setup'!$D$23="Cover Crop-Soil Builder Blend",'Farm and Rotation Setup'!$G$23,0)</f>
        <v>0</v>
      </c>
      <c r="AM25" s="174">
        <f>IF('Farm and Rotation Setup'!$D$24="Cover Crop-Soil Builder Blend",'Farm and Rotation Setup'!$G$24,0)</f>
        <v>0</v>
      </c>
      <c r="AN25" s="174">
        <f>IF('Farm and Rotation Setup'!$D$25="Cover Crop-Soil Builder Blend",'Farm and Rotation Setup'!$G$25,0)</f>
        <v>0</v>
      </c>
      <c r="AO25" s="174">
        <f>IF('Farm and Rotation Setup'!$D$26="Cover Crop-Soil Builder Blend",'Farm and Rotation Setup'!$G$26,0)</f>
        <v>0</v>
      </c>
      <c r="AP25" s="377">
        <f>IF('Farm and Rotation Setup'!$D$27="Cover Crop-Soil Builder Blend",'Farm and Rotation Setup'!$G$27,0)</f>
        <v>0</v>
      </c>
    </row>
    <row r="26" spans="1:42" ht="20">
      <c r="A26" s="9"/>
      <c r="B26" s="10" t="str">
        <f>'Prices_Yields&amp;SeedInputs'!B13</f>
        <v>Forage Crop-St. John Area</v>
      </c>
      <c r="C26" s="258">
        <v>1</v>
      </c>
      <c r="D26" s="258">
        <v>0.67</v>
      </c>
      <c r="E26" s="258">
        <v>0.67</v>
      </c>
      <c r="F26" s="258">
        <v>1</v>
      </c>
      <c r="G26" s="258">
        <v>1</v>
      </c>
      <c r="H26" s="258">
        <v>1</v>
      </c>
      <c r="I26" s="258">
        <v>1</v>
      </c>
      <c r="J26" s="258">
        <v>1</v>
      </c>
      <c r="K26" s="258"/>
      <c r="L26" s="258"/>
      <c r="M26" s="479" cm="1">
        <f t="array" ref="M26">('ForageCrop-StJohn'!F$8*C26)+(SUM('ForageCrop-StJohn'!F$9:F$14*D26))+(SUM('ForageCrop-StJohn'!F$21:F$61)*E26)+(SUM('ForageCrop-StJohn'!F$63:F$70)*J26)+('ForageCrop-StJohn'!J$116*F26)+('ForageCrop-StJohn'!J$117*G26)+('ForageCrop-StJohn'!J$118*H26)+('ForageCrop-StJohn'!F$135*I26)</f>
        <v>61.431255712324884</v>
      </c>
      <c r="N26" s="480">
        <f>((C$31*C$32)+C$30)+('ForageCrop-StJohn'!F$8*(1-C26))+(SUM('ForageCrop-StJohn'!F$9:F$14)*(1-D26))+(SUM('ForageCrop-StJohn'!F$21:F$61)*(1-E26))+((SUM('ForageCrop-StJohn'!F$63:F$70)*(1-J26))+('ForageCrop-StJohn'!J$116)*(1-F26))+('ForageCrop-StJohn'!J$117*(1-G26))+('ForageCrop-StJohn'!J$118*(1-H26))+('ForageCrop-StJohn'!F$135*(1-I26))</f>
        <v>69.279820000000001</v>
      </c>
      <c r="O26" s="479">
        <f>('ForageCrop-StJohn'!F$8*C26)+(SUM('ForageCrop-StJohn'!F$9:F$14)*D26)+(SUM('ForageCrop-StJohn'!F$21:F$61)*E26)+((SUM('ForageCrop-StJohn'!F$63:F$70)*J26)+(('ForageCrop-StJohn'!F$72+'ForageCrop-StJohn'!F$75+'ForageCrop-StJohn'!F$78+'ForageCrop-StJohn'!F$81+'ForageCrop-StJohn'!F$84+'ForageCrop-StJohn'!F$87+'ForageCrop-StJohn'!F$90+'ForageCrop-StJohn'!F$93+'ForageCrop-StJohn'!F$96+'ForageCrop-StJohn'!F$99+'ForageCrop-StJohn'!F$102+'ForageCrop-StJohn'!F$105+'ForageCrop-StJohn'!F$108+'ForageCrop-StJohn'!F$111)*F26))+(('ForageCrop-StJohn'!F$73+'ForageCrop-StJohn'!F$76+'ForageCrop-StJohn'!F$79+'ForageCrop-StJohn'!F$82+'ForageCrop-StJohn'!F$85+'ForageCrop-StJohn'!F$88+'ForageCrop-StJohn'!F$91+'ForageCrop-StJohn'!F$94+'ForageCrop-StJohn'!F$97+'ForageCrop-StJohn'!F$100+'ForageCrop-StJohn'!F$103+'ForageCrop-StJohn'!F$106+'ForageCrop-StJohn'!F$109+'ForageCrop-StJohn'!F$112)*G26)+('ForageCrop-StJohn'!H$114*H26)+('ForageCrop-StJohn'!H$135*I26)</f>
        <v>71.528622004069703</v>
      </c>
      <c r="P26" s="480">
        <f>((C$31*C$32)+C$30)+(('ForageCrop-StJohn'!F$8*(1-C26))+(SUM('ForageCrop-StJohn'!F$9:F$14)*(1-D26)+(SUM('ForageCrop-StJohn'!F$21:F$61)*(1-E26))+((SUM('ForageCrop-StJohn'!F$63:F$70)*(1-J26))+(('ForageCrop-StJohn'!F$72+'ForageCrop-StJohn'!F$75+'ForageCrop-StJohn'!F$78+'ForageCrop-StJohn'!F$81+'ForageCrop-StJohn'!F$84+'ForageCrop-StJohn'!F$87+'ForageCrop-StJohn'!F$90+'ForageCrop-StJohn'!F$93+'ForageCrop-StJohn'!F$96+'ForageCrop-StJohn'!F$99+'ForageCrop-StJohn'!F$102+'ForageCrop-StJohn'!F$105+'ForageCrop-StJohn'!F$108+'ForageCrop-StJohn'!F$111)*(1-F26))+(('ForageCrop-StJohn'!F$73+'ForageCrop-StJohn'!F$76+'ForageCrop-StJohn'!F$79+'ForageCrop-StJohn'!F$82+'ForageCrop-StJohn'!F$85+'ForageCrop-StJohn'!F$88+'ForageCrop-StJohn'!F$91+'ForageCrop-StJohn'!F$94+'ForageCrop-StJohn'!F$97+'ForageCrop-StJohn'!F$100+'ForageCrop-StJohn'!F$103+'ForageCrop-StJohn'!F$106+'ForageCrop-StJohn'!F$109+'ForageCrop-StJohn'!F$112)*(1-G26))+('ForageCrop-StJohn'!H$114*(1-H26))+('ForageCrop-StJohn'!H$135*(1-I26)))))</f>
        <v>69.279820000000001</v>
      </c>
      <c r="Q26" s="479">
        <f>('ForageCrop-StJohn'!F$8*C26)+(SUM('ForageCrop-StJohn'!F$9:F$14)*D26)+(SUM('ForageCrop-StJohn'!F$21:F$61)*E26)+((SUM('ForageCrop-StJohn'!F$63:F$70)*J26)+(('ForageCrop-StJohn'!F$72+'ForageCrop-StJohn'!F$75+'ForageCrop-StJohn'!F$78+'ForageCrop-StJohn'!F$81+'ForageCrop-StJohn'!F$84+'ForageCrop-StJohn'!F$87+'ForageCrop-StJohn'!F$90+'ForageCrop-StJohn'!F$93+'ForageCrop-StJohn'!F$96+'ForageCrop-StJohn'!F$99+'ForageCrop-StJohn'!F$102+'ForageCrop-StJohn'!F$105+'ForageCrop-StJohn'!F$108+'ForageCrop-StJohn'!F$111)*F26))+(('ForageCrop-StJohn'!F$73+'ForageCrop-StJohn'!F$76+'ForageCrop-StJohn'!F$79+'ForageCrop-StJohn'!F$82+'ForageCrop-StJohn'!F$85+'ForageCrop-StJohn'!F$88+'ForageCrop-StJohn'!F$91+'ForageCrop-StJohn'!F$94+'ForageCrop-StJohn'!F$97+'ForageCrop-StJohn'!F$100+'ForageCrop-StJohn'!F$103+'ForageCrop-StJohn'!F$106+'ForageCrop-StJohn'!F$109+'ForageCrop-StJohn'!F$112)*G26)+('ForageCrop-StJohn'!I$114*H26)+('ForageCrop-StJohn'!I$135*I26)</f>
        <v>71.477025931218321</v>
      </c>
      <c r="R26" s="480">
        <f>((C$31*C$32)+C$30)+('ForageCrop-StJohn'!F$8*(1-C26))+(SUM('ForageCrop-StJohn'!F$9:F$14)*(1-D26))+(SUM('ForageCrop-StJohn'!F$21:F$61)*(1-E26))+((SUM('ForageCrop-StJohn'!F$63:F$70)*(1-J26))+(('ForageCrop-StJohn'!F$72+'ForageCrop-StJohn'!F$75+'ForageCrop-StJohn'!F$78+'ForageCrop-StJohn'!F$81+'ForageCrop-StJohn'!F$84+'ForageCrop-StJohn'!F$87+'ForageCrop-StJohn'!F$90+'ForageCrop-StJohn'!F$93+'ForageCrop-StJohn'!F$96+'ForageCrop-StJohn'!F$99+'ForageCrop-StJohn'!F$102+'ForageCrop-StJohn'!F$105+'ForageCrop-StJohn'!F$108+'ForageCrop-StJohn'!F$111)*(1-F26)))+(('ForageCrop-StJohn'!F$73+'ForageCrop-StJohn'!F$76+'ForageCrop-StJohn'!F$79+'ForageCrop-StJohn'!F$82+'ForageCrop-StJohn'!F$85+'ForageCrop-StJohn'!F$88+'ForageCrop-StJohn'!F$91+'ForageCrop-StJohn'!F$94+'ForageCrop-StJohn'!F$97+'ForageCrop-StJohn'!F$100+'ForageCrop-StJohn'!F$103+'ForageCrop-StJohn'!F$106+'ForageCrop-StJohn'!F$109+'ForageCrop-StJohn'!F$112)*(1-G26))+('ForageCrop-StJohn'!I$114*(1-H26))+('ForageCrop-StJohn'!I$135*(1-I26))</f>
        <v>69.279820000000001</v>
      </c>
      <c r="S26" s="1">
        <v>334.26</v>
      </c>
      <c r="T26" s="49">
        <f t="shared" si="5"/>
        <v>130.71107571232488</v>
      </c>
      <c r="U26" s="49">
        <f t="shared" si="6"/>
        <v>203.54892428767511</v>
      </c>
      <c r="V26" s="49"/>
      <c r="W26" s="379" t="str">
        <f>'Prices_Yields&amp;SeedInputs'!B13</f>
        <v>Forage Crop-St. John Area</v>
      </c>
      <c r="X26" s="379"/>
      <c r="Y26" s="380">
        <f t="shared" si="2"/>
        <v>0</v>
      </c>
      <c r="Z26" s="5">
        <f t="shared" si="3"/>
        <v>0</v>
      </c>
      <c r="AA26" s="381">
        <f t="shared" si="4"/>
        <v>0</v>
      </c>
      <c r="AB26" s="174">
        <f>IF('Farm and Rotation Setup'!$D$5="Cover Crop-St. John Area",'Farm and Rotation Setup'!$G$5,0)</f>
        <v>0</v>
      </c>
      <c r="AC26" s="174">
        <f>IF('Farm and Rotation Setup'!$D$6="Cover Crop-St. John Area",'Farm and Rotation Setup'!$G$6,0)</f>
        <v>0</v>
      </c>
      <c r="AD26" s="174">
        <f>IF('Farm and Rotation Setup'!$D$7="Cover Crop-St. John Area",'Farm and Rotation Setup'!$G$7,0)</f>
        <v>0</v>
      </c>
      <c r="AE26" s="174">
        <f>IF('Farm and Rotation Setup'!$D$8="Cover Crop-St. John Area",'Farm and Rotation Setup'!$G$8,0)</f>
        <v>0</v>
      </c>
      <c r="AF26" s="377">
        <f>IF('Farm and Rotation Setup'!$D$9="Cover Crop-St. John Area",'Farm and Rotation Setup'!$G$9,0)</f>
        <v>0</v>
      </c>
      <c r="AG26" s="174">
        <f>IF('Farm and Rotation Setup'!$D$14="Cover Crop-St. John Area",'Farm and Rotation Setup'!$G$14,0)</f>
        <v>0</v>
      </c>
      <c r="AH26" s="174">
        <f>IF('Farm and Rotation Setup'!$D$15="Cover Crop-St. John Area",'Farm and Rotation Setup'!$G$15,0)</f>
        <v>0</v>
      </c>
      <c r="AI26" s="174">
        <f>IF('Farm and Rotation Setup'!$D$16="Cover Crop-St. John Area",'Farm and Rotation Setup'!$G$16,0)</f>
        <v>0</v>
      </c>
      <c r="AJ26" s="174">
        <f>IF('Farm and Rotation Setup'!$D$17="Cover Crop-St. John Area",'Farm and Rotation Setup'!$G$17,0)</f>
        <v>0</v>
      </c>
      <c r="AK26" s="377">
        <f>IF('Farm and Rotation Setup'!$D$18="Cover Crop-St. John Area",'Farm and Rotation Setup'!$G$18,0)</f>
        <v>0</v>
      </c>
      <c r="AL26" s="174">
        <f>IF('Farm and Rotation Setup'!$D$23="Cover Crop-St. John Area",'Farm and Rotation Setup'!$G$23,0)</f>
        <v>0</v>
      </c>
      <c r="AM26" s="174">
        <f>IF('Farm and Rotation Setup'!$D$24="Cover Crop-St. John Area",'Farm and Rotation Setup'!$G$24,0)</f>
        <v>0</v>
      </c>
      <c r="AN26" s="174">
        <f>IF('Farm and Rotation Setup'!$D$25="Cover Crop-St. John Area",'Farm and Rotation Setup'!$G$25,0)</f>
        <v>0</v>
      </c>
      <c r="AO26" s="174">
        <f>IF('Farm and Rotation Setup'!$D$26="Cover Crop-St. John Area",'Farm and Rotation Setup'!$G$26,0)</f>
        <v>0</v>
      </c>
      <c r="AP26" s="377">
        <f>IF('Farm and Rotation Setup'!$D$27="Cover Crop-St. John Area",'Farm and Rotation Setup'!$G$27,0)</f>
        <v>0</v>
      </c>
    </row>
    <row r="27" spans="1:42" ht="21" thickBot="1">
      <c r="A27" s="9"/>
      <c r="B27" s="167" t="str">
        <f>'Prices_Yields&amp;SeedInputs'!B14</f>
        <v>Forage Crop-Genesee Area</v>
      </c>
      <c r="C27" s="260">
        <v>1</v>
      </c>
      <c r="D27" s="258">
        <v>0.67</v>
      </c>
      <c r="E27" s="258">
        <v>0.67</v>
      </c>
      <c r="F27" s="258">
        <v>1</v>
      </c>
      <c r="G27" s="260">
        <v>1</v>
      </c>
      <c r="H27" s="260">
        <v>1</v>
      </c>
      <c r="I27" s="260">
        <v>1</v>
      </c>
      <c r="J27" s="260">
        <v>1</v>
      </c>
      <c r="K27" s="260"/>
      <c r="L27" s="260"/>
      <c r="M27" s="483" cm="1">
        <f t="array" ref="M27">('ForageCrop-Genesee'!F$8*C27)+(SUM('ForageCrop-Genesee'!F$9:F$14*D27))+(SUM('ForageCrop-Genesee'!F$21:F$61)*E27)+(SUM('ForageCrop-Genesee'!F$63:F$70)*J27)+('ForageCrop-Genesee'!J$116*F27)+('ForageCrop-Genesee'!J$117*G27)+('ForageCrop-Genesee'!J$118*H27)+('ForageCrop-Genesee'!F$135*I27)</f>
        <v>55.231255712324888</v>
      </c>
      <c r="N27" s="484">
        <f>((C$31*C$32)+C$30)+('ForageCrop-Genesee'!F$8*(1-C27))+(SUM('ForageCrop-Genesee'!F$9:F$14)*(1-D27))+(SUM('ForageCrop-Genesee'!F$21:F$61)*(1-E27))+((SUM('ForageCrop-Genesee'!F$63:F$70)*(1-J27))+('ForageCrop-Genesee'!J$116)*(1-F27))+('ForageCrop-Genesee'!J$117*(1-G27))+('ForageCrop-Genesee'!J$118*(1-H27))+('ForageCrop-Genesee'!F$135*(1-I27))</f>
        <v>69.279820000000001</v>
      </c>
      <c r="O27" s="483">
        <f>('ForageCrop-Genesee'!F$8*C27)+(SUM('ForageCrop-Genesee'!F$9:F$14)*D27)+(SUM('ForageCrop-Genesee'!F$21:F$61)*E27)+((SUM('ForageCrop-Genesee'!F$63:F$70)*J27)+(('ForageCrop-Genesee'!F$72+'ForageCrop-Genesee'!F$75+'ForageCrop-Genesee'!F$78+'ForageCrop-Genesee'!F$81+'ForageCrop-Genesee'!F$84+'ForageCrop-Genesee'!F$87+'ForageCrop-Genesee'!F$90+'ForageCrop-Genesee'!F$93+'ForageCrop-Genesee'!F$96+'ForageCrop-Genesee'!F$99+'ForageCrop-Genesee'!F$102+'ForageCrop-Genesee'!F$105+'ForageCrop-Genesee'!F$108+'ForageCrop-Genesee'!F$111)*F27))+(('ForageCrop-Genesee'!F$73+'ForageCrop-Genesee'!F$76+'ForageCrop-Genesee'!F$79+'ForageCrop-Genesee'!F$82+'ForageCrop-Genesee'!F$85+'ForageCrop-Genesee'!F$88+'ForageCrop-Genesee'!F$91+'ForageCrop-Genesee'!F$94+'ForageCrop-Genesee'!F$97+'ForageCrop-Genesee'!F$100+'ForageCrop-Genesee'!F$103+'ForageCrop-Genesee'!F$106+'ForageCrop-Genesee'!F$109+'ForageCrop-Genesee'!F$112)*G27)+('ForageCrop-Genesee'!H$114*H27)+('ForageCrop-Genesee'!H$135*I27)</f>
        <v>65.3286220040697</v>
      </c>
      <c r="P27" s="484">
        <f>((C$31*C$32)+C$30)+(('ForageCrop-Genesee'!F$8*(1-C27))+(SUM('ForageCrop-Genesee'!F$9:F$14)*(1-D27)+(SUM('ForageCrop-Genesee'!F$21:F$61)*(1-E27))+((SUM('ForageCrop-Genesee'!F$63:F$70)*(1-J27))+(('ForageCrop-Genesee'!F$72+'ForageCrop-Genesee'!F$75+'ForageCrop-Genesee'!F$78+'ForageCrop-Genesee'!F$81+'ForageCrop-Genesee'!F$84+'ForageCrop-Genesee'!F$87+'ForageCrop-Genesee'!F$90+'ForageCrop-Genesee'!F$93+'ForageCrop-Genesee'!F$96+'ForageCrop-Genesee'!F$99+'ForageCrop-Genesee'!F$102+'ForageCrop-Genesee'!F$105+'ForageCrop-Genesee'!F$108+'ForageCrop-Genesee'!F$111)*(1-F27))+(('ForageCrop-Genesee'!F$73+'ForageCrop-Genesee'!F$76+'ForageCrop-Genesee'!F$79+'ForageCrop-Genesee'!F$82+'ForageCrop-Genesee'!F$85+'ForageCrop-Genesee'!F$88+'ForageCrop-Genesee'!F$91+'ForageCrop-Genesee'!F$94+'ForageCrop-Genesee'!F$97+'ForageCrop-Genesee'!F$100+'ForageCrop-Genesee'!F$103+'ForageCrop-Genesee'!F$106+'ForageCrop-Genesee'!F$109+'ForageCrop-Genesee'!F$112)*(1-G27))+('ForageCrop-Genesee'!H$114*(1-H27))+('ForageCrop-Genesee'!H$135*(1-I27)))))</f>
        <v>69.279820000000001</v>
      </c>
      <c r="Q27" s="483">
        <f>('ForageCrop-Genesee'!F$8*C27)+(SUM('ForageCrop-Genesee'!F$9:F$14)*D27)+(SUM('ForageCrop-Genesee'!F$21:F$61)*E27)+((SUM('ForageCrop-Genesee'!F$63:F$70)*J27)+(('ForageCrop-Genesee'!F$72+'ForageCrop-Genesee'!F$75+'ForageCrop-Genesee'!F$78+'ForageCrop-Genesee'!F$81+'ForageCrop-Genesee'!F$84+'ForageCrop-Genesee'!F$87+'ForageCrop-Genesee'!F$90+'ForageCrop-Genesee'!F$93+'ForageCrop-Genesee'!F$96+'ForageCrop-Genesee'!F$99+'ForageCrop-Genesee'!F$102+'ForageCrop-Genesee'!F$105+'ForageCrop-Genesee'!F$108+'ForageCrop-Genesee'!F$111)*F27))+(('ForageCrop-Genesee'!F$73+'ForageCrop-Genesee'!F$76+'ForageCrop-Genesee'!F$79+'ForageCrop-Genesee'!F$82+'ForageCrop-Genesee'!F$85+'ForageCrop-Genesee'!F$88+'ForageCrop-Genesee'!F$91+'ForageCrop-Genesee'!F$94+'ForageCrop-Genesee'!F$97+'ForageCrop-Genesee'!F$100+'ForageCrop-Genesee'!F$103+'ForageCrop-Genesee'!F$106+'ForageCrop-Genesee'!F$109+'ForageCrop-Genesee'!F$112)*G27)+('ForageCrop-Genesee'!I$114*H27)+('ForageCrop-Genesee'!I$135*I27)</f>
        <v>65.277025931218333</v>
      </c>
      <c r="R27" s="484">
        <f>((C$31*C$32)+C$30)+('ForageCrop-Genesee'!F$8*(1-C27))+(SUM('ForageCrop-Genesee'!F$9:F$14)*(1-D27))+(SUM('ForageCrop-Genesee'!F$21:F$61)*(1-E27))+((SUM('ForageCrop-Genesee'!F$63:F$70)*(1-J27))+(('ForageCrop-Genesee'!F$72+'ForageCrop-Genesee'!F$75+'ForageCrop-Genesee'!F$78+'ForageCrop-Genesee'!F$81+'ForageCrop-Genesee'!F$84+'ForageCrop-Genesee'!F$87+'ForageCrop-Genesee'!F$90+'ForageCrop-Genesee'!F$93+'ForageCrop-Genesee'!F$96+'ForageCrop-Genesee'!F$99+'ForageCrop-Genesee'!F$102+'ForageCrop-Genesee'!F$105+'ForageCrop-Genesee'!F$108+'ForageCrop-Genesee'!F$111)*(1-F27)))+(('ForageCrop-Genesee'!F$73+'ForageCrop-Genesee'!F$76+'ForageCrop-Genesee'!F$79+'ForageCrop-Genesee'!F$82+'ForageCrop-Genesee'!F$85+'ForageCrop-Genesee'!F$88+'ForageCrop-Genesee'!F$91+'ForageCrop-Genesee'!F$94+'ForageCrop-Genesee'!F$97+'ForageCrop-Genesee'!F$100+'ForageCrop-Genesee'!F$103+'ForageCrop-Genesee'!F$106+'ForageCrop-Genesee'!F$109+'ForageCrop-Genesee'!F$112)*(1-G27))+('ForageCrop-Genesee'!I$114*(1-H27))+('ForageCrop-Genesee'!I$135*(1-I27))</f>
        <v>69.279820000000001</v>
      </c>
      <c r="S27" s="1">
        <v>335.26</v>
      </c>
      <c r="T27" s="49">
        <f t="shared" si="5"/>
        <v>124.5110757123249</v>
      </c>
      <c r="U27" s="49">
        <f t="shared" si="6"/>
        <v>210.7489242876751</v>
      </c>
      <c r="V27" s="49"/>
      <c r="W27" s="379" t="str">
        <f>'Prices_Yields&amp;SeedInputs'!B14</f>
        <v>Forage Crop-Genesee Area</v>
      </c>
      <c r="X27" s="379"/>
      <c r="Y27" s="382">
        <f t="shared" si="2"/>
        <v>0</v>
      </c>
      <c r="Z27" s="383">
        <f t="shared" si="3"/>
        <v>0</v>
      </c>
      <c r="AA27" s="384">
        <f t="shared" si="4"/>
        <v>0</v>
      </c>
      <c r="AB27" s="174">
        <f>IF('Farm and Rotation Setup'!$D$5="Cover Crop-Genesee Area",'Farm and Rotation Setup'!$G$5,0)</f>
        <v>0</v>
      </c>
      <c r="AC27" s="174">
        <f>IF('Farm and Rotation Setup'!$D$6="Cover Crop-Genesee Area",'Farm and Rotation Setup'!$G$6,0)</f>
        <v>0</v>
      </c>
      <c r="AD27" s="174">
        <f>IF('Farm and Rotation Setup'!$D$7="Cover Crop-Genesee Area",'Farm and Rotation Setup'!$G$7,0)</f>
        <v>0</v>
      </c>
      <c r="AE27" s="174">
        <f>IF('Farm and Rotation Setup'!$D$8="Cover Crop-Genesee Area",'Farm and Rotation Setup'!$G$8,0)</f>
        <v>0</v>
      </c>
      <c r="AF27" s="377">
        <f>IF('Farm and Rotation Setup'!$D$9="Cover Crop-Genesee Area",'Farm and Rotation Setup'!$G$9,0)</f>
        <v>0</v>
      </c>
      <c r="AG27" s="174">
        <f>IF('Farm and Rotation Setup'!$D$14="Cover Crop-Genesee Area",'Farm and Rotation Setup'!$G$14,0)</f>
        <v>0</v>
      </c>
      <c r="AH27" s="174">
        <f>IF('Farm and Rotation Setup'!$D$15="Cover Crop-Genesee Area",'Farm and Rotation Setup'!$G$15,0)</f>
        <v>0</v>
      </c>
      <c r="AI27" s="174">
        <f>IF('Farm and Rotation Setup'!$D$16="Cover Crop-Genesee Area",'Farm and Rotation Setup'!$G$16,0)</f>
        <v>0</v>
      </c>
      <c r="AJ27" s="174">
        <f>IF('Farm and Rotation Setup'!$D$17="Cover Crop-Genesee Area",'Farm and Rotation Setup'!$G$17,0)</f>
        <v>0</v>
      </c>
      <c r="AK27" s="377">
        <f>IF('Farm and Rotation Setup'!$D$18="Cover Crop-Genesee Area",'Farm and Rotation Setup'!$G$18,0)</f>
        <v>0</v>
      </c>
      <c r="AL27" s="174">
        <f>IF('Farm and Rotation Setup'!$D$23="Cover Crop-Genesee Area",'Farm and Rotation Setup'!$G$23,0)</f>
        <v>0</v>
      </c>
      <c r="AM27" s="174">
        <f>IF('Farm and Rotation Setup'!$D$24="Cover Crop-Genesee Area",'Farm and Rotation Setup'!$G$24,0)</f>
        <v>0</v>
      </c>
      <c r="AN27" s="174">
        <f>IF('Farm and Rotation Setup'!$D$25="Cover Crop-Genesee Area",'Farm and Rotation Setup'!$G$25,0)</f>
        <v>0</v>
      </c>
      <c r="AO27" s="174">
        <f>IF('Farm and Rotation Setup'!$D$26="Cover Crop-Genesee Area",'Farm and Rotation Setup'!$G$26,0)</f>
        <v>0</v>
      </c>
      <c r="AP27" s="377">
        <f>IF('Farm and Rotation Setup'!$D$27="Cover Crop-Genesee Area",'Farm and Rotation Setup'!$G$27,0)</f>
        <v>0</v>
      </c>
    </row>
    <row r="28" spans="1:42" ht="8" customHeight="1">
      <c r="A28" s="9"/>
      <c r="B28" s="167"/>
      <c r="C28" s="316"/>
      <c r="D28" s="316"/>
      <c r="E28" s="316"/>
      <c r="F28" s="316"/>
      <c r="G28" s="316"/>
      <c r="H28" s="316"/>
      <c r="I28" s="316"/>
      <c r="J28" s="316"/>
      <c r="K28" s="260"/>
      <c r="L28" s="260"/>
      <c r="M28" s="264" t="s">
        <v>8</v>
      </c>
      <c r="W28" s="378" t="s">
        <v>8</v>
      </c>
      <c r="X28" s="378"/>
    </row>
    <row r="29" spans="1:42" ht="20" customHeight="1">
      <c r="A29" s="9"/>
      <c r="B29" s="51" t="s">
        <v>177</v>
      </c>
      <c r="C29" s="317"/>
      <c r="D29" s="316"/>
      <c r="E29" s="316"/>
      <c r="F29" s="316"/>
      <c r="G29" s="316"/>
      <c r="H29" s="316"/>
      <c r="I29" s="316"/>
      <c r="J29" s="316"/>
      <c r="K29" s="260"/>
      <c r="L29" s="260"/>
      <c r="M29" s="266">
        <f>(M5*Y5)+(M6*Y6)+(M7*Y7)+(M8*Y8)+(M9*Y9)+(M10*Y10)+(M11*Y11)+(M12*Y12)+(M13*Y13)+(M14*Y14)+(M15*Y15)+(M16*Y16)+(M17*Y17)+(M18*Y18)+(M19*Y19)+(M20*Y20)+(M21*Y21)+(M22*Y22)+(M23*Y23)+(M24*Y24)+(M25*Y25)+(M26*Y26)+(M27*Y27)</f>
        <v>223144.65122569029</v>
      </c>
      <c r="N29" s="266">
        <f>(N5*Y5)+(N6*Y6)+(N7*Y7)+(N8*Y8)+(N9*Y9)+(N10*Y10)+(N11*Y11)+(N12*Y12)+(N13*Y13)+(N14*Y14)+(N15*Y15)+(N16*Y16)+(N17*Y17)+(N18*Y18)+(N19*Y19)+(N20*Y20)+(N21*Y21)+(N22*Y22)+(N23*Y23)+(N24*Y24)+(N25*Y25)+(N26*Y26)+(N27*Y27)</f>
        <v>91963.36</v>
      </c>
      <c r="O29" s="266">
        <f>(O5*Z5)+(O6*Z6)+(O7*Z7)+(O8*Z8)+(O9*Z9)+(O10*Z10)+(O11*Z11)+(O12*Z12)+(O13*Z13)+(O14*Z14)+(O15*Z15)+(O16*Z16)+(O17*Z17)+(O18*Z18)+(O19*Z19)+(O20*Z20)+(O21*Z21)+(O22*Z22)+(O23*Z23)+(O24*Z24)+(O25*Z25)+(O26*Z26)+(O27*Z27)</f>
        <v>60318.082958730862</v>
      </c>
      <c r="P29" s="266">
        <f>(P5*Z5)+(P6*Z6)+(P7*Z7)+(P8*Z8)+(P9*Z9)+(P10*Z10)+(P11*Z11)+(P12*Z12)+(P13*Z13)+(P14*Z14)+(P15*Z15)+(P16*Z16)+(P17*Z17)+(P18*Z18)+(P19*Z19)+(P20*Z20)+(P21*Z21)+(P22*Z22)+(P23*Z23)+(P24*Z24)+(P25*Z25)+(P26*Z26)+(P27*Z27)</f>
        <v>18985.918750000001</v>
      </c>
      <c r="Q29" s="266">
        <f>(Q5*AA5)+(Q6*AA6)+(Q7*AA7)+(Q8*AA8)+(Q9*AA9)+(Q10*AA10)+(Q11*AA11)+(Q12*AA12)+(Q13*AA13)+(Q14*AA14)+(Q15*AA15)+(Q16*AA16)+(Q17*AA17)+(Q18*AA18)+(Q19*AA19)+(Q20*AA20)+(Q21*AA21)+(Q22*AA22)+(Q23*AA23)+(Q24*AA24)+(Q25*AA25)+(Q26*AA26)+(Q27*AA27)</f>
        <v>0</v>
      </c>
      <c r="R29" s="266">
        <f>(R5*AA5)+(R6*AA6)+(R7*AA7)+(R8*AA8)+(R9*AA9)+(R10*AA10)+(R11*AA11)+(R12*AA12)+(R13*AA13)+(R14*AA14)+(R15*AA15)+(R16*AA16)+(R17*AA17)+(R18*AA18)+(R19*AA19)+(R20*AA20)+(R21*AA21)+(R22*AA22)+(R23*AA23)+(R24*AA24)+(R25*AA25)+(R26*AA26)+(R27*AA27)</f>
        <v>0</v>
      </c>
    </row>
    <row r="30" spans="1:42" ht="20">
      <c r="A30" s="15"/>
      <c r="B30" s="167" t="s">
        <v>171</v>
      </c>
      <c r="C30" s="261">
        <v>5.5</v>
      </c>
      <c r="D30" s="316"/>
      <c r="E30" s="316"/>
      <c r="F30" s="316"/>
      <c r="G30" s="316"/>
      <c r="H30" s="316"/>
      <c r="I30" s="316"/>
      <c r="J30" s="316"/>
      <c r="K30" s="260"/>
      <c r="L30" s="260"/>
      <c r="M30" s="366">
        <f>M29/(M29+N29)</f>
        <v>0.70815289766107226</v>
      </c>
      <c r="N30" s="366">
        <f>N29/(M29+N29)</f>
        <v>0.29184710233892763</v>
      </c>
      <c r="O30" s="366">
        <f>O29/(O29+P29)</f>
        <v>0.76059318141684928</v>
      </c>
      <c r="P30" s="366">
        <f>P29/(O29+P29)</f>
        <v>0.23940681858315066</v>
      </c>
      <c r="Q30" s="366" t="e">
        <f>Q29/(Q29+R29)</f>
        <v>#DIV/0!</v>
      </c>
      <c r="R30" s="366" t="e">
        <f>R29/(Q29+R29)</f>
        <v>#DIV/0!</v>
      </c>
    </row>
    <row r="31" spans="1:42" ht="20">
      <c r="A31" s="15"/>
      <c r="B31" s="167" t="s">
        <v>170</v>
      </c>
      <c r="C31" s="262">
        <v>2000</v>
      </c>
      <c r="D31" s="316"/>
      <c r="E31" s="316"/>
      <c r="F31" s="316"/>
      <c r="G31" s="316"/>
      <c r="H31" s="316"/>
      <c r="I31" s="316"/>
      <c r="J31" s="316"/>
      <c r="K31" s="260"/>
      <c r="L31" s="260"/>
      <c r="M31" s="260"/>
    </row>
    <row r="32" spans="1:42" ht="20">
      <c r="A32" s="260"/>
      <c r="B32" s="51" t="s">
        <v>174</v>
      </c>
      <c r="C32" s="263">
        <v>0.03</v>
      </c>
      <c r="D32" s="317"/>
      <c r="E32" s="317"/>
      <c r="F32" s="317"/>
      <c r="G32" s="317"/>
      <c r="H32" s="317"/>
      <c r="I32" s="317"/>
      <c r="J32" s="317"/>
      <c r="K32" s="260"/>
      <c r="L32" s="260"/>
      <c r="M32" s="260"/>
    </row>
    <row r="33" spans="1:13" ht="20">
      <c r="A33" s="260"/>
      <c r="B33" s="260"/>
      <c r="C33" s="260"/>
      <c r="D33" s="260"/>
      <c r="E33" s="260"/>
      <c r="F33" s="260"/>
      <c r="G33" s="260"/>
      <c r="H33" s="260"/>
      <c r="I33" s="260"/>
      <c r="J33" s="260"/>
      <c r="K33" s="260"/>
      <c r="L33" s="260"/>
      <c r="M33" s="260"/>
    </row>
  </sheetData>
  <mergeCells count="6">
    <mergeCell ref="B2:J2"/>
    <mergeCell ref="C3:J3"/>
    <mergeCell ref="O3:P3"/>
    <mergeCell ref="Q3:R3"/>
    <mergeCell ref="B3:B4"/>
    <mergeCell ref="M3:N3"/>
  </mergeCells>
  <phoneticPr fontId="61" type="noConversion"/>
  <pageMargins left="0.7" right="0.7" top="0.75" bottom="0.75" header="0.3" footer="0.3"/>
  <pageSetup scale="41" orientation="landscape" horizontalDpi="0" verticalDpi="0"/>
  <ignoredErrors>
    <ignoredError sqref="AB6:AP6"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6CA60-91D5-3F4D-BBFB-B9BE0870F0BA}">
  <sheetPr codeName="Sheet4"/>
  <dimension ref="A1:O26"/>
  <sheetViews>
    <sheetView zoomScale="150" zoomScaleNormal="150" workbookViewId="0">
      <selection activeCell="B2" sqref="B2:F2"/>
    </sheetView>
  </sheetViews>
  <sheetFormatPr baseColWidth="10" defaultColWidth="10.83203125" defaultRowHeight="15"/>
  <cols>
    <col min="1" max="1" width="2.1640625" style="15" customWidth="1"/>
    <col min="2" max="2" width="28.6640625" style="1" customWidth="1"/>
    <col min="3" max="3" width="9.5" customWidth="1"/>
    <col min="6" max="6" width="3.5" style="1" customWidth="1"/>
    <col min="7" max="7" width="10.83203125" style="1"/>
    <col min="11" max="11" width="10.83203125" customWidth="1"/>
  </cols>
  <sheetData>
    <row r="1" spans="1:15" s="1" customFormat="1">
      <c r="A1" s="15"/>
      <c r="B1" s="15"/>
      <c r="C1" s="15"/>
      <c r="D1" s="15"/>
      <c r="E1" s="15"/>
      <c r="F1" s="15"/>
      <c r="G1" s="15"/>
      <c r="H1" s="15"/>
      <c r="I1" s="15"/>
      <c r="J1" s="15"/>
      <c r="K1" s="15"/>
      <c r="L1" s="15"/>
      <c r="M1" s="15"/>
    </row>
    <row r="2" spans="1:15" s="1" customFormat="1">
      <c r="A2" s="15"/>
      <c r="B2" s="15"/>
      <c r="C2" s="15"/>
      <c r="D2" s="15"/>
      <c r="E2" s="15"/>
      <c r="F2" s="15"/>
      <c r="G2" s="15"/>
      <c r="H2" s="15"/>
      <c r="I2" s="15"/>
      <c r="J2" s="15"/>
      <c r="K2" s="15"/>
      <c r="L2" s="15"/>
      <c r="M2" s="15"/>
    </row>
    <row r="3" spans="1:15" s="1" customFormat="1">
      <c r="A3" s="15"/>
      <c r="B3" s="1" t="s">
        <v>52</v>
      </c>
      <c r="C3" s="59">
        <v>5000</v>
      </c>
      <c r="D3" s="59"/>
      <c r="G3" s="820" t="s">
        <v>59</v>
      </c>
      <c r="H3" s="820"/>
      <c r="I3" s="820"/>
      <c r="J3" s="820"/>
      <c r="K3" s="820"/>
      <c r="L3" s="820"/>
      <c r="M3" s="820"/>
    </row>
    <row r="4" spans="1:15" s="1" customFormat="1">
      <c r="A4" s="15"/>
      <c r="B4" s="1" t="s">
        <v>50</v>
      </c>
      <c r="C4" s="60">
        <v>5.0000000000000001E-3</v>
      </c>
      <c r="D4" s="60"/>
      <c r="G4" s="821" t="s">
        <v>26</v>
      </c>
      <c r="H4" s="826" t="s">
        <v>31</v>
      </c>
      <c r="I4" s="831" t="s">
        <v>43</v>
      </c>
      <c r="J4" s="826" t="s">
        <v>46</v>
      </c>
      <c r="K4" s="831" t="s">
        <v>47</v>
      </c>
      <c r="L4" s="826" t="s">
        <v>44</v>
      </c>
      <c r="M4" s="831" t="s">
        <v>45</v>
      </c>
    </row>
    <row r="5" spans="1:15" s="1" customFormat="1">
      <c r="A5" s="15"/>
      <c r="B5" s="1" t="s">
        <v>51</v>
      </c>
      <c r="C5" s="60">
        <v>0.03</v>
      </c>
      <c r="D5" s="60"/>
      <c r="G5" s="823"/>
      <c r="H5" s="828"/>
      <c r="I5" s="832"/>
      <c r="J5" s="828"/>
      <c r="K5" s="832"/>
      <c r="L5" s="828"/>
      <c r="M5" s="832"/>
    </row>
    <row r="6" spans="1:15" s="1" customFormat="1">
      <c r="A6" s="15"/>
      <c r="C6" s="55"/>
      <c r="D6" s="55"/>
      <c r="G6" s="63">
        <v>1</v>
      </c>
      <c r="H6" s="69">
        <f>LeasingInfo!M5+(C3*((1+C4)^1)*C5)</f>
        <v>354.05422572569023</v>
      </c>
      <c r="I6" s="70" t="e">
        <f>H6*(1+CustomRates!#REF!)^-1</f>
        <v>#REF!</v>
      </c>
      <c r="J6" s="69" t="e">
        <f>#REF!</f>
        <v>#REF!</v>
      </c>
      <c r="K6" s="70" t="e">
        <f>J6*(1+CustomRates!#REF!)^-1</f>
        <v>#REF!</v>
      </c>
      <c r="L6" s="69" t="e">
        <f>#REF!+(C3*((1+C4)^1)*C5)</f>
        <v>#REF!</v>
      </c>
      <c r="M6" s="70" t="e">
        <f>L6*(1+CustomRates!#REF!)^-1</f>
        <v>#REF!</v>
      </c>
    </row>
    <row r="7" spans="1:15" s="1" customFormat="1">
      <c r="A7" s="15"/>
      <c r="B7" s="821"/>
      <c r="C7" s="826" t="s">
        <v>53</v>
      </c>
      <c r="D7" s="829" t="s">
        <v>55</v>
      </c>
      <c r="E7" s="824" t="s">
        <v>54</v>
      </c>
      <c r="G7" s="64">
        <v>2</v>
      </c>
      <c r="H7" s="69" t="e">
        <f>#REF!+(C3*((1+C4)^2)*C5)</f>
        <v>#REF!</v>
      </c>
      <c r="I7" s="70" t="e">
        <f>H7*(1+CustomRates!#REF!)^-2</f>
        <v>#REF!</v>
      </c>
      <c r="J7" s="69" t="e">
        <f>#REF!</f>
        <v>#REF!</v>
      </c>
      <c r="K7" s="70" t="e">
        <f>J7*(1+CustomRates!#REF!)^-2</f>
        <v>#REF!</v>
      </c>
      <c r="L7" s="69" t="e">
        <f>#REF!+(C3*((1+C4)^2)*C5)</f>
        <v>#REF!</v>
      </c>
      <c r="M7" s="70" t="e">
        <f>L7*(1+CustomRates!#REF!)^-2</f>
        <v>#REF!</v>
      </c>
    </row>
    <row r="8" spans="1:15" s="1" customFormat="1" ht="15" customHeight="1">
      <c r="A8" s="15"/>
      <c r="B8" s="822"/>
      <c r="C8" s="827"/>
      <c r="D8" s="729"/>
      <c r="E8" s="741"/>
      <c r="G8" s="64">
        <v>3</v>
      </c>
      <c r="H8" s="69" t="e">
        <f>#REF!+(C3*((1+C4)^3)*C5)</f>
        <v>#REF!</v>
      </c>
      <c r="I8" s="70" t="e">
        <f>H8*(1+CustomRates!#REF!)^-3</f>
        <v>#REF!</v>
      </c>
      <c r="J8" s="69" t="e">
        <f>#REF!</f>
        <v>#REF!</v>
      </c>
      <c r="K8" s="70" t="e">
        <f>J8*(1+CustomRates!#REF!)^-3</f>
        <v>#REF!</v>
      </c>
      <c r="L8" s="69" t="e">
        <f>#REF!+(C3*((1+C4)^3)*C5)</f>
        <v>#REF!</v>
      </c>
      <c r="M8" s="70" t="e">
        <f>L8*(1+CustomRates!#REF!)^-3</f>
        <v>#REF!</v>
      </c>
    </row>
    <row r="9" spans="1:15" s="1" customFormat="1">
      <c r="A9" s="15"/>
      <c r="B9" s="823"/>
      <c r="C9" s="828"/>
      <c r="D9" s="830"/>
      <c r="E9" s="825"/>
      <c r="G9" s="64">
        <v>4</v>
      </c>
      <c r="H9" s="69" t="e">
        <f>#REF!+(C3*((1+C4)^4)*C5)</f>
        <v>#REF!</v>
      </c>
      <c r="I9" s="70" t="e">
        <f>H9*(1+CustomRates!#REF!)^-4</f>
        <v>#REF!</v>
      </c>
      <c r="J9" s="69" t="e">
        <f>#REF!</f>
        <v>#REF!</v>
      </c>
      <c r="K9" s="70" t="e">
        <f>J9*(1+CustomRates!#REF!)^-4</f>
        <v>#REF!</v>
      </c>
      <c r="L9" s="69" t="e">
        <f>#REF!+(C3*((1+C4)^4)*C5)</f>
        <v>#REF!</v>
      </c>
      <c r="M9" s="70" t="e">
        <f>L9*(1+CustomRates!#REF!)^-4</f>
        <v>#REF!</v>
      </c>
    </row>
    <row r="10" spans="1:15" s="1" customFormat="1">
      <c r="A10" s="15"/>
      <c r="B10" s="57" t="s">
        <v>48</v>
      </c>
      <c r="C10" s="56" t="e">
        <f>K11/I11</f>
        <v>#REF!</v>
      </c>
      <c r="D10" s="54" t="e">
        <f>(#REF!*3)*C10</f>
        <v>#REF!</v>
      </c>
      <c r="E10" s="58" t="e">
        <f>(#REF!*3)*C10</f>
        <v>#REF!</v>
      </c>
      <c r="G10" s="64">
        <v>5</v>
      </c>
      <c r="H10" s="71" t="e">
        <f>#REF!+(C3*((1+C4)^5)*C5)</f>
        <v>#REF!</v>
      </c>
      <c r="I10" s="72" t="e">
        <f>H10*(1+CustomRates!#REF!)^-5</f>
        <v>#REF!</v>
      </c>
      <c r="J10" s="71" t="e">
        <f>#REF!</f>
        <v>#REF!</v>
      </c>
      <c r="K10" s="72" t="e">
        <f>J10*(1+CustomRates!#REF!)^-5</f>
        <v>#REF!</v>
      </c>
      <c r="L10" s="71" t="e">
        <f>#REF!+(C3*((1+C4)^5)*C5)</f>
        <v>#REF!</v>
      </c>
      <c r="M10" s="72" t="e">
        <f>L10*(1+CustomRates!#REF!)^-5</f>
        <v>#REF!</v>
      </c>
    </row>
    <row r="11" spans="1:15" s="1" customFormat="1">
      <c r="A11" s="15"/>
      <c r="B11" s="57" t="s">
        <v>49</v>
      </c>
      <c r="C11" s="56" t="e">
        <f>M11/I11</f>
        <v>#REF!</v>
      </c>
      <c r="D11" s="54" t="e">
        <f>(#REF!*3)*C11</f>
        <v>#REF!</v>
      </c>
      <c r="E11" s="58" t="e">
        <f>(#REF!*3)*C11</f>
        <v>#REF!</v>
      </c>
      <c r="G11" s="64" t="s">
        <v>6</v>
      </c>
      <c r="H11" s="69" t="e">
        <f t="shared" ref="H11:M11" si="0">SUM(H6:H11)</f>
        <v>#REF!</v>
      </c>
      <c r="I11" s="70" t="e">
        <f t="shared" si="0"/>
        <v>#REF!</v>
      </c>
      <c r="J11" s="69" t="e">
        <f t="shared" si="0"/>
        <v>#REF!</v>
      </c>
      <c r="K11" s="70" t="e">
        <f t="shared" si="0"/>
        <v>#REF!</v>
      </c>
      <c r="L11" s="69" t="e">
        <f t="shared" si="0"/>
        <v>#REF!</v>
      </c>
      <c r="M11" s="70" t="e">
        <f t="shared" si="0"/>
        <v>#REF!</v>
      </c>
    </row>
    <row r="12" spans="1:15" s="1" customFormat="1">
      <c r="A12" s="15"/>
      <c r="B12" s="57"/>
      <c r="C12" s="56"/>
      <c r="D12" s="54"/>
      <c r="E12" s="58"/>
    </row>
    <row r="13" spans="1:15" s="1" customFormat="1">
      <c r="A13" s="15"/>
      <c r="B13" s="57"/>
      <c r="C13" s="50" t="s">
        <v>58</v>
      </c>
      <c r="E13" s="53"/>
    </row>
    <row r="14" spans="1:15" s="1" customFormat="1">
      <c r="A14" s="15"/>
      <c r="B14" s="57" t="s">
        <v>56</v>
      </c>
      <c r="C14" s="62" t="e">
        <f>L25</f>
        <v>#REF!</v>
      </c>
      <c r="E14" s="53"/>
      <c r="G14" s="820" t="s">
        <v>60</v>
      </c>
      <c r="H14" s="820"/>
      <c r="I14" s="820"/>
      <c r="J14" s="820"/>
      <c r="K14" s="820"/>
      <c r="L14" s="820"/>
      <c r="M14" s="820"/>
      <c r="N14" s="820"/>
      <c r="O14" s="820"/>
    </row>
    <row r="15" spans="1:15" s="1" customFormat="1" ht="15" customHeight="1">
      <c r="A15" s="15"/>
      <c r="B15" s="61" t="s">
        <v>57</v>
      </c>
      <c r="C15" s="62" t="e">
        <f>L26</f>
        <v>#REF!</v>
      </c>
      <c r="E15" s="53"/>
      <c r="H15" s="819" t="s">
        <v>63</v>
      </c>
      <c r="I15" s="819"/>
      <c r="J15" s="819"/>
      <c r="K15" s="819"/>
      <c r="L15" s="819" t="s">
        <v>64</v>
      </c>
      <c r="M15" s="819"/>
      <c r="N15" s="819"/>
      <c r="O15" s="819"/>
    </row>
    <row r="16" spans="1:15" s="1" customFormat="1" ht="32">
      <c r="A16" s="15"/>
      <c r="B16" s="67" t="s">
        <v>65</v>
      </c>
      <c r="C16" s="68">
        <v>321.69</v>
      </c>
      <c r="G16" s="63" t="s">
        <v>26</v>
      </c>
      <c r="H16" s="65" t="s">
        <v>39</v>
      </c>
      <c r="I16" s="65" t="s">
        <v>40</v>
      </c>
      <c r="J16" s="65" t="s">
        <v>61</v>
      </c>
      <c r="K16" s="66" t="s">
        <v>62</v>
      </c>
      <c r="L16" s="65" t="s">
        <v>39</v>
      </c>
      <c r="M16" s="65" t="s">
        <v>40</v>
      </c>
      <c r="N16" s="65" t="s">
        <v>61</v>
      </c>
      <c r="O16" s="66" t="s">
        <v>62</v>
      </c>
    </row>
    <row r="17" spans="1:15">
      <c r="G17" s="63">
        <v>1</v>
      </c>
      <c r="H17" s="73">
        <v>0</v>
      </c>
      <c r="I17" s="73" t="e">
        <f>H17*(1+CustomRates!#REF!)^-1</f>
        <v>#REF!</v>
      </c>
      <c r="J17" s="73" t="e">
        <f>#REF!+(E14*((1+E15)^1)*E16)</f>
        <v>#REF!</v>
      </c>
      <c r="K17" s="70" t="e">
        <f>J17*(1+CustomRates!#REF!)^-1</f>
        <v>#REF!</v>
      </c>
      <c r="L17" s="73">
        <f>C$16</f>
        <v>321.69</v>
      </c>
      <c r="M17" s="73" t="e">
        <f>L17*(1+CustomRates!#REF!)^-2</f>
        <v>#REF!</v>
      </c>
      <c r="N17" s="73" t="e">
        <f>#REF!+(E14*((1+E15)^1)*E16)</f>
        <v>#REF!</v>
      </c>
      <c r="O17" s="70" t="e">
        <f>N17*(1+CustomRates!#REF!)^-1</f>
        <v>#REF!</v>
      </c>
    </row>
    <row r="18" spans="1:15" s="1" customFormat="1">
      <c r="A18" s="15"/>
      <c r="G18" s="64">
        <v>2</v>
      </c>
      <c r="H18" s="73">
        <v>1</v>
      </c>
      <c r="I18" s="73" t="e">
        <f>H18*(1+CustomRates!#REF!)^-1</f>
        <v>#REF!</v>
      </c>
      <c r="J18" s="73" t="e">
        <f>#REF!+(E14*((1+E15)^2)*E16)</f>
        <v>#REF!</v>
      </c>
      <c r="K18" s="70" t="e">
        <f>J18*(1+CustomRates!#REF!)^-2</f>
        <v>#REF!</v>
      </c>
      <c r="L18" s="73">
        <f t="shared" ref="L18:L21" si="1">C$16</f>
        <v>321.69</v>
      </c>
      <c r="M18" s="73" t="e">
        <f>L18*(1+CustomRates!#REF!)^-2</f>
        <v>#REF!</v>
      </c>
      <c r="N18" s="73" t="e">
        <f>#REF!+(E14*((1+E15)^2)*E16)</f>
        <v>#REF!</v>
      </c>
      <c r="O18" s="70" t="e">
        <f>N18*(1+CustomRates!#REF!)^-2</f>
        <v>#REF!</v>
      </c>
    </row>
    <row r="19" spans="1:15" s="1" customFormat="1">
      <c r="A19" s="15"/>
      <c r="G19" s="64">
        <v>3</v>
      </c>
      <c r="H19" s="73">
        <v>2</v>
      </c>
      <c r="I19" s="73" t="e">
        <f>H19*(1+CustomRates!#REF!)^-1</f>
        <v>#REF!</v>
      </c>
      <c r="J19" s="73" t="e">
        <f>#REF!+(E14*((1+E15)^3)*E16)</f>
        <v>#REF!</v>
      </c>
      <c r="K19" s="70" t="e">
        <f>J19*(1+CustomRates!#REF!)^-3</f>
        <v>#REF!</v>
      </c>
      <c r="L19" s="73">
        <f t="shared" si="1"/>
        <v>321.69</v>
      </c>
      <c r="M19" s="73" t="e">
        <f>L19*(1+CustomRates!#REF!)^-3</f>
        <v>#REF!</v>
      </c>
      <c r="N19" s="73" t="e">
        <f>#REF!+(E14*((1+E15)^3)*E16)</f>
        <v>#REF!</v>
      </c>
      <c r="O19" s="70" t="e">
        <f>N19*(1+CustomRates!#REF!)^-3</f>
        <v>#REF!</v>
      </c>
    </row>
    <row r="20" spans="1:15" s="1" customFormat="1">
      <c r="A20" s="15"/>
      <c r="G20" s="64">
        <v>4</v>
      </c>
      <c r="H20" s="73">
        <v>3</v>
      </c>
      <c r="I20" s="73" t="e">
        <f>H20*(1+CustomRates!#REF!)^-1</f>
        <v>#REF!</v>
      </c>
      <c r="J20" s="73" t="e">
        <f>#REF!+(E14*((1+E15)^4)*E16)</f>
        <v>#REF!</v>
      </c>
      <c r="K20" s="70" t="e">
        <f>J20*(1+CustomRates!#REF!)^-4</f>
        <v>#REF!</v>
      </c>
      <c r="L20" s="73">
        <f t="shared" si="1"/>
        <v>321.69</v>
      </c>
      <c r="M20" s="73" t="e">
        <f>L20*(1+CustomRates!#REF!)^-4</f>
        <v>#REF!</v>
      </c>
      <c r="N20" s="73" t="e">
        <f>#REF!+(E14*((1+E15)^4)*E16)</f>
        <v>#REF!</v>
      </c>
      <c r="O20" s="70" t="e">
        <f>N20*(1+CustomRates!#REF!)^-4</f>
        <v>#REF!</v>
      </c>
    </row>
    <row r="21" spans="1:15" s="1" customFormat="1">
      <c r="A21" s="15"/>
      <c r="G21" s="64">
        <v>5</v>
      </c>
      <c r="H21" s="74">
        <v>4</v>
      </c>
      <c r="I21" s="74" t="e">
        <f>H21*(1+CustomRates!#REF!)^-1</f>
        <v>#REF!</v>
      </c>
      <c r="J21" s="74" t="e">
        <f>#REF!+(E14*((1+E15)^6)*E16)</f>
        <v>#REF!</v>
      </c>
      <c r="K21" s="75" t="e">
        <f>J21*(1+CustomRates!#REF!)^-6</f>
        <v>#REF!</v>
      </c>
      <c r="L21" s="73">
        <f t="shared" si="1"/>
        <v>321.69</v>
      </c>
      <c r="M21" s="74" t="e">
        <f>L21*(1+CustomRates!#REF!)^-6</f>
        <v>#REF!</v>
      </c>
      <c r="N21" s="74" t="e">
        <f>#REF!+(E14*((1+E15)^6)*E16)</f>
        <v>#REF!</v>
      </c>
      <c r="O21" s="75" t="e">
        <f>N21*(1+CustomRates!#REF!)^-6</f>
        <v>#REF!</v>
      </c>
    </row>
    <row r="22" spans="1:15" s="1" customFormat="1">
      <c r="A22" s="15"/>
    </row>
    <row r="23" spans="1:15" s="1" customFormat="1">
      <c r="A23" s="15"/>
    </row>
    <row r="25" spans="1:15">
      <c r="L25" s="49" t="e">
        <f>M11/6</f>
        <v>#REF!</v>
      </c>
    </row>
    <row r="26" spans="1:15">
      <c r="L26" s="49" t="e">
        <f>(((#REF!*(1+CustomRates!#REF!)^-2)+(#REF!*(1+CustomRates!#REF!)^-4)+(#REF!*(1+CustomRates!#REF!)^-6))-K11)/6</f>
        <v>#REF!</v>
      </c>
    </row>
  </sheetData>
  <mergeCells count="15">
    <mergeCell ref="H15:K15"/>
    <mergeCell ref="L15:O15"/>
    <mergeCell ref="G14:O14"/>
    <mergeCell ref="B7:B9"/>
    <mergeCell ref="G3:M3"/>
    <mergeCell ref="G4:G5"/>
    <mergeCell ref="E7:E9"/>
    <mergeCell ref="C7:C9"/>
    <mergeCell ref="D7:D9"/>
    <mergeCell ref="M4:M5"/>
    <mergeCell ref="H4:H5"/>
    <mergeCell ref="I4:I5"/>
    <mergeCell ref="J4:J5"/>
    <mergeCell ref="K4:K5"/>
    <mergeCell ref="L4:L5"/>
  </mergeCells>
  <phoneticPr fontId="61" type="noConversion"/>
  <pageMargins left="0.7" right="0.7" top="0.75" bottom="0.75" header="0.3" footer="0.3"/>
  <pageSetup orientation="portrait" horizontalDpi="0" verticalDpi="0"/>
  <ignoredErrors>
    <ignoredError sqref="J18:K20 J17:K17 N17 M18:N20" formula="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9C8CB-64C3-6D4F-B23F-8136A576F1DB}">
  <sheetPr codeName="Sheet31">
    <pageSetUpPr fitToPage="1"/>
  </sheetPr>
  <dimension ref="A1:N30"/>
  <sheetViews>
    <sheetView topLeftCell="B1" zoomScale="110" zoomScaleNormal="110" workbookViewId="0">
      <selection activeCell="B2" sqref="B2:D2"/>
    </sheetView>
  </sheetViews>
  <sheetFormatPr baseColWidth="10" defaultColWidth="10.83203125" defaultRowHeight="15"/>
  <cols>
    <col min="1" max="1" width="5.6640625" style="1" customWidth="1"/>
    <col min="2" max="2" width="54.1640625" style="1" bestFit="1" customWidth="1"/>
    <col min="3" max="3" width="12.6640625" style="1" bestFit="1" customWidth="1"/>
    <col min="4" max="4" width="11.5" style="1" bestFit="1" customWidth="1"/>
    <col min="5" max="5" width="13.5" style="1" customWidth="1"/>
    <col min="6" max="6" width="14.6640625" style="1" customWidth="1"/>
    <col min="7" max="7" width="14.83203125" style="1" customWidth="1"/>
    <col min="8" max="11" width="10.83203125" style="1"/>
    <col min="12" max="14" width="10.83203125" style="15"/>
    <col min="15" max="16384" width="10.83203125" style="1"/>
  </cols>
  <sheetData>
    <row r="1" spans="1:14">
      <c r="A1" s="147"/>
      <c r="B1" s="147"/>
      <c r="C1" s="147"/>
      <c r="D1" s="147"/>
      <c r="E1" s="148"/>
      <c r="F1" s="148"/>
      <c r="G1" s="148"/>
      <c r="H1" s="15"/>
      <c r="I1" s="15"/>
      <c r="J1" s="15"/>
      <c r="K1" s="672"/>
      <c r="L1" s="672"/>
    </row>
    <row r="2" spans="1:14" ht="20" customHeight="1">
      <c r="A2" s="37"/>
      <c r="B2" s="753" t="s">
        <v>107</v>
      </c>
      <c r="C2" s="753"/>
      <c r="D2" s="754"/>
      <c r="E2" s="743" t="s">
        <v>306</v>
      </c>
      <c r="F2" s="742"/>
      <c r="G2" s="744"/>
      <c r="H2" s="742" t="s">
        <v>106</v>
      </c>
      <c r="I2" s="742"/>
      <c r="J2" s="742"/>
      <c r="K2" s="672"/>
      <c r="L2" s="672"/>
    </row>
    <row r="3" spans="1:14" ht="32" customHeight="1">
      <c r="A3" s="37"/>
      <c r="B3" s="449"/>
      <c r="C3" s="745" t="s">
        <v>2</v>
      </c>
      <c r="D3" s="745" t="s">
        <v>12</v>
      </c>
      <c r="E3" s="747" t="str">
        <f>'Farm and Rotation Setup'!B5</f>
        <v>Business As Usual</v>
      </c>
      <c r="F3" s="749" t="str">
        <f>'Farm and Rotation Setup'!B14</f>
        <v>Incremental Rotation</v>
      </c>
      <c r="G3" s="751" t="str">
        <f>'Farm and Rotation Setup'!B23</f>
        <v>Aspirational Rotation</v>
      </c>
      <c r="H3" s="447"/>
      <c r="I3" s="430"/>
      <c r="J3" s="430"/>
      <c r="K3" s="672"/>
      <c r="L3" s="672"/>
    </row>
    <row r="4" spans="1:14" ht="20">
      <c r="A4" s="38"/>
      <c r="B4" s="448" t="s">
        <v>10</v>
      </c>
      <c r="C4" s="746"/>
      <c r="D4" s="746"/>
      <c r="E4" s="748"/>
      <c r="F4" s="750"/>
      <c r="G4" s="752"/>
      <c r="H4" s="11" t="s">
        <v>2</v>
      </c>
      <c r="I4" s="153" t="s">
        <v>12</v>
      </c>
      <c r="J4" s="153" t="s">
        <v>13</v>
      </c>
      <c r="K4" s="672"/>
      <c r="L4" s="672"/>
    </row>
    <row r="5" spans="1:14" ht="21" customHeight="1">
      <c r="A5" s="37"/>
      <c r="B5" s="10" t="str">
        <f>'Farm and Rotation Setup'!B35</f>
        <v>SW Winter Wheat after Spring Legume</v>
      </c>
      <c r="C5" s="160" t="s">
        <v>248</v>
      </c>
      <c r="D5" s="156">
        <v>12</v>
      </c>
      <c r="E5" s="452">
        <v>90</v>
      </c>
      <c r="F5" s="453">
        <v>92</v>
      </c>
      <c r="G5" s="454">
        <v>94</v>
      </c>
      <c r="H5" s="160" t="s">
        <v>247</v>
      </c>
      <c r="I5" s="395">
        <v>0.25</v>
      </c>
      <c r="J5" s="157">
        <v>90</v>
      </c>
      <c r="K5" s="15"/>
    </row>
    <row r="6" spans="1:14" ht="21" customHeight="1">
      <c r="A6" s="37"/>
      <c r="B6" s="10" t="str">
        <f>'Farm and Rotation Setup'!B36</f>
        <v>SW Winter Wheat after Forage Crop</v>
      </c>
      <c r="C6" s="160" t="s">
        <v>248</v>
      </c>
      <c r="D6" s="156">
        <v>12</v>
      </c>
      <c r="E6" s="455">
        <v>93</v>
      </c>
      <c r="F6" s="456">
        <v>95</v>
      </c>
      <c r="G6" s="457">
        <v>96</v>
      </c>
      <c r="H6" s="160" t="s">
        <v>247</v>
      </c>
      <c r="I6" s="395">
        <v>0.25</v>
      </c>
      <c r="J6" s="157">
        <v>90</v>
      </c>
      <c r="K6" s="15"/>
    </row>
    <row r="7" spans="1:14" ht="20">
      <c r="A7" s="39"/>
      <c r="B7" s="10" t="str">
        <f>'Farm and Rotation Setup'!B37</f>
        <v>DN Spring Wheat after Spring Legume</v>
      </c>
      <c r="C7" s="160" t="s">
        <v>248</v>
      </c>
      <c r="D7" s="156">
        <v>14</v>
      </c>
      <c r="E7" s="455">
        <v>62</v>
      </c>
      <c r="F7" s="456">
        <v>64</v>
      </c>
      <c r="G7" s="457">
        <v>66</v>
      </c>
      <c r="H7" s="160" t="s">
        <v>247</v>
      </c>
      <c r="I7" s="395">
        <v>0.3</v>
      </c>
      <c r="J7" s="157">
        <v>100</v>
      </c>
      <c r="K7" s="15"/>
    </row>
    <row r="8" spans="1:14" s="3" customFormat="1" ht="20">
      <c r="A8" s="9"/>
      <c r="B8" s="10" t="str">
        <f>'Farm and Rotation Setup'!B38</f>
        <v>DN Spring Wheat after Forage Crop</v>
      </c>
      <c r="C8" s="160" t="s">
        <v>248</v>
      </c>
      <c r="D8" s="156">
        <v>14</v>
      </c>
      <c r="E8" s="455">
        <v>62</v>
      </c>
      <c r="F8" s="456">
        <v>64</v>
      </c>
      <c r="G8" s="457">
        <v>66</v>
      </c>
      <c r="H8" s="160" t="s">
        <v>247</v>
      </c>
      <c r="I8" s="395">
        <v>0.3</v>
      </c>
      <c r="J8" s="157">
        <v>100</v>
      </c>
      <c r="K8" s="403"/>
      <c r="L8" s="403"/>
      <c r="M8" s="403"/>
      <c r="N8" s="403"/>
    </row>
    <row r="9" spans="1:14" ht="20">
      <c r="A9" s="149"/>
      <c r="B9" s="10" t="str">
        <f>'Farm and Rotation Setup'!B39</f>
        <v>DN Spring Wheat after Winter Crop</v>
      </c>
      <c r="C9" s="160" t="s">
        <v>248</v>
      </c>
      <c r="D9" s="156">
        <v>14</v>
      </c>
      <c r="E9" s="455">
        <v>60</v>
      </c>
      <c r="F9" s="456">
        <v>62</v>
      </c>
      <c r="G9" s="457">
        <v>64</v>
      </c>
      <c r="H9" s="160" t="s">
        <v>247</v>
      </c>
      <c r="I9" s="395">
        <v>0.3</v>
      </c>
      <c r="J9" s="157">
        <v>100</v>
      </c>
      <c r="K9" s="15"/>
    </row>
    <row r="10" spans="1:14" ht="20">
      <c r="A10" s="9"/>
      <c r="B10" s="10" t="str">
        <f>'Farm and Rotation Setup'!B40</f>
        <v>Chickpea after Forage Crop</v>
      </c>
      <c r="C10" s="160" t="s">
        <v>118</v>
      </c>
      <c r="D10" s="156">
        <v>0.16</v>
      </c>
      <c r="E10" s="455">
        <v>1400</v>
      </c>
      <c r="F10" s="456">
        <v>1400</v>
      </c>
      <c r="G10" s="457">
        <v>1400</v>
      </c>
      <c r="H10" s="160" t="s">
        <v>247</v>
      </c>
      <c r="I10" s="156">
        <v>0.53</v>
      </c>
      <c r="J10" s="157">
        <v>130</v>
      </c>
      <c r="K10" s="15"/>
    </row>
    <row r="11" spans="1:14" ht="20">
      <c r="A11" s="9"/>
      <c r="B11" s="10" t="str">
        <f>'Farm and Rotation Setup'!B41</f>
        <v>Chickpea after Cereal</v>
      </c>
      <c r="C11" s="160" t="s">
        <v>118</v>
      </c>
      <c r="D11" s="156">
        <v>0.16</v>
      </c>
      <c r="E11" s="455">
        <v>1400</v>
      </c>
      <c r="F11" s="456">
        <v>1400</v>
      </c>
      <c r="G11" s="457">
        <v>1400</v>
      </c>
      <c r="H11" s="160" t="s">
        <v>247</v>
      </c>
      <c r="I11" s="156">
        <v>0.53</v>
      </c>
      <c r="J11" s="157">
        <v>130</v>
      </c>
      <c r="K11" s="15"/>
    </row>
    <row r="12" spans="1:14" ht="20">
      <c r="A12" s="9"/>
      <c r="B12" s="10" t="str">
        <f>'Farm and Rotation Setup'!B42</f>
        <v>Spring Pea after Cereal</v>
      </c>
      <c r="C12" s="160" t="s">
        <v>118</v>
      </c>
      <c r="D12" s="156">
        <v>0.12</v>
      </c>
      <c r="E12" s="455">
        <v>2000</v>
      </c>
      <c r="F12" s="456">
        <v>2000</v>
      </c>
      <c r="G12" s="457">
        <v>2000</v>
      </c>
      <c r="H12" s="160" t="s">
        <v>247</v>
      </c>
      <c r="I12" s="156">
        <v>0.34</v>
      </c>
      <c r="J12" s="157">
        <v>200</v>
      </c>
      <c r="K12" s="15"/>
    </row>
    <row r="13" spans="1:14" ht="20">
      <c r="A13" s="9"/>
      <c r="B13" s="10" t="str">
        <f>'Farm and Rotation Setup'!B43</f>
        <v>Forage Crop-St. John Area</v>
      </c>
      <c r="C13" s="160" t="s">
        <v>246</v>
      </c>
      <c r="D13" s="156">
        <v>0</v>
      </c>
      <c r="E13" s="455">
        <v>0</v>
      </c>
      <c r="F13" s="456">
        <v>0</v>
      </c>
      <c r="G13" s="457">
        <v>0</v>
      </c>
      <c r="H13" s="160" t="s">
        <v>246</v>
      </c>
      <c r="I13" s="156">
        <v>29.375</v>
      </c>
      <c r="J13" s="157">
        <v>1</v>
      </c>
      <c r="K13" s="15"/>
    </row>
    <row r="14" spans="1:14" ht="20">
      <c r="A14" s="9"/>
      <c r="B14" s="10" t="str">
        <f>'Farm and Rotation Setup'!B44</f>
        <v>Forage Crop-Genesee Area</v>
      </c>
      <c r="C14" s="160" t="s">
        <v>246</v>
      </c>
      <c r="D14" s="156">
        <v>0</v>
      </c>
      <c r="E14" s="455">
        <v>0</v>
      </c>
      <c r="F14" s="456">
        <v>0</v>
      </c>
      <c r="G14" s="457">
        <v>0</v>
      </c>
      <c r="H14" s="160" t="s">
        <v>246</v>
      </c>
      <c r="I14" s="156">
        <v>23.175000000000001</v>
      </c>
      <c r="J14" s="157">
        <v>1</v>
      </c>
      <c r="K14" s="15"/>
    </row>
    <row r="15" spans="1:14" ht="20">
      <c r="A15" s="9"/>
      <c r="B15" s="167" t="str">
        <f>'Farm and Rotation Setup'!B45</f>
        <v>Livestock Grazing</v>
      </c>
      <c r="C15" s="419" t="s">
        <v>272</v>
      </c>
      <c r="D15" s="420">
        <v>120</v>
      </c>
      <c r="E15" s="458">
        <v>1</v>
      </c>
      <c r="F15" s="450">
        <v>1</v>
      </c>
      <c r="G15" s="459">
        <v>1</v>
      </c>
      <c r="H15" s="418" t="s">
        <v>97</v>
      </c>
      <c r="I15" s="418" t="s">
        <v>97</v>
      </c>
      <c r="J15" s="421">
        <v>0</v>
      </c>
      <c r="K15" s="15"/>
    </row>
    <row r="16" spans="1:14" ht="21" customHeight="1">
      <c r="A16" s="37"/>
      <c r="B16" s="10" t="str">
        <f>'Farm and Rotation Setup'!B46</f>
        <v>SW Winter Wheat after Cereal</v>
      </c>
      <c r="C16" s="160" t="s">
        <v>248</v>
      </c>
      <c r="D16" s="156">
        <v>4.79</v>
      </c>
      <c r="E16" s="455">
        <v>90</v>
      </c>
      <c r="F16" s="456">
        <v>90</v>
      </c>
      <c r="G16" s="457">
        <v>90</v>
      </c>
      <c r="H16" s="160" t="s">
        <v>247</v>
      </c>
      <c r="I16" s="395">
        <v>0.25</v>
      </c>
      <c r="J16" s="157">
        <v>90</v>
      </c>
      <c r="K16" s="15"/>
    </row>
    <row r="17" spans="1:14" ht="21" customHeight="1">
      <c r="A17" s="37"/>
      <c r="B17" s="10" t="str">
        <f>'Farm and Rotation Setup'!B47</f>
        <v>SW Winter Wheat after Fallow</v>
      </c>
      <c r="C17" s="160" t="s">
        <v>248</v>
      </c>
      <c r="D17" s="156">
        <v>4.79</v>
      </c>
      <c r="E17" s="455">
        <v>90</v>
      </c>
      <c r="F17" s="456">
        <v>90</v>
      </c>
      <c r="G17" s="457">
        <v>90</v>
      </c>
      <c r="H17" s="160" t="s">
        <v>247</v>
      </c>
      <c r="I17" s="395">
        <v>0.25</v>
      </c>
      <c r="J17" s="157">
        <v>90</v>
      </c>
      <c r="K17" s="15"/>
    </row>
    <row r="18" spans="1:14" ht="20">
      <c r="A18" s="9"/>
      <c r="B18" s="10" t="str">
        <f>'Farm and Rotation Setup'!B48</f>
        <v>Chem-Fallow</v>
      </c>
      <c r="C18" s="13" t="s">
        <v>246</v>
      </c>
      <c r="D18" s="293">
        <v>0</v>
      </c>
      <c r="E18" s="460">
        <v>0</v>
      </c>
      <c r="F18" s="461">
        <v>0</v>
      </c>
      <c r="G18" s="462">
        <v>0</v>
      </c>
      <c r="H18" s="13" t="s">
        <v>97</v>
      </c>
      <c r="I18" s="13" t="s">
        <v>97</v>
      </c>
      <c r="J18" s="294">
        <v>0</v>
      </c>
      <c r="K18" s="15"/>
    </row>
    <row r="19" spans="1:14" ht="20">
      <c r="A19" s="9"/>
      <c r="B19" s="10" t="str">
        <f>'Farm and Rotation Setup'!B49</f>
        <v>Flex-Fallow</v>
      </c>
      <c r="C19" s="13" t="s">
        <v>246</v>
      </c>
      <c r="D19" s="293">
        <v>0</v>
      </c>
      <c r="E19" s="460">
        <v>0</v>
      </c>
      <c r="F19" s="461">
        <v>0</v>
      </c>
      <c r="G19" s="462">
        <v>0</v>
      </c>
      <c r="H19" s="13" t="s">
        <v>97</v>
      </c>
      <c r="I19" s="13" t="s">
        <v>97</v>
      </c>
      <c r="J19" s="294">
        <v>0</v>
      </c>
      <c r="K19" s="15"/>
    </row>
    <row r="20" spans="1:14" ht="20">
      <c r="A20" s="9"/>
      <c r="B20" s="10" t="str">
        <f>'Farm and Rotation Setup'!B50</f>
        <v>Spring Barley</v>
      </c>
      <c r="C20" s="160" t="s">
        <v>271</v>
      </c>
      <c r="D20" s="156">
        <v>140.97</v>
      </c>
      <c r="E20" s="455">
        <v>2</v>
      </c>
      <c r="F20" s="456">
        <v>2</v>
      </c>
      <c r="G20" s="457">
        <v>2</v>
      </c>
      <c r="H20" s="160" t="s">
        <v>247</v>
      </c>
      <c r="I20" s="395">
        <v>0.24</v>
      </c>
      <c r="J20" s="157">
        <v>80</v>
      </c>
      <c r="K20" s="15"/>
    </row>
    <row r="21" spans="1:14" s="3" customFormat="1" ht="20">
      <c r="A21" s="9"/>
      <c r="B21" s="10" t="str">
        <f>'Farm and Rotation Setup'!B51</f>
        <v>Roundup Ready Spring Canola</v>
      </c>
      <c r="C21" s="160" t="s">
        <v>118</v>
      </c>
      <c r="D21" s="156">
        <v>0.15</v>
      </c>
      <c r="E21" s="455">
        <v>1800</v>
      </c>
      <c r="F21" s="456">
        <v>1800</v>
      </c>
      <c r="G21" s="457">
        <v>1800</v>
      </c>
      <c r="H21" s="160" t="s">
        <v>247</v>
      </c>
      <c r="I21" s="395">
        <v>11.2</v>
      </c>
      <c r="J21" s="157">
        <v>4</v>
      </c>
      <c r="K21" s="403"/>
      <c r="L21" s="403"/>
      <c r="M21" s="403"/>
      <c r="N21" s="403"/>
    </row>
    <row r="22" spans="1:14" ht="20">
      <c r="A22" s="9"/>
      <c r="B22" s="10" t="str">
        <f>'Farm and Rotation Setup'!B52</f>
        <v>Spring Canola</v>
      </c>
      <c r="C22" s="160" t="s">
        <v>118</v>
      </c>
      <c r="D22" s="156">
        <v>0.15</v>
      </c>
      <c r="E22" s="455">
        <v>1800</v>
      </c>
      <c r="F22" s="456">
        <v>1800</v>
      </c>
      <c r="G22" s="457">
        <v>1800</v>
      </c>
      <c r="H22" s="160" t="s">
        <v>247</v>
      </c>
      <c r="I22" s="395">
        <v>0.4</v>
      </c>
      <c r="J22" s="157">
        <v>4</v>
      </c>
      <c r="K22" s="403"/>
      <c r="L22" s="403"/>
      <c r="M22" s="403"/>
    </row>
    <row r="23" spans="1:14" s="3" customFormat="1" ht="20">
      <c r="A23" s="9"/>
      <c r="B23" s="10" t="str">
        <f>'Farm and Rotation Setup'!B53</f>
        <v>Spring Lentils</v>
      </c>
      <c r="C23" s="160" t="s">
        <v>118</v>
      </c>
      <c r="D23" s="156">
        <v>0.18</v>
      </c>
      <c r="E23" s="455">
        <v>1800</v>
      </c>
      <c r="F23" s="456">
        <v>1800</v>
      </c>
      <c r="G23" s="457">
        <v>1800</v>
      </c>
      <c r="H23" s="160" t="s">
        <v>247</v>
      </c>
      <c r="I23" s="395">
        <v>0.39</v>
      </c>
      <c r="J23" s="157">
        <v>45</v>
      </c>
      <c r="K23" s="403"/>
      <c r="L23" s="403"/>
      <c r="M23" s="403"/>
      <c r="N23" s="403"/>
    </row>
    <row r="24" spans="1:14" ht="20">
      <c r="A24" s="39"/>
      <c r="B24" s="10" t="str">
        <f>'Farm and Rotation Setup'!B54</f>
        <v>SW Spring Wheat</v>
      </c>
      <c r="C24" s="160" t="s">
        <v>248</v>
      </c>
      <c r="D24" s="156">
        <v>5.97</v>
      </c>
      <c r="E24" s="455">
        <v>65</v>
      </c>
      <c r="F24" s="456">
        <v>65</v>
      </c>
      <c r="G24" s="457">
        <v>65</v>
      </c>
      <c r="H24" s="160" t="s">
        <v>247</v>
      </c>
      <c r="I24" s="395">
        <v>0.27</v>
      </c>
      <c r="J24" s="157">
        <v>100</v>
      </c>
      <c r="K24" s="15"/>
    </row>
    <row r="25" spans="1:14" ht="20">
      <c r="A25" s="150"/>
      <c r="B25" s="10" t="str">
        <f>'Farm and Rotation Setup'!B55</f>
        <v>HR Winter Wheat</v>
      </c>
      <c r="C25" s="160" t="s">
        <v>248</v>
      </c>
      <c r="D25" s="156">
        <v>6.44</v>
      </c>
      <c r="E25" s="455">
        <v>60</v>
      </c>
      <c r="F25" s="456">
        <v>60</v>
      </c>
      <c r="G25" s="457">
        <v>60</v>
      </c>
      <c r="H25" s="160" t="s">
        <v>247</v>
      </c>
      <c r="I25" s="395">
        <v>0.3</v>
      </c>
      <c r="J25" s="157">
        <v>100</v>
      </c>
      <c r="K25" s="15"/>
    </row>
    <row r="26" spans="1:14" ht="20">
      <c r="A26" s="9"/>
      <c r="B26" s="10" t="str">
        <f>'Farm and Rotation Setup'!B56</f>
        <v>Winter Pea</v>
      </c>
      <c r="C26" s="160" t="s">
        <v>118</v>
      </c>
      <c r="D26" s="156">
        <v>0.12</v>
      </c>
      <c r="E26" s="455">
        <v>2000</v>
      </c>
      <c r="F26" s="456">
        <v>2000</v>
      </c>
      <c r="G26" s="457">
        <v>2000</v>
      </c>
      <c r="H26" s="160" t="s">
        <v>247</v>
      </c>
      <c r="I26" s="156">
        <v>0.34</v>
      </c>
      <c r="J26" s="157">
        <v>200</v>
      </c>
      <c r="K26" s="15"/>
    </row>
    <row r="27" spans="1:14" s="3" customFormat="1" ht="20">
      <c r="A27" s="9"/>
      <c r="B27" s="10" t="str">
        <f>'Farm and Rotation Setup'!B57</f>
        <v>Winter Canola</v>
      </c>
      <c r="C27" s="160" t="s">
        <v>118</v>
      </c>
      <c r="D27" s="156">
        <v>0.15</v>
      </c>
      <c r="E27" s="455">
        <v>2000</v>
      </c>
      <c r="F27" s="456">
        <v>2000</v>
      </c>
      <c r="G27" s="457">
        <v>2000</v>
      </c>
      <c r="H27" s="160" t="s">
        <v>247</v>
      </c>
      <c r="I27" s="395">
        <v>11.5</v>
      </c>
      <c r="J27" s="157">
        <v>5</v>
      </c>
      <c r="K27" s="403"/>
      <c r="L27" s="403"/>
      <c r="M27" s="403"/>
      <c r="N27" s="403"/>
    </row>
    <row r="28" spans="1:14" ht="20">
      <c r="A28" s="9"/>
      <c r="B28" s="51" t="str">
        <f>'Farm and Rotation Setup'!B58</f>
        <v>Forage Crop-Soil Builder Blend</v>
      </c>
      <c r="C28" s="422" t="s">
        <v>246</v>
      </c>
      <c r="D28" s="423">
        <v>0</v>
      </c>
      <c r="E28" s="463">
        <v>0</v>
      </c>
      <c r="F28" s="451">
        <v>0</v>
      </c>
      <c r="G28" s="464">
        <v>0</v>
      </c>
      <c r="H28" s="422" t="s">
        <v>246</v>
      </c>
      <c r="I28" s="423">
        <v>23.15</v>
      </c>
      <c r="J28" s="424">
        <v>1</v>
      </c>
      <c r="K28" s="15"/>
    </row>
    <row r="29" spans="1:14">
      <c r="A29" s="15"/>
      <c r="B29" s="15"/>
      <c r="C29" s="15"/>
      <c r="D29" s="15"/>
      <c r="E29" s="15"/>
      <c r="F29" s="15"/>
      <c r="G29" s="15"/>
      <c r="H29" s="15"/>
      <c r="I29" s="15"/>
      <c r="J29" s="15"/>
      <c r="K29" s="15"/>
    </row>
    <row r="30" spans="1:14">
      <c r="A30" s="15"/>
      <c r="B30" s="15"/>
      <c r="C30" s="15"/>
      <c r="D30" s="15"/>
      <c r="E30" s="15"/>
      <c r="F30" s="15"/>
      <c r="G30" s="15"/>
      <c r="H30" s="15"/>
      <c r="I30" s="15"/>
      <c r="J30" s="15"/>
      <c r="K30" s="15"/>
    </row>
  </sheetData>
  <sheetProtection algorithmName="SHA-512" hashValue="9t0CUKuO8dLSNoPCgzKzh/i9+Cdo4UQ0STo5PVGd1wkcOO5KxueVfYtCfMLMpXD5sujHRbyc5h3Xo8afVN9qUQ==" saltValue="9ljIFy0mVzd69UXVOm3WqQ==" spinCount="100000" sheet="1" objects="1" scenarios="1"/>
  <mergeCells count="8">
    <mergeCell ref="H2:J2"/>
    <mergeCell ref="E2:G2"/>
    <mergeCell ref="C3:C4"/>
    <mergeCell ref="D3:D4"/>
    <mergeCell ref="E3:E4"/>
    <mergeCell ref="F3:F4"/>
    <mergeCell ref="G3:G4"/>
    <mergeCell ref="B2:D2"/>
  </mergeCells>
  <pageMargins left="0.7" right="0.7" top="0.75" bottom="0.75" header="0.3" footer="0.3"/>
  <pageSetup scale="79" orientation="landscape" horizontalDpi="0" verticalDpi="0"/>
  <ignoredErrors>
    <ignoredError sqref="B17 B24 B25 B28 B26 B27" unlockedFormula="1"/>
  </ignoredErrors>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59F9E-2D9E-7D43-9240-3A83050C0DF5}">
  <sheetPr codeName="Sheet34">
    <pageSetUpPr fitToPage="1"/>
  </sheetPr>
  <dimension ref="A1:K27"/>
  <sheetViews>
    <sheetView zoomScale="110" zoomScaleNormal="110" workbookViewId="0">
      <selection activeCell="B2" sqref="B2:F2"/>
    </sheetView>
  </sheetViews>
  <sheetFormatPr baseColWidth="10" defaultColWidth="10.83203125" defaultRowHeight="15"/>
  <cols>
    <col min="1" max="1" width="5.6640625" style="1" customWidth="1"/>
    <col min="2" max="2" width="43" style="1" bestFit="1" customWidth="1"/>
    <col min="3" max="3" width="26.6640625" style="1" customWidth="1"/>
    <col min="4" max="4" width="12.6640625" style="1" bestFit="1" customWidth="1"/>
    <col min="5" max="5" width="11.5" style="1" bestFit="1" customWidth="1"/>
    <col min="6" max="6" width="13.5" style="1" customWidth="1"/>
    <col min="7" max="7" width="10.83203125" style="1"/>
    <col min="8" max="11" width="10.83203125" style="15"/>
    <col min="12" max="16384" width="10.83203125" style="1"/>
  </cols>
  <sheetData>
    <row r="1" spans="1:8">
      <c r="A1" s="147"/>
      <c r="B1" s="147"/>
      <c r="C1" s="147"/>
      <c r="D1" s="147"/>
      <c r="E1" s="147"/>
      <c r="F1" s="148"/>
      <c r="G1" s="15"/>
    </row>
    <row r="2" spans="1:8" ht="20">
      <c r="A2" s="37"/>
      <c r="B2" s="682" t="s">
        <v>145</v>
      </c>
      <c r="C2" s="682"/>
      <c r="D2" s="682"/>
      <c r="E2" s="682"/>
      <c r="F2" s="682"/>
      <c r="G2" s="672"/>
      <c r="H2" s="672"/>
    </row>
    <row r="3" spans="1:8" ht="20">
      <c r="A3" s="37"/>
      <c r="B3" s="37" t="s">
        <v>148</v>
      </c>
      <c r="C3" s="37"/>
      <c r="D3" s="37"/>
      <c r="E3" s="37"/>
      <c r="F3" s="268">
        <v>65</v>
      </c>
      <c r="G3" s="672"/>
      <c r="H3" s="672"/>
    </row>
    <row r="4" spans="1:8" ht="20">
      <c r="A4" s="37"/>
      <c r="B4" s="37" t="s">
        <v>183</v>
      </c>
      <c r="C4" s="296"/>
      <c r="D4" s="296"/>
      <c r="E4" s="296"/>
      <c r="F4" s="269">
        <v>5</v>
      </c>
      <c r="G4" s="672"/>
      <c r="H4" s="672"/>
    </row>
    <row r="5" spans="1:8" ht="20">
      <c r="A5" s="38"/>
      <c r="B5" s="151" t="s">
        <v>147</v>
      </c>
      <c r="C5" s="152" t="s">
        <v>3</v>
      </c>
      <c r="D5" s="152" t="s">
        <v>2</v>
      </c>
      <c r="E5" s="152" t="s">
        <v>12</v>
      </c>
      <c r="F5" s="12" t="s">
        <v>6</v>
      </c>
      <c r="G5" s="15"/>
    </row>
    <row r="6" spans="1:8" ht="20">
      <c r="A6" s="38"/>
      <c r="B6" s="298" t="s">
        <v>223</v>
      </c>
      <c r="C6" s="299"/>
      <c r="D6" s="300"/>
      <c r="E6" s="301"/>
      <c r="F6" s="302"/>
      <c r="G6" s="15"/>
    </row>
    <row r="7" spans="1:8" ht="21" customHeight="1">
      <c r="A7" s="37"/>
      <c r="B7" s="309" t="s">
        <v>149</v>
      </c>
      <c r="C7" s="309"/>
      <c r="D7" s="255">
        <v>180</v>
      </c>
      <c r="E7" s="156">
        <v>4.29</v>
      </c>
      <c r="F7" s="297">
        <f>IF((D7*E7)&lt;0,0,D7*E7)</f>
        <v>772.2</v>
      </c>
      <c r="G7" s="15"/>
    </row>
    <row r="8" spans="1:8" ht="20">
      <c r="A8" s="39"/>
      <c r="B8" s="309" t="s">
        <v>150</v>
      </c>
      <c r="C8" s="310" t="s">
        <v>151</v>
      </c>
      <c r="D8" s="255">
        <v>7</v>
      </c>
      <c r="E8" s="156">
        <v>155.99</v>
      </c>
      <c r="F8" s="297">
        <f t="shared" ref="F8:F23" si="0">IF((D8*E8)&lt;0,0,D8*E8)</f>
        <v>1091.93</v>
      </c>
      <c r="G8" s="15"/>
    </row>
    <row r="9" spans="1:8" ht="20">
      <c r="A9" s="149"/>
      <c r="B9" s="309" t="s">
        <v>152</v>
      </c>
      <c r="C9" s="311" t="s">
        <v>153</v>
      </c>
      <c r="D9" s="255">
        <v>50</v>
      </c>
      <c r="E9" s="156">
        <v>4.79</v>
      </c>
      <c r="F9" s="297">
        <f t="shared" si="0"/>
        <v>239.5</v>
      </c>
      <c r="G9" s="15"/>
    </row>
    <row r="10" spans="1:8" ht="20">
      <c r="A10" s="150"/>
      <c r="B10" s="309" t="s">
        <v>154</v>
      </c>
      <c r="C10" s="311" t="s">
        <v>155</v>
      </c>
      <c r="D10" s="255">
        <v>8</v>
      </c>
      <c r="E10" s="156">
        <v>12.89</v>
      </c>
      <c r="F10" s="297">
        <f t="shared" si="0"/>
        <v>103.12</v>
      </c>
      <c r="G10" s="15"/>
    </row>
    <row r="11" spans="1:8" ht="20">
      <c r="A11" s="9"/>
      <c r="B11" s="309" t="s">
        <v>156</v>
      </c>
      <c r="C11" s="312"/>
      <c r="D11" s="255">
        <v>1</v>
      </c>
      <c r="E11" s="156">
        <v>59.99</v>
      </c>
      <c r="F11" s="297">
        <f t="shared" si="0"/>
        <v>59.99</v>
      </c>
      <c r="G11" s="15"/>
    </row>
    <row r="12" spans="1:8" ht="20">
      <c r="A12" s="9"/>
      <c r="B12" s="223" t="s">
        <v>157</v>
      </c>
      <c r="C12" s="254"/>
      <c r="D12" s="255">
        <v>3</v>
      </c>
      <c r="E12" s="156">
        <v>36.99</v>
      </c>
      <c r="F12" s="297">
        <f t="shared" si="0"/>
        <v>110.97</v>
      </c>
      <c r="G12" s="15"/>
    </row>
    <row r="13" spans="1:8" ht="20">
      <c r="A13" s="9"/>
      <c r="B13" s="223" t="s">
        <v>158</v>
      </c>
      <c r="C13" s="254"/>
      <c r="D13" s="255">
        <v>1</v>
      </c>
      <c r="E13" s="156">
        <v>185.46</v>
      </c>
      <c r="F13" s="297">
        <f t="shared" si="0"/>
        <v>185.46</v>
      </c>
      <c r="G13" s="15"/>
    </row>
    <row r="14" spans="1:8" ht="20">
      <c r="A14" s="9"/>
      <c r="B14" s="253" t="s">
        <v>160</v>
      </c>
      <c r="C14" s="254" t="s">
        <v>165</v>
      </c>
      <c r="D14" s="255">
        <v>1</v>
      </c>
      <c r="E14" s="156">
        <v>500</v>
      </c>
      <c r="F14" s="297">
        <f t="shared" si="0"/>
        <v>500</v>
      </c>
      <c r="G14" s="15"/>
    </row>
    <row r="15" spans="1:8" ht="20">
      <c r="A15" s="9"/>
      <c r="B15" s="253" t="s">
        <v>8</v>
      </c>
      <c r="C15" s="253" t="s">
        <v>8</v>
      </c>
      <c r="D15" s="255">
        <v>0</v>
      </c>
      <c r="E15" s="156">
        <v>0</v>
      </c>
      <c r="F15" s="297">
        <f t="shared" si="0"/>
        <v>0</v>
      </c>
      <c r="G15" s="15"/>
    </row>
    <row r="16" spans="1:8" ht="20">
      <c r="A16" s="9"/>
      <c r="B16" s="253"/>
      <c r="C16" s="253"/>
      <c r="D16" s="255"/>
      <c r="E16" s="156"/>
      <c r="F16" s="297"/>
      <c r="G16" s="15"/>
    </row>
    <row r="17" spans="1:11" ht="20">
      <c r="A17" s="9"/>
      <c r="B17" s="253"/>
      <c r="C17" s="253"/>
      <c r="D17" s="255"/>
      <c r="E17" s="156"/>
      <c r="F17" s="297"/>
      <c r="G17" s="15"/>
    </row>
    <row r="18" spans="1:11" ht="20">
      <c r="A18" s="9"/>
      <c r="B18" s="253" t="s">
        <v>8</v>
      </c>
      <c r="C18" s="253" t="s">
        <v>8</v>
      </c>
      <c r="D18" s="255">
        <v>0</v>
      </c>
      <c r="E18" s="156">
        <v>0</v>
      </c>
      <c r="F18" s="297">
        <f t="shared" ref="F18" si="1">IF((D18*E18)&lt;0,0,D18*E18)</f>
        <v>0</v>
      </c>
      <c r="G18" s="15"/>
    </row>
    <row r="19" spans="1:11" ht="20">
      <c r="A19" s="9"/>
      <c r="B19" s="298" t="s">
        <v>184</v>
      </c>
      <c r="C19" s="299"/>
      <c r="D19" s="300"/>
      <c r="E19" s="301"/>
      <c r="F19" s="302"/>
      <c r="G19" s="15"/>
    </row>
    <row r="20" spans="1:11" ht="20">
      <c r="A20" s="9"/>
      <c r="B20" s="253" t="s">
        <v>8</v>
      </c>
      <c r="C20" s="253" t="s">
        <v>8</v>
      </c>
      <c r="D20" s="255">
        <v>0</v>
      </c>
      <c r="E20" s="156">
        <v>0</v>
      </c>
      <c r="F20" s="297">
        <f t="shared" si="0"/>
        <v>0</v>
      </c>
      <c r="G20" s="15"/>
    </row>
    <row r="21" spans="1:11" s="203" customFormat="1" ht="20">
      <c r="A21" s="9"/>
      <c r="B21" s="253" t="s">
        <v>8</v>
      </c>
      <c r="C21" s="254"/>
      <c r="D21" s="255">
        <v>0</v>
      </c>
      <c r="E21" s="156">
        <v>0</v>
      </c>
      <c r="F21" s="297">
        <f t="shared" si="0"/>
        <v>0</v>
      </c>
      <c r="G21" s="202"/>
      <c r="H21" s="202"/>
      <c r="I21" s="202"/>
      <c r="J21" s="202"/>
      <c r="K21" s="202"/>
    </row>
    <row r="22" spans="1:11" ht="20">
      <c r="A22" s="9"/>
      <c r="B22" s="253" t="s">
        <v>164</v>
      </c>
      <c r="C22" s="254" t="s">
        <v>163</v>
      </c>
      <c r="D22" s="255">
        <v>20</v>
      </c>
      <c r="E22" s="156">
        <v>15</v>
      </c>
      <c r="F22" s="297">
        <f t="shared" si="0"/>
        <v>300</v>
      </c>
      <c r="G22" s="15"/>
    </row>
    <row r="23" spans="1:11" ht="20">
      <c r="A23" s="9"/>
      <c r="B23" s="253" t="s">
        <v>161</v>
      </c>
      <c r="C23" s="254" t="s">
        <v>162</v>
      </c>
      <c r="D23" s="255">
        <v>2000</v>
      </c>
      <c r="E23" s="156">
        <v>0.5</v>
      </c>
      <c r="F23" s="303">
        <f t="shared" si="0"/>
        <v>1000</v>
      </c>
      <c r="G23" s="15"/>
    </row>
    <row r="24" spans="1:11" ht="20">
      <c r="A24" s="9"/>
      <c r="B24" s="292" t="s">
        <v>309</v>
      </c>
      <c r="C24" s="292"/>
      <c r="D24" s="52" t="s">
        <v>8</v>
      </c>
      <c r="E24" s="304" t="s">
        <v>8</v>
      </c>
      <c r="F24" s="297">
        <f>SUM(F7:F23)</f>
        <v>4363.17</v>
      </c>
      <c r="G24" s="15"/>
    </row>
    <row r="25" spans="1:11" ht="20">
      <c r="A25" s="9"/>
      <c r="B25" s="305" t="s">
        <v>159</v>
      </c>
      <c r="C25" s="305"/>
      <c r="D25" s="282" t="s">
        <v>8</v>
      </c>
      <c r="E25" s="306" t="s">
        <v>8</v>
      </c>
      <c r="F25" s="307">
        <f>F24/F3</f>
        <v>67.125692307692304</v>
      </c>
      <c r="G25" s="15"/>
    </row>
    <row r="26" spans="1:11" ht="20">
      <c r="A26" s="15"/>
      <c r="B26" s="295" t="s">
        <v>224</v>
      </c>
      <c r="C26" s="295"/>
      <c r="D26" s="281" t="s">
        <v>8</v>
      </c>
      <c r="E26" s="308" t="s">
        <v>8</v>
      </c>
      <c r="F26" s="302">
        <f>((SUM(F7:F18)/F3)/F4)+((F20+F21+F22+F23)/F3)</f>
        <v>29.425138461538459</v>
      </c>
      <c r="G26" s="15"/>
    </row>
    <row r="27" spans="1:11">
      <c r="A27" s="15"/>
      <c r="B27" s="15"/>
      <c r="C27" s="15"/>
      <c r="D27" s="15"/>
      <c r="E27" s="15"/>
      <c r="F27" s="15"/>
      <c r="G27" s="15"/>
    </row>
  </sheetData>
  <sheetProtection algorithmName="SHA-512" hashValue="uDCYiOyTZiMpPUEY7Z0jM3JXzjK93cQvdEm0cxEvMZeyUHXfR5iuqkZPyeeQ+fL/t8yzphJ/7PbwBnytK+XBOg==" saltValue="k+qPSUefX1RYg7+kQHLYbQ==" spinCount="100000" sheet="1" objects="1" scenarios="1"/>
  <mergeCells count="1">
    <mergeCell ref="B2:F2"/>
  </mergeCells>
  <pageMargins left="0.7" right="0.7" top="0.75" bottom="0.75" header="0.3" footer="0.3"/>
  <pageSetup scale="41" orientation="landscape" horizontalDpi="0" verticalDpi="0"/>
  <ignoredErrors>
    <ignoredError sqref="F20:F26 F7:F15 F18" unlockedFormula="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19652-5E4D-0048-8311-9D53F376B593}">
  <sheetPr codeName="Sheet35">
    <pageSetUpPr fitToPage="1"/>
  </sheetPr>
  <dimension ref="A1:AM226"/>
  <sheetViews>
    <sheetView zoomScale="110" zoomScaleNormal="110" workbookViewId="0">
      <pane xSplit="5" ySplit="5" topLeftCell="F6" activePane="bottomRight" state="frozen"/>
      <selection activeCell="AX5" sqref="AX5"/>
      <selection pane="topRight" activeCell="AX5" sqref="AX5"/>
      <selection pane="bottomLeft" activeCell="AX5" sqref="AX5"/>
      <selection pane="bottomRight" activeCell="B3" sqref="B3:E3"/>
    </sheetView>
  </sheetViews>
  <sheetFormatPr baseColWidth="10" defaultColWidth="11.5" defaultRowHeight="15"/>
  <cols>
    <col min="1" max="1" width="1.83203125" style="15" customWidth="1"/>
    <col min="2" max="2" width="46.5" style="1" bestFit="1" customWidth="1"/>
    <col min="3" max="3" width="33" style="1" customWidth="1"/>
    <col min="4" max="4" width="9.5" style="1" bestFit="1" customWidth="1"/>
    <col min="5" max="5" width="10.6640625" style="3" customWidth="1"/>
    <col min="6" max="6" width="29.6640625" style="1" customWidth="1"/>
    <col min="7" max="8" width="25.83203125" style="1" customWidth="1"/>
    <col min="9" max="9" width="25.83203125" style="3" customWidth="1"/>
    <col min="10" max="11" width="25.83203125" style="1" customWidth="1"/>
    <col min="12" max="12" width="25.83203125" style="184" customWidth="1"/>
    <col min="13" max="25" width="25.83203125" style="1" customWidth="1"/>
    <col min="26" max="26" width="25.83203125" style="184" customWidth="1"/>
    <col min="27" max="29" width="25.83203125" style="1" customWidth="1"/>
    <col min="30" max="16384" width="11.5" style="1"/>
  </cols>
  <sheetData>
    <row r="1" spans="1:39" s="15" customFormat="1" ht="24" customHeight="1">
      <c r="D1" s="672"/>
      <c r="E1" s="673"/>
      <c r="I1" s="403"/>
      <c r="L1" s="499"/>
      <c r="Z1" s="499"/>
    </row>
    <row r="2" spans="1:39" s="15" customFormat="1" ht="20">
      <c r="A2" s="10"/>
      <c r="B2" s="10"/>
      <c r="C2" s="10"/>
      <c r="D2" s="18"/>
      <c r="E2" s="18"/>
      <c r="F2" s="487"/>
      <c r="G2" s="487"/>
      <c r="H2" s="487"/>
      <c r="I2" s="488"/>
      <c r="J2" s="487"/>
      <c r="K2" s="487"/>
      <c r="L2" s="489"/>
      <c r="M2" s="487"/>
      <c r="N2" s="487"/>
      <c r="O2" s="487"/>
      <c r="P2" s="487"/>
      <c r="Q2" s="487"/>
      <c r="R2" s="487"/>
      <c r="S2" s="487"/>
      <c r="T2" s="487"/>
      <c r="U2" s="487"/>
      <c r="V2" s="487"/>
      <c r="W2" s="487"/>
      <c r="X2" s="487"/>
      <c r="Y2" s="487"/>
      <c r="Z2" s="489"/>
      <c r="AA2" s="487"/>
      <c r="AB2" s="487"/>
      <c r="AC2" s="487"/>
    </row>
    <row r="3" spans="1:39" s="15" customFormat="1" ht="20">
      <c r="A3" s="10"/>
      <c r="B3" s="753" t="s">
        <v>146</v>
      </c>
      <c r="C3" s="753"/>
      <c r="D3" s="753"/>
      <c r="E3" s="753"/>
      <c r="F3" s="490"/>
      <c r="G3" s="490"/>
      <c r="H3" s="490"/>
      <c r="I3" s="490"/>
      <c r="J3" s="490"/>
      <c r="K3" s="490"/>
      <c r="L3" s="490"/>
      <c r="M3" s="490"/>
      <c r="N3" s="490"/>
      <c r="O3" s="490"/>
      <c r="P3" s="490"/>
      <c r="Q3" s="490"/>
      <c r="R3" s="490"/>
      <c r="S3" s="490"/>
      <c r="T3" s="490"/>
      <c r="U3" s="490"/>
      <c r="V3" s="490"/>
      <c r="W3" s="490"/>
      <c r="X3" s="490"/>
      <c r="Y3" s="490"/>
      <c r="Z3" s="490"/>
      <c r="AA3" s="490"/>
      <c r="AB3" s="490"/>
    </row>
    <row r="4" spans="1:39" s="15" customFormat="1" ht="21" customHeight="1">
      <c r="A4" s="265"/>
      <c r="B4" s="760" t="s">
        <v>1</v>
      </c>
      <c r="C4" s="766" t="s">
        <v>103</v>
      </c>
      <c r="D4" s="762" t="s">
        <v>2</v>
      </c>
      <c r="E4" s="762" t="s">
        <v>12</v>
      </c>
      <c r="F4" s="764" t="str">
        <f>'Prices_Yields&amp;SeedInputs'!B5</f>
        <v>SW Winter Wheat after Spring Legume</v>
      </c>
      <c r="G4" s="764" t="str">
        <f>'Prices_Yields&amp;SeedInputs'!B6</f>
        <v>SW Winter Wheat after Forage Crop</v>
      </c>
      <c r="H4" s="755" t="str">
        <f>'Prices_Yields&amp;SeedInputs'!B7</f>
        <v>DN Spring Wheat after Spring Legume</v>
      </c>
      <c r="I4" s="757" t="str">
        <f>'Prices_Yields&amp;SeedInputs'!B8</f>
        <v>DN Spring Wheat after Forage Crop</v>
      </c>
      <c r="J4" s="755" t="str">
        <f>'Prices_Yields&amp;SeedInputs'!B9</f>
        <v>DN Spring Wheat after Winter Crop</v>
      </c>
      <c r="K4" s="755" t="str">
        <f>'Prices_Yields&amp;SeedInputs'!B10</f>
        <v>Chickpea after Forage Crop</v>
      </c>
      <c r="L4" s="757" t="str">
        <f>'Prices_Yields&amp;SeedInputs'!B11</f>
        <v>Chickpea after Cereal</v>
      </c>
      <c r="M4" s="755" t="str">
        <f>'Prices_Yields&amp;SeedInputs'!B12</f>
        <v>Spring Pea after Cereal</v>
      </c>
      <c r="N4" s="755" t="str">
        <f>'Prices_Yields&amp;SeedInputs'!B13</f>
        <v>Forage Crop-St. John Area</v>
      </c>
      <c r="O4" s="755" t="str">
        <f>'Prices_Yields&amp;SeedInputs'!B14</f>
        <v>Forage Crop-Genesee Area</v>
      </c>
      <c r="P4" s="755" t="str">
        <f>'Prices_Yields&amp;SeedInputs'!B15</f>
        <v>Livestock Grazing</v>
      </c>
      <c r="Q4" s="764" t="str">
        <f>'Prices_Yields&amp;SeedInputs'!B16</f>
        <v>SW Winter Wheat after Cereal</v>
      </c>
      <c r="R4" s="764" t="str">
        <f>'Prices_Yields&amp;SeedInputs'!B17</f>
        <v>SW Winter Wheat after Fallow</v>
      </c>
      <c r="S4" s="755" t="str">
        <f>'Prices_Yields&amp;SeedInputs'!B18</f>
        <v>Chem-Fallow</v>
      </c>
      <c r="T4" s="755" t="str">
        <f>'Prices_Yields&amp;SeedInputs'!B19</f>
        <v>Flex-Fallow</v>
      </c>
      <c r="U4" s="755" t="str">
        <f>'Prices_Yields&amp;SeedInputs'!B20</f>
        <v>Spring Barley</v>
      </c>
      <c r="V4" s="755" t="str">
        <f>'Prices_Yields&amp;SeedInputs'!B21</f>
        <v>Roundup Ready Spring Canola</v>
      </c>
      <c r="W4" s="755" t="str">
        <f>'Prices_Yields&amp;SeedInputs'!B22</f>
        <v>Spring Canola</v>
      </c>
      <c r="X4" s="755" t="str">
        <f>'Prices_Yields&amp;SeedInputs'!B23</f>
        <v>Spring Lentils</v>
      </c>
      <c r="Y4" s="755" t="str">
        <f>'Prices_Yields&amp;SeedInputs'!B24</f>
        <v>SW Spring Wheat</v>
      </c>
      <c r="Z4" s="757" t="str">
        <f>'Prices_Yields&amp;SeedInputs'!B25</f>
        <v>HR Winter Wheat</v>
      </c>
      <c r="AA4" s="755" t="str">
        <f>'Prices_Yields&amp;SeedInputs'!B26</f>
        <v>Winter Pea</v>
      </c>
      <c r="AB4" s="755" t="str">
        <f>'Prices_Yields&amp;SeedInputs'!B27</f>
        <v>Winter Canola</v>
      </c>
      <c r="AC4" s="755" t="str">
        <f>'Prices_Yields&amp;SeedInputs'!B28</f>
        <v>Forage Crop-Soil Builder Blend</v>
      </c>
    </row>
    <row r="5" spans="1:39" s="15" customFormat="1" ht="21" customHeight="1">
      <c r="A5" s="157"/>
      <c r="B5" s="761"/>
      <c r="C5" s="767"/>
      <c r="D5" s="763"/>
      <c r="E5" s="763"/>
      <c r="F5" s="765"/>
      <c r="G5" s="765"/>
      <c r="H5" s="756"/>
      <c r="I5" s="758"/>
      <c r="J5" s="756"/>
      <c r="K5" s="756"/>
      <c r="L5" s="758"/>
      <c r="M5" s="756"/>
      <c r="N5" s="756"/>
      <c r="O5" s="756"/>
      <c r="P5" s="756"/>
      <c r="Q5" s="765"/>
      <c r="R5" s="765"/>
      <c r="S5" s="756"/>
      <c r="T5" s="756"/>
      <c r="U5" s="756"/>
      <c r="V5" s="756"/>
      <c r="W5" s="756"/>
      <c r="X5" s="756"/>
      <c r="Y5" s="756"/>
      <c r="Z5" s="758"/>
      <c r="AA5" s="756"/>
      <c r="AB5" s="756"/>
      <c r="AC5" s="756"/>
    </row>
    <row r="6" spans="1:39" s="15" customFormat="1" ht="21" customHeight="1">
      <c r="A6" s="157"/>
      <c r="B6" s="511" t="s">
        <v>312</v>
      </c>
      <c r="C6" s="506" t="str">
        <f>'Farm and Rotation Setup'!B5</f>
        <v>Business As Usual</v>
      </c>
      <c r="D6" s="160" t="s">
        <v>247</v>
      </c>
      <c r="E6" s="156">
        <v>0.48749999999999999</v>
      </c>
      <c r="F6" s="491">
        <v>93</v>
      </c>
      <c r="G6" s="491">
        <v>93</v>
      </c>
      <c r="H6" s="492">
        <v>100</v>
      </c>
      <c r="I6" s="492">
        <v>0</v>
      </c>
      <c r="J6" s="492">
        <v>130</v>
      </c>
      <c r="K6" s="492">
        <v>0</v>
      </c>
      <c r="L6" s="492">
        <v>0</v>
      </c>
      <c r="M6" s="492">
        <v>0</v>
      </c>
      <c r="N6" s="492">
        <v>0</v>
      </c>
      <c r="O6" s="492">
        <v>0</v>
      </c>
      <c r="P6" s="492">
        <v>0</v>
      </c>
      <c r="Q6" s="491">
        <v>93</v>
      </c>
      <c r="R6" s="491">
        <v>93</v>
      </c>
      <c r="S6" s="492">
        <v>0</v>
      </c>
      <c r="T6" s="492">
        <v>0</v>
      </c>
      <c r="U6" s="492">
        <v>80</v>
      </c>
      <c r="V6" s="492">
        <v>90</v>
      </c>
      <c r="W6" s="492">
        <v>90</v>
      </c>
      <c r="X6" s="492">
        <v>0</v>
      </c>
      <c r="Y6" s="492">
        <v>100</v>
      </c>
      <c r="Z6" s="492">
        <v>130</v>
      </c>
      <c r="AA6" s="492">
        <v>0</v>
      </c>
      <c r="AB6" s="493">
        <v>90</v>
      </c>
      <c r="AC6" s="492">
        <v>0</v>
      </c>
    </row>
    <row r="7" spans="1:39" s="470" customFormat="1" ht="21" customHeight="1">
      <c r="A7" s="157"/>
      <c r="B7" s="512"/>
      <c r="C7" s="507" t="str">
        <f>'Farm and Rotation Setup'!B14</f>
        <v>Incremental Rotation</v>
      </c>
      <c r="D7" s="465"/>
      <c r="E7" s="466"/>
      <c r="F7" s="467">
        <v>93</v>
      </c>
      <c r="G7" s="467">
        <v>93</v>
      </c>
      <c r="H7" s="468">
        <v>100</v>
      </c>
      <c r="I7" s="468">
        <v>0</v>
      </c>
      <c r="J7" s="468">
        <v>130</v>
      </c>
      <c r="K7" s="468">
        <v>0</v>
      </c>
      <c r="L7" s="468">
        <v>0</v>
      </c>
      <c r="M7" s="468">
        <v>0</v>
      </c>
      <c r="N7" s="468">
        <v>0</v>
      </c>
      <c r="O7" s="468">
        <v>0</v>
      </c>
      <c r="P7" s="468">
        <v>0</v>
      </c>
      <c r="Q7" s="467">
        <v>93</v>
      </c>
      <c r="R7" s="467">
        <v>93</v>
      </c>
      <c r="S7" s="468">
        <v>0</v>
      </c>
      <c r="T7" s="468">
        <v>0</v>
      </c>
      <c r="U7" s="468">
        <v>80</v>
      </c>
      <c r="V7" s="468">
        <v>90</v>
      </c>
      <c r="W7" s="468">
        <v>90</v>
      </c>
      <c r="X7" s="468">
        <v>0</v>
      </c>
      <c r="Y7" s="468">
        <v>100</v>
      </c>
      <c r="Z7" s="468">
        <v>130</v>
      </c>
      <c r="AA7" s="468">
        <v>0</v>
      </c>
      <c r="AB7" s="469">
        <v>90</v>
      </c>
      <c r="AC7" s="468">
        <v>0</v>
      </c>
    </row>
    <row r="8" spans="1:39" s="476" customFormat="1" ht="21" customHeight="1">
      <c r="A8" s="424"/>
      <c r="B8" s="513"/>
      <c r="C8" s="508" t="str">
        <f>'Farm and Rotation Setup'!B23</f>
        <v>Aspirational Rotation</v>
      </c>
      <c r="D8" s="471"/>
      <c r="E8" s="472"/>
      <c r="F8" s="473">
        <v>93</v>
      </c>
      <c r="G8" s="473">
        <v>93</v>
      </c>
      <c r="H8" s="474">
        <v>100</v>
      </c>
      <c r="I8" s="474">
        <v>0</v>
      </c>
      <c r="J8" s="474">
        <v>130</v>
      </c>
      <c r="K8" s="474">
        <v>0</v>
      </c>
      <c r="L8" s="474">
        <v>0</v>
      </c>
      <c r="M8" s="474">
        <v>0</v>
      </c>
      <c r="N8" s="474">
        <v>0</v>
      </c>
      <c r="O8" s="474">
        <v>0</v>
      </c>
      <c r="P8" s="474">
        <v>0</v>
      </c>
      <c r="Q8" s="473">
        <v>93</v>
      </c>
      <c r="R8" s="473">
        <v>93</v>
      </c>
      <c r="S8" s="474">
        <v>0</v>
      </c>
      <c r="T8" s="474">
        <v>0</v>
      </c>
      <c r="U8" s="474">
        <v>80</v>
      </c>
      <c r="V8" s="474">
        <v>90</v>
      </c>
      <c r="W8" s="474">
        <v>90</v>
      </c>
      <c r="X8" s="474">
        <v>0</v>
      </c>
      <c r="Y8" s="474">
        <v>100</v>
      </c>
      <c r="Z8" s="474">
        <v>130</v>
      </c>
      <c r="AA8" s="474">
        <v>0</v>
      </c>
      <c r="AB8" s="475">
        <v>90</v>
      </c>
      <c r="AC8" s="474">
        <v>0</v>
      </c>
    </row>
    <row r="9" spans="1:39" s="15" customFormat="1" ht="21" customHeight="1">
      <c r="A9" s="157"/>
      <c r="B9" s="10" t="s">
        <v>311</v>
      </c>
      <c r="C9" s="13" t="str">
        <f>'Farm and Rotation Setup'!B5</f>
        <v>Business As Usual</v>
      </c>
      <c r="D9" s="494" t="s">
        <v>247</v>
      </c>
      <c r="E9" s="156">
        <v>0.75770000000000004</v>
      </c>
      <c r="F9" s="491">
        <v>0</v>
      </c>
      <c r="G9" s="491">
        <v>0</v>
      </c>
      <c r="H9" s="492">
        <v>0</v>
      </c>
      <c r="I9" s="492">
        <v>0</v>
      </c>
      <c r="J9" s="492">
        <v>0</v>
      </c>
      <c r="K9" s="492">
        <v>0</v>
      </c>
      <c r="L9" s="492">
        <v>0</v>
      </c>
      <c r="M9" s="492">
        <v>0</v>
      </c>
      <c r="N9" s="492">
        <v>0</v>
      </c>
      <c r="O9" s="492">
        <v>0</v>
      </c>
      <c r="P9" s="492">
        <v>0</v>
      </c>
      <c r="Q9" s="491">
        <v>0</v>
      </c>
      <c r="R9" s="491">
        <v>0</v>
      </c>
      <c r="S9" s="492">
        <v>0</v>
      </c>
      <c r="T9" s="492">
        <v>0</v>
      </c>
      <c r="U9" s="492">
        <v>0</v>
      </c>
      <c r="V9" s="492">
        <v>0</v>
      </c>
      <c r="W9" s="492">
        <v>0</v>
      </c>
      <c r="X9" s="492">
        <v>0</v>
      </c>
      <c r="Y9" s="492">
        <v>0</v>
      </c>
      <c r="Z9" s="492">
        <v>0</v>
      </c>
      <c r="AA9" s="492">
        <v>0</v>
      </c>
      <c r="AB9" s="493">
        <v>0</v>
      </c>
      <c r="AC9" s="492">
        <v>0</v>
      </c>
    </row>
    <row r="10" spans="1:39" s="470" customFormat="1" ht="21" customHeight="1">
      <c r="A10" s="157"/>
      <c r="B10" s="512"/>
      <c r="C10" s="507" t="str">
        <f>'Farm and Rotation Setup'!B14</f>
        <v>Incremental Rotation</v>
      </c>
      <c r="D10" s="465"/>
      <c r="E10" s="466"/>
      <c r="F10" s="467">
        <v>0</v>
      </c>
      <c r="G10" s="467">
        <v>0</v>
      </c>
      <c r="H10" s="468">
        <v>0</v>
      </c>
      <c r="I10" s="468">
        <v>0</v>
      </c>
      <c r="J10" s="468">
        <v>0</v>
      </c>
      <c r="K10" s="468">
        <v>0</v>
      </c>
      <c r="L10" s="468">
        <v>0</v>
      </c>
      <c r="M10" s="468">
        <v>0</v>
      </c>
      <c r="N10" s="468">
        <v>0</v>
      </c>
      <c r="O10" s="468">
        <v>0</v>
      </c>
      <c r="P10" s="468">
        <v>0</v>
      </c>
      <c r="Q10" s="467">
        <v>0</v>
      </c>
      <c r="R10" s="467">
        <v>0</v>
      </c>
      <c r="S10" s="468">
        <v>0</v>
      </c>
      <c r="T10" s="468">
        <v>0</v>
      </c>
      <c r="U10" s="468">
        <v>0</v>
      </c>
      <c r="V10" s="468">
        <v>0</v>
      </c>
      <c r="W10" s="468">
        <v>0</v>
      </c>
      <c r="X10" s="468">
        <v>0</v>
      </c>
      <c r="Y10" s="468">
        <v>0</v>
      </c>
      <c r="Z10" s="468">
        <v>0</v>
      </c>
      <c r="AA10" s="468">
        <v>0</v>
      </c>
      <c r="AB10" s="469">
        <v>0</v>
      </c>
      <c r="AC10" s="468">
        <v>0</v>
      </c>
    </row>
    <row r="11" spans="1:39" s="476" customFormat="1" ht="21" customHeight="1">
      <c r="A11" s="424"/>
      <c r="B11" s="513"/>
      <c r="C11" s="508" t="str">
        <f>'Farm and Rotation Setup'!B23</f>
        <v>Aspirational Rotation</v>
      </c>
      <c r="D11" s="471"/>
      <c r="E11" s="472"/>
      <c r="F11" s="473">
        <v>0</v>
      </c>
      <c r="G11" s="473">
        <v>0</v>
      </c>
      <c r="H11" s="474">
        <v>0</v>
      </c>
      <c r="I11" s="474">
        <v>0</v>
      </c>
      <c r="J11" s="474">
        <v>0</v>
      </c>
      <c r="K11" s="474">
        <v>0</v>
      </c>
      <c r="L11" s="474">
        <v>0</v>
      </c>
      <c r="M11" s="474">
        <v>0</v>
      </c>
      <c r="N11" s="474">
        <v>0</v>
      </c>
      <c r="O11" s="474">
        <v>0</v>
      </c>
      <c r="P11" s="474">
        <v>0</v>
      </c>
      <c r="Q11" s="473">
        <v>0</v>
      </c>
      <c r="R11" s="473">
        <v>0</v>
      </c>
      <c r="S11" s="474">
        <v>0</v>
      </c>
      <c r="T11" s="474">
        <v>0</v>
      </c>
      <c r="U11" s="474">
        <v>0</v>
      </c>
      <c r="V11" s="474">
        <v>0</v>
      </c>
      <c r="W11" s="474">
        <v>0</v>
      </c>
      <c r="X11" s="474">
        <v>0</v>
      </c>
      <c r="Y11" s="474">
        <v>0</v>
      </c>
      <c r="Z11" s="474">
        <v>0</v>
      </c>
      <c r="AA11" s="474">
        <v>0</v>
      </c>
      <c r="AB11" s="475">
        <v>0</v>
      </c>
      <c r="AC11" s="474">
        <v>0</v>
      </c>
    </row>
    <row r="12" spans="1:39" s="15" customFormat="1" ht="21">
      <c r="A12" s="157"/>
      <c r="B12" s="511" t="s">
        <v>310</v>
      </c>
      <c r="C12" s="506" t="str">
        <f>'Farm and Rotation Setup'!B5</f>
        <v>Business As Usual</v>
      </c>
      <c r="D12" s="160" t="s">
        <v>247</v>
      </c>
      <c r="E12" s="156">
        <v>0.47499999999999998</v>
      </c>
      <c r="F12" s="491">
        <v>23</v>
      </c>
      <c r="G12" s="491">
        <v>23</v>
      </c>
      <c r="H12" s="492">
        <v>5</v>
      </c>
      <c r="I12" s="492">
        <v>0</v>
      </c>
      <c r="J12" s="493">
        <v>5</v>
      </c>
      <c r="K12" s="492">
        <v>0</v>
      </c>
      <c r="L12" s="492">
        <v>0</v>
      </c>
      <c r="M12" s="492">
        <v>0</v>
      </c>
      <c r="N12" s="492">
        <v>0</v>
      </c>
      <c r="O12" s="492">
        <v>0</v>
      </c>
      <c r="P12" s="492">
        <v>0</v>
      </c>
      <c r="Q12" s="491">
        <v>23</v>
      </c>
      <c r="R12" s="491">
        <v>23</v>
      </c>
      <c r="S12" s="492">
        <v>0</v>
      </c>
      <c r="T12" s="492">
        <v>0</v>
      </c>
      <c r="U12" s="493">
        <v>5</v>
      </c>
      <c r="V12" s="493">
        <v>8</v>
      </c>
      <c r="W12" s="493">
        <v>8</v>
      </c>
      <c r="X12" s="492">
        <v>0</v>
      </c>
      <c r="Y12" s="492">
        <v>5</v>
      </c>
      <c r="Z12" s="493">
        <v>5</v>
      </c>
      <c r="AA12" s="492">
        <v>0</v>
      </c>
      <c r="AB12" s="493">
        <v>8</v>
      </c>
      <c r="AC12" s="492">
        <v>0</v>
      </c>
    </row>
    <row r="13" spans="1:39" s="470" customFormat="1" ht="21" customHeight="1">
      <c r="A13" s="157"/>
      <c r="B13" s="512"/>
      <c r="C13" s="507" t="str">
        <f>'Farm and Rotation Setup'!B14</f>
        <v>Incremental Rotation</v>
      </c>
      <c r="D13" s="465"/>
      <c r="E13" s="466"/>
      <c r="F13" s="467">
        <v>23</v>
      </c>
      <c r="G13" s="467">
        <v>23</v>
      </c>
      <c r="H13" s="468">
        <v>5</v>
      </c>
      <c r="I13" s="468">
        <v>0</v>
      </c>
      <c r="J13" s="469">
        <v>5</v>
      </c>
      <c r="K13" s="468">
        <v>0</v>
      </c>
      <c r="L13" s="468">
        <v>0</v>
      </c>
      <c r="M13" s="468">
        <v>0</v>
      </c>
      <c r="N13" s="468">
        <v>0</v>
      </c>
      <c r="O13" s="468">
        <v>0</v>
      </c>
      <c r="P13" s="468">
        <v>0</v>
      </c>
      <c r="Q13" s="467">
        <v>23</v>
      </c>
      <c r="R13" s="467">
        <v>23</v>
      </c>
      <c r="S13" s="468">
        <v>0</v>
      </c>
      <c r="T13" s="468">
        <v>0</v>
      </c>
      <c r="U13" s="469">
        <v>5</v>
      </c>
      <c r="V13" s="469">
        <v>8</v>
      </c>
      <c r="W13" s="469">
        <v>8</v>
      </c>
      <c r="X13" s="468">
        <v>0</v>
      </c>
      <c r="Y13" s="468">
        <v>5</v>
      </c>
      <c r="Z13" s="469">
        <v>5</v>
      </c>
      <c r="AA13" s="468">
        <v>0</v>
      </c>
      <c r="AB13" s="469">
        <v>8</v>
      </c>
      <c r="AC13" s="468">
        <v>0</v>
      </c>
    </row>
    <row r="14" spans="1:39" s="476" customFormat="1" ht="21" customHeight="1">
      <c r="A14" s="424"/>
      <c r="B14" s="513"/>
      <c r="C14" s="508" t="str">
        <f>'Farm and Rotation Setup'!B23</f>
        <v>Aspirational Rotation</v>
      </c>
      <c r="D14" s="471"/>
      <c r="E14" s="472"/>
      <c r="F14" s="473">
        <v>23</v>
      </c>
      <c r="G14" s="473">
        <v>23</v>
      </c>
      <c r="H14" s="474">
        <v>5</v>
      </c>
      <c r="I14" s="474">
        <v>0</v>
      </c>
      <c r="J14" s="475">
        <v>5</v>
      </c>
      <c r="K14" s="474">
        <v>0</v>
      </c>
      <c r="L14" s="474">
        <v>0</v>
      </c>
      <c r="M14" s="474">
        <v>0</v>
      </c>
      <c r="N14" s="474">
        <v>0</v>
      </c>
      <c r="O14" s="474">
        <v>0</v>
      </c>
      <c r="P14" s="474">
        <v>0</v>
      </c>
      <c r="Q14" s="473">
        <v>23</v>
      </c>
      <c r="R14" s="473">
        <v>23</v>
      </c>
      <c r="S14" s="474">
        <v>0</v>
      </c>
      <c r="T14" s="474">
        <v>0</v>
      </c>
      <c r="U14" s="475">
        <v>5</v>
      </c>
      <c r="V14" s="475">
        <v>8</v>
      </c>
      <c r="W14" s="475">
        <v>8</v>
      </c>
      <c r="X14" s="474">
        <v>0</v>
      </c>
      <c r="Y14" s="474">
        <v>5</v>
      </c>
      <c r="Z14" s="475">
        <v>5</v>
      </c>
      <c r="AA14" s="474">
        <v>0</v>
      </c>
      <c r="AB14" s="475">
        <v>8</v>
      </c>
      <c r="AC14" s="474">
        <v>0</v>
      </c>
    </row>
    <row r="15" spans="1:39" ht="21">
      <c r="A15" s="157"/>
      <c r="B15" s="514" t="s">
        <v>313</v>
      </c>
      <c r="C15" s="509" t="str">
        <f>'Farm and Rotation Setup'!B5</f>
        <v>Business As Usual</v>
      </c>
      <c r="D15" s="390" t="s">
        <v>247</v>
      </c>
      <c r="E15" s="391">
        <v>0.441</v>
      </c>
      <c r="F15" s="217">
        <v>30</v>
      </c>
      <c r="G15" s="217">
        <v>30</v>
      </c>
      <c r="H15" s="138">
        <v>0</v>
      </c>
      <c r="I15" s="138">
        <v>0</v>
      </c>
      <c r="J15" s="195">
        <v>0</v>
      </c>
      <c r="K15" s="138">
        <v>0</v>
      </c>
      <c r="L15" s="138">
        <v>0</v>
      </c>
      <c r="M15" s="138">
        <v>0</v>
      </c>
      <c r="N15" s="138">
        <v>0</v>
      </c>
      <c r="O15" s="138">
        <v>0</v>
      </c>
      <c r="P15" s="138">
        <v>0</v>
      </c>
      <c r="Q15" s="217">
        <v>30</v>
      </c>
      <c r="R15" s="217">
        <v>30</v>
      </c>
      <c r="S15" s="138">
        <v>0</v>
      </c>
      <c r="T15" s="138">
        <v>0</v>
      </c>
      <c r="U15" s="195">
        <v>0</v>
      </c>
      <c r="V15" s="138">
        <v>0</v>
      </c>
      <c r="W15" s="138">
        <v>0</v>
      </c>
      <c r="X15" s="138">
        <v>0</v>
      </c>
      <c r="Y15" s="138">
        <v>0</v>
      </c>
      <c r="Z15" s="195">
        <v>0</v>
      </c>
      <c r="AA15" s="138">
        <v>0</v>
      </c>
      <c r="AB15" s="195">
        <v>0</v>
      </c>
      <c r="AC15" s="138">
        <v>0</v>
      </c>
      <c r="AD15" s="92"/>
      <c r="AE15" s="92"/>
      <c r="AF15" s="92"/>
      <c r="AG15" s="92"/>
      <c r="AH15" s="92"/>
      <c r="AI15" s="92"/>
      <c r="AJ15" s="92"/>
      <c r="AK15" s="92"/>
      <c r="AL15" s="92"/>
      <c r="AM15" s="92"/>
    </row>
    <row r="16" spans="1:39" s="470" customFormat="1" ht="21" customHeight="1">
      <c r="A16" s="157"/>
      <c r="B16" s="512"/>
      <c r="C16" s="507" t="str">
        <f>'Farm and Rotation Setup'!B14</f>
        <v>Incremental Rotation</v>
      </c>
      <c r="D16" s="465"/>
      <c r="E16" s="466"/>
      <c r="F16" s="467">
        <v>30</v>
      </c>
      <c r="G16" s="467">
        <v>30</v>
      </c>
      <c r="H16" s="468">
        <v>0</v>
      </c>
      <c r="I16" s="468">
        <v>0</v>
      </c>
      <c r="J16" s="469">
        <v>0</v>
      </c>
      <c r="K16" s="468">
        <v>0</v>
      </c>
      <c r="L16" s="468">
        <v>0</v>
      </c>
      <c r="M16" s="468">
        <v>0</v>
      </c>
      <c r="N16" s="468">
        <v>0</v>
      </c>
      <c r="O16" s="468">
        <v>0</v>
      </c>
      <c r="P16" s="468">
        <v>0</v>
      </c>
      <c r="Q16" s="467">
        <v>30</v>
      </c>
      <c r="R16" s="467">
        <v>30</v>
      </c>
      <c r="S16" s="468">
        <v>0</v>
      </c>
      <c r="T16" s="468">
        <v>0</v>
      </c>
      <c r="U16" s="469">
        <v>0</v>
      </c>
      <c r="V16" s="468">
        <v>0</v>
      </c>
      <c r="W16" s="468">
        <v>0</v>
      </c>
      <c r="X16" s="468">
        <v>0</v>
      </c>
      <c r="Y16" s="468">
        <v>0</v>
      </c>
      <c r="Z16" s="469">
        <v>0</v>
      </c>
      <c r="AA16" s="468">
        <v>0</v>
      </c>
      <c r="AB16" s="469">
        <v>0</v>
      </c>
      <c r="AC16" s="468">
        <v>0</v>
      </c>
    </row>
    <row r="17" spans="1:39" s="476" customFormat="1" ht="21" customHeight="1">
      <c r="A17" s="424"/>
      <c r="B17" s="513"/>
      <c r="C17" s="508" t="str">
        <f>'Farm and Rotation Setup'!B23</f>
        <v>Aspirational Rotation</v>
      </c>
      <c r="D17" s="471"/>
      <c r="E17" s="472"/>
      <c r="F17" s="473">
        <v>30</v>
      </c>
      <c r="G17" s="473">
        <v>30</v>
      </c>
      <c r="H17" s="474">
        <v>0</v>
      </c>
      <c r="I17" s="474">
        <v>0</v>
      </c>
      <c r="J17" s="475">
        <v>0</v>
      </c>
      <c r="K17" s="474">
        <v>0</v>
      </c>
      <c r="L17" s="474">
        <v>0</v>
      </c>
      <c r="M17" s="474">
        <v>0</v>
      </c>
      <c r="N17" s="474">
        <v>0</v>
      </c>
      <c r="O17" s="474">
        <v>0</v>
      </c>
      <c r="P17" s="474">
        <v>0</v>
      </c>
      <c r="Q17" s="473">
        <v>30</v>
      </c>
      <c r="R17" s="473">
        <v>30</v>
      </c>
      <c r="S17" s="474">
        <v>0</v>
      </c>
      <c r="T17" s="474">
        <v>0</v>
      </c>
      <c r="U17" s="475">
        <v>0</v>
      </c>
      <c r="V17" s="474">
        <v>0</v>
      </c>
      <c r="W17" s="474">
        <v>0</v>
      </c>
      <c r="X17" s="474">
        <v>0</v>
      </c>
      <c r="Y17" s="474">
        <v>0</v>
      </c>
      <c r="Z17" s="475">
        <v>0</v>
      </c>
      <c r="AA17" s="474">
        <v>0</v>
      </c>
      <c r="AB17" s="475">
        <v>0</v>
      </c>
      <c r="AC17" s="474">
        <v>0</v>
      </c>
    </row>
    <row r="18" spans="1:39" ht="21">
      <c r="A18" s="157"/>
      <c r="B18" s="514" t="s">
        <v>314</v>
      </c>
      <c r="C18" s="509" t="str">
        <f>'Farm and Rotation Setup'!B5</f>
        <v>Business As Usual</v>
      </c>
      <c r="D18" s="390" t="s">
        <v>247</v>
      </c>
      <c r="E18" s="391">
        <v>0.2555</v>
      </c>
      <c r="F18" s="217">
        <v>9</v>
      </c>
      <c r="G18" s="217">
        <v>9</v>
      </c>
      <c r="H18" s="138">
        <v>20</v>
      </c>
      <c r="I18" s="138">
        <v>0</v>
      </c>
      <c r="J18" s="138">
        <v>25</v>
      </c>
      <c r="K18" s="138">
        <v>0</v>
      </c>
      <c r="L18" s="138">
        <v>0</v>
      </c>
      <c r="M18" s="138">
        <v>0</v>
      </c>
      <c r="N18" s="138">
        <v>0</v>
      </c>
      <c r="O18" s="138">
        <v>0</v>
      </c>
      <c r="P18" s="138">
        <v>0</v>
      </c>
      <c r="Q18" s="217">
        <v>9</v>
      </c>
      <c r="R18" s="217">
        <v>9</v>
      </c>
      <c r="S18" s="138">
        <v>0</v>
      </c>
      <c r="T18" s="138">
        <v>0</v>
      </c>
      <c r="U18" s="138">
        <v>15</v>
      </c>
      <c r="V18" s="138">
        <v>17</v>
      </c>
      <c r="W18" s="138">
        <v>17</v>
      </c>
      <c r="X18" s="138">
        <v>0</v>
      </c>
      <c r="Y18" s="138">
        <v>20</v>
      </c>
      <c r="Z18" s="138">
        <v>25</v>
      </c>
      <c r="AA18" s="138">
        <v>0</v>
      </c>
      <c r="AB18" s="195">
        <v>17</v>
      </c>
      <c r="AC18" s="138">
        <v>0</v>
      </c>
      <c r="AD18" s="92"/>
      <c r="AE18" s="92"/>
      <c r="AF18" s="92"/>
      <c r="AG18" s="92"/>
      <c r="AH18" s="92"/>
      <c r="AI18" s="92"/>
      <c r="AJ18" s="92"/>
      <c r="AK18" s="92"/>
      <c r="AL18" s="92"/>
      <c r="AM18" s="92"/>
    </row>
    <row r="19" spans="1:39" s="470" customFormat="1" ht="21" customHeight="1">
      <c r="A19" s="157"/>
      <c r="B19" s="512"/>
      <c r="C19" s="507" t="str">
        <f>'Farm and Rotation Setup'!B14</f>
        <v>Incremental Rotation</v>
      </c>
      <c r="D19" s="465"/>
      <c r="E19" s="466"/>
      <c r="F19" s="467">
        <v>9</v>
      </c>
      <c r="G19" s="467">
        <v>9</v>
      </c>
      <c r="H19" s="468">
        <v>20</v>
      </c>
      <c r="I19" s="468">
        <v>0</v>
      </c>
      <c r="J19" s="468">
        <v>25</v>
      </c>
      <c r="K19" s="468">
        <v>0</v>
      </c>
      <c r="L19" s="468">
        <v>0</v>
      </c>
      <c r="M19" s="468">
        <v>0</v>
      </c>
      <c r="N19" s="468">
        <v>0</v>
      </c>
      <c r="O19" s="468">
        <v>0</v>
      </c>
      <c r="P19" s="468">
        <v>0</v>
      </c>
      <c r="Q19" s="467">
        <v>9</v>
      </c>
      <c r="R19" s="467">
        <v>9</v>
      </c>
      <c r="S19" s="468">
        <v>0</v>
      </c>
      <c r="T19" s="468">
        <v>0</v>
      </c>
      <c r="U19" s="468">
        <v>15</v>
      </c>
      <c r="V19" s="468">
        <v>17</v>
      </c>
      <c r="W19" s="468">
        <v>17</v>
      </c>
      <c r="X19" s="468">
        <v>0</v>
      </c>
      <c r="Y19" s="468">
        <v>20</v>
      </c>
      <c r="Z19" s="468">
        <v>25</v>
      </c>
      <c r="AA19" s="468">
        <v>0</v>
      </c>
      <c r="AB19" s="469">
        <v>17</v>
      </c>
      <c r="AC19" s="468">
        <v>0</v>
      </c>
    </row>
    <row r="20" spans="1:39" s="476" customFormat="1" ht="21" customHeight="1">
      <c r="A20" s="424"/>
      <c r="B20" s="513"/>
      <c r="C20" s="508" t="str">
        <f>'Farm and Rotation Setup'!B23</f>
        <v>Aspirational Rotation</v>
      </c>
      <c r="D20" s="471"/>
      <c r="E20" s="472"/>
      <c r="F20" s="473">
        <v>9</v>
      </c>
      <c r="G20" s="473">
        <v>9</v>
      </c>
      <c r="H20" s="474">
        <v>20</v>
      </c>
      <c r="I20" s="474">
        <v>0</v>
      </c>
      <c r="J20" s="474">
        <v>25</v>
      </c>
      <c r="K20" s="474">
        <v>0</v>
      </c>
      <c r="L20" s="474">
        <v>0</v>
      </c>
      <c r="M20" s="474">
        <v>0</v>
      </c>
      <c r="N20" s="474">
        <v>0</v>
      </c>
      <c r="O20" s="474">
        <v>0</v>
      </c>
      <c r="P20" s="474">
        <v>0</v>
      </c>
      <c r="Q20" s="473">
        <v>9</v>
      </c>
      <c r="R20" s="473">
        <v>9</v>
      </c>
      <c r="S20" s="474">
        <v>0</v>
      </c>
      <c r="T20" s="474">
        <v>0</v>
      </c>
      <c r="U20" s="474">
        <v>15</v>
      </c>
      <c r="V20" s="474">
        <v>17</v>
      </c>
      <c r="W20" s="474">
        <v>17</v>
      </c>
      <c r="X20" s="474">
        <v>0</v>
      </c>
      <c r="Y20" s="474">
        <v>20</v>
      </c>
      <c r="Z20" s="474">
        <v>25</v>
      </c>
      <c r="AA20" s="474">
        <v>0</v>
      </c>
      <c r="AB20" s="475">
        <v>17</v>
      </c>
      <c r="AC20" s="474">
        <v>0</v>
      </c>
    </row>
    <row r="21" spans="1:39" ht="21">
      <c r="A21" s="156"/>
      <c r="B21" s="515" t="s">
        <v>315</v>
      </c>
      <c r="C21" s="510" t="str">
        <f>'Farm and Rotation Setup'!B5</f>
        <v>Business As Usual</v>
      </c>
      <c r="D21" s="390" t="s">
        <v>66</v>
      </c>
      <c r="E21" s="391">
        <v>0.48</v>
      </c>
      <c r="F21" s="217">
        <v>3.4</v>
      </c>
      <c r="G21" s="217">
        <v>3.4</v>
      </c>
      <c r="H21" s="138">
        <v>3.4</v>
      </c>
      <c r="I21" s="138">
        <v>0</v>
      </c>
      <c r="J21" s="138">
        <v>1.7</v>
      </c>
      <c r="K21" s="138">
        <v>1.7</v>
      </c>
      <c r="L21" s="195">
        <v>3.4</v>
      </c>
      <c r="M21" s="138">
        <v>1.7</v>
      </c>
      <c r="N21" s="138">
        <v>0</v>
      </c>
      <c r="O21" s="138">
        <v>0</v>
      </c>
      <c r="P21" s="138">
        <v>0</v>
      </c>
      <c r="Q21" s="217">
        <v>3.4</v>
      </c>
      <c r="R21" s="217">
        <v>3.4</v>
      </c>
      <c r="S21" s="138">
        <v>1.7</v>
      </c>
      <c r="T21" s="138">
        <v>1.7</v>
      </c>
      <c r="U21" s="138">
        <v>1.7</v>
      </c>
      <c r="V21" s="138">
        <v>5.0999999999999996</v>
      </c>
      <c r="W21" s="138">
        <v>5.0999999999999996</v>
      </c>
      <c r="X21" s="138">
        <v>3.4</v>
      </c>
      <c r="Y21" s="138">
        <v>3.4</v>
      </c>
      <c r="Z21" s="138">
        <v>1.7</v>
      </c>
      <c r="AA21" s="138">
        <v>1.7</v>
      </c>
      <c r="AB21" s="195">
        <v>5.0999999999999996</v>
      </c>
      <c r="AC21" s="138">
        <v>0</v>
      </c>
      <c r="AD21" s="92"/>
      <c r="AE21" s="92"/>
      <c r="AF21" s="92"/>
      <c r="AG21" s="92"/>
      <c r="AH21" s="92"/>
      <c r="AI21" s="92"/>
      <c r="AJ21" s="92"/>
      <c r="AK21" s="92"/>
      <c r="AL21" s="92"/>
      <c r="AM21" s="92"/>
    </row>
    <row r="22" spans="1:39" s="470" customFormat="1" ht="21" customHeight="1">
      <c r="A22" s="157"/>
      <c r="B22" s="512"/>
      <c r="C22" s="507" t="str">
        <f>'Farm and Rotation Setup'!B14</f>
        <v>Incremental Rotation</v>
      </c>
      <c r="D22" s="465"/>
      <c r="E22" s="466"/>
      <c r="F22" s="467">
        <v>3.4</v>
      </c>
      <c r="G22" s="467">
        <v>3.4</v>
      </c>
      <c r="H22" s="468">
        <v>3.4</v>
      </c>
      <c r="I22" s="468">
        <v>0</v>
      </c>
      <c r="J22" s="468">
        <v>1.7</v>
      </c>
      <c r="K22" s="468">
        <v>1.7</v>
      </c>
      <c r="L22" s="469">
        <v>3.4</v>
      </c>
      <c r="M22" s="468">
        <v>1.7</v>
      </c>
      <c r="N22" s="468">
        <v>0</v>
      </c>
      <c r="O22" s="468">
        <v>0</v>
      </c>
      <c r="P22" s="468">
        <v>0</v>
      </c>
      <c r="Q22" s="467">
        <v>3.4</v>
      </c>
      <c r="R22" s="467">
        <v>3.4</v>
      </c>
      <c r="S22" s="468">
        <v>1.7</v>
      </c>
      <c r="T22" s="468">
        <v>1.7</v>
      </c>
      <c r="U22" s="468">
        <v>1.7</v>
      </c>
      <c r="V22" s="468">
        <v>5.0999999999999996</v>
      </c>
      <c r="W22" s="468">
        <v>5.0999999999999996</v>
      </c>
      <c r="X22" s="468">
        <v>3.4</v>
      </c>
      <c r="Y22" s="468">
        <v>3.4</v>
      </c>
      <c r="Z22" s="468">
        <v>1.7</v>
      </c>
      <c r="AA22" s="468">
        <v>1.7</v>
      </c>
      <c r="AB22" s="469">
        <v>5.0999999999999996</v>
      </c>
      <c r="AC22" s="468">
        <v>0</v>
      </c>
    </row>
    <row r="23" spans="1:39" s="476" customFormat="1" ht="21" customHeight="1">
      <c r="A23" s="424"/>
      <c r="B23" s="513"/>
      <c r="C23" s="508" t="str">
        <f>'Farm and Rotation Setup'!B23</f>
        <v>Aspirational Rotation</v>
      </c>
      <c r="D23" s="471"/>
      <c r="E23" s="472"/>
      <c r="F23" s="473">
        <v>3.4</v>
      </c>
      <c r="G23" s="473">
        <v>3.4</v>
      </c>
      <c r="H23" s="474">
        <v>3.4</v>
      </c>
      <c r="I23" s="474">
        <v>0</v>
      </c>
      <c r="J23" s="474">
        <v>1.7</v>
      </c>
      <c r="K23" s="474">
        <v>1.7</v>
      </c>
      <c r="L23" s="475">
        <v>3.4</v>
      </c>
      <c r="M23" s="474">
        <v>1.7</v>
      </c>
      <c r="N23" s="474">
        <v>0</v>
      </c>
      <c r="O23" s="474">
        <v>0</v>
      </c>
      <c r="P23" s="474">
        <v>0</v>
      </c>
      <c r="Q23" s="473">
        <v>3.4</v>
      </c>
      <c r="R23" s="473">
        <v>3.4</v>
      </c>
      <c r="S23" s="474">
        <v>1.7</v>
      </c>
      <c r="T23" s="474">
        <v>1.7</v>
      </c>
      <c r="U23" s="474">
        <v>1.7</v>
      </c>
      <c r="V23" s="474">
        <v>5.0999999999999996</v>
      </c>
      <c r="W23" s="474">
        <v>5.0999999999999996</v>
      </c>
      <c r="X23" s="474">
        <v>3.4</v>
      </c>
      <c r="Y23" s="474">
        <v>3.4</v>
      </c>
      <c r="Z23" s="474">
        <v>1.7</v>
      </c>
      <c r="AA23" s="474">
        <v>1.7</v>
      </c>
      <c r="AB23" s="475">
        <v>5.0999999999999996</v>
      </c>
      <c r="AC23" s="474">
        <v>0</v>
      </c>
    </row>
    <row r="24" spans="1:39" ht="21">
      <c r="A24" s="156"/>
      <c r="B24" s="515" t="s">
        <v>316</v>
      </c>
      <c r="C24" s="510" t="str">
        <f>'Farm and Rotation Setup'!B5</f>
        <v>Business As Usual</v>
      </c>
      <c r="D24" s="390" t="s">
        <v>247</v>
      </c>
      <c r="E24" s="391">
        <v>0.71</v>
      </c>
      <c r="F24" s="217">
        <v>0</v>
      </c>
      <c r="G24" s="217">
        <v>0</v>
      </c>
      <c r="H24" s="138">
        <v>0</v>
      </c>
      <c r="I24" s="138">
        <v>0</v>
      </c>
      <c r="J24" s="138">
        <v>0</v>
      </c>
      <c r="K24" s="138">
        <v>0</v>
      </c>
      <c r="L24" s="138">
        <v>0</v>
      </c>
      <c r="M24" s="138">
        <v>0</v>
      </c>
      <c r="N24" s="138">
        <v>0</v>
      </c>
      <c r="O24" s="138">
        <v>0</v>
      </c>
      <c r="P24" s="138">
        <v>0</v>
      </c>
      <c r="Q24" s="217">
        <v>0</v>
      </c>
      <c r="R24" s="217">
        <v>0</v>
      </c>
      <c r="S24" s="138">
        <v>0</v>
      </c>
      <c r="T24" s="138">
        <v>0</v>
      </c>
      <c r="U24" s="138">
        <v>0</v>
      </c>
      <c r="V24" s="138">
        <v>0</v>
      </c>
      <c r="W24" s="138">
        <v>0</v>
      </c>
      <c r="X24" s="138">
        <v>0</v>
      </c>
      <c r="Y24" s="138">
        <v>0</v>
      </c>
      <c r="Z24" s="138">
        <v>0</v>
      </c>
      <c r="AA24" s="138">
        <v>0</v>
      </c>
      <c r="AB24" s="195">
        <v>0</v>
      </c>
      <c r="AC24" s="138">
        <v>0</v>
      </c>
      <c r="AD24" s="92"/>
      <c r="AE24" s="92"/>
      <c r="AF24" s="92"/>
      <c r="AG24" s="92"/>
      <c r="AH24" s="92"/>
      <c r="AI24" s="92"/>
      <c r="AJ24" s="92"/>
      <c r="AK24" s="92"/>
      <c r="AL24" s="92"/>
      <c r="AM24" s="92"/>
    </row>
    <row r="25" spans="1:39" s="470" customFormat="1" ht="21" customHeight="1">
      <c r="A25" s="157"/>
      <c r="B25" s="512"/>
      <c r="C25" s="507" t="str">
        <f>'Farm and Rotation Setup'!B14</f>
        <v>Incremental Rotation</v>
      </c>
      <c r="D25" s="465"/>
      <c r="E25" s="466"/>
      <c r="F25" s="467">
        <v>0</v>
      </c>
      <c r="G25" s="467">
        <v>0</v>
      </c>
      <c r="H25" s="468">
        <v>0</v>
      </c>
      <c r="I25" s="468">
        <v>0</v>
      </c>
      <c r="J25" s="468">
        <v>0</v>
      </c>
      <c r="K25" s="468">
        <v>0</v>
      </c>
      <c r="L25" s="468">
        <v>0</v>
      </c>
      <c r="M25" s="468">
        <v>0</v>
      </c>
      <c r="N25" s="468">
        <v>0</v>
      </c>
      <c r="O25" s="468">
        <v>0</v>
      </c>
      <c r="P25" s="468">
        <v>0</v>
      </c>
      <c r="Q25" s="467">
        <v>0</v>
      </c>
      <c r="R25" s="467">
        <v>0</v>
      </c>
      <c r="S25" s="468">
        <v>0</v>
      </c>
      <c r="T25" s="468">
        <v>0</v>
      </c>
      <c r="U25" s="468">
        <v>0</v>
      </c>
      <c r="V25" s="468">
        <v>0</v>
      </c>
      <c r="W25" s="468">
        <v>0</v>
      </c>
      <c r="X25" s="468">
        <v>0</v>
      </c>
      <c r="Y25" s="468">
        <v>0</v>
      </c>
      <c r="Z25" s="468">
        <v>0</v>
      </c>
      <c r="AA25" s="468">
        <v>0</v>
      </c>
      <c r="AB25" s="469">
        <v>0</v>
      </c>
      <c r="AC25" s="468">
        <v>0</v>
      </c>
    </row>
    <row r="26" spans="1:39" s="476" customFormat="1" ht="21" customHeight="1">
      <c r="A26" s="424"/>
      <c r="B26" s="513"/>
      <c r="C26" s="508" t="str">
        <f>'Farm and Rotation Setup'!B23</f>
        <v>Aspirational Rotation</v>
      </c>
      <c r="D26" s="471"/>
      <c r="E26" s="472"/>
      <c r="F26" s="473">
        <v>0</v>
      </c>
      <c r="G26" s="473">
        <v>0</v>
      </c>
      <c r="H26" s="474">
        <v>0</v>
      </c>
      <c r="I26" s="474">
        <v>0</v>
      </c>
      <c r="J26" s="474">
        <v>0</v>
      </c>
      <c r="K26" s="474">
        <v>0</v>
      </c>
      <c r="L26" s="474">
        <v>0</v>
      </c>
      <c r="M26" s="474">
        <v>0</v>
      </c>
      <c r="N26" s="474">
        <v>0</v>
      </c>
      <c r="O26" s="474">
        <v>0</v>
      </c>
      <c r="P26" s="474">
        <v>0</v>
      </c>
      <c r="Q26" s="473">
        <v>0</v>
      </c>
      <c r="R26" s="473">
        <v>0</v>
      </c>
      <c r="S26" s="474">
        <v>0</v>
      </c>
      <c r="T26" s="474">
        <v>0</v>
      </c>
      <c r="U26" s="474">
        <v>0</v>
      </c>
      <c r="V26" s="474">
        <v>0</v>
      </c>
      <c r="W26" s="474">
        <v>0</v>
      </c>
      <c r="X26" s="474">
        <v>0</v>
      </c>
      <c r="Y26" s="474">
        <v>0</v>
      </c>
      <c r="Z26" s="474">
        <v>0</v>
      </c>
      <c r="AA26" s="474">
        <v>0</v>
      </c>
      <c r="AB26" s="475">
        <v>0</v>
      </c>
      <c r="AC26" s="474">
        <v>0</v>
      </c>
    </row>
    <row r="27" spans="1:39" ht="21">
      <c r="A27" s="156"/>
      <c r="B27" s="516" t="s">
        <v>317</v>
      </c>
      <c r="C27" s="392" t="s">
        <v>319</v>
      </c>
      <c r="D27" s="390" t="s">
        <v>270</v>
      </c>
      <c r="E27" s="391">
        <v>1.6559999999999999</v>
      </c>
      <c r="F27" s="217">
        <v>0</v>
      </c>
      <c r="G27" s="217">
        <v>0</v>
      </c>
      <c r="H27" s="138">
        <v>0</v>
      </c>
      <c r="I27" s="138">
        <v>0</v>
      </c>
      <c r="J27" s="138">
        <v>0</v>
      </c>
      <c r="K27" s="138">
        <v>0</v>
      </c>
      <c r="L27" s="138">
        <v>0</v>
      </c>
      <c r="M27" s="138">
        <v>0</v>
      </c>
      <c r="N27" s="138">
        <v>0</v>
      </c>
      <c r="O27" s="138">
        <v>0</v>
      </c>
      <c r="P27" s="138">
        <v>0</v>
      </c>
      <c r="Q27" s="217">
        <v>0</v>
      </c>
      <c r="R27" s="217">
        <v>0</v>
      </c>
      <c r="S27" s="138">
        <v>0</v>
      </c>
      <c r="T27" s="138">
        <v>0</v>
      </c>
      <c r="U27" s="138">
        <v>0</v>
      </c>
      <c r="V27" s="138">
        <v>0</v>
      </c>
      <c r="W27" s="138">
        <v>0</v>
      </c>
      <c r="X27" s="138">
        <v>0</v>
      </c>
      <c r="Y27" s="138">
        <v>0</v>
      </c>
      <c r="Z27" s="138">
        <v>0</v>
      </c>
      <c r="AA27" s="138">
        <v>0</v>
      </c>
      <c r="AB27" s="195">
        <v>0</v>
      </c>
      <c r="AC27" s="138">
        <v>0</v>
      </c>
      <c r="AD27" s="92"/>
      <c r="AE27" s="92"/>
      <c r="AF27" s="92"/>
      <c r="AG27" s="92"/>
      <c r="AH27" s="92"/>
      <c r="AI27" s="92"/>
      <c r="AJ27" s="92"/>
      <c r="AK27" s="92"/>
      <c r="AL27" s="92"/>
      <c r="AM27" s="92"/>
    </row>
    <row r="28" spans="1:39" ht="21">
      <c r="A28" s="156"/>
      <c r="B28" s="516" t="str">
        <f>B27</f>
        <v>Adjuvant-</v>
      </c>
      <c r="C28" s="392" t="s">
        <v>320</v>
      </c>
      <c r="D28" s="390" t="s">
        <v>66</v>
      </c>
      <c r="E28" s="391">
        <v>0.35649999999999998</v>
      </c>
      <c r="F28" s="217">
        <v>0</v>
      </c>
      <c r="G28" s="217">
        <v>0</v>
      </c>
      <c r="H28" s="138">
        <v>0</v>
      </c>
      <c r="I28" s="138">
        <v>0</v>
      </c>
      <c r="J28" s="138">
        <v>0</v>
      </c>
      <c r="K28" s="138">
        <v>0</v>
      </c>
      <c r="L28" s="138">
        <v>0</v>
      </c>
      <c r="M28" s="138">
        <v>0</v>
      </c>
      <c r="N28" s="138">
        <v>0</v>
      </c>
      <c r="O28" s="138">
        <v>0</v>
      </c>
      <c r="P28" s="138">
        <v>0</v>
      </c>
      <c r="Q28" s="217">
        <v>0</v>
      </c>
      <c r="R28" s="217">
        <v>0</v>
      </c>
      <c r="S28" s="138">
        <v>0</v>
      </c>
      <c r="T28" s="138">
        <v>0</v>
      </c>
      <c r="U28" s="138">
        <v>0</v>
      </c>
      <c r="V28" s="138">
        <v>0</v>
      </c>
      <c r="W28" s="138">
        <v>0</v>
      </c>
      <c r="X28" s="138">
        <v>0</v>
      </c>
      <c r="Y28" s="138">
        <v>0</v>
      </c>
      <c r="Z28" s="138">
        <v>0</v>
      </c>
      <c r="AA28" s="138">
        <v>0</v>
      </c>
      <c r="AB28" s="195">
        <v>0</v>
      </c>
      <c r="AC28" s="138">
        <v>0</v>
      </c>
      <c r="AD28" s="92"/>
      <c r="AE28" s="92"/>
      <c r="AF28" s="92"/>
      <c r="AG28" s="92"/>
      <c r="AH28" s="92"/>
      <c r="AI28" s="92"/>
      <c r="AJ28" s="92"/>
      <c r="AK28" s="92"/>
      <c r="AL28" s="92"/>
      <c r="AM28" s="92"/>
    </row>
    <row r="29" spans="1:39" ht="21">
      <c r="A29" s="156"/>
      <c r="B29" s="516" t="str">
        <f t="shared" ref="B29:B31" si="0">B28</f>
        <v>Adjuvant-</v>
      </c>
      <c r="C29" s="392" t="s">
        <v>321</v>
      </c>
      <c r="D29" s="390" t="s">
        <v>66</v>
      </c>
      <c r="E29" s="391">
        <v>0.253</v>
      </c>
      <c r="F29" s="217">
        <v>3</v>
      </c>
      <c r="G29" s="217">
        <v>3</v>
      </c>
      <c r="H29" s="138">
        <v>3</v>
      </c>
      <c r="I29" s="138">
        <v>0</v>
      </c>
      <c r="J29" s="138">
        <v>3</v>
      </c>
      <c r="K29" s="138">
        <v>1.5</v>
      </c>
      <c r="L29" s="138">
        <v>3</v>
      </c>
      <c r="M29" s="138">
        <v>1.5</v>
      </c>
      <c r="N29" s="138">
        <v>0</v>
      </c>
      <c r="O29" s="138">
        <v>0</v>
      </c>
      <c r="P29" s="138">
        <v>0</v>
      </c>
      <c r="Q29" s="217">
        <v>3</v>
      </c>
      <c r="R29" s="217">
        <v>3</v>
      </c>
      <c r="S29" s="138">
        <v>1.5</v>
      </c>
      <c r="T29" s="138">
        <v>1.5</v>
      </c>
      <c r="U29" s="138">
        <v>4.5</v>
      </c>
      <c r="V29" s="138">
        <v>0</v>
      </c>
      <c r="W29" s="138">
        <v>0</v>
      </c>
      <c r="X29" s="138">
        <v>3</v>
      </c>
      <c r="Y29" s="138">
        <v>3</v>
      </c>
      <c r="Z29" s="138">
        <v>3</v>
      </c>
      <c r="AA29" s="138">
        <v>1.5</v>
      </c>
      <c r="AB29" s="195">
        <v>0</v>
      </c>
      <c r="AC29" s="138">
        <v>0</v>
      </c>
      <c r="AD29" s="92"/>
      <c r="AE29" s="92"/>
      <c r="AF29" s="92"/>
      <c r="AG29" s="92"/>
      <c r="AH29" s="92"/>
      <c r="AI29" s="92"/>
      <c r="AJ29" s="92"/>
      <c r="AK29" s="92"/>
      <c r="AL29" s="92"/>
      <c r="AM29" s="92"/>
    </row>
    <row r="30" spans="1:39" ht="21">
      <c r="A30" s="156"/>
      <c r="B30" s="516" t="str">
        <f t="shared" si="0"/>
        <v>Adjuvant-</v>
      </c>
      <c r="C30" s="392" t="s">
        <v>322</v>
      </c>
      <c r="D30" s="390" t="s">
        <v>66</v>
      </c>
      <c r="E30" s="391">
        <v>0.26450000000000001</v>
      </c>
      <c r="F30" s="217">
        <v>0</v>
      </c>
      <c r="G30" s="217">
        <v>0</v>
      </c>
      <c r="H30" s="138">
        <v>0</v>
      </c>
      <c r="I30" s="138">
        <v>0</v>
      </c>
      <c r="J30" s="138">
        <v>0</v>
      </c>
      <c r="K30" s="138">
        <v>0</v>
      </c>
      <c r="L30" s="138">
        <v>0</v>
      </c>
      <c r="M30" s="138">
        <v>0</v>
      </c>
      <c r="N30" s="138">
        <v>0</v>
      </c>
      <c r="O30" s="138">
        <v>0</v>
      </c>
      <c r="P30" s="138">
        <v>0</v>
      </c>
      <c r="Q30" s="217">
        <v>0</v>
      </c>
      <c r="R30" s="217">
        <v>0</v>
      </c>
      <c r="S30" s="138">
        <v>0</v>
      </c>
      <c r="T30" s="138">
        <v>0</v>
      </c>
      <c r="U30" s="138">
        <v>0</v>
      </c>
      <c r="V30" s="138">
        <v>4.5</v>
      </c>
      <c r="W30" s="138">
        <v>4.5</v>
      </c>
      <c r="X30" s="138">
        <v>0</v>
      </c>
      <c r="Y30" s="138">
        <v>0</v>
      </c>
      <c r="Z30" s="138">
        <v>0</v>
      </c>
      <c r="AA30" s="138">
        <v>0</v>
      </c>
      <c r="AB30" s="195">
        <v>4.5</v>
      </c>
      <c r="AC30" s="138">
        <v>6.4</v>
      </c>
      <c r="AD30" s="92"/>
      <c r="AE30" s="92"/>
      <c r="AF30" s="92"/>
      <c r="AG30" s="92"/>
      <c r="AH30" s="92"/>
      <c r="AI30" s="92"/>
      <c r="AJ30" s="92"/>
      <c r="AK30" s="92"/>
      <c r="AL30" s="92"/>
      <c r="AM30" s="92"/>
    </row>
    <row r="31" spans="1:39" ht="21">
      <c r="A31" s="156"/>
      <c r="B31" s="516" t="str">
        <f t="shared" si="0"/>
        <v>Adjuvant-</v>
      </c>
      <c r="C31" s="391" t="s">
        <v>323</v>
      </c>
      <c r="D31" s="390" t="s">
        <v>270</v>
      </c>
      <c r="E31" s="391">
        <v>7.1874999999999991</v>
      </c>
      <c r="F31" s="217">
        <v>0</v>
      </c>
      <c r="G31" s="217">
        <v>0</v>
      </c>
      <c r="H31" s="138">
        <v>0</v>
      </c>
      <c r="I31" s="138">
        <v>0</v>
      </c>
      <c r="J31" s="138">
        <v>0</v>
      </c>
      <c r="K31" s="138">
        <v>0</v>
      </c>
      <c r="L31" s="195">
        <v>0</v>
      </c>
      <c r="M31" s="138">
        <v>0</v>
      </c>
      <c r="N31" s="138">
        <v>0</v>
      </c>
      <c r="O31" s="138">
        <v>0</v>
      </c>
      <c r="P31" s="138">
        <v>0</v>
      </c>
      <c r="Q31" s="217">
        <v>0</v>
      </c>
      <c r="R31" s="217">
        <v>0</v>
      </c>
      <c r="S31" s="138">
        <v>0</v>
      </c>
      <c r="T31" s="138">
        <v>0</v>
      </c>
      <c r="U31" s="138">
        <v>0</v>
      </c>
      <c r="V31" s="138">
        <v>0</v>
      </c>
      <c r="W31" s="138">
        <v>0</v>
      </c>
      <c r="X31" s="138">
        <v>0</v>
      </c>
      <c r="Y31" s="138">
        <v>0</v>
      </c>
      <c r="Z31" s="138">
        <v>0</v>
      </c>
      <c r="AA31" s="138">
        <v>0</v>
      </c>
      <c r="AB31" s="195">
        <v>0</v>
      </c>
      <c r="AC31" s="138">
        <v>0</v>
      </c>
      <c r="AD31" s="92"/>
      <c r="AE31" s="92"/>
      <c r="AF31" s="92"/>
      <c r="AG31" s="92"/>
      <c r="AH31" s="92"/>
      <c r="AI31" s="92"/>
      <c r="AJ31" s="92"/>
      <c r="AK31" s="92"/>
      <c r="AL31" s="92"/>
      <c r="AM31" s="92"/>
    </row>
    <row r="32" spans="1:39" s="2" customFormat="1" ht="21">
      <c r="A32" s="495"/>
      <c r="B32" s="516" t="s">
        <v>318</v>
      </c>
      <c r="C32" s="392" t="s">
        <v>324</v>
      </c>
      <c r="D32" s="390" t="s">
        <v>66</v>
      </c>
      <c r="E32" s="391">
        <v>0.14949999999999999</v>
      </c>
      <c r="F32" s="217">
        <v>36</v>
      </c>
      <c r="G32" s="217">
        <v>36</v>
      </c>
      <c r="H32" s="138">
        <v>36</v>
      </c>
      <c r="I32" s="138">
        <v>0</v>
      </c>
      <c r="J32" s="138">
        <v>36</v>
      </c>
      <c r="K32" s="138">
        <v>18</v>
      </c>
      <c r="L32" s="138">
        <v>36</v>
      </c>
      <c r="M32" s="138">
        <v>18</v>
      </c>
      <c r="N32" s="138">
        <v>0</v>
      </c>
      <c r="O32" s="138">
        <v>0</v>
      </c>
      <c r="P32" s="138">
        <v>0</v>
      </c>
      <c r="Q32" s="217">
        <v>36</v>
      </c>
      <c r="R32" s="217">
        <v>36</v>
      </c>
      <c r="S32" s="138">
        <v>18</v>
      </c>
      <c r="T32" s="138">
        <v>18</v>
      </c>
      <c r="U32" s="138">
        <v>36</v>
      </c>
      <c r="V32" s="138">
        <v>58</v>
      </c>
      <c r="W32" s="138">
        <v>58</v>
      </c>
      <c r="X32" s="138">
        <v>36</v>
      </c>
      <c r="Y32" s="138">
        <v>36</v>
      </c>
      <c r="Z32" s="138">
        <v>36</v>
      </c>
      <c r="AA32" s="138">
        <v>18</v>
      </c>
      <c r="AB32" s="195">
        <v>58</v>
      </c>
      <c r="AC32" s="138">
        <v>0</v>
      </c>
      <c r="AD32" s="4"/>
      <c r="AE32" s="4"/>
      <c r="AF32" s="4"/>
      <c r="AG32" s="4"/>
      <c r="AH32" s="4"/>
      <c r="AI32" s="4"/>
      <c r="AJ32" s="4"/>
      <c r="AK32" s="4"/>
      <c r="AL32" s="4"/>
      <c r="AM32" s="4"/>
    </row>
    <row r="33" spans="1:39" s="203" customFormat="1" ht="21">
      <c r="A33" s="90"/>
      <c r="B33" s="516" t="str">
        <f>B32</f>
        <v>Pesticide-</v>
      </c>
      <c r="C33" s="393" t="s">
        <v>325</v>
      </c>
      <c r="D33" s="390" t="s">
        <v>66</v>
      </c>
      <c r="E33" s="391">
        <v>0.33349999999999996</v>
      </c>
      <c r="F33" s="217">
        <v>0</v>
      </c>
      <c r="G33" s="217">
        <v>0</v>
      </c>
      <c r="H33" s="138">
        <v>0</v>
      </c>
      <c r="I33" s="138">
        <v>0</v>
      </c>
      <c r="J33" s="138">
        <v>0</v>
      </c>
      <c r="K33" s="138">
        <v>0</v>
      </c>
      <c r="L33" s="138">
        <v>0</v>
      </c>
      <c r="M33" s="138">
        <v>0</v>
      </c>
      <c r="N33" s="138">
        <v>20</v>
      </c>
      <c r="O33" s="138">
        <v>20</v>
      </c>
      <c r="P33" s="138">
        <v>0</v>
      </c>
      <c r="Q33" s="217">
        <v>0</v>
      </c>
      <c r="R33" s="217">
        <v>0</v>
      </c>
      <c r="S33" s="138">
        <v>0</v>
      </c>
      <c r="T33" s="138">
        <v>0</v>
      </c>
      <c r="U33" s="138">
        <v>0</v>
      </c>
      <c r="V33" s="138">
        <v>0</v>
      </c>
      <c r="W33" s="138">
        <v>0</v>
      </c>
      <c r="X33" s="138">
        <v>0</v>
      </c>
      <c r="Y33" s="138">
        <v>0</v>
      </c>
      <c r="Z33" s="138">
        <v>0</v>
      </c>
      <c r="AA33" s="138">
        <v>0</v>
      </c>
      <c r="AB33" s="195">
        <v>0</v>
      </c>
      <c r="AC33" s="138">
        <v>24</v>
      </c>
      <c r="AD33" s="362"/>
      <c r="AE33" s="362"/>
      <c r="AF33" s="362"/>
      <c r="AG33" s="362"/>
      <c r="AH33" s="362"/>
      <c r="AI33" s="362"/>
      <c r="AJ33" s="362"/>
      <c r="AK33" s="362"/>
      <c r="AL33" s="362"/>
      <c r="AM33" s="362"/>
    </row>
    <row r="34" spans="1:39" s="184" customFormat="1" ht="21">
      <c r="A34" s="496"/>
      <c r="B34" s="516" t="str">
        <f t="shared" ref="B34:B72" si="1">B33</f>
        <v>Pesticide-</v>
      </c>
      <c r="C34" s="393" t="s">
        <v>326</v>
      </c>
      <c r="D34" s="390" t="s">
        <v>66</v>
      </c>
      <c r="E34" s="391">
        <v>1.3454999999999999</v>
      </c>
      <c r="F34" s="217">
        <v>0</v>
      </c>
      <c r="G34" s="217">
        <v>0</v>
      </c>
      <c r="H34" s="138">
        <v>0</v>
      </c>
      <c r="I34" s="138">
        <v>0</v>
      </c>
      <c r="J34" s="138">
        <v>0</v>
      </c>
      <c r="K34" s="138">
        <v>0</v>
      </c>
      <c r="L34" s="138">
        <v>0</v>
      </c>
      <c r="M34" s="138">
        <v>0</v>
      </c>
      <c r="N34" s="138">
        <v>0</v>
      </c>
      <c r="O34" s="138">
        <v>0</v>
      </c>
      <c r="P34" s="138">
        <v>0</v>
      </c>
      <c r="Q34" s="217">
        <v>0</v>
      </c>
      <c r="R34" s="217">
        <v>0</v>
      </c>
      <c r="S34" s="138">
        <v>0</v>
      </c>
      <c r="T34" s="138">
        <v>0</v>
      </c>
      <c r="U34" s="138">
        <v>0</v>
      </c>
      <c r="V34" s="138">
        <v>0</v>
      </c>
      <c r="W34" s="138">
        <v>0</v>
      </c>
      <c r="X34" s="138">
        <v>0</v>
      </c>
      <c r="Y34" s="138">
        <v>0</v>
      </c>
      <c r="Z34" s="138">
        <v>0</v>
      </c>
      <c r="AA34" s="138">
        <v>0</v>
      </c>
      <c r="AB34" s="195">
        <v>0</v>
      </c>
      <c r="AC34" s="138">
        <v>0</v>
      </c>
      <c r="AD34" s="197"/>
      <c r="AE34" s="197"/>
      <c r="AF34" s="197"/>
      <c r="AG34" s="197"/>
      <c r="AH34" s="197"/>
      <c r="AI34" s="197"/>
      <c r="AJ34" s="197"/>
      <c r="AK34" s="197"/>
      <c r="AL34" s="197"/>
      <c r="AM34" s="197"/>
    </row>
    <row r="35" spans="1:39" ht="21">
      <c r="A35" s="157"/>
      <c r="B35" s="516" t="str">
        <f t="shared" si="1"/>
        <v>Pesticide-</v>
      </c>
      <c r="C35" s="393" t="s">
        <v>327</v>
      </c>
      <c r="D35" s="390" t="s">
        <v>66</v>
      </c>
      <c r="E35" s="391">
        <v>8.9699999999999989</v>
      </c>
      <c r="F35" s="217">
        <v>0.75</v>
      </c>
      <c r="G35" s="217">
        <v>0.75</v>
      </c>
      <c r="H35" s="138">
        <v>0.75</v>
      </c>
      <c r="I35" s="138">
        <v>0</v>
      </c>
      <c r="J35" s="138">
        <v>0.75</v>
      </c>
      <c r="K35" s="138">
        <v>0</v>
      </c>
      <c r="L35" s="138">
        <v>0</v>
      </c>
      <c r="M35" s="138">
        <v>0</v>
      </c>
      <c r="N35" s="138">
        <v>0</v>
      </c>
      <c r="O35" s="138">
        <v>0</v>
      </c>
      <c r="P35" s="138">
        <v>0</v>
      </c>
      <c r="Q35" s="217">
        <v>0.75</v>
      </c>
      <c r="R35" s="217">
        <v>0.75</v>
      </c>
      <c r="S35" s="138">
        <v>0</v>
      </c>
      <c r="T35" s="138">
        <v>0</v>
      </c>
      <c r="U35" s="138">
        <v>0.75</v>
      </c>
      <c r="V35" s="138">
        <v>0</v>
      </c>
      <c r="W35" s="138">
        <v>0</v>
      </c>
      <c r="X35" s="138">
        <v>0</v>
      </c>
      <c r="Y35" s="138">
        <v>0.75</v>
      </c>
      <c r="Z35" s="138">
        <v>0.75</v>
      </c>
      <c r="AA35" s="138">
        <v>0</v>
      </c>
      <c r="AB35" s="195">
        <v>0</v>
      </c>
      <c r="AC35" s="138">
        <v>0</v>
      </c>
      <c r="AD35" s="92"/>
      <c r="AE35" s="92"/>
      <c r="AF35" s="92"/>
      <c r="AG35" s="92"/>
      <c r="AH35" s="92"/>
      <c r="AI35" s="92"/>
      <c r="AJ35" s="92"/>
      <c r="AK35" s="92"/>
      <c r="AL35" s="92"/>
      <c r="AM35" s="92"/>
    </row>
    <row r="36" spans="1:39" s="184" customFormat="1" ht="21">
      <c r="A36" s="496"/>
      <c r="B36" s="516" t="str">
        <f t="shared" si="1"/>
        <v>Pesticide-</v>
      </c>
      <c r="C36" s="393" t="s">
        <v>328</v>
      </c>
      <c r="D36" s="390" t="s">
        <v>66</v>
      </c>
      <c r="E36" s="391">
        <v>1.7249999999999999</v>
      </c>
      <c r="F36" s="217">
        <v>0</v>
      </c>
      <c r="G36" s="217">
        <v>0</v>
      </c>
      <c r="H36" s="138">
        <v>0</v>
      </c>
      <c r="I36" s="138">
        <v>0</v>
      </c>
      <c r="J36" s="138">
        <v>0</v>
      </c>
      <c r="K36" s="138">
        <v>0</v>
      </c>
      <c r="L36" s="138">
        <v>0</v>
      </c>
      <c r="M36" s="138">
        <v>0</v>
      </c>
      <c r="N36" s="138">
        <v>0</v>
      </c>
      <c r="O36" s="138">
        <v>0</v>
      </c>
      <c r="P36" s="138">
        <v>0</v>
      </c>
      <c r="Q36" s="217">
        <v>0</v>
      </c>
      <c r="R36" s="217">
        <v>0</v>
      </c>
      <c r="S36" s="138">
        <v>0</v>
      </c>
      <c r="T36" s="138">
        <v>0</v>
      </c>
      <c r="U36" s="138">
        <v>0</v>
      </c>
      <c r="V36" s="138">
        <v>0</v>
      </c>
      <c r="W36" s="138">
        <v>0</v>
      </c>
      <c r="X36" s="138">
        <v>0</v>
      </c>
      <c r="Y36" s="138">
        <v>0</v>
      </c>
      <c r="Z36" s="138">
        <v>0</v>
      </c>
      <c r="AA36" s="138">
        <v>0</v>
      </c>
      <c r="AB36" s="195">
        <v>0</v>
      </c>
      <c r="AC36" s="138">
        <v>0</v>
      </c>
      <c r="AD36" s="197"/>
      <c r="AE36" s="197"/>
      <c r="AF36" s="197"/>
      <c r="AG36" s="197"/>
      <c r="AH36" s="197"/>
      <c r="AI36" s="197"/>
      <c r="AJ36" s="197"/>
      <c r="AK36" s="197"/>
      <c r="AL36" s="197"/>
      <c r="AM36" s="197"/>
    </row>
    <row r="37" spans="1:39" ht="21">
      <c r="A37" s="157"/>
      <c r="B37" s="516" t="str">
        <f t="shared" si="1"/>
        <v>Pesticide-</v>
      </c>
      <c r="C37" s="393" t="s">
        <v>329</v>
      </c>
      <c r="D37" s="390" t="s">
        <v>66</v>
      </c>
      <c r="E37" s="391">
        <v>0.98899999999999988</v>
      </c>
      <c r="F37" s="217">
        <v>0</v>
      </c>
      <c r="G37" s="217">
        <v>0</v>
      </c>
      <c r="H37" s="138">
        <v>0</v>
      </c>
      <c r="I37" s="138">
        <v>0</v>
      </c>
      <c r="J37" s="138">
        <v>0</v>
      </c>
      <c r="K37" s="138">
        <v>0</v>
      </c>
      <c r="L37" s="138">
        <v>0</v>
      </c>
      <c r="M37" s="138">
        <v>0</v>
      </c>
      <c r="N37" s="138">
        <v>0</v>
      </c>
      <c r="O37" s="138">
        <v>0</v>
      </c>
      <c r="P37" s="138">
        <v>0</v>
      </c>
      <c r="Q37" s="217">
        <v>0</v>
      </c>
      <c r="R37" s="217">
        <v>0</v>
      </c>
      <c r="S37" s="138">
        <v>0</v>
      </c>
      <c r="T37" s="138">
        <v>0</v>
      </c>
      <c r="U37" s="138">
        <v>0</v>
      </c>
      <c r="V37" s="138">
        <v>0</v>
      </c>
      <c r="W37" s="138">
        <v>0</v>
      </c>
      <c r="X37" s="138">
        <v>0</v>
      </c>
      <c r="Y37" s="138">
        <v>0</v>
      </c>
      <c r="Z37" s="138">
        <v>0</v>
      </c>
      <c r="AA37" s="138">
        <v>0</v>
      </c>
      <c r="AB37" s="195">
        <v>0</v>
      </c>
      <c r="AC37" s="138">
        <v>0</v>
      </c>
      <c r="AD37" s="92"/>
      <c r="AE37" s="92"/>
      <c r="AF37" s="92"/>
      <c r="AG37" s="92"/>
      <c r="AH37" s="92"/>
      <c r="AI37" s="92"/>
      <c r="AJ37" s="92"/>
      <c r="AK37" s="92"/>
      <c r="AL37" s="92"/>
      <c r="AM37" s="92"/>
    </row>
    <row r="38" spans="1:39" s="184" customFormat="1" ht="21">
      <c r="A38" s="496"/>
      <c r="B38" s="516" t="str">
        <f t="shared" si="1"/>
        <v>Pesticide-</v>
      </c>
      <c r="C38" s="393" t="s">
        <v>330</v>
      </c>
      <c r="D38" s="390" t="s">
        <v>66</v>
      </c>
      <c r="E38" s="391">
        <v>1.3224999999999998</v>
      </c>
      <c r="F38" s="217">
        <v>0</v>
      </c>
      <c r="G38" s="217">
        <v>0</v>
      </c>
      <c r="H38" s="138">
        <v>0</v>
      </c>
      <c r="I38" s="138">
        <v>0</v>
      </c>
      <c r="J38" s="138">
        <v>0</v>
      </c>
      <c r="K38" s="138">
        <v>0</v>
      </c>
      <c r="L38" s="138">
        <v>0</v>
      </c>
      <c r="M38" s="138">
        <v>0</v>
      </c>
      <c r="N38" s="138">
        <v>0</v>
      </c>
      <c r="O38" s="138">
        <v>0</v>
      </c>
      <c r="P38" s="138">
        <v>0</v>
      </c>
      <c r="Q38" s="217">
        <v>0</v>
      </c>
      <c r="R38" s="217">
        <v>0</v>
      </c>
      <c r="S38" s="138">
        <v>0</v>
      </c>
      <c r="T38" s="138">
        <v>0</v>
      </c>
      <c r="U38" s="138">
        <v>0</v>
      </c>
      <c r="V38" s="138">
        <v>0</v>
      </c>
      <c r="W38" s="138">
        <v>0</v>
      </c>
      <c r="X38" s="138">
        <v>0</v>
      </c>
      <c r="Y38" s="138">
        <v>0</v>
      </c>
      <c r="Z38" s="138">
        <v>0</v>
      </c>
      <c r="AA38" s="138">
        <v>0</v>
      </c>
      <c r="AB38" s="195">
        <v>0</v>
      </c>
      <c r="AC38" s="138">
        <v>0</v>
      </c>
      <c r="AD38" s="197"/>
      <c r="AE38" s="197"/>
      <c r="AF38" s="197"/>
      <c r="AG38" s="197"/>
      <c r="AH38" s="197"/>
      <c r="AI38" s="197"/>
      <c r="AJ38" s="197"/>
      <c r="AK38" s="197"/>
      <c r="AL38" s="197"/>
      <c r="AM38" s="197"/>
    </row>
    <row r="39" spans="1:39" s="184" customFormat="1" ht="21">
      <c r="A39" s="496"/>
      <c r="B39" s="516" t="str">
        <f t="shared" si="1"/>
        <v>Pesticide-</v>
      </c>
      <c r="C39" s="389" t="s">
        <v>331</v>
      </c>
      <c r="D39" s="390" t="s">
        <v>66</v>
      </c>
      <c r="E39" s="391">
        <v>1.0924999999999998</v>
      </c>
      <c r="F39" s="217">
        <v>15</v>
      </c>
      <c r="G39" s="217">
        <v>15</v>
      </c>
      <c r="H39" s="138">
        <v>15</v>
      </c>
      <c r="I39" s="138">
        <v>0</v>
      </c>
      <c r="J39" s="138">
        <v>15</v>
      </c>
      <c r="K39" s="138">
        <v>0</v>
      </c>
      <c r="L39" s="138">
        <v>0</v>
      </c>
      <c r="M39" s="138">
        <v>0</v>
      </c>
      <c r="N39" s="138">
        <v>0</v>
      </c>
      <c r="O39" s="138">
        <v>0</v>
      </c>
      <c r="P39" s="138">
        <v>0</v>
      </c>
      <c r="Q39" s="217">
        <v>15</v>
      </c>
      <c r="R39" s="217">
        <v>15</v>
      </c>
      <c r="S39" s="138">
        <v>0</v>
      </c>
      <c r="T39" s="138">
        <v>0</v>
      </c>
      <c r="U39" s="138">
        <v>15</v>
      </c>
      <c r="V39" s="138">
        <v>0</v>
      </c>
      <c r="W39" s="138">
        <v>0</v>
      </c>
      <c r="X39" s="138">
        <v>0</v>
      </c>
      <c r="Y39" s="138">
        <v>15</v>
      </c>
      <c r="Z39" s="138">
        <v>15</v>
      </c>
      <c r="AA39" s="138">
        <v>0</v>
      </c>
      <c r="AB39" s="195">
        <v>0</v>
      </c>
      <c r="AC39" s="138">
        <v>0</v>
      </c>
      <c r="AD39" s="197"/>
      <c r="AE39" s="197"/>
      <c r="AF39" s="197"/>
      <c r="AG39" s="197"/>
      <c r="AH39" s="197"/>
      <c r="AI39" s="197"/>
      <c r="AJ39" s="197"/>
      <c r="AK39" s="197"/>
      <c r="AL39" s="197"/>
      <c r="AM39" s="197"/>
    </row>
    <row r="40" spans="1:39" ht="21">
      <c r="B40" s="516" t="str">
        <f t="shared" si="1"/>
        <v>Pesticide-</v>
      </c>
      <c r="C40" s="393" t="s">
        <v>332</v>
      </c>
      <c r="D40" s="390" t="s">
        <v>66</v>
      </c>
      <c r="E40" s="391">
        <v>7.911999999999999</v>
      </c>
      <c r="F40" s="217">
        <v>0</v>
      </c>
      <c r="G40" s="217">
        <v>0</v>
      </c>
      <c r="H40" s="138">
        <v>0</v>
      </c>
      <c r="I40" s="138">
        <v>0</v>
      </c>
      <c r="J40" s="138">
        <v>0</v>
      </c>
      <c r="K40" s="138">
        <v>0</v>
      </c>
      <c r="L40" s="138">
        <v>0</v>
      </c>
      <c r="M40" s="138">
        <v>0</v>
      </c>
      <c r="N40" s="138">
        <v>0</v>
      </c>
      <c r="O40" s="138">
        <v>0</v>
      </c>
      <c r="P40" s="138">
        <v>0</v>
      </c>
      <c r="Q40" s="217">
        <v>0</v>
      </c>
      <c r="R40" s="217">
        <v>0</v>
      </c>
      <c r="S40" s="138">
        <v>0</v>
      </c>
      <c r="T40" s="138">
        <v>0</v>
      </c>
      <c r="U40" s="138">
        <v>0</v>
      </c>
      <c r="V40" s="138">
        <v>0</v>
      </c>
      <c r="W40" s="138">
        <v>0</v>
      </c>
      <c r="X40" s="138">
        <v>0</v>
      </c>
      <c r="Y40" s="138">
        <v>0</v>
      </c>
      <c r="Z40" s="138">
        <v>0</v>
      </c>
      <c r="AA40" s="138">
        <v>0</v>
      </c>
      <c r="AB40" s="195">
        <v>0</v>
      </c>
      <c r="AC40" s="138">
        <v>0</v>
      </c>
      <c r="AD40" s="92"/>
      <c r="AE40" s="92"/>
      <c r="AF40" s="92"/>
      <c r="AG40" s="92"/>
      <c r="AH40" s="92"/>
      <c r="AI40" s="92"/>
      <c r="AJ40" s="92"/>
      <c r="AK40" s="92"/>
      <c r="AL40" s="92"/>
      <c r="AM40" s="92"/>
    </row>
    <row r="41" spans="1:39" s="184" customFormat="1" ht="21">
      <c r="A41" s="497"/>
      <c r="B41" s="516" t="str">
        <f t="shared" si="1"/>
        <v>Pesticide-</v>
      </c>
      <c r="C41" s="393" t="s">
        <v>333</v>
      </c>
      <c r="D41" s="390" t="s">
        <v>66</v>
      </c>
      <c r="E41" s="391">
        <v>0.42549999999999999</v>
      </c>
      <c r="F41" s="217">
        <v>0</v>
      </c>
      <c r="G41" s="217">
        <v>0</v>
      </c>
      <c r="H41" s="138">
        <v>0</v>
      </c>
      <c r="I41" s="138">
        <v>0</v>
      </c>
      <c r="J41" s="138">
        <v>0</v>
      </c>
      <c r="K41" s="138">
        <v>0</v>
      </c>
      <c r="L41" s="138">
        <v>0</v>
      </c>
      <c r="M41" s="138">
        <v>0</v>
      </c>
      <c r="N41" s="138">
        <v>0</v>
      </c>
      <c r="O41" s="138">
        <v>0</v>
      </c>
      <c r="P41" s="138">
        <v>0</v>
      </c>
      <c r="Q41" s="217">
        <v>0</v>
      </c>
      <c r="R41" s="217">
        <v>0</v>
      </c>
      <c r="S41" s="138">
        <v>0</v>
      </c>
      <c r="T41" s="138">
        <v>0</v>
      </c>
      <c r="U41" s="138">
        <v>0</v>
      </c>
      <c r="V41" s="138">
        <v>0</v>
      </c>
      <c r="W41" s="138">
        <v>0</v>
      </c>
      <c r="X41" s="138">
        <v>0</v>
      </c>
      <c r="Y41" s="138">
        <v>0</v>
      </c>
      <c r="Z41" s="138">
        <v>0</v>
      </c>
      <c r="AA41" s="138">
        <v>0</v>
      </c>
      <c r="AB41" s="195">
        <v>0</v>
      </c>
      <c r="AC41" s="138">
        <v>0</v>
      </c>
      <c r="AD41" s="197"/>
      <c r="AE41" s="197"/>
      <c r="AF41" s="197"/>
      <c r="AG41" s="197"/>
      <c r="AH41" s="197"/>
      <c r="AI41" s="197"/>
      <c r="AJ41" s="197"/>
      <c r="AK41" s="197"/>
      <c r="AL41" s="197"/>
      <c r="AM41" s="197"/>
    </row>
    <row r="42" spans="1:39" ht="21">
      <c r="A42" s="156"/>
      <c r="B42" s="516" t="str">
        <f t="shared" si="1"/>
        <v>Pesticide-</v>
      </c>
      <c r="C42" s="393" t="s">
        <v>334</v>
      </c>
      <c r="D42" s="390" t="s">
        <v>66</v>
      </c>
      <c r="E42" s="391">
        <v>2.7024999999999997</v>
      </c>
      <c r="F42" s="217">
        <v>0</v>
      </c>
      <c r="G42" s="217">
        <v>0</v>
      </c>
      <c r="H42" s="138">
        <v>0</v>
      </c>
      <c r="I42" s="138">
        <v>0</v>
      </c>
      <c r="J42" s="138">
        <v>0</v>
      </c>
      <c r="K42" s="138">
        <v>0</v>
      </c>
      <c r="L42" s="138">
        <v>0</v>
      </c>
      <c r="M42" s="138">
        <v>0</v>
      </c>
      <c r="N42" s="138">
        <v>0</v>
      </c>
      <c r="O42" s="138">
        <v>0</v>
      </c>
      <c r="P42" s="138">
        <v>0</v>
      </c>
      <c r="Q42" s="217">
        <v>0</v>
      </c>
      <c r="R42" s="217">
        <v>0</v>
      </c>
      <c r="S42" s="138">
        <v>0</v>
      </c>
      <c r="T42" s="138">
        <v>0</v>
      </c>
      <c r="U42" s="138">
        <v>0</v>
      </c>
      <c r="V42" s="138">
        <v>5</v>
      </c>
      <c r="W42" s="138">
        <v>5</v>
      </c>
      <c r="X42" s="138">
        <v>0</v>
      </c>
      <c r="Y42" s="138">
        <v>0</v>
      </c>
      <c r="Z42" s="138">
        <v>0</v>
      </c>
      <c r="AA42" s="138">
        <v>0</v>
      </c>
      <c r="AB42" s="138">
        <v>5</v>
      </c>
      <c r="AC42" s="138">
        <v>0</v>
      </c>
      <c r="AD42" s="92"/>
      <c r="AE42" s="92"/>
      <c r="AF42" s="92"/>
      <c r="AG42" s="92"/>
      <c r="AH42" s="92"/>
      <c r="AI42" s="92"/>
      <c r="AJ42" s="92"/>
      <c r="AK42" s="92"/>
      <c r="AL42" s="92"/>
      <c r="AM42" s="92"/>
    </row>
    <row r="43" spans="1:39" ht="21" customHeight="1">
      <c r="A43" s="156"/>
      <c r="B43" s="516" t="str">
        <f t="shared" si="1"/>
        <v>Pesticide-</v>
      </c>
      <c r="C43" s="389" t="s">
        <v>335</v>
      </c>
      <c r="D43" s="394" t="s">
        <v>270</v>
      </c>
      <c r="E43" s="391">
        <v>7.1874999999999991</v>
      </c>
      <c r="F43" s="217">
        <v>0</v>
      </c>
      <c r="G43" s="217">
        <v>0</v>
      </c>
      <c r="H43" s="138">
        <v>0</v>
      </c>
      <c r="I43" s="138">
        <v>0</v>
      </c>
      <c r="J43" s="138">
        <v>0</v>
      </c>
      <c r="K43" s="138">
        <v>1</v>
      </c>
      <c r="L43" s="138">
        <v>0</v>
      </c>
      <c r="M43" s="138">
        <v>1</v>
      </c>
      <c r="N43" s="138">
        <v>0</v>
      </c>
      <c r="O43" s="138">
        <v>0</v>
      </c>
      <c r="P43" s="138">
        <v>0</v>
      </c>
      <c r="Q43" s="217">
        <v>0</v>
      </c>
      <c r="R43" s="217">
        <v>0</v>
      </c>
      <c r="S43" s="138">
        <v>0</v>
      </c>
      <c r="T43" s="138">
        <v>0</v>
      </c>
      <c r="U43" s="138">
        <v>0</v>
      </c>
      <c r="V43" s="138">
        <v>0</v>
      </c>
      <c r="W43" s="138">
        <v>0</v>
      </c>
      <c r="X43" s="138">
        <v>1</v>
      </c>
      <c r="Y43" s="138">
        <v>0</v>
      </c>
      <c r="Z43" s="138">
        <v>0</v>
      </c>
      <c r="AA43" s="138">
        <v>1</v>
      </c>
      <c r="AB43" s="138">
        <v>0</v>
      </c>
      <c r="AC43" s="138">
        <v>0</v>
      </c>
      <c r="AD43" s="92"/>
      <c r="AE43" s="92"/>
      <c r="AF43" s="92"/>
      <c r="AG43" s="92"/>
      <c r="AH43" s="92"/>
      <c r="AI43" s="92"/>
      <c r="AJ43" s="92"/>
      <c r="AK43" s="92"/>
      <c r="AL43" s="92"/>
      <c r="AM43" s="92"/>
    </row>
    <row r="44" spans="1:39" s="3" customFormat="1" ht="21" customHeight="1">
      <c r="A44" s="156"/>
      <c r="B44" s="516" t="str">
        <f t="shared" si="1"/>
        <v>Pesticide-</v>
      </c>
      <c r="C44" s="393" t="s">
        <v>336</v>
      </c>
      <c r="D44" s="390" t="s">
        <v>66</v>
      </c>
      <c r="E44" s="391">
        <v>0.75900000000000001</v>
      </c>
      <c r="F44" s="217">
        <v>0</v>
      </c>
      <c r="G44" s="217">
        <v>0</v>
      </c>
      <c r="H44" s="138">
        <v>0</v>
      </c>
      <c r="I44" s="138">
        <v>0</v>
      </c>
      <c r="J44" s="138">
        <v>0</v>
      </c>
      <c r="K44" s="138">
        <v>4</v>
      </c>
      <c r="L44" s="138">
        <v>4</v>
      </c>
      <c r="M44" s="138">
        <v>4</v>
      </c>
      <c r="N44" s="138">
        <v>0</v>
      </c>
      <c r="O44" s="138">
        <v>0</v>
      </c>
      <c r="P44" s="138">
        <v>0</v>
      </c>
      <c r="Q44" s="217">
        <v>0</v>
      </c>
      <c r="R44" s="217">
        <v>0</v>
      </c>
      <c r="S44" s="138">
        <v>0</v>
      </c>
      <c r="T44" s="138">
        <v>0</v>
      </c>
      <c r="U44" s="138">
        <v>0</v>
      </c>
      <c r="V44" s="138">
        <v>0</v>
      </c>
      <c r="W44" s="138">
        <v>0</v>
      </c>
      <c r="X44" s="138">
        <v>4</v>
      </c>
      <c r="Y44" s="138">
        <v>0</v>
      </c>
      <c r="Z44" s="138">
        <v>0</v>
      </c>
      <c r="AA44" s="138">
        <v>4</v>
      </c>
      <c r="AB44" s="138">
        <v>0</v>
      </c>
      <c r="AC44" s="138">
        <v>0</v>
      </c>
      <c r="AD44" s="205"/>
      <c r="AE44" s="205"/>
      <c r="AF44" s="205"/>
      <c r="AG44" s="205"/>
      <c r="AH44" s="205"/>
      <c r="AI44" s="205"/>
      <c r="AJ44" s="205"/>
      <c r="AK44" s="205"/>
      <c r="AL44" s="205"/>
      <c r="AM44" s="205"/>
    </row>
    <row r="45" spans="1:39" ht="21" customHeight="1">
      <c r="A45" s="156"/>
      <c r="B45" s="516" t="str">
        <f t="shared" si="1"/>
        <v>Pesticide-</v>
      </c>
      <c r="C45" s="393" t="s">
        <v>337</v>
      </c>
      <c r="D45" s="390" t="s">
        <v>66</v>
      </c>
      <c r="E45" s="391">
        <v>1.6904999999999999</v>
      </c>
      <c r="F45" s="217">
        <v>0</v>
      </c>
      <c r="G45" s="217">
        <v>0</v>
      </c>
      <c r="H45" s="138">
        <v>0</v>
      </c>
      <c r="I45" s="138">
        <v>0</v>
      </c>
      <c r="J45" s="138">
        <v>0</v>
      </c>
      <c r="K45" s="138">
        <v>0</v>
      </c>
      <c r="L45" s="138">
        <v>0</v>
      </c>
      <c r="M45" s="138">
        <v>0</v>
      </c>
      <c r="N45" s="138">
        <v>0</v>
      </c>
      <c r="O45" s="138">
        <v>0</v>
      </c>
      <c r="P45" s="138">
        <v>0</v>
      </c>
      <c r="Q45" s="217">
        <v>0</v>
      </c>
      <c r="R45" s="217">
        <v>0</v>
      </c>
      <c r="S45" s="138">
        <v>0</v>
      </c>
      <c r="T45" s="138">
        <v>0</v>
      </c>
      <c r="U45" s="138">
        <v>0</v>
      </c>
      <c r="V45" s="138">
        <v>0</v>
      </c>
      <c r="W45" s="138">
        <v>0</v>
      </c>
      <c r="X45" s="138">
        <v>0</v>
      </c>
      <c r="Y45" s="138">
        <v>0</v>
      </c>
      <c r="Z45" s="138">
        <v>0</v>
      </c>
      <c r="AA45" s="138">
        <v>0</v>
      </c>
      <c r="AB45" s="138">
        <v>0</v>
      </c>
      <c r="AC45" s="138">
        <v>0</v>
      </c>
      <c r="AD45" s="92"/>
      <c r="AE45" s="92"/>
      <c r="AF45" s="92"/>
      <c r="AG45" s="92"/>
      <c r="AH45" s="92"/>
      <c r="AI45" s="92"/>
      <c r="AJ45" s="92"/>
      <c r="AK45" s="92"/>
      <c r="AL45" s="92"/>
      <c r="AM45" s="92"/>
    </row>
    <row r="46" spans="1:39" ht="21">
      <c r="A46" s="156"/>
      <c r="B46" s="516" t="str">
        <f t="shared" si="1"/>
        <v>Pesticide-</v>
      </c>
      <c r="C46" s="393" t="s">
        <v>338</v>
      </c>
      <c r="D46" s="390" t="s">
        <v>66</v>
      </c>
      <c r="E46" s="391">
        <v>19.158999999999999</v>
      </c>
      <c r="F46" s="217">
        <v>0</v>
      </c>
      <c r="G46" s="217">
        <v>0</v>
      </c>
      <c r="H46" s="138">
        <v>0</v>
      </c>
      <c r="I46" s="138">
        <v>0</v>
      </c>
      <c r="J46" s="138">
        <v>0</v>
      </c>
      <c r="K46" s="138">
        <v>0</v>
      </c>
      <c r="L46" s="138">
        <v>0</v>
      </c>
      <c r="M46" s="138">
        <v>0</v>
      </c>
      <c r="N46" s="138">
        <v>0</v>
      </c>
      <c r="O46" s="138">
        <v>0</v>
      </c>
      <c r="P46" s="138">
        <v>0</v>
      </c>
      <c r="Q46" s="217">
        <v>0</v>
      </c>
      <c r="R46" s="217">
        <v>0</v>
      </c>
      <c r="S46" s="138">
        <v>0</v>
      </c>
      <c r="T46" s="138">
        <v>0</v>
      </c>
      <c r="U46" s="138">
        <v>0</v>
      </c>
      <c r="V46" s="138">
        <v>0</v>
      </c>
      <c r="W46" s="138">
        <v>0</v>
      </c>
      <c r="X46" s="138">
        <v>0</v>
      </c>
      <c r="Y46" s="138">
        <v>0</v>
      </c>
      <c r="Z46" s="138">
        <v>0</v>
      </c>
      <c r="AA46" s="138">
        <v>0</v>
      </c>
      <c r="AB46" s="138">
        <v>0</v>
      </c>
      <c r="AC46" s="138">
        <v>0</v>
      </c>
      <c r="AD46" s="92"/>
      <c r="AE46" s="92"/>
      <c r="AF46" s="92"/>
      <c r="AG46" s="92"/>
      <c r="AH46" s="92"/>
      <c r="AI46" s="92"/>
      <c r="AJ46" s="92"/>
      <c r="AK46" s="92"/>
      <c r="AL46" s="92"/>
      <c r="AM46" s="92"/>
    </row>
    <row r="47" spans="1:39" ht="21">
      <c r="A47" s="156"/>
      <c r="B47" s="516" t="str">
        <f t="shared" si="1"/>
        <v>Pesticide-</v>
      </c>
      <c r="C47" s="393" t="s">
        <v>339</v>
      </c>
      <c r="D47" s="390" t="s">
        <v>66</v>
      </c>
      <c r="E47" s="391">
        <v>19.940999999999999</v>
      </c>
      <c r="F47" s="217">
        <v>0</v>
      </c>
      <c r="G47" s="217">
        <v>0</v>
      </c>
      <c r="H47" s="138">
        <v>0</v>
      </c>
      <c r="I47" s="138">
        <v>0</v>
      </c>
      <c r="J47" s="138">
        <v>0</v>
      </c>
      <c r="K47" s="138">
        <v>0</v>
      </c>
      <c r="L47" s="138">
        <v>0</v>
      </c>
      <c r="M47" s="138">
        <v>0</v>
      </c>
      <c r="N47" s="138">
        <v>0</v>
      </c>
      <c r="O47" s="138">
        <v>0</v>
      </c>
      <c r="P47" s="138">
        <v>0</v>
      </c>
      <c r="Q47" s="217">
        <v>0</v>
      </c>
      <c r="R47" s="217">
        <v>0</v>
      </c>
      <c r="S47" s="138">
        <v>0</v>
      </c>
      <c r="T47" s="138">
        <v>0</v>
      </c>
      <c r="U47" s="138">
        <v>0</v>
      </c>
      <c r="V47" s="138">
        <v>0</v>
      </c>
      <c r="W47" s="138">
        <v>0</v>
      </c>
      <c r="X47" s="138">
        <v>0</v>
      </c>
      <c r="Y47" s="138">
        <v>0</v>
      </c>
      <c r="Z47" s="138">
        <v>0</v>
      </c>
      <c r="AA47" s="138">
        <v>0</v>
      </c>
      <c r="AB47" s="138">
        <v>0</v>
      </c>
      <c r="AC47" s="138">
        <v>0</v>
      </c>
      <c r="AD47" s="92"/>
      <c r="AE47" s="92"/>
      <c r="AF47" s="92"/>
      <c r="AG47" s="92"/>
      <c r="AH47" s="92"/>
      <c r="AI47" s="92"/>
      <c r="AJ47" s="92"/>
      <c r="AK47" s="92"/>
      <c r="AL47" s="92"/>
      <c r="AM47" s="92"/>
    </row>
    <row r="48" spans="1:39" ht="21">
      <c r="A48" s="156"/>
      <c r="B48" s="516" t="str">
        <f t="shared" si="1"/>
        <v>Pesticide-</v>
      </c>
      <c r="C48" s="393" t="s">
        <v>340</v>
      </c>
      <c r="D48" s="390" t="s">
        <v>66</v>
      </c>
      <c r="E48" s="391">
        <v>0.14949999999999999</v>
      </c>
      <c r="F48" s="217">
        <v>0</v>
      </c>
      <c r="G48" s="217">
        <v>0</v>
      </c>
      <c r="H48" s="138">
        <v>0</v>
      </c>
      <c r="I48" s="138">
        <v>0</v>
      </c>
      <c r="J48" s="138">
        <v>0</v>
      </c>
      <c r="K48" s="138">
        <v>0</v>
      </c>
      <c r="L48" s="138">
        <v>0</v>
      </c>
      <c r="M48" s="138">
        <v>0</v>
      </c>
      <c r="N48" s="138">
        <v>32</v>
      </c>
      <c r="O48" s="138">
        <v>32</v>
      </c>
      <c r="P48" s="138">
        <v>0</v>
      </c>
      <c r="Q48" s="217">
        <v>0</v>
      </c>
      <c r="R48" s="217">
        <v>0</v>
      </c>
      <c r="S48" s="138">
        <v>0</v>
      </c>
      <c r="T48" s="138">
        <v>0</v>
      </c>
      <c r="U48" s="138">
        <v>0</v>
      </c>
      <c r="V48" s="138">
        <v>0</v>
      </c>
      <c r="W48" s="138">
        <v>0</v>
      </c>
      <c r="X48" s="138">
        <v>0</v>
      </c>
      <c r="Y48" s="138">
        <v>0</v>
      </c>
      <c r="Z48" s="138">
        <v>0</v>
      </c>
      <c r="AA48" s="138">
        <v>0</v>
      </c>
      <c r="AB48" s="138">
        <v>0</v>
      </c>
      <c r="AC48" s="138">
        <v>24</v>
      </c>
      <c r="AD48" s="92"/>
      <c r="AE48" s="92"/>
      <c r="AF48" s="92"/>
      <c r="AG48" s="92"/>
      <c r="AH48" s="92"/>
      <c r="AI48" s="92"/>
      <c r="AJ48" s="92"/>
      <c r="AK48" s="92"/>
      <c r="AL48" s="92"/>
      <c r="AM48" s="92"/>
    </row>
    <row r="49" spans="1:39" ht="21">
      <c r="A49" s="156"/>
      <c r="B49" s="516" t="str">
        <f t="shared" si="1"/>
        <v>Pesticide-</v>
      </c>
      <c r="C49" s="393" t="s">
        <v>341</v>
      </c>
      <c r="D49" s="390" t="s">
        <v>66</v>
      </c>
      <c r="E49" s="391">
        <v>0.88549999999999995</v>
      </c>
      <c r="F49" s="217">
        <v>13.7</v>
      </c>
      <c r="G49" s="217">
        <v>13.7</v>
      </c>
      <c r="H49" s="138">
        <v>13.7</v>
      </c>
      <c r="I49" s="138">
        <v>0</v>
      </c>
      <c r="J49" s="138">
        <v>13.7</v>
      </c>
      <c r="K49" s="138">
        <v>0</v>
      </c>
      <c r="L49" s="138">
        <v>0</v>
      </c>
      <c r="M49" s="138">
        <v>0</v>
      </c>
      <c r="N49" s="138">
        <v>0</v>
      </c>
      <c r="O49" s="138">
        <v>0</v>
      </c>
      <c r="P49" s="138">
        <v>0</v>
      </c>
      <c r="Q49" s="217">
        <v>13.7</v>
      </c>
      <c r="R49" s="217">
        <v>13.7</v>
      </c>
      <c r="S49" s="138">
        <v>0</v>
      </c>
      <c r="T49" s="138">
        <v>0</v>
      </c>
      <c r="U49" s="138">
        <v>13.7</v>
      </c>
      <c r="V49" s="138">
        <v>0</v>
      </c>
      <c r="W49" s="138">
        <v>0</v>
      </c>
      <c r="X49" s="138">
        <v>0</v>
      </c>
      <c r="Y49" s="138">
        <v>13.7</v>
      </c>
      <c r="Z49" s="138">
        <v>13.7</v>
      </c>
      <c r="AA49" s="138">
        <v>0</v>
      </c>
      <c r="AB49" s="138">
        <v>0</v>
      </c>
      <c r="AC49" s="138">
        <v>0</v>
      </c>
      <c r="AD49" s="92"/>
      <c r="AE49" s="92"/>
      <c r="AF49" s="92"/>
      <c r="AG49" s="92"/>
      <c r="AH49" s="92"/>
      <c r="AI49" s="92"/>
      <c r="AJ49" s="92"/>
      <c r="AK49" s="92"/>
      <c r="AL49" s="92"/>
      <c r="AM49" s="92"/>
    </row>
    <row r="50" spans="1:39" s="184" customFormat="1" ht="21">
      <c r="A50" s="498"/>
      <c r="B50" s="516" t="str">
        <f t="shared" si="1"/>
        <v>Pesticide-</v>
      </c>
      <c r="C50" s="393" t="s">
        <v>342</v>
      </c>
      <c r="D50" s="390" t="s">
        <v>118</v>
      </c>
      <c r="E50" s="391">
        <v>17.295999999999999</v>
      </c>
      <c r="F50" s="217">
        <v>0</v>
      </c>
      <c r="G50" s="217">
        <v>0</v>
      </c>
      <c r="H50" s="138">
        <v>0</v>
      </c>
      <c r="I50" s="138">
        <v>0</v>
      </c>
      <c r="J50" s="138">
        <v>0</v>
      </c>
      <c r="K50" s="138">
        <v>0</v>
      </c>
      <c r="L50" s="138">
        <v>0</v>
      </c>
      <c r="M50" s="138">
        <v>0</v>
      </c>
      <c r="N50" s="138">
        <v>0</v>
      </c>
      <c r="O50" s="138">
        <v>0</v>
      </c>
      <c r="P50" s="138">
        <v>0</v>
      </c>
      <c r="Q50" s="217">
        <v>0</v>
      </c>
      <c r="R50" s="217">
        <v>0</v>
      </c>
      <c r="S50" s="138">
        <v>0</v>
      </c>
      <c r="T50" s="138">
        <v>0</v>
      </c>
      <c r="U50" s="138">
        <v>0</v>
      </c>
      <c r="V50" s="138">
        <v>0</v>
      </c>
      <c r="W50" s="138">
        <v>0</v>
      </c>
      <c r="X50" s="138">
        <v>0</v>
      </c>
      <c r="Y50" s="138">
        <v>0</v>
      </c>
      <c r="Z50" s="138">
        <v>0</v>
      </c>
      <c r="AA50" s="138">
        <v>0</v>
      </c>
      <c r="AB50" s="138">
        <v>0</v>
      </c>
      <c r="AC50" s="138">
        <v>0</v>
      </c>
      <c r="AD50" s="197"/>
      <c r="AE50" s="197"/>
      <c r="AF50" s="197"/>
      <c r="AG50" s="197"/>
      <c r="AH50" s="197"/>
      <c r="AI50" s="197"/>
      <c r="AJ50" s="197"/>
      <c r="AK50" s="197"/>
      <c r="AL50" s="197"/>
      <c r="AM50" s="197"/>
    </row>
    <row r="51" spans="1:39" s="184" customFormat="1" ht="21">
      <c r="A51" s="499"/>
      <c r="B51" s="516" t="str">
        <f t="shared" si="1"/>
        <v>Pesticide-</v>
      </c>
      <c r="C51" s="393" t="s">
        <v>343</v>
      </c>
      <c r="D51" s="390" t="s">
        <v>66</v>
      </c>
      <c r="E51" s="391">
        <v>23.885499999999997</v>
      </c>
      <c r="F51" s="217">
        <v>0</v>
      </c>
      <c r="G51" s="217">
        <v>0</v>
      </c>
      <c r="H51" s="138">
        <v>0</v>
      </c>
      <c r="I51" s="138">
        <v>0</v>
      </c>
      <c r="J51" s="138">
        <v>0</v>
      </c>
      <c r="K51" s="138">
        <v>0</v>
      </c>
      <c r="L51" s="138">
        <v>0</v>
      </c>
      <c r="M51" s="138">
        <v>0</v>
      </c>
      <c r="N51" s="138">
        <v>0</v>
      </c>
      <c r="O51" s="138">
        <v>0</v>
      </c>
      <c r="P51" s="138">
        <v>0</v>
      </c>
      <c r="Q51" s="217">
        <v>0</v>
      </c>
      <c r="R51" s="217">
        <v>0</v>
      </c>
      <c r="S51" s="138">
        <v>0</v>
      </c>
      <c r="T51" s="138">
        <v>0</v>
      </c>
      <c r="U51" s="138">
        <v>0</v>
      </c>
      <c r="V51" s="138">
        <v>0</v>
      </c>
      <c r="W51" s="138">
        <v>0</v>
      </c>
      <c r="X51" s="138">
        <v>0</v>
      </c>
      <c r="Y51" s="138">
        <v>0</v>
      </c>
      <c r="Z51" s="138">
        <v>0</v>
      </c>
      <c r="AA51" s="138">
        <v>0</v>
      </c>
      <c r="AB51" s="138">
        <v>0</v>
      </c>
      <c r="AC51" s="138">
        <v>0</v>
      </c>
      <c r="AD51" s="197"/>
      <c r="AE51" s="197"/>
      <c r="AF51" s="197"/>
      <c r="AG51" s="197"/>
      <c r="AH51" s="197"/>
      <c r="AI51" s="197"/>
      <c r="AJ51" s="197"/>
      <c r="AK51" s="197"/>
      <c r="AL51" s="197"/>
      <c r="AM51" s="197"/>
    </row>
    <row r="52" spans="1:39" ht="21">
      <c r="B52" s="516" t="str">
        <f t="shared" si="1"/>
        <v>Pesticide-</v>
      </c>
      <c r="C52" s="393" t="s">
        <v>344</v>
      </c>
      <c r="D52" s="390" t="s">
        <v>66</v>
      </c>
      <c r="E52" s="391">
        <v>5.0484999999999989</v>
      </c>
      <c r="F52" s="217">
        <v>0</v>
      </c>
      <c r="G52" s="217">
        <v>0</v>
      </c>
      <c r="H52" s="138">
        <v>0</v>
      </c>
      <c r="I52" s="138">
        <v>0</v>
      </c>
      <c r="J52" s="138">
        <v>0</v>
      </c>
      <c r="K52" s="138">
        <v>0</v>
      </c>
      <c r="L52" s="138">
        <v>0</v>
      </c>
      <c r="M52" s="138">
        <v>0</v>
      </c>
      <c r="N52" s="138">
        <v>0</v>
      </c>
      <c r="O52" s="138">
        <v>0</v>
      </c>
      <c r="P52" s="138">
        <v>0</v>
      </c>
      <c r="Q52" s="217">
        <v>0</v>
      </c>
      <c r="R52" s="217">
        <v>0</v>
      </c>
      <c r="S52" s="138">
        <v>0</v>
      </c>
      <c r="T52" s="138">
        <v>0</v>
      </c>
      <c r="U52" s="138">
        <v>0</v>
      </c>
      <c r="V52" s="138">
        <v>0</v>
      </c>
      <c r="W52" s="138">
        <v>0</v>
      </c>
      <c r="X52" s="138">
        <v>0</v>
      </c>
      <c r="Y52" s="138">
        <v>0</v>
      </c>
      <c r="Z52" s="138">
        <v>0</v>
      </c>
      <c r="AA52" s="138">
        <v>0</v>
      </c>
      <c r="AB52" s="138">
        <v>0</v>
      </c>
      <c r="AC52" s="138">
        <v>0</v>
      </c>
      <c r="AD52" s="92"/>
      <c r="AE52" s="92"/>
      <c r="AF52" s="92"/>
      <c r="AG52" s="92"/>
      <c r="AH52" s="92"/>
      <c r="AI52" s="92"/>
      <c r="AJ52" s="92"/>
      <c r="AK52" s="92"/>
      <c r="AL52" s="92"/>
      <c r="AM52" s="92"/>
    </row>
    <row r="53" spans="1:39" ht="21">
      <c r="B53" s="516" t="str">
        <f t="shared" si="1"/>
        <v>Pesticide-</v>
      </c>
      <c r="C53" s="393" t="s">
        <v>345</v>
      </c>
      <c r="D53" s="390" t="s">
        <v>66</v>
      </c>
      <c r="E53" s="391">
        <v>19.285499999999999</v>
      </c>
      <c r="F53" s="217">
        <v>0</v>
      </c>
      <c r="G53" s="217">
        <v>0</v>
      </c>
      <c r="H53" s="138">
        <v>0</v>
      </c>
      <c r="I53" s="138">
        <v>0</v>
      </c>
      <c r="J53" s="138">
        <v>0</v>
      </c>
      <c r="K53" s="138">
        <v>0</v>
      </c>
      <c r="L53" s="138">
        <v>0</v>
      </c>
      <c r="M53" s="138">
        <v>0</v>
      </c>
      <c r="N53" s="138">
        <v>0</v>
      </c>
      <c r="O53" s="138">
        <v>0</v>
      </c>
      <c r="P53" s="138">
        <v>0</v>
      </c>
      <c r="Q53" s="217">
        <v>0</v>
      </c>
      <c r="R53" s="217">
        <v>0</v>
      </c>
      <c r="S53" s="138">
        <v>0</v>
      </c>
      <c r="T53" s="138">
        <v>0</v>
      </c>
      <c r="U53" s="138">
        <v>0</v>
      </c>
      <c r="V53" s="138">
        <v>0</v>
      </c>
      <c r="W53" s="138">
        <v>0</v>
      </c>
      <c r="X53" s="138">
        <v>0</v>
      </c>
      <c r="Y53" s="138">
        <v>0</v>
      </c>
      <c r="Z53" s="138">
        <v>0</v>
      </c>
      <c r="AA53" s="138">
        <v>0</v>
      </c>
      <c r="AB53" s="138">
        <v>0</v>
      </c>
      <c r="AC53" s="138">
        <v>0</v>
      </c>
      <c r="AD53" s="92"/>
      <c r="AE53" s="92"/>
      <c r="AF53" s="92"/>
      <c r="AG53" s="92"/>
      <c r="AH53" s="92"/>
      <c r="AI53" s="92"/>
      <c r="AJ53" s="92"/>
      <c r="AK53" s="92"/>
      <c r="AL53" s="92"/>
      <c r="AM53" s="92"/>
    </row>
    <row r="54" spans="1:39" ht="21">
      <c r="B54" s="516" t="str">
        <f t="shared" si="1"/>
        <v>Pesticide-</v>
      </c>
      <c r="C54" s="393" t="s">
        <v>346</v>
      </c>
      <c r="D54" s="390" t="s">
        <v>66</v>
      </c>
      <c r="E54" s="391">
        <v>8.9124999999999996</v>
      </c>
      <c r="F54" s="217">
        <v>0</v>
      </c>
      <c r="G54" s="217">
        <v>0</v>
      </c>
      <c r="H54" s="138">
        <v>0</v>
      </c>
      <c r="I54" s="138">
        <v>0</v>
      </c>
      <c r="J54" s="138">
        <v>0</v>
      </c>
      <c r="K54" s="138">
        <v>0</v>
      </c>
      <c r="L54" s="138">
        <v>0</v>
      </c>
      <c r="M54" s="138">
        <v>0</v>
      </c>
      <c r="N54" s="138">
        <v>0</v>
      </c>
      <c r="O54" s="138">
        <v>0</v>
      </c>
      <c r="P54" s="138">
        <v>0</v>
      </c>
      <c r="Q54" s="217">
        <v>0</v>
      </c>
      <c r="R54" s="217">
        <v>0</v>
      </c>
      <c r="S54" s="138">
        <v>0</v>
      </c>
      <c r="T54" s="138">
        <v>0</v>
      </c>
      <c r="U54" s="138">
        <v>0</v>
      </c>
      <c r="V54" s="138">
        <v>0</v>
      </c>
      <c r="W54" s="138">
        <v>0</v>
      </c>
      <c r="X54" s="138">
        <v>0</v>
      </c>
      <c r="Y54" s="138">
        <v>0</v>
      </c>
      <c r="Z54" s="138">
        <v>0</v>
      </c>
      <c r="AA54" s="138">
        <v>0</v>
      </c>
      <c r="AB54" s="138">
        <v>0</v>
      </c>
      <c r="AC54" s="138">
        <v>0</v>
      </c>
      <c r="AD54" s="92"/>
      <c r="AE54" s="92"/>
      <c r="AF54" s="92"/>
      <c r="AG54" s="92"/>
      <c r="AH54" s="92"/>
      <c r="AI54" s="92"/>
      <c r="AJ54" s="92"/>
      <c r="AK54" s="92"/>
      <c r="AL54" s="92"/>
      <c r="AM54" s="92"/>
    </row>
    <row r="55" spans="1:39" ht="22" customHeight="1">
      <c r="B55" s="516" t="str">
        <f t="shared" si="1"/>
        <v>Pesticide-</v>
      </c>
      <c r="C55" s="393" t="s">
        <v>347</v>
      </c>
      <c r="D55" s="390" t="s">
        <v>66</v>
      </c>
      <c r="E55" s="391">
        <v>3.4269999999999996</v>
      </c>
      <c r="F55" s="217">
        <v>0</v>
      </c>
      <c r="G55" s="217">
        <v>0</v>
      </c>
      <c r="H55" s="138">
        <v>0</v>
      </c>
      <c r="I55" s="138">
        <v>0</v>
      </c>
      <c r="J55" s="138">
        <v>0</v>
      </c>
      <c r="K55" s="138">
        <v>0</v>
      </c>
      <c r="L55" s="138">
        <v>4</v>
      </c>
      <c r="M55" s="138">
        <v>3.2</v>
      </c>
      <c r="N55" s="138">
        <v>0</v>
      </c>
      <c r="O55" s="138">
        <v>0</v>
      </c>
      <c r="P55" s="138">
        <v>0</v>
      </c>
      <c r="Q55" s="217">
        <v>0</v>
      </c>
      <c r="R55" s="217">
        <v>0</v>
      </c>
      <c r="S55" s="138">
        <v>0</v>
      </c>
      <c r="T55" s="138">
        <v>0</v>
      </c>
      <c r="U55" s="138">
        <v>0</v>
      </c>
      <c r="V55" s="138">
        <v>0</v>
      </c>
      <c r="W55" s="138">
        <v>0</v>
      </c>
      <c r="X55" s="138">
        <v>3.2</v>
      </c>
      <c r="Y55" s="138">
        <v>0</v>
      </c>
      <c r="Z55" s="138">
        <v>0</v>
      </c>
      <c r="AA55" s="138">
        <v>0</v>
      </c>
      <c r="AB55" s="138">
        <v>0</v>
      </c>
      <c r="AC55" s="138">
        <v>0</v>
      </c>
      <c r="AD55" s="92"/>
      <c r="AE55" s="92"/>
      <c r="AF55" s="92"/>
      <c r="AG55" s="92"/>
      <c r="AH55" s="92"/>
      <c r="AI55" s="92"/>
      <c r="AJ55" s="92"/>
      <c r="AK55" s="92"/>
      <c r="AL55" s="92"/>
      <c r="AM55" s="92"/>
    </row>
    <row r="56" spans="1:39" ht="21">
      <c r="B56" s="516" t="str">
        <f t="shared" si="1"/>
        <v>Pesticide-</v>
      </c>
      <c r="C56" s="393" t="s">
        <v>348</v>
      </c>
      <c r="D56" s="390" t="s">
        <v>66</v>
      </c>
      <c r="E56" s="391">
        <v>0.51749999999999996</v>
      </c>
      <c r="F56" s="217">
        <v>0</v>
      </c>
      <c r="G56" s="217">
        <v>0</v>
      </c>
      <c r="H56" s="138">
        <v>0</v>
      </c>
      <c r="I56" s="138">
        <v>0</v>
      </c>
      <c r="J56" s="138">
        <v>0</v>
      </c>
      <c r="K56" s="138">
        <v>0</v>
      </c>
      <c r="L56" s="138">
        <v>0</v>
      </c>
      <c r="M56" s="138">
        <v>0</v>
      </c>
      <c r="N56" s="138">
        <v>0</v>
      </c>
      <c r="O56" s="138">
        <v>0</v>
      </c>
      <c r="P56" s="138">
        <v>0</v>
      </c>
      <c r="Q56" s="217">
        <v>0</v>
      </c>
      <c r="R56" s="217">
        <v>0</v>
      </c>
      <c r="S56" s="138">
        <v>0</v>
      </c>
      <c r="T56" s="138">
        <v>0</v>
      </c>
      <c r="U56" s="138">
        <v>0</v>
      </c>
      <c r="V56" s="138">
        <v>0</v>
      </c>
      <c r="W56" s="138">
        <v>0</v>
      </c>
      <c r="X56" s="138">
        <v>0</v>
      </c>
      <c r="Y56" s="138">
        <v>0</v>
      </c>
      <c r="Z56" s="138">
        <v>0</v>
      </c>
      <c r="AA56" s="138">
        <v>0</v>
      </c>
      <c r="AB56" s="138">
        <v>0</v>
      </c>
      <c r="AC56" s="138">
        <v>0</v>
      </c>
      <c r="AD56" s="92"/>
      <c r="AE56" s="92"/>
      <c r="AF56" s="92"/>
      <c r="AG56" s="92"/>
      <c r="AH56" s="92"/>
      <c r="AI56" s="92"/>
      <c r="AJ56" s="92"/>
      <c r="AK56" s="92"/>
      <c r="AL56" s="92"/>
      <c r="AM56" s="92"/>
    </row>
    <row r="57" spans="1:39" ht="22" customHeight="1">
      <c r="B57" s="516" t="str">
        <f t="shared" si="1"/>
        <v>Pesticide-</v>
      </c>
      <c r="C57" s="393" t="s">
        <v>349</v>
      </c>
      <c r="D57" s="390" t="s">
        <v>66</v>
      </c>
      <c r="E57" s="391">
        <v>4.0594999999999999</v>
      </c>
      <c r="F57" s="217">
        <v>0</v>
      </c>
      <c r="G57" s="217">
        <v>0</v>
      </c>
      <c r="H57" s="138">
        <v>0</v>
      </c>
      <c r="I57" s="138">
        <v>0</v>
      </c>
      <c r="J57" s="138">
        <v>0</v>
      </c>
      <c r="K57" s="138">
        <v>0</v>
      </c>
      <c r="L57" s="138">
        <v>0</v>
      </c>
      <c r="M57" s="138">
        <v>0</v>
      </c>
      <c r="N57" s="138">
        <v>0</v>
      </c>
      <c r="O57" s="138">
        <v>0</v>
      </c>
      <c r="P57" s="138">
        <v>0</v>
      </c>
      <c r="Q57" s="217">
        <v>0</v>
      </c>
      <c r="R57" s="217">
        <v>0</v>
      </c>
      <c r="S57" s="138">
        <v>0</v>
      </c>
      <c r="T57" s="138">
        <v>0</v>
      </c>
      <c r="U57" s="138">
        <v>0</v>
      </c>
      <c r="V57" s="138">
        <v>0</v>
      </c>
      <c r="W57" s="138">
        <v>0</v>
      </c>
      <c r="X57" s="138">
        <v>0</v>
      </c>
      <c r="Y57" s="138">
        <v>0</v>
      </c>
      <c r="Z57" s="138">
        <v>0</v>
      </c>
      <c r="AA57" s="138">
        <v>0</v>
      </c>
      <c r="AB57" s="138">
        <v>0</v>
      </c>
      <c r="AC57" s="138">
        <v>0</v>
      </c>
      <c r="AD57" s="92"/>
      <c r="AE57" s="92"/>
      <c r="AF57" s="92"/>
      <c r="AG57" s="92"/>
      <c r="AH57" s="92"/>
      <c r="AI57" s="92"/>
      <c r="AJ57" s="92"/>
      <c r="AK57" s="92"/>
      <c r="AL57" s="92"/>
      <c r="AM57" s="92"/>
    </row>
    <row r="58" spans="1:39" ht="20" customHeight="1">
      <c r="A58" s="156"/>
      <c r="B58" s="516" t="str">
        <f t="shared" si="1"/>
        <v>Pesticide-</v>
      </c>
      <c r="C58" s="393" t="s">
        <v>350</v>
      </c>
      <c r="D58" s="390" t="s">
        <v>66</v>
      </c>
      <c r="E58" s="391">
        <v>1.127</v>
      </c>
      <c r="F58" s="217">
        <v>0</v>
      </c>
      <c r="G58" s="217">
        <v>0</v>
      </c>
      <c r="H58" s="138">
        <v>0</v>
      </c>
      <c r="I58" s="138">
        <v>0</v>
      </c>
      <c r="J58" s="138">
        <v>0</v>
      </c>
      <c r="K58" s="138">
        <v>0</v>
      </c>
      <c r="L58" s="138">
        <v>0</v>
      </c>
      <c r="M58" s="138">
        <v>0</v>
      </c>
      <c r="N58" s="138">
        <v>0</v>
      </c>
      <c r="O58" s="138">
        <v>0</v>
      </c>
      <c r="P58" s="138">
        <v>0</v>
      </c>
      <c r="Q58" s="217">
        <v>0</v>
      </c>
      <c r="R58" s="217">
        <v>0</v>
      </c>
      <c r="S58" s="138">
        <v>0</v>
      </c>
      <c r="T58" s="138">
        <v>0</v>
      </c>
      <c r="U58" s="138">
        <v>0</v>
      </c>
      <c r="V58" s="138">
        <v>0</v>
      </c>
      <c r="W58" s="138">
        <v>0</v>
      </c>
      <c r="X58" s="138">
        <v>0</v>
      </c>
      <c r="Y58" s="138">
        <v>0</v>
      </c>
      <c r="Z58" s="138">
        <v>0</v>
      </c>
      <c r="AA58" s="138">
        <v>0</v>
      </c>
      <c r="AB58" s="138">
        <v>0</v>
      </c>
      <c r="AC58" s="138">
        <v>0</v>
      </c>
      <c r="AD58" s="92"/>
      <c r="AE58" s="92"/>
      <c r="AF58" s="92"/>
      <c r="AG58" s="92"/>
      <c r="AH58" s="92"/>
      <c r="AI58" s="92"/>
      <c r="AJ58" s="92"/>
      <c r="AK58" s="92"/>
      <c r="AL58" s="92"/>
      <c r="AM58" s="92"/>
    </row>
    <row r="59" spans="1:39" s="184" customFormat="1" ht="21">
      <c r="A59" s="498"/>
      <c r="B59" s="516" t="str">
        <f t="shared" si="1"/>
        <v>Pesticide-</v>
      </c>
      <c r="C59" s="393" t="s">
        <v>351</v>
      </c>
      <c r="D59" s="390" t="s">
        <v>66</v>
      </c>
      <c r="E59" s="391">
        <v>1.4834999999999998</v>
      </c>
      <c r="F59" s="217">
        <v>0</v>
      </c>
      <c r="G59" s="217">
        <v>0</v>
      </c>
      <c r="H59" s="217">
        <v>0</v>
      </c>
      <c r="I59" s="138">
        <v>0</v>
      </c>
      <c r="J59" s="138">
        <v>0</v>
      </c>
      <c r="K59" s="138">
        <v>0</v>
      </c>
      <c r="L59" s="195">
        <v>0</v>
      </c>
      <c r="M59" s="138">
        <v>0</v>
      </c>
      <c r="N59" s="138">
        <v>0</v>
      </c>
      <c r="O59" s="138">
        <v>0</v>
      </c>
      <c r="P59" s="138">
        <v>0</v>
      </c>
      <c r="Q59" s="217">
        <v>0</v>
      </c>
      <c r="R59" s="217">
        <v>0</v>
      </c>
      <c r="S59" s="138">
        <v>0</v>
      </c>
      <c r="T59" s="138">
        <v>0</v>
      </c>
      <c r="U59" s="138">
        <v>0</v>
      </c>
      <c r="V59" s="138">
        <v>0</v>
      </c>
      <c r="W59" s="138">
        <v>0</v>
      </c>
      <c r="X59" s="138">
        <v>0</v>
      </c>
      <c r="Y59" s="217">
        <v>0</v>
      </c>
      <c r="Z59" s="138">
        <v>0</v>
      </c>
      <c r="AA59" s="138">
        <v>0</v>
      </c>
      <c r="AB59" s="138">
        <v>0</v>
      </c>
      <c r="AC59" s="138">
        <v>0</v>
      </c>
      <c r="AD59" s="197"/>
      <c r="AE59" s="197"/>
      <c r="AF59" s="197"/>
      <c r="AG59" s="197"/>
      <c r="AH59" s="197"/>
      <c r="AI59" s="197"/>
      <c r="AJ59" s="197"/>
      <c r="AK59" s="197"/>
      <c r="AL59" s="197"/>
      <c r="AM59" s="197"/>
    </row>
    <row r="60" spans="1:39" s="184" customFormat="1" ht="21" customHeight="1">
      <c r="A60" s="498"/>
      <c r="B60" s="516" t="str">
        <f t="shared" si="1"/>
        <v>Pesticide-</v>
      </c>
      <c r="C60" s="393" t="s">
        <v>352</v>
      </c>
      <c r="D60" s="390" t="s">
        <v>66</v>
      </c>
      <c r="E60" s="391">
        <v>0.26450000000000001</v>
      </c>
      <c r="F60" s="217">
        <v>0</v>
      </c>
      <c r="G60" s="217">
        <v>0</v>
      </c>
      <c r="H60" s="138">
        <v>0</v>
      </c>
      <c r="I60" s="138">
        <v>0</v>
      </c>
      <c r="J60" s="138">
        <v>0</v>
      </c>
      <c r="K60" s="138">
        <v>0</v>
      </c>
      <c r="L60" s="138">
        <v>0</v>
      </c>
      <c r="M60" s="138">
        <v>0</v>
      </c>
      <c r="N60" s="138">
        <v>0</v>
      </c>
      <c r="O60" s="138">
        <v>0</v>
      </c>
      <c r="P60" s="138">
        <v>0</v>
      </c>
      <c r="Q60" s="217">
        <v>0</v>
      </c>
      <c r="R60" s="217">
        <v>0</v>
      </c>
      <c r="S60" s="138">
        <v>0</v>
      </c>
      <c r="T60" s="138">
        <v>0</v>
      </c>
      <c r="U60" s="138">
        <v>0</v>
      </c>
      <c r="V60" s="138">
        <v>0</v>
      </c>
      <c r="W60" s="138">
        <v>0</v>
      </c>
      <c r="X60" s="138">
        <v>0</v>
      </c>
      <c r="Y60" s="138">
        <v>0</v>
      </c>
      <c r="Z60" s="138">
        <v>0</v>
      </c>
      <c r="AA60" s="138">
        <v>0</v>
      </c>
      <c r="AB60" s="138">
        <v>0</v>
      </c>
      <c r="AC60" s="138">
        <v>0</v>
      </c>
      <c r="AD60" s="197"/>
      <c r="AE60" s="197"/>
      <c r="AF60" s="197"/>
      <c r="AG60" s="197"/>
      <c r="AH60" s="197"/>
      <c r="AI60" s="197"/>
      <c r="AJ60" s="197"/>
      <c r="AK60" s="197"/>
      <c r="AL60" s="197"/>
      <c r="AM60" s="197"/>
    </row>
    <row r="61" spans="1:39" s="184" customFormat="1" ht="21">
      <c r="A61" s="498"/>
      <c r="B61" s="516" t="str">
        <f t="shared" si="1"/>
        <v>Pesticide-</v>
      </c>
      <c r="C61" s="393" t="s">
        <v>353</v>
      </c>
      <c r="D61" s="390" t="s">
        <v>66</v>
      </c>
      <c r="E61" s="391">
        <v>0.77049999999999996</v>
      </c>
      <c r="F61" s="217">
        <v>0</v>
      </c>
      <c r="G61" s="217">
        <v>0</v>
      </c>
      <c r="H61" s="138">
        <v>0</v>
      </c>
      <c r="I61" s="138">
        <v>0</v>
      </c>
      <c r="J61" s="138">
        <v>0</v>
      </c>
      <c r="K61" s="138">
        <v>0</v>
      </c>
      <c r="L61" s="138">
        <v>0</v>
      </c>
      <c r="M61" s="138">
        <v>0</v>
      </c>
      <c r="N61" s="138">
        <v>0</v>
      </c>
      <c r="O61" s="138">
        <v>0</v>
      </c>
      <c r="P61" s="138">
        <v>0</v>
      </c>
      <c r="Q61" s="217">
        <v>0</v>
      </c>
      <c r="R61" s="217">
        <v>0</v>
      </c>
      <c r="S61" s="138">
        <v>0</v>
      </c>
      <c r="T61" s="138">
        <v>0</v>
      </c>
      <c r="U61" s="138">
        <v>0</v>
      </c>
      <c r="V61" s="138">
        <v>0</v>
      </c>
      <c r="W61" s="138">
        <v>0</v>
      </c>
      <c r="X61" s="138">
        <v>0</v>
      </c>
      <c r="Y61" s="138">
        <v>0</v>
      </c>
      <c r="Z61" s="138">
        <v>0</v>
      </c>
      <c r="AA61" s="138">
        <v>0</v>
      </c>
      <c r="AB61" s="138">
        <v>0</v>
      </c>
      <c r="AC61" s="138">
        <v>0</v>
      </c>
      <c r="AD61" s="197"/>
      <c r="AE61" s="197"/>
      <c r="AF61" s="197"/>
      <c r="AG61" s="197"/>
      <c r="AH61" s="197"/>
      <c r="AI61" s="197"/>
      <c r="AJ61" s="197"/>
      <c r="AK61" s="197"/>
      <c r="AL61" s="197"/>
      <c r="AM61" s="197"/>
    </row>
    <row r="62" spans="1:39" ht="21">
      <c r="A62" s="156"/>
      <c r="B62" s="516" t="str">
        <f t="shared" si="1"/>
        <v>Pesticide-</v>
      </c>
      <c r="C62" s="393" t="s">
        <v>354</v>
      </c>
      <c r="D62" s="390" t="s">
        <v>66</v>
      </c>
      <c r="E62" s="391">
        <v>0.77049999999999996</v>
      </c>
      <c r="F62" s="217">
        <v>0</v>
      </c>
      <c r="G62" s="217">
        <v>0</v>
      </c>
      <c r="H62" s="138">
        <v>0</v>
      </c>
      <c r="I62" s="138">
        <v>0</v>
      </c>
      <c r="J62" s="138">
        <v>0</v>
      </c>
      <c r="K62" s="138">
        <v>0</v>
      </c>
      <c r="L62" s="138">
        <v>0</v>
      </c>
      <c r="M62" s="138">
        <v>0</v>
      </c>
      <c r="N62" s="138">
        <v>0</v>
      </c>
      <c r="O62" s="138">
        <v>0</v>
      </c>
      <c r="P62" s="138">
        <v>0</v>
      </c>
      <c r="Q62" s="217">
        <v>0</v>
      </c>
      <c r="R62" s="217">
        <v>0</v>
      </c>
      <c r="S62" s="138">
        <v>0</v>
      </c>
      <c r="T62" s="138">
        <v>0</v>
      </c>
      <c r="U62" s="138">
        <v>0</v>
      </c>
      <c r="V62" s="138">
        <v>0</v>
      </c>
      <c r="W62" s="138">
        <v>0</v>
      </c>
      <c r="X62" s="138">
        <v>0</v>
      </c>
      <c r="Y62" s="138">
        <v>0</v>
      </c>
      <c r="Z62" s="138">
        <v>0</v>
      </c>
      <c r="AA62" s="138">
        <v>0</v>
      </c>
      <c r="AB62" s="138">
        <v>0</v>
      </c>
      <c r="AC62" s="138">
        <v>0</v>
      </c>
      <c r="AD62" s="92"/>
      <c r="AE62" s="92"/>
      <c r="AF62" s="92"/>
      <c r="AG62" s="92"/>
      <c r="AH62" s="92"/>
      <c r="AI62" s="92"/>
      <c r="AJ62" s="92"/>
      <c r="AK62" s="92"/>
      <c r="AL62" s="92"/>
      <c r="AM62" s="92"/>
    </row>
    <row r="63" spans="1:39" ht="21">
      <c r="A63" s="156"/>
      <c r="B63" s="516" t="str">
        <f t="shared" si="1"/>
        <v>Pesticide-</v>
      </c>
      <c r="C63" s="393" t="s">
        <v>355</v>
      </c>
      <c r="D63" s="390" t="s">
        <v>66</v>
      </c>
      <c r="E63" s="391">
        <v>0.77049999999999996</v>
      </c>
      <c r="F63" s="217">
        <v>0</v>
      </c>
      <c r="G63" s="217">
        <v>0</v>
      </c>
      <c r="H63" s="138">
        <v>0</v>
      </c>
      <c r="I63" s="138">
        <v>0</v>
      </c>
      <c r="J63" s="138">
        <v>0</v>
      </c>
      <c r="K63" s="138">
        <v>0</v>
      </c>
      <c r="L63" s="138">
        <v>0</v>
      </c>
      <c r="M63" s="138">
        <v>0</v>
      </c>
      <c r="N63" s="138">
        <v>0</v>
      </c>
      <c r="O63" s="138">
        <v>0</v>
      </c>
      <c r="P63" s="138">
        <v>0</v>
      </c>
      <c r="Q63" s="217">
        <v>0</v>
      </c>
      <c r="R63" s="217">
        <v>0</v>
      </c>
      <c r="S63" s="138">
        <v>0</v>
      </c>
      <c r="T63" s="138">
        <v>0</v>
      </c>
      <c r="U63" s="138">
        <v>0</v>
      </c>
      <c r="V63" s="138">
        <v>0</v>
      </c>
      <c r="W63" s="138">
        <v>0</v>
      </c>
      <c r="X63" s="138">
        <v>0</v>
      </c>
      <c r="Y63" s="138">
        <v>0</v>
      </c>
      <c r="Z63" s="138">
        <v>0</v>
      </c>
      <c r="AA63" s="138">
        <v>0</v>
      </c>
      <c r="AB63" s="138">
        <v>0</v>
      </c>
      <c r="AC63" s="138">
        <v>0</v>
      </c>
      <c r="AD63" s="92"/>
      <c r="AE63" s="92"/>
      <c r="AF63" s="92"/>
      <c r="AG63" s="92"/>
      <c r="AH63" s="92"/>
      <c r="AI63" s="92"/>
      <c r="AJ63" s="92"/>
      <c r="AK63" s="92"/>
      <c r="AL63" s="92"/>
      <c r="AM63" s="92"/>
    </row>
    <row r="64" spans="1:39" ht="21">
      <c r="A64" s="156"/>
      <c r="B64" s="516" t="str">
        <f t="shared" si="1"/>
        <v>Pesticide-</v>
      </c>
      <c r="C64" s="393" t="s">
        <v>356</v>
      </c>
      <c r="D64" s="390" t="s">
        <v>66</v>
      </c>
      <c r="E64" s="391">
        <v>0.88549999999999995</v>
      </c>
      <c r="F64" s="217">
        <v>4</v>
      </c>
      <c r="G64" s="217">
        <v>4</v>
      </c>
      <c r="H64" s="138">
        <v>4</v>
      </c>
      <c r="I64" s="138">
        <v>0</v>
      </c>
      <c r="J64" s="138">
        <v>4</v>
      </c>
      <c r="K64" s="138">
        <v>0</v>
      </c>
      <c r="L64" s="138">
        <v>0</v>
      </c>
      <c r="M64" s="138">
        <v>0</v>
      </c>
      <c r="N64" s="138">
        <v>0</v>
      </c>
      <c r="O64" s="138">
        <v>0</v>
      </c>
      <c r="P64" s="138">
        <v>0</v>
      </c>
      <c r="Q64" s="217">
        <v>4</v>
      </c>
      <c r="R64" s="217">
        <v>4</v>
      </c>
      <c r="S64" s="138">
        <v>0</v>
      </c>
      <c r="T64" s="138">
        <v>0</v>
      </c>
      <c r="U64" s="138">
        <v>4</v>
      </c>
      <c r="V64" s="138">
        <v>4</v>
      </c>
      <c r="W64" s="138">
        <v>4</v>
      </c>
      <c r="X64" s="138">
        <v>0</v>
      </c>
      <c r="Y64" s="138">
        <v>4</v>
      </c>
      <c r="Z64" s="138">
        <v>4</v>
      </c>
      <c r="AA64" s="138">
        <v>0</v>
      </c>
      <c r="AB64" s="138">
        <v>4</v>
      </c>
      <c r="AC64" s="138">
        <v>0</v>
      </c>
      <c r="AD64" s="92"/>
      <c r="AE64" s="92"/>
      <c r="AF64" s="92"/>
      <c r="AG64" s="92"/>
      <c r="AH64" s="92"/>
      <c r="AI64" s="92"/>
      <c r="AJ64" s="92"/>
      <c r="AK64" s="92"/>
      <c r="AL64" s="92"/>
      <c r="AM64" s="92"/>
    </row>
    <row r="65" spans="1:39" s="184" customFormat="1" ht="21">
      <c r="A65" s="498"/>
      <c r="B65" s="516" t="str">
        <f t="shared" si="1"/>
        <v>Pesticide-</v>
      </c>
      <c r="C65" s="393" t="s">
        <v>357</v>
      </c>
      <c r="D65" s="390" t="s">
        <v>66</v>
      </c>
      <c r="E65" s="391">
        <v>0.35649999999999998</v>
      </c>
      <c r="F65" s="217">
        <v>0</v>
      </c>
      <c r="G65" s="217">
        <v>0</v>
      </c>
      <c r="H65" s="138">
        <v>0</v>
      </c>
      <c r="I65" s="138">
        <v>0</v>
      </c>
      <c r="J65" s="138">
        <v>0</v>
      </c>
      <c r="K65" s="138">
        <v>0</v>
      </c>
      <c r="L65" s="138">
        <v>0</v>
      </c>
      <c r="M65" s="138">
        <v>0</v>
      </c>
      <c r="N65" s="138">
        <v>0</v>
      </c>
      <c r="O65" s="138">
        <v>0</v>
      </c>
      <c r="P65" s="138">
        <v>0</v>
      </c>
      <c r="Q65" s="217">
        <v>0</v>
      </c>
      <c r="R65" s="217">
        <v>0</v>
      </c>
      <c r="S65" s="138">
        <v>0</v>
      </c>
      <c r="T65" s="138">
        <v>0</v>
      </c>
      <c r="U65" s="138">
        <v>0</v>
      </c>
      <c r="V65" s="138">
        <v>0</v>
      </c>
      <c r="W65" s="138">
        <v>0</v>
      </c>
      <c r="X65" s="138">
        <v>0</v>
      </c>
      <c r="Y65" s="138">
        <v>0</v>
      </c>
      <c r="Z65" s="138">
        <v>0</v>
      </c>
      <c r="AA65" s="138">
        <v>0</v>
      </c>
      <c r="AB65" s="138">
        <v>0</v>
      </c>
      <c r="AC65" s="138">
        <v>0</v>
      </c>
      <c r="AD65" s="197"/>
      <c r="AE65" s="197"/>
      <c r="AF65" s="197"/>
      <c r="AG65" s="197"/>
      <c r="AH65" s="197"/>
      <c r="AI65" s="197"/>
      <c r="AJ65" s="197"/>
      <c r="AK65" s="197"/>
      <c r="AL65" s="197"/>
      <c r="AM65" s="197"/>
    </row>
    <row r="66" spans="1:39" s="3" customFormat="1" ht="21">
      <c r="A66" s="156"/>
      <c r="B66" s="516" t="str">
        <f t="shared" si="1"/>
        <v>Pesticide-</v>
      </c>
      <c r="C66" s="398" t="s">
        <v>358</v>
      </c>
      <c r="D66" s="399" t="s">
        <v>66</v>
      </c>
      <c r="E66" s="400">
        <v>6.3134999999999994</v>
      </c>
      <c r="F66" s="401">
        <v>0</v>
      </c>
      <c r="G66" s="401">
        <v>0</v>
      </c>
      <c r="H66" s="402">
        <v>0</v>
      </c>
      <c r="I66" s="138">
        <v>0</v>
      </c>
      <c r="J66" s="402">
        <v>0</v>
      </c>
      <c r="K66" s="402">
        <v>2</v>
      </c>
      <c r="L66" s="402">
        <v>2</v>
      </c>
      <c r="M66" s="402">
        <v>2</v>
      </c>
      <c r="N66" s="402">
        <v>0</v>
      </c>
      <c r="O66" s="402">
        <v>0</v>
      </c>
      <c r="P66" s="402">
        <v>0</v>
      </c>
      <c r="Q66" s="401">
        <v>0</v>
      </c>
      <c r="R66" s="401">
        <v>0</v>
      </c>
      <c r="S66" s="402">
        <v>0</v>
      </c>
      <c r="T66" s="402">
        <v>0</v>
      </c>
      <c r="U66" s="402">
        <v>0</v>
      </c>
      <c r="V66" s="402">
        <v>0</v>
      </c>
      <c r="W66" s="402">
        <v>0</v>
      </c>
      <c r="X66" s="402">
        <v>0</v>
      </c>
      <c r="Y66" s="402">
        <v>0</v>
      </c>
      <c r="Z66" s="402">
        <v>0</v>
      </c>
      <c r="AA66" s="402">
        <v>2</v>
      </c>
      <c r="AB66" s="402">
        <v>0</v>
      </c>
      <c r="AC66" s="402">
        <v>0</v>
      </c>
      <c r="AD66" s="205"/>
      <c r="AE66" s="205"/>
      <c r="AF66" s="205"/>
      <c r="AG66" s="205"/>
      <c r="AH66" s="205"/>
      <c r="AI66" s="205"/>
      <c r="AJ66" s="205"/>
      <c r="AK66" s="205"/>
      <c r="AL66" s="205"/>
      <c r="AM66" s="205"/>
    </row>
    <row r="67" spans="1:39" s="3" customFormat="1" ht="21">
      <c r="A67" s="156"/>
      <c r="B67" s="516" t="str">
        <f t="shared" si="1"/>
        <v>Pesticide-</v>
      </c>
      <c r="C67" s="398" t="s">
        <v>359</v>
      </c>
      <c r="D67" s="399" t="s">
        <v>66</v>
      </c>
      <c r="E67" s="400">
        <v>0.45999999999999996</v>
      </c>
      <c r="F67" s="401">
        <v>0</v>
      </c>
      <c r="G67" s="401">
        <v>0</v>
      </c>
      <c r="H67" s="401">
        <v>0</v>
      </c>
      <c r="I67" s="138">
        <v>0</v>
      </c>
      <c r="J67" s="402">
        <v>0</v>
      </c>
      <c r="K67" s="402">
        <v>4</v>
      </c>
      <c r="L67" s="402">
        <v>0</v>
      </c>
      <c r="M67" s="402">
        <v>4</v>
      </c>
      <c r="N67" s="402">
        <v>0</v>
      </c>
      <c r="O67" s="402">
        <v>0</v>
      </c>
      <c r="P67" s="402">
        <v>0</v>
      </c>
      <c r="Q67" s="401">
        <v>0</v>
      </c>
      <c r="R67" s="401">
        <v>0</v>
      </c>
      <c r="S67" s="402">
        <v>0</v>
      </c>
      <c r="T67" s="402">
        <v>0</v>
      </c>
      <c r="U67" s="402">
        <v>0</v>
      </c>
      <c r="V67" s="402">
        <v>0</v>
      </c>
      <c r="W67" s="402">
        <v>0</v>
      </c>
      <c r="X67" s="402">
        <v>4</v>
      </c>
      <c r="Y67" s="401">
        <v>0</v>
      </c>
      <c r="Z67" s="402">
        <v>0</v>
      </c>
      <c r="AA67" s="402">
        <v>4</v>
      </c>
      <c r="AB67" s="402">
        <v>0</v>
      </c>
      <c r="AC67" s="402">
        <v>0</v>
      </c>
      <c r="AD67" s="205"/>
      <c r="AE67" s="205"/>
      <c r="AF67" s="205"/>
      <c r="AG67" s="205"/>
      <c r="AH67" s="205"/>
      <c r="AI67" s="205"/>
      <c r="AJ67" s="205"/>
      <c r="AK67" s="205"/>
      <c r="AL67" s="205"/>
      <c r="AM67" s="205"/>
    </row>
    <row r="68" spans="1:39" s="3" customFormat="1" ht="21">
      <c r="A68" s="156"/>
      <c r="B68" s="516" t="str">
        <f t="shared" si="1"/>
        <v>Pesticide-</v>
      </c>
      <c r="C68" s="398" t="s">
        <v>360</v>
      </c>
      <c r="D68" s="399" t="s">
        <v>246</v>
      </c>
      <c r="E68" s="400">
        <v>3.4499999999999997</v>
      </c>
      <c r="F68" s="401">
        <v>0</v>
      </c>
      <c r="G68" s="401">
        <v>0</v>
      </c>
      <c r="H68" s="402">
        <v>0</v>
      </c>
      <c r="I68" s="138">
        <v>0</v>
      </c>
      <c r="J68" s="402">
        <v>0</v>
      </c>
      <c r="K68" s="402">
        <v>1</v>
      </c>
      <c r="L68" s="402">
        <v>0</v>
      </c>
      <c r="M68" s="402">
        <v>1</v>
      </c>
      <c r="N68" s="402">
        <v>0</v>
      </c>
      <c r="O68" s="402">
        <v>0</v>
      </c>
      <c r="P68" s="402">
        <v>0</v>
      </c>
      <c r="Q68" s="401">
        <v>0</v>
      </c>
      <c r="R68" s="401">
        <v>0</v>
      </c>
      <c r="S68" s="402">
        <v>0</v>
      </c>
      <c r="T68" s="402">
        <v>0</v>
      </c>
      <c r="U68" s="402">
        <v>0</v>
      </c>
      <c r="V68" s="402">
        <v>0</v>
      </c>
      <c r="W68" s="402">
        <v>0</v>
      </c>
      <c r="X68" s="402">
        <v>0</v>
      </c>
      <c r="Y68" s="402">
        <v>0</v>
      </c>
      <c r="Z68" s="402">
        <v>0</v>
      </c>
      <c r="AA68" s="402">
        <v>1</v>
      </c>
      <c r="AB68" s="402">
        <v>0</v>
      </c>
      <c r="AC68" s="402">
        <v>0</v>
      </c>
      <c r="AD68" s="205"/>
      <c r="AE68" s="205"/>
      <c r="AF68" s="205"/>
      <c r="AG68" s="205"/>
      <c r="AH68" s="205"/>
      <c r="AI68" s="205"/>
      <c r="AJ68" s="205"/>
      <c r="AK68" s="205"/>
      <c r="AL68" s="205"/>
      <c r="AM68" s="205"/>
    </row>
    <row r="69" spans="1:39" s="184" customFormat="1" ht="21">
      <c r="A69" s="498"/>
      <c r="B69" s="516" t="str">
        <f t="shared" si="1"/>
        <v>Pesticide-</v>
      </c>
      <c r="C69" s="398" t="s">
        <v>361</v>
      </c>
      <c r="D69" s="399" t="s">
        <v>118</v>
      </c>
      <c r="E69" s="400">
        <v>26.565000000000001</v>
      </c>
      <c r="F69" s="401">
        <v>0</v>
      </c>
      <c r="G69" s="401">
        <v>0</v>
      </c>
      <c r="H69" s="402">
        <v>0</v>
      </c>
      <c r="I69" s="138">
        <v>0</v>
      </c>
      <c r="J69" s="402">
        <v>0</v>
      </c>
      <c r="K69" s="402">
        <v>0</v>
      </c>
      <c r="L69" s="402">
        <v>0</v>
      </c>
      <c r="M69" s="402">
        <v>0</v>
      </c>
      <c r="N69" s="402">
        <v>0</v>
      </c>
      <c r="O69" s="402">
        <v>0</v>
      </c>
      <c r="P69" s="402">
        <v>0</v>
      </c>
      <c r="Q69" s="401">
        <v>0</v>
      </c>
      <c r="R69" s="401">
        <v>0</v>
      </c>
      <c r="S69" s="402">
        <v>0</v>
      </c>
      <c r="T69" s="402">
        <v>0</v>
      </c>
      <c r="U69" s="402">
        <v>0</v>
      </c>
      <c r="V69" s="402">
        <v>0</v>
      </c>
      <c r="W69" s="402">
        <v>0</v>
      </c>
      <c r="X69" s="402">
        <v>1.25</v>
      </c>
      <c r="Y69" s="402">
        <v>0</v>
      </c>
      <c r="Z69" s="402">
        <v>0</v>
      </c>
      <c r="AA69" s="402">
        <v>0</v>
      </c>
      <c r="AB69" s="402">
        <v>0</v>
      </c>
      <c r="AC69" s="402">
        <v>0</v>
      </c>
      <c r="AD69" s="197"/>
      <c r="AE69" s="197"/>
      <c r="AF69" s="197"/>
      <c r="AG69" s="197"/>
      <c r="AH69" s="197"/>
      <c r="AI69" s="197"/>
      <c r="AJ69" s="197"/>
      <c r="AK69" s="197"/>
      <c r="AL69" s="197"/>
      <c r="AM69" s="197"/>
    </row>
    <row r="70" spans="1:39" s="184" customFormat="1" ht="21">
      <c r="A70" s="498"/>
      <c r="B70" s="516" t="str">
        <f t="shared" si="1"/>
        <v>Pesticide-</v>
      </c>
      <c r="C70" s="398" t="s">
        <v>362</v>
      </c>
      <c r="D70" s="399" t="s">
        <v>66</v>
      </c>
      <c r="E70" s="400">
        <v>6.6124999999999998</v>
      </c>
      <c r="F70" s="401">
        <v>0</v>
      </c>
      <c r="G70" s="401">
        <v>0</v>
      </c>
      <c r="H70" s="402">
        <v>0</v>
      </c>
      <c r="I70" s="138">
        <v>0</v>
      </c>
      <c r="J70" s="402">
        <v>0</v>
      </c>
      <c r="K70" s="402">
        <v>0</v>
      </c>
      <c r="L70" s="402">
        <v>1</v>
      </c>
      <c r="M70" s="402">
        <v>0</v>
      </c>
      <c r="N70" s="402">
        <v>0</v>
      </c>
      <c r="O70" s="402">
        <v>0</v>
      </c>
      <c r="P70" s="402">
        <v>0</v>
      </c>
      <c r="Q70" s="401">
        <v>0</v>
      </c>
      <c r="R70" s="401">
        <v>0</v>
      </c>
      <c r="S70" s="402">
        <v>0</v>
      </c>
      <c r="T70" s="402">
        <v>0</v>
      </c>
      <c r="U70" s="402">
        <v>0</v>
      </c>
      <c r="V70" s="402">
        <v>0</v>
      </c>
      <c r="W70" s="402">
        <v>0</v>
      </c>
      <c r="X70" s="402">
        <v>0</v>
      </c>
      <c r="Y70" s="402">
        <v>0</v>
      </c>
      <c r="Z70" s="402">
        <v>0</v>
      </c>
      <c r="AA70" s="402">
        <v>0</v>
      </c>
      <c r="AB70" s="402">
        <v>0</v>
      </c>
      <c r="AC70" s="402">
        <v>0</v>
      </c>
      <c r="AD70" s="197"/>
      <c r="AE70" s="197"/>
      <c r="AF70" s="197"/>
      <c r="AG70" s="197"/>
      <c r="AH70" s="197"/>
      <c r="AI70" s="197"/>
      <c r="AJ70" s="197"/>
      <c r="AK70" s="197"/>
      <c r="AL70" s="197"/>
      <c r="AM70" s="197"/>
    </row>
    <row r="71" spans="1:39" s="184" customFormat="1" ht="21">
      <c r="A71" s="498"/>
      <c r="B71" s="516" t="str">
        <f t="shared" si="1"/>
        <v>Pesticide-</v>
      </c>
      <c r="C71" s="398" t="s">
        <v>363</v>
      </c>
      <c r="D71" s="399" t="s">
        <v>66</v>
      </c>
      <c r="E71" s="400">
        <v>0.43699999999999994</v>
      </c>
      <c r="F71" s="401">
        <v>0</v>
      </c>
      <c r="G71" s="401">
        <v>0</v>
      </c>
      <c r="H71" s="402">
        <v>0</v>
      </c>
      <c r="I71" s="138">
        <v>0</v>
      </c>
      <c r="J71" s="402">
        <v>0</v>
      </c>
      <c r="K71" s="402">
        <v>0</v>
      </c>
      <c r="L71" s="402">
        <v>0</v>
      </c>
      <c r="M71" s="402">
        <v>0</v>
      </c>
      <c r="N71" s="402">
        <v>0</v>
      </c>
      <c r="O71" s="402">
        <v>0</v>
      </c>
      <c r="P71" s="402">
        <v>0</v>
      </c>
      <c r="Q71" s="401">
        <v>0</v>
      </c>
      <c r="R71" s="401">
        <v>0</v>
      </c>
      <c r="S71" s="402">
        <v>0</v>
      </c>
      <c r="T71" s="402">
        <v>0</v>
      </c>
      <c r="U71" s="402">
        <v>0</v>
      </c>
      <c r="V71" s="402">
        <v>0</v>
      </c>
      <c r="W71" s="402">
        <v>0</v>
      </c>
      <c r="X71" s="402">
        <v>0</v>
      </c>
      <c r="Y71" s="402">
        <v>0</v>
      </c>
      <c r="Z71" s="402">
        <v>0</v>
      </c>
      <c r="AA71" s="402">
        <v>0</v>
      </c>
      <c r="AB71" s="402">
        <v>0</v>
      </c>
      <c r="AC71" s="402">
        <v>0</v>
      </c>
      <c r="AD71" s="197"/>
      <c r="AE71" s="197"/>
      <c r="AF71" s="197"/>
      <c r="AG71" s="197"/>
      <c r="AH71" s="197"/>
      <c r="AI71" s="197"/>
      <c r="AJ71" s="197"/>
      <c r="AK71" s="197"/>
      <c r="AL71" s="197"/>
      <c r="AM71" s="197"/>
    </row>
    <row r="72" spans="1:39" s="184" customFormat="1" ht="21">
      <c r="A72" s="498"/>
      <c r="B72" s="516" t="str">
        <f t="shared" si="1"/>
        <v>Pesticide-</v>
      </c>
      <c r="C72" s="398" t="s">
        <v>364</v>
      </c>
      <c r="D72" s="399" t="s">
        <v>66</v>
      </c>
      <c r="E72" s="400">
        <v>2.0469999999999997</v>
      </c>
      <c r="F72" s="401">
        <v>0</v>
      </c>
      <c r="G72" s="401">
        <v>0</v>
      </c>
      <c r="H72" s="402">
        <v>0</v>
      </c>
      <c r="I72" s="138">
        <v>0</v>
      </c>
      <c r="J72" s="402">
        <v>0</v>
      </c>
      <c r="K72" s="402">
        <v>0</v>
      </c>
      <c r="L72" s="402">
        <v>0</v>
      </c>
      <c r="M72" s="402">
        <v>0</v>
      </c>
      <c r="N72" s="402">
        <v>0</v>
      </c>
      <c r="O72" s="402">
        <v>0</v>
      </c>
      <c r="P72" s="402">
        <v>0</v>
      </c>
      <c r="Q72" s="401">
        <v>0</v>
      </c>
      <c r="R72" s="401">
        <v>0</v>
      </c>
      <c r="S72" s="402">
        <v>0</v>
      </c>
      <c r="T72" s="402">
        <v>0</v>
      </c>
      <c r="U72" s="402">
        <v>0</v>
      </c>
      <c r="V72" s="402">
        <v>0</v>
      </c>
      <c r="W72" s="402">
        <v>0</v>
      </c>
      <c r="X72" s="402">
        <v>0</v>
      </c>
      <c r="Y72" s="402">
        <v>0</v>
      </c>
      <c r="Z72" s="402">
        <v>0</v>
      </c>
      <c r="AA72" s="402">
        <v>0</v>
      </c>
      <c r="AB72" s="402">
        <v>0</v>
      </c>
      <c r="AC72" s="402">
        <v>0</v>
      </c>
      <c r="AD72" s="197"/>
      <c r="AE72" s="197"/>
      <c r="AF72" s="197"/>
      <c r="AG72" s="197"/>
      <c r="AH72" s="197"/>
      <c r="AI72" s="197"/>
      <c r="AJ72" s="197"/>
      <c r="AK72" s="197"/>
      <c r="AL72" s="197"/>
      <c r="AM72" s="197"/>
    </row>
    <row r="73" spans="1:39" ht="21">
      <c r="A73" s="156"/>
      <c r="B73" s="314" t="s">
        <v>98</v>
      </c>
      <c r="D73" s="315" t="s">
        <v>246</v>
      </c>
      <c r="E73" s="360" t="s">
        <v>8</v>
      </c>
      <c r="F73" s="218">
        <v>20</v>
      </c>
      <c r="G73" s="218">
        <v>20</v>
      </c>
      <c r="H73" s="137">
        <v>16</v>
      </c>
      <c r="I73" s="196">
        <v>0</v>
      </c>
      <c r="J73" s="136">
        <v>17</v>
      </c>
      <c r="K73" s="136">
        <v>18</v>
      </c>
      <c r="L73" s="109">
        <v>22</v>
      </c>
      <c r="M73" s="136">
        <v>18</v>
      </c>
      <c r="N73" s="137">
        <v>0</v>
      </c>
      <c r="O73" s="137">
        <v>0</v>
      </c>
      <c r="P73" s="137">
        <v>0</v>
      </c>
      <c r="Q73" s="218">
        <v>20</v>
      </c>
      <c r="R73" s="218">
        <v>20</v>
      </c>
      <c r="S73" s="136">
        <v>0</v>
      </c>
      <c r="T73" s="136">
        <v>0</v>
      </c>
      <c r="U73" s="137">
        <v>22</v>
      </c>
      <c r="V73" s="137">
        <v>18</v>
      </c>
      <c r="W73" s="137">
        <v>18</v>
      </c>
      <c r="X73" s="136">
        <v>18</v>
      </c>
      <c r="Y73" s="137">
        <v>16</v>
      </c>
      <c r="Z73" s="136">
        <v>17</v>
      </c>
      <c r="AA73" s="136">
        <v>18</v>
      </c>
      <c r="AB73" s="137">
        <v>18</v>
      </c>
      <c r="AC73" s="137">
        <v>0</v>
      </c>
      <c r="AD73" s="92"/>
      <c r="AE73" s="92"/>
      <c r="AF73" s="92"/>
      <c r="AG73" s="92"/>
      <c r="AH73" s="92"/>
      <c r="AI73" s="92"/>
      <c r="AJ73" s="92"/>
      <c r="AK73" s="92"/>
      <c r="AL73" s="92"/>
      <c r="AM73" s="92"/>
    </row>
    <row r="74" spans="1:39" ht="21">
      <c r="A74" s="156"/>
      <c r="B74" s="77"/>
      <c r="F74" s="161"/>
      <c r="G74" s="161"/>
      <c r="H74" s="161"/>
      <c r="I74" s="209"/>
      <c r="J74" s="161"/>
      <c r="K74" s="161"/>
      <c r="L74" s="161"/>
      <c r="M74" s="161"/>
      <c r="N74" s="162"/>
      <c r="O74" s="162"/>
      <c r="P74" s="162"/>
      <c r="Q74" s="161"/>
      <c r="R74" s="161"/>
      <c r="S74" s="161"/>
      <c r="T74" s="161"/>
      <c r="U74" s="161"/>
      <c r="V74" s="161"/>
      <c r="W74" s="161"/>
      <c r="X74" s="161"/>
      <c r="Y74" s="161"/>
      <c r="Z74" s="161"/>
      <c r="AA74" s="161"/>
      <c r="AB74" s="161"/>
      <c r="AC74" s="162"/>
      <c r="AD74" s="92"/>
      <c r="AE74" s="92"/>
      <c r="AF74" s="92"/>
      <c r="AG74" s="92"/>
      <c r="AH74" s="92"/>
      <c r="AI74" s="92"/>
      <c r="AJ74" s="92"/>
      <c r="AK74" s="92"/>
      <c r="AL74" s="92"/>
      <c r="AM74" s="92"/>
    </row>
    <row r="75" spans="1:39" ht="21">
      <c r="A75" s="156"/>
      <c r="B75" s="77"/>
      <c r="F75" s="161"/>
      <c r="G75" s="161"/>
      <c r="H75" s="161"/>
      <c r="I75" s="209"/>
      <c r="J75" s="161"/>
      <c r="K75" s="161"/>
      <c r="L75" s="161"/>
      <c r="M75" s="161"/>
      <c r="N75" s="162"/>
      <c r="O75" s="162"/>
      <c r="P75" s="162"/>
      <c r="Q75" s="161"/>
      <c r="R75" s="161"/>
      <c r="S75" s="161"/>
      <c r="T75" s="161"/>
      <c r="U75" s="161"/>
      <c r="V75" s="161"/>
      <c r="W75" s="161"/>
      <c r="X75" s="161"/>
      <c r="Y75" s="161"/>
      <c r="Z75" s="161"/>
      <c r="AA75" s="161"/>
      <c r="AB75" s="161"/>
      <c r="AC75" s="162"/>
      <c r="AD75" s="92"/>
      <c r="AE75" s="92"/>
      <c r="AF75" s="92"/>
      <c r="AG75" s="92"/>
      <c r="AH75" s="92"/>
      <c r="AI75" s="92"/>
      <c r="AJ75" s="92"/>
      <c r="AK75" s="92"/>
      <c r="AL75" s="92"/>
      <c r="AM75" s="92"/>
    </row>
    <row r="76" spans="1:39" ht="21">
      <c r="A76" s="156"/>
      <c r="B76" s="77"/>
      <c r="F76" s="161"/>
      <c r="G76" s="161"/>
      <c r="H76" s="161"/>
      <c r="I76" s="209"/>
      <c r="J76" s="161"/>
      <c r="K76" s="161"/>
      <c r="L76" s="161"/>
      <c r="M76" s="161"/>
      <c r="N76" s="162"/>
      <c r="O76" s="162"/>
      <c r="P76" s="162"/>
      <c r="Q76" s="161"/>
      <c r="R76" s="161"/>
      <c r="S76" s="161"/>
      <c r="T76" s="161"/>
      <c r="U76" s="161"/>
      <c r="V76" s="161"/>
      <c r="W76" s="161"/>
      <c r="X76" s="161"/>
      <c r="Y76" s="161"/>
      <c r="Z76" s="161"/>
      <c r="AA76" s="161"/>
      <c r="AB76" s="161"/>
      <c r="AC76" s="162"/>
      <c r="AD76" s="92"/>
      <c r="AE76" s="92"/>
      <c r="AF76" s="92"/>
      <c r="AG76" s="92"/>
      <c r="AH76" s="92"/>
      <c r="AI76" s="92"/>
      <c r="AJ76" s="92"/>
      <c r="AK76" s="92"/>
      <c r="AL76" s="92"/>
      <c r="AM76" s="92"/>
    </row>
    <row r="77" spans="1:39" ht="21">
      <c r="A77" s="156"/>
      <c r="B77" s="77"/>
      <c r="F77" s="161"/>
      <c r="G77" s="161"/>
      <c r="H77" s="161"/>
      <c r="I77" s="209"/>
      <c r="J77" s="161"/>
      <c r="K77" s="161"/>
      <c r="L77" s="161"/>
      <c r="M77" s="161"/>
      <c r="N77" s="162"/>
      <c r="O77" s="162"/>
      <c r="P77" s="162"/>
      <c r="Q77" s="161"/>
      <c r="R77" s="161"/>
      <c r="S77" s="161"/>
      <c r="T77" s="161"/>
      <c r="U77" s="161"/>
      <c r="V77" s="161"/>
      <c r="W77" s="161"/>
      <c r="X77" s="161"/>
      <c r="Y77" s="161"/>
      <c r="Z77" s="161"/>
      <c r="AA77" s="161"/>
      <c r="AB77" s="161"/>
      <c r="AC77" s="162"/>
      <c r="AD77" s="92"/>
      <c r="AE77" s="92"/>
      <c r="AF77" s="92"/>
      <c r="AG77" s="92"/>
      <c r="AH77" s="92"/>
      <c r="AI77" s="92"/>
      <c r="AJ77" s="92"/>
      <c r="AK77" s="92"/>
      <c r="AL77" s="92"/>
      <c r="AM77" s="92"/>
    </row>
    <row r="78" spans="1:39" ht="21">
      <c r="A78" s="156"/>
      <c r="B78" s="77"/>
      <c r="F78" s="161"/>
      <c r="G78" s="161"/>
      <c r="H78" s="161"/>
      <c r="I78" s="209"/>
      <c r="J78" s="161"/>
      <c r="K78" s="161"/>
      <c r="L78" s="161"/>
      <c r="M78" s="161"/>
      <c r="N78" s="162"/>
      <c r="O78" s="162"/>
      <c r="P78" s="162"/>
      <c r="Q78" s="161"/>
      <c r="R78" s="161"/>
      <c r="S78" s="161"/>
      <c r="T78" s="161"/>
      <c r="U78" s="161"/>
      <c r="V78" s="161"/>
      <c r="W78" s="161"/>
      <c r="X78" s="161"/>
      <c r="Y78" s="161"/>
      <c r="Z78" s="161"/>
      <c r="AA78" s="161"/>
      <c r="AB78" s="161"/>
      <c r="AC78" s="162"/>
      <c r="AD78" s="92"/>
      <c r="AE78" s="92"/>
      <c r="AF78" s="92"/>
      <c r="AG78" s="92"/>
      <c r="AH78" s="92"/>
      <c r="AI78" s="92"/>
      <c r="AJ78" s="92"/>
      <c r="AK78" s="92"/>
      <c r="AL78" s="92"/>
      <c r="AM78" s="92"/>
    </row>
    <row r="79" spans="1:39" ht="20">
      <c r="A79" s="156"/>
      <c r="B79" s="77"/>
      <c r="AD79" s="92"/>
      <c r="AE79" s="92"/>
      <c r="AF79" s="92"/>
      <c r="AG79" s="92"/>
      <c r="AH79" s="92"/>
      <c r="AI79" s="92"/>
      <c r="AJ79" s="92"/>
      <c r="AK79" s="92"/>
      <c r="AL79" s="92"/>
      <c r="AM79" s="92"/>
    </row>
    <row r="80" spans="1:39" ht="20">
      <c r="A80" s="156"/>
      <c r="B80" s="77"/>
      <c r="AD80" s="92"/>
      <c r="AE80" s="92"/>
      <c r="AF80" s="92"/>
      <c r="AG80" s="92"/>
      <c r="AH80" s="92"/>
      <c r="AI80" s="92"/>
      <c r="AJ80" s="92"/>
      <c r="AK80" s="92"/>
      <c r="AL80" s="92"/>
      <c r="AM80" s="92"/>
    </row>
    <row r="81" spans="1:39" ht="20">
      <c r="A81" s="156"/>
      <c r="B81" s="77"/>
      <c r="D81" s="36"/>
      <c r="E81" s="93"/>
      <c r="AD81" s="92"/>
      <c r="AE81" s="92"/>
      <c r="AF81" s="92"/>
      <c r="AG81" s="92"/>
      <c r="AH81" s="92"/>
      <c r="AI81" s="92"/>
      <c r="AJ81" s="92"/>
      <c r="AK81" s="92"/>
      <c r="AL81" s="92"/>
      <c r="AM81" s="92"/>
    </row>
    <row r="82" spans="1:39" ht="20">
      <c r="A82" s="156"/>
      <c r="B82" s="77"/>
      <c r="D82" s="36"/>
      <c r="E82" s="93"/>
      <c r="AD82" s="92"/>
      <c r="AE82" s="92"/>
      <c r="AF82" s="92"/>
      <c r="AG82" s="92"/>
      <c r="AH82" s="92"/>
      <c r="AI82" s="92"/>
      <c r="AJ82" s="92"/>
      <c r="AK82" s="92"/>
      <c r="AL82" s="92"/>
      <c r="AM82" s="92"/>
    </row>
    <row r="83" spans="1:39" ht="20">
      <c r="A83" s="156"/>
      <c r="B83" s="77"/>
      <c r="D83" s="36"/>
      <c r="E83" s="93"/>
      <c r="AD83" s="92"/>
      <c r="AE83" s="92"/>
      <c r="AF83" s="92"/>
      <c r="AG83" s="92"/>
      <c r="AH83" s="92"/>
      <c r="AI83" s="92"/>
      <c r="AJ83" s="92"/>
      <c r="AK83" s="92"/>
      <c r="AL83" s="92"/>
      <c r="AM83" s="92"/>
    </row>
    <row r="84" spans="1:39" ht="20">
      <c r="A84" s="155"/>
      <c r="B84" s="82"/>
      <c r="D84" s="82"/>
      <c r="E84" s="211"/>
      <c r="AD84" s="92"/>
      <c r="AE84" s="92"/>
      <c r="AF84" s="92"/>
      <c r="AG84" s="92"/>
      <c r="AH84" s="92"/>
      <c r="AI84" s="92"/>
      <c r="AJ84" s="92"/>
      <c r="AK84" s="92"/>
      <c r="AL84" s="92"/>
      <c r="AM84" s="92"/>
    </row>
    <row r="85" spans="1:39" ht="20">
      <c r="A85" s="500"/>
      <c r="B85" s="79"/>
      <c r="D85" s="79"/>
      <c r="E85" s="212"/>
      <c r="AD85" s="92"/>
      <c r="AE85" s="92"/>
      <c r="AF85" s="92"/>
      <c r="AG85" s="92"/>
      <c r="AH85" s="92"/>
      <c r="AI85" s="92"/>
      <c r="AJ85" s="92"/>
      <c r="AK85" s="92"/>
      <c r="AL85" s="92"/>
      <c r="AM85" s="92"/>
    </row>
    <row r="86" spans="1:39" ht="20">
      <c r="A86" s="501"/>
      <c r="B86" s="80"/>
      <c r="D86" s="80"/>
      <c r="E86" s="361"/>
      <c r="AD86" s="92"/>
      <c r="AE86" s="92"/>
      <c r="AF86" s="92"/>
      <c r="AG86" s="92"/>
      <c r="AH86" s="92"/>
      <c r="AI86" s="92"/>
      <c r="AJ86" s="92"/>
      <c r="AK86" s="92"/>
      <c r="AL86" s="92"/>
      <c r="AM86" s="92"/>
    </row>
    <row r="87" spans="1:39" ht="20">
      <c r="A87" s="502"/>
      <c r="B87" s="81"/>
      <c r="C87" s="81"/>
      <c r="D87" s="81"/>
      <c r="E87" s="213"/>
      <c r="AD87" s="92"/>
      <c r="AE87" s="92"/>
      <c r="AF87" s="92"/>
      <c r="AG87" s="92"/>
      <c r="AH87" s="92"/>
      <c r="AI87" s="92"/>
      <c r="AJ87" s="92"/>
      <c r="AK87" s="92"/>
      <c r="AL87" s="92"/>
      <c r="AM87" s="92"/>
    </row>
    <row r="88" spans="1:39" ht="20">
      <c r="A88" s="502"/>
      <c r="B88" s="81"/>
      <c r="C88" s="81"/>
      <c r="D88" s="81"/>
      <c r="E88" s="213"/>
      <c r="AD88" s="92"/>
      <c r="AE88" s="92"/>
      <c r="AF88" s="92"/>
      <c r="AG88" s="92"/>
      <c r="AH88" s="92"/>
      <c r="AI88" s="92"/>
      <c r="AJ88" s="92"/>
      <c r="AK88" s="92"/>
      <c r="AL88" s="92"/>
      <c r="AM88" s="92"/>
    </row>
    <row r="89" spans="1:39" ht="20">
      <c r="A89" s="155"/>
      <c r="B89" s="82"/>
      <c r="C89" s="82"/>
      <c r="D89" s="82"/>
      <c r="E89" s="211"/>
      <c r="AD89" s="92"/>
      <c r="AE89" s="92"/>
      <c r="AF89" s="92"/>
      <c r="AG89" s="92"/>
      <c r="AH89" s="92"/>
      <c r="AI89" s="92"/>
      <c r="AJ89" s="92"/>
      <c r="AK89" s="92"/>
      <c r="AL89" s="92"/>
      <c r="AM89" s="92"/>
    </row>
    <row r="90" spans="1:39" ht="20">
      <c r="A90" s="155"/>
      <c r="B90" s="82"/>
      <c r="C90" s="82"/>
      <c r="D90" s="82"/>
      <c r="E90" s="211"/>
      <c r="AD90" s="92"/>
      <c r="AE90" s="92"/>
      <c r="AF90" s="92"/>
      <c r="AG90" s="92"/>
      <c r="AH90" s="92"/>
      <c r="AI90" s="92"/>
      <c r="AJ90" s="92"/>
      <c r="AK90" s="92"/>
      <c r="AL90" s="92"/>
      <c r="AM90" s="92"/>
    </row>
    <row r="91" spans="1:39" ht="20">
      <c r="A91" s="503"/>
      <c r="B91" s="76"/>
      <c r="C91" s="76"/>
      <c r="D91" s="76"/>
      <c r="E91" s="214"/>
      <c r="F91" s="77"/>
      <c r="G91" s="77"/>
      <c r="H91" s="77"/>
      <c r="I91" s="210"/>
      <c r="J91" s="92"/>
      <c r="K91" s="77"/>
      <c r="L91" s="185"/>
      <c r="M91" s="77"/>
      <c r="N91" s="77"/>
      <c r="O91" s="77"/>
      <c r="P91" s="77"/>
      <c r="Q91" s="77"/>
      <c r="R91" s="77"/>
      <c r="S91" s="77"/>
      <c r="T91" s="77"/>
      <c r="U91" s="77"/>
      <c r="V91" s="77"/>
      <c r="W91" s="77"/>
      <c r="X91" s="77"/>
      <c r="Y91" s="77"/>
      <c r="Z91" s="185"/>
      <c r="AA91" s="77"/>
      <c r="AB91" s="77"/>
      <c r="AC91" s="77"/>
      <c r="AD91" s="92"/>
      <c r="AE91" s="92"/>
      <c r="AF91" s="92"/>
      <c r="AG91" s="92"/>
      <c r="AH91" s="92"/>
      <c r="AI91" s="92"/>
      <c r="AJ91" s="92"/>
      <c r="AK91" s="92"/>
      <c r="AL91" s="92"/>
      <c r="AM91" s="92"/>
    </row>
    <row r="92" spans="1:39" ht="20">
      <c r="A92" s="157"/>
      <c r="B92" s="83"/>
      <c r="C92" s="83"/>
      <c r="D92" s="83"/>
      <c r="E92" s="201"/>
      <c r="F92" s="77"/>
      <c r="G92" s="77"/>
      <c r="H92" s="77"/>
      <c r="I92" s="210"/>
      <c r="J92" s="77"/>
      <c r="K92" s="77"/>
      <c r="L92" s="185"/>
      <c r="M92" s="77"/>
      <c r="N92" s="77"/>
      <c r="O92" s="77"/>
      <c r="P92" s="77"/>
      <c r="Q92" s="77"/>
      <c r="R92" s="77"/>
      <c r="S92" s="77"/>
      <c r="T92" s="77"/>
      <c r="U92" s="77"/>
      <c r="V92" s="77"/>
      <c r="W92" s="77"/>
      <c r="X92" s="77"/>
      <c r="Y92" s="77"/>
      <c r="Z92" s="185"/>
      <c r="AA92" s="77"/>
      <c r="AB92" s="77"/>
      <c r="AC92" s="77"/>
      <c r="AD92" s="92"/>
      <c r="AE92" s="92"/>
      <c r="AF92" s="92"/>
      <c r="AG92" s="92"/>
      <c r="AH92" s="92"/>
      <c r="AI92" s="92"/>
      <c r="AJ92" s="92"/>
      <c r="AK92" s="92"/>
      <c r="AL92" s="92"/>
      <c r="AM92" s="92"/>
    </row>
    <row r="93" spans="1:39" ht="20">
      <c r="A93" s="504"/>
      <c r="B93" s="84"/>
      <c r="C93" s="84"/>
      <c r="D93" s="84"/>
      <c r="E93" s="215"/>
      <c r="F93" s="77"/>
      <c r="G93" s="77"/>
      <c r="H93" s="77"/>
      <c r="I93" s="210"/>
      <c r="J93" s="77"/>
      <c r="K93" s="77"/>
      <c r="L93" s="185"/>
      <c r="M93" s="77"/>
      <c r="N93" s="77"/>
      <c r="O93" s="77"/>
      <c r="P93" s="77"/>
      <c r="Q93" s="77"/>
      <c r="R93" s="77"/>
      <c r="S93" s="77"/>
      <c r="T93" s="77"/>
      <c r="U93" s="77"/>
      <c r="V93" s="77"/>
      <c r="W93" s="77"/>
      <c r="X93" s="77"/>
      <c r="Y93" s="77"/>
      <c r="Z93" s="185"/>
      <c r="AA93" s="77"/>
      <c r="AB93" s="77"/>
      <c r="AC93" s="77"/>
      <c r="AD93" s="92"/>
      <c r="AE93" s="92"/>
      <c r="AF93" s="92"/>
      <c r="AG93" s="92"/>
      <c r="AH93" s="92"/>
      <c r="AI93" s="92"/>
      <c r="AJ93" s="92"/>
      <c r="AK93" s="92"/>
      <c r="AL93" s="92"/>
      <c r="AM93" s="92"/>
    </row>
    <row r="94" spans="1:39" ht="20">
      <c r="A94" s="10"/>
      <c r="B94" s="93"/>
      <c r="C94" s="93"/>
      <c r="D94" s="93"/>
      <c r="E94" s="93"/>
      <c r="F94" s="77"/>
      <c r="G94" s="77"/>
      <c r="H94" s="77"/>
      <c r="I94" s="210"/>
      <c r="J94" s="77"/>
      <c r="K94" s="77"/>
      <c r="L94" s="185"/>
      <c r="M94" s="77"/>
      <c r="N94" s="77"/>
      <c r="O94" s="77"/>
      <c r="P94" s="77"/>
      <c r="Q94" s="77"/>
      <c r="R94" s="77"/>
      <c r="S94" s="77"/>
      <c r="T94" s="77"/>
      <c r="U94" s="77"/>
      <c r="V94" s="77"/>
      <c r="W94" s="77"/>
      <c r="X94" s="77"/>
      <c r="Y94" s="77"/>
      <c r="Z94" s="185"/>
      <c r="AA94" s="77"/>
      <c r="AB94" s="77"/>
      <c r="AC94" s="77"/>
      <c r="AD94" s="92"/>
      <c r="AE94" s="92"/>
      <c r="AF94" s="92"/>
      <c r="AG94" s="92"/>
      <c r="AH94" s="92"/>
      <c r="AI94" s="92"/>
      <c r="AJ94" s="92"/>
      <c r="AK94" s="92"/>
      <c r="AL94" s="92"/>
      <c r="AM94" s="92"/>
    </row>
    <row r="95" spans="1:39" ht="20">
      <c r="A95" s="10"/>
      <c r="B95" s="93"/>
      <c r="C95" s="93"/>
      <c r="D95" s="93"/>
      <c r="E95" s="93"/>
      <c r="F95" s="77"/>
      <c r="G95" s="77"/>
      <c r="H95" s="77"/>
      <c r="I95" s="210"/>
      <c r="J95" s="77"/>
      <c r="K95" s="77"/>
      <c r="L95" s="185"/>
      <c r="M95" s="77"/>
      <c r="N95" s="77"/>
      <c r="O95" s="77"/>
      <c r="P95" s="77"/>
      <c r="Q95" s="77"/>
      <c r="R95" s="77"/>
      <c r="S95" s="77"/>
      <c r="T95" s="77"/>
      <c r="U95" s="77"/>
      <c r="V95" s="77"/>
      <c r="W95" s="77"/>
      <c r="X95" s="77"/>
      <c r="Y95" s="77"/>
      <c r="Z95" s="185"/>
      <c r="AA95" s="77"/>
      <c r="AB95" s="77"/>
      <c r="AC95" s="77"/>
      <c r="AD95" s="92"/>
      <c r="AE95" s="92"/>
      <c r="AF95" s="92"/>
      <c r="AG95" s="92"/>
      <c r="AH95" s="92"/>
      <c r="AI95" s="92"/>
      <c r="AJ95" s="92"/>
      <c r="AK95" s="92"/>
      <c r="AL95" s="92"/>
      <c r="AM95" s="92"/>
    </row>
    <row r="96" spans="1:39" ht="20">
      <c r="A96" s="10"/>
      <c r="B96" s="93"/>
      <c r="C96" s="93"/>
      <c r="D96" s="93"/>
      <c r="E96" s="93"/>
      <c r="F96" s="77"/>
      <c r="G96" s="77"/>
      <c r="H96" s="77"/>
      <c r="I96" s="210"/>
      <c r="J96" s="77"/>
      <c r="K96" s="77"/>
      <c r="L96" s="185"/>
      <c r="M96" s="77"/>
      <c r="N96" s="77"/>
      <c r="O96" s="77"/>
      <c r="P96" s="77"/>
      <c r="Q96" s="77"/>
      <c r="R96" s="77"/>
      <c r="S96" s="77"/>
      <c r="T96" s="77"/>
      <c r="U96" s="77"/>
      <c r="V96" s="77"/>
      <c r="W96" s="77"/>
      <c r="X96" s="77"/>
      <c r="Y96" s="77"/>
      <c r="Z96" s="185"/>
      <c r="AA96" s="77"/>
      <c r="AB96" s="77"/>
      <c r="AC96" s="77"/>
      <c r="AD96" s="92"/>
      <c r="AE96" s="92"/>
      <c r="AF96" s="92"/>
      <c r="AG96" s="92"/>
      <c r="AH96" s="92"/>
      <c r="AI96" s="92"/>
      <c r="AJ96" s="92"/>
      <c r="AK96" s="92"/>
      <c r="AL96" s="92"/>
      <c r="AM96" s="92"/>
    </row>
    <row r="97" spans="1:39" ht="20">
      <c r="A97" s="10"/>
      <c r="B97" s="93"/>
      <c r="C97" s="93"/>
      <c r="D97" s="93"/>
      <c r="E97" s="93"/>
      <c r="F97" s="77"/>
      <c r="G97" s="77"/>
      <c r="H97" s="77"/>
      <c r="I97" s="210"/>
      <c r="J97" s="77"/>
      <c r="K97" s="77"/>
      <c r="L97" s="185"/>
      <c r="M97" s="77"/>
      <c r="N97" s="77"/>
      <c r="O97" s="77"/>
      <c r="P97" s="77"/>
      <c r="Q97" s="77"/>
      <c r="R97" s="77"/>
      <c r="S97" s="77"/>
      <c r="T97" s="77"/>
      <c r="U97" s="77"/>
      <c r="V97" s="77"/>
      <c r="W97" s="77"/>
      <c r="X97" s="77"/>
      <c r="Y97" s="77"/>
      <c r="Z97" s="185"/>
      <c r="AA97" s="77"/>
      <c r="AB97" s="77"/>
      <c r="AC97" s="77"/>
      <c r="AD97" s="92"/>
      <c r="AE97" s="92"/>
      <c r="AF97" s="92"/>
      <c r="AG97" s="92"/>
      <c r="AH97" s="92"/>
      <c r="AI97" s="92"/>
      <c r="AJ97" s="92"/>
      <c r="AK97" s="92"/>
      <c r="AL97" s="92"/>
      <c r="AM97" s="92"/>
    </row>
    <row r="98" spans="1:39" ht="20">
      <c r="A98" s="10"/>
      <c r="B98" s="93"/>
      <c r="C98" s="93"/>
      <c r="D98" s="93"/>
      <c r="E98" s="93"/>
      <c r="F98" s="77"/>
      <c r="G98" s="77"/>
      <c r="H98" s="77"/>
      <c r="I98" s="210"/>
      <c r="J98" s="77"/>
      <c r="K98" s="77"/>
      <c r="L98" s="185"/>
      <c r="M98" s="77"/>
      <c r="N98" s="77"/>
      <c r="O98" s="77"/>
      <c r="P98" s="77"/>
      <c r="Q98" s="77"/>
      <c r="R98" s="77"/>
      <c r="S98" s="77"/>
      <c r="T98" s="77"/>
      <c r="U98" s="77"/>
      <c r="V98" s="77"/>
      <c r="W98" s="77"/>
      <c r="X98" s="77"/>
      <c r="Y98" s="77"/>
      <c r="Z98" s="185"/>
      <c r="AA98" s="77"/>
      <c r="AB98" s="77"/>
      <c r="AC98" s="77"/>
      <c r="AD98" s="92"/>
      <c r="AE98" s="92"/>
      <c r="AF98" s="92"/>
      <c r="AG98" s="92"/>
      <c r="AH98" s="92"/>
      <c r="AI98" s="92"/>
      <c r="AJ98" s="92"/>
      <c r="AK98" s="92"/>
      <c r="AL98" s="92"/>
      <c r="AM98" s="92"/>
    </row>
    <row r="99" spans="1:39" ht="20">
      <c r="A99" s="156"/>
      <c r="B99" s="77"/>
      <c r="C99" s="93"/>
      <c r="D99" s="93"/>
      <c r="E99" s="93"/>
      <c r="F99" s="77"/>
      <c r="G99" s="77"/>
      <c r="H99" s="77"/>
      <c r="I99" s="210"/>
      <c r="J99" s="77"/>
      <c r="K99" s="77"/>
      <c r="L99" s="185"/>
      <c r="M99" s="77"/>
      <c r="N99" s="77"/>
      <c r="O99" s="77"/>
      <c r="P99" s="77"/>
      <c r="Q99" s="77"/>
      <c r="R99" s="77"/>
      <c r="S99" s="77"/>
      <c r="T99" s="77"/>
      <c r="U99" s="77"/>
      <c r="V99" s="77"/>
      <c r="W99" s="77"/>
      <c r="X99" s="77"/>
      <c r="Y99" s="77"/>
      <c r="Z99" s="185"/>
      <c r="AA99" s="77"/>
      <c r="AB99" s="77"/>
      <c r="AC99" s="77"/>
      <c r="AD99" s="92"/>
      <c r="AE99" s="92"/>
      <c r="AF99" s="92"/>
      <c r="AG99" s="92"/>
      <c r="AH99" s="92"/>
      <c r="AI99" s="92"/>
      <c r="AJ99" s="92"/>
      <c r="AK99" s="92"/>
      <c r="AL99" s="92"/>
      <c r="AM99" s="92"/>
    </row>
    <row r="100" spans="1:39" ht="21" customHeight="1">
      <c r="A100" s="505"/>
      <c r="B100" s="477"/>
      <c r="C100" s="93"/>
      <c r="D100" s="93"/>
      <c r="E100" s="93"/>
      <c r="F100" s="77"/>
      <c r="G100" s="77"/>
      <c r="H100" s="77"/>
      <c r="I100" s="210"/>
      <c r="J100" s="77"/>
      <c r="K100" s="77"/>
      <c r="L100" s="185"/>
      <c r="M100" s="77"/>
      <c r="N100" s="77"/>
      <c r="O100" s="77"/>
      <c r="P100" s="77"/>
      <c r="Q100" s="77"/>
      <c r="R100" s="77"/>
      <c r="S100" s="77"/>
      <c r="T100" s="77"/>
      <c r="U100" s="77"/>
      <c r="V100" s="77"/>
      <c r="W100" s="77"/>
      <c r="X100" s="77"/>
      <c r="Y100" s="77"/>
      <c r="Z100" s="185"/>
      <c r="AA100" s="77"/>
      <c r="AB100" s="77"/>
      <c r="AC100" s="77"/>
      <c r="AD100" s="92"/>
      <c r="AE100" s="92"/>
      <c r="AF100" s="92"/>
      <c r="AG100" s="92"/>
      <c r="AH100" s="92"/>
      <c r="AI100" s="92"/>
      <c r="AJ100" s="92"/>
      <c r="AK100" s="92"/>
      <c r="AL100" s="92"/>
      <c r="AM100" s="92"/>
    </row>
    <row r="101" spans="1:39" ht="20">
      <c r="A101" s="505"/>
      <c r="B101" s="477"/>
      <c r="C101" s="36"/>
      <c r="D101" s="36"/>
      <c r="E101" s="204"/>
      <c r="F101" s="77"/>
      <c r="G101" s="77"/>
      <c r="H101" s="77"/>
      <c r="I101" s="210"/>
      <c r="J101" s="77"/>
      <c r="K101" s="77"/>
      <c r="L101" s="185"/>
      <c r="M101" s="77"/>
      <c r="N101" s="77"/>
      <c r="O101" s="77"/>
      <c r="P101" s="77"/>
      <c r="Q101" s="77"/>
      <c r="R101" s="77"/>
      <c r="S101" s="77"/>
      <c r="T101" s="77"/>
      <c r="U101" s="77"/>
      <c r="V101" s="77"/>
      <c r="W101" s="77"/>
      <c r="X101" s="77"/>
      <c r="Y101" s="77"/>
      <c r="Z101" s="185"/>
      <c r="AA101" s="77"/>
      <c r="AB101" s="77"/>
      <c r="AC101" s="77"/>
      <c r="AD101" s="92"/>
      <c r="AE101" s="92"/>
      <c r="AF101" s="92"/>
      <c r="AG101" s="92"/>
      <c r="AH101" s="92"/>
      <c r="AI101" s="92"/>
      <c r="AJ101" s="92"/>
      <c r="AK101" s="92"/>
      <c r="AL101" s="92"/>
      <c r="AM101" s="92"/>
    </row>
    <row r="102" spans="1:39" ht="20">
      <c r="A102" s="156"/>
      <c r="B102" s="77"/>
      <c r="C102" s="36"/>
      <c r="D102" s="36"/>
      <c r="E102" s="204"/>
      <c r="F102" s="77"/>
      <c r="G102" s="77"/>
      <c r="H102" s="77"/>
      <c r="I102" s="210"/>
      <c r="J102" s="77"/>
      <c r="K102" s="77"/>
      <c r="L102" s="185"/>
      <c r="M102" s="77"/>
      <c r="N102" s="77"/>
      <c r="O102" s="77"/>
      <c r="P102" s="77"/>
      <c r="Q102" s="77"/>
      <c r="R102" s="77"/>
      <c r="S102" s="77"/>
      <c r="T102" s="77"/>
      <c r="U102" s="77"/>
      <c r="V102" s="77"/>
      <c r="W102" s="77"/>
      <c r="X102" s="77"/>
      <c r="Y102" s="77"/>
      <c r="Z102" s="185"/>
      <c r="AA102" s="77"/>
      <c r="AB102" s="77"/>
      <c r="AC102" s="77"/>
      <c r="AD102" s="92"/>
      <c r="AE102" s="92"/>
      <c r="AF102" s="92"/>
      <c r="AG102" s="92"/>
      <c r="AH102" s="92"/>
      <c r="AI102" s="92"/>
      <c r="AJ102" s="92"/>
      <c r="AK102" s="92"/>
      <c r="AL102" s="92"/>
      <c r="AM102" s="92"/>
    </row>
    <row r="103" spans="1:39" ht="20">
      <c r="A103" s="759"/>
      <c r="B103" s="477"/>
      <c r="C103" s="36"/>
      <c r="D103" s="36"/>
      <c r="E103" s="204"/>
      <c r="F103" s="77"/>
      <c r="G103" s="77"/>
      <c r="H103" s="77"/>
      <c r="I103" s="210"/>
      <c r="J103" s="77"/>
      <c r="K103" s="77"/>
      <c r="L103" s="185"/>
      <c r="M103" s="77"/>
      <c r="N103" s="77"/>
      <c r="O103" s="77"/>
      <c r="P103" s="77"/>
      <c r="Q103" s="77"/>
      <c r="R103" s="77"/>
      <c r="S103" s="77"/>
      <c r="T103" s="77"/>
      <c r="U103" s="77"/>
      <c r="V103" s="77"/>
      <c r="W103" s="77"/>
      <c r="X103" s="77"/>
      <c r="Y103" s="77"/>
      <c r="Z103" s="185"/>
      <c r="AA103" s="77"/>
      <c r="AB103" s="77"/>
      <c r="AC103" s="77"/>
      <c r="AD103" s="92"/>
      <c r="AE103" s="92"/>
      <c r="AF103" s="92"/>
      <c r="AG103" s="92"/>
      <c r="AH103" s="92"/>
      <c r="AI103" s="92"/>
      <c r="AJ103" s="92"/>
      <c r="AK103" s="92"/>
      <c r="AL103" s="92"/>
      <c r="AM103" s="92"/>
    </row>
    <row r="104" spans="1:39" ht="20">
      <c r="A104" s="759"/>
      <c r="B104" s="477"/>
      <c r="C104" s="36"/>
      <c r="D104" s="36"/>
      <c r="E104" s="204"/>
      <c r="F104" s="77"/>
      <c r="G104" s="77"/>
      <c r="H104" s="77"/>
      <c r="I104" s="210"/>
      <c r="J104" s="77"/>
      <c r="K104" s="77"/>
      <c r="L104" s="185"/>
      <c r="M104" s="77"/>
      <c r="N104" s="77"/>
      <c r="O104" s="77"/>
      <c r="P104" s="77"/>
      <c r="Q104" s="77"/>
      <c r="R104" s="77"/>
      <c r="S104" s="77"/>
      <c r="T104" s="77"/>
      <c r="U104" s="77"/>
      <c r="V104" s="77"/>
      <c r="W104" s="77"/>
      <c r="X104" s="77"/>
      <c r="Y104" s="77"/>
      <c r="Z104" s="185"/>
      <c r="AA104" s="77"/>
      <c r="AB104" s="77"/>
      <c r="AC104" s="77"/>
      <c r="AD104" s="92"/>
      <c r="AE104" s="92"/>
      <c r="AF104" s="92"/>
      <c r="AG104" s="92"/>
      <c r="AH104" s="92"/>
      <c r="AI104" s="92"/>
      <c r="AJ104" s="92"/>
      <c r="AK104" s="92"/>
      <c r="AL104" s="92"/>
      <c r="AM104" s="92"/>
    </row>
    <row r="105" spans="1:39" ht="20">
      <c r="A105" s="8"/>
      <c r="B105" s="36"/>
      <c r="C105" s="36"/>
      <c r="D105" s="36"/>
      <c r="E105" s="204"/>
      <c r="F105" s="77"/>
      <c r="G105" s="77"/>
      <c r="H105" s="77"/>
      <c r="I105" s="210"/>
      <c r="J105" s="77"/>
      <c r="K105" s="77"/>
      <c r="L105" s="185"/>
      <c r="M105" s="77"/>
      <c r="N105" s="77"/>
      <c r="O105" s="77"/>
      <c r="P105" s="77"/>
      <c r="Q105" s="77"/>
      <c r="R105" s="77"/>
      <c r="S105" s="77"/>
      <c r="T105" s="77"/>
      <c r="U105" s="77"/>
      <c r="V105" s="77"/>
      <c r="W105" s="77"/>
      <c r="X105" s="77"/>
      <c r="Y105" s="77"/>
      <c r="Z105" s="185"/>
      <c r="AA105" s="77"/>
      <c r="AB105" s="77"/>
      <c r="AC105" s="77"/>
      <c r="AD105" s="92"/>
      <c r="AE105" s="92"/>
      <c r="AF105" s="92"/>
      <c r="AG105" s="92"/>
      <c r="AH105" s="92"/>
      <c r="AI105" s="92"/>
      <c r="AJ105" s="92"/>
      <c r="AK105" s="92"/>
      <c r="AL105" s="92"/>
      <c r="AM105" s="92"/>
    </row>
    <row r="106" spans="1:39" ht="20">
      <c r="A106" s="8"/>
      <c r="B106" s="36"/>
      <c r="C106" s="36"/>
      <c r="D106" s="36"/>
      <c r="E106" s="204"/>
      <c r="F106" s="77"/>
      <c r="G106" s="77"/>
      <c r="H106" s="77"/>
      <c r="I106" s="210"/>
      <c r="J106" s="77"/>
      <c r="K106" s="77"/>
      <c r="L106" s="185"/>
      <c r="M106" s="77"/>
      <c r="N106" s="77"/>
      <c r="O106" s="77"/>
      <c r="P106" s="77"/>
      <c r="Q106" s="77"/>
      <c r="R106" s="77"/>
      <c r="S106" s="77"/>
      <c r="T106" s="77"/>
      <c r="U106" s="77"/>
      <c r="V106" s="77"/>
      <c r="W106" s="77"/>
      <c r="X106" s="77"/>
      <c r="Y106" s="77"/>
      <c r="Z106" s="185"/>
      <c r="AA106" s="77"/>
      <c r="AB106" s="77"/>
      <c r="AC106" s="77"/>
      <c r="AD106" s="92"/>
      <c r="AE106" s="92"/>
      <c r="AF106" s="92"/>
      <c r="AG106" s="92"/>
      <c r="AH106" s="92"/>
      <c r="AI106" s="92"/>
      <c r="AJ106" s="92"/>
      <c r="AK106" s="92"/>
      <c r="AL106" s="92"/>
      <c r="AM106" s="92"/>
    </row>
    <row r="107" spans="1:39" ht="20">
      <c r="A107" s="8"/>
      <c r="B107" s="36"/>
      <c r="C107" s="36"/>
      <c r="D107" s="36"/>
      <c r="E107" s="204"/>
      <c r="F107" s="77"/>
      <c r="G107" s="77"/>
      <c r="H107" s="77"/>
      <c r="I107" s="211"/>
      <c r="J107" s="77"/>
      <c r="K107" s="82"/>
      <c r="L107" s="186"/>
      <c r="M107" s="82"/>
      <c r="N107" s="82"/>
      <c r="O107" s="82"/>
      <c r="P107" s="82"/>
      <c r="Q107" s="77"/>
      <c r="R107" s="77"/>
      <c r="S107" s="82"/>
      <c r="T107" s="82"/>
      <c r="U107" s="82"/>
      <c r="V107" s="82"/>
      <c r="W107" s="82"/>
      <c r="X107" s="82"/>
      <c r="Y107" s="77"/>
      <c r="Z107" s="186"/>
      <c r="AA107" s="82"/>
      <c r="AB107" s="82"/>
      <c r="AC107" s="82"/>
      <c r="AD107" s="92"/>
      <c r="AE107" s="92"/>
      <c r="AF107" s="92"/>
      <c r="AG107" s="92"/>
      <c r="AH107" s="92"/>
      <c r="AI107" s="92"/>
      <c r="AJ107" s="92"/>
      <c r="AK107" s="92"/>
      <c r="AL107" s="92"/>
      <c r="AM107" s="92"/>
    </row>
    <row r="108" spans="1:39" ht="20">
      <c r="A108" s="8"/>
      <c r="B108" s="36"/>
      <c r="C108" s="36"/>
      <c r="D108" s="36"/>
      <c r="E108" s="204"/>
      <c r="F108" s="82"/>
      <c r="G108" s="82"/>
      <c r="H108" s="82"/>
      <c r="I108" s="212"/>
      <c r="J108" s="82"/>
      <c r="K108" s="79"/>
      <c r="L108" s="187"/>
      <c r="M108" s="79"/>
      <c r="N108" s="79"/>
      <c r="O108" s="79"/>
      <c r="P108" s="79"/>
      <c r="Q108" s="82"/>
      <c r="R108" s="82"/>
      <c r="S108" s="79"/>
      <c r="T108" s="79"/>
      <c r="U108" s="79"/>
      <c r="V108" s="79"/>
      <c r="W108" s="79"/>
      <c r="X108" s="79"/>
      <c r="Y108" s="82"/>
      <c r="Z108" s="187"/>
      <c r="AA108" s="79"/>
      <c r="AB108" s="79"/>
      <c r="AC108" s="79"/>
      <c r="AD108" s="92"/>
      <c r="AE108" s="92"/>
      <c r="AF108" s="92"/>
      <c r="AG108" s="92"/>
      <c r="AH108" s="92"/>
      <c r="AI108" s="92"/>
      <c r="AJ108" s="92"/>
      <c r="AK108" s="92"/>
      <c r="AL108" s="92"/>
      <c r="AM108" s="92"/>
    </row>
    <row r="109" spans="1:39" ht="20">
      <c r="A109" s="8"/>
      <c r="B109" s="36"/>
      <c r="C109" s="36"/>
      <c r="D109" s="36"/>
      <c r="E109" s="204"/>
      <c r="F109" s="80"/>
      <c r="G109" s="80"/>
      <c r="H109" s="80"/>
      <c r="I109" s="213"/>
      <c r="J109" s="80"/>
      <c r="K109" s="81"/>
      <c r="L109" s="188"/>
      <c r="M109" s="81"/>
      <c r="N109" s="81"/>
      <c r="O109" s="81"/>
      <c r="P109" s="81"/>
      <c r="Q109" s="80"/>
      <c r="R109" s="80"/>
      <c r="S109" s="81"/>
      <c r="T109" s="81"/>
      <c r="U109" s="81"/>
      <c r="V109" s="81"/>
      <c r="W109" s="81"/>
      <c r="X109" s="81"/>
      <c r="Y109" s="80"/>
      <c r="Z109" s="188"/>
      <c r="AA109" s="81"/>
      <c r="AB109" s="81"/>
      <c r="AC109" s="81"/>
      <c r="AD109" s="92"/>
      <c r="AE109" s="92"/>
      <c r="AF109" s="92"/>
      <c r="AG109" s="92"/>
      <c r="AH109" s="92"/>
      <c r="AI109" s="92"/>
      <c r="AJ109" s="92"/>
      <c r="AK109" s="92"/>
      <c r="AL109" s="92"/>
      <c r="AM109" s="92"/>
    </row>
    <row r="110" spans="1:39" ht="20">
      <c r="A110" s="8"/>
      <c r="B110" s="36"/>
      <c r="C110" s="36"/>
      <c r="D110" s="36"/>
      <c r="E110" s="204"/>
      <c r="F110" s="81"/>
      <c r="G110" s="81"/>
      <c r="H110" s="81"/>
      <c r="I110" s="213"/>
      <c r="J110" s="81"/>
      <c r="K110" s="81"/>
      <c r="L110" s="188"/>
      <c r="M110" s="81"/>
      <c r="N110" s="81"/>
      <c r="O110" s="81"/>
      <c r="P110" s="81"/>
      <c r="Q110" s="81"/>
      <c r="R110" s="81"/>
      <c r="S110" s="81"/>
      <c r="T110" s="81"/>
      <c r="U110" s="81"/>
      <c r="V110" s="81"/>
      <c r="W110" s="81"/>
      <c r="X110" s="81"/>
      <c r="Y110" s="81"/>
      <c r="Z110" s="188"/>
      <c r="AA110" s="81"/>
      <c r="AB110" s="81"/>
      <c r="AC110" s="81"/>
      <c r="AD110" s="92"/>
      <c r="AE110" s="92"/>
      <c r="AF110" s="92"/>
      <c r="AG110" s="92"/>
      <c r="AH110" s="92"/>
      <c r="AI110" s="92"/>
      <c r="AJ110" s="92"/>
      <c r="AK110" s="92"/>
      <c r="AL110" s="92"/>
      <c r="AM110" s="92"/>
    </row>
    <row r="111" spans="1:39" ht="20">
      <c r="A111" s="8"/>
      <c r="B111" s="36"/>
      <c r="C111" s="36"/>
      <c r="D111" s="36"/>
      <c r="E111" s="204"/>
      <c r="F111" s="81"/>
      <c r="G111" s="81"/>
      <c r="H111" s="81"/>
      <c r="I111" s="211"/>
      <c r="J111" s="81"/>
      <c r="K111" s="82"/>
      <c r="L111" s="186"/>
      <c r="M111" s="82"/>
      <c r="N111" s="82"/>
      <c r="O111" s="82"/>
      <c r="P111" s="82"/>
      <c r="Q111" s="81"/>
      <c r="R111" s="81"/>
      <c r="S111" s="82"/>
      <c r="T111" s="82"/>
      <c r="U111" s="82"/>
      <c r="V111" s="82"/>
      <c r="W111" s="82"/>
      <c r="X111" s="82"/>
      <c r="Y111" s="81"/>
      <c r="Z111" s="186"/>
      <c r="AA111" s="82"/>
      <c r="AB111" s="82"/>
      <c r="AC111" s="82"/>
      <c r="AD111" s="92"/>
      <c r="AE111" s="92"/>
      <c r="AF111" s="92"/>
      <c r="AG111" s="92"/>
      <c r="AH111" s="92"/>
      <c r="AI111" s="92"/>
      <c r="AJ111" s="92"/>
      <c r="AK111" s="92"/>
      <c r="AL111" s="92"/>
      <c r="AM111" s="92"/>
    </row>
    <row r="112" spans="1:39" ht="20">
      <c r="A112" s="8"/>
      <c r="B112" s="36"/>
      <c r="C112" s="36"/>
      <c r="D112" s="36"/>
      <c r="E112" s="204"/>
      <c r="F112" s="82"/>
      <c r="G112" s="82"/>
      <c r="H112" s="82"/>
      <c r="I112" s="211"/>
      <c r="J112" s="82"/>
      <c r="K112" s="82"/>
      <c r="L112" s="186"/>
      <c r="M112" s="82"/>
      <c r="N112" s="82"/>
      <c r="O112" s="82"/>
      <c r="P112" s="82"/>
      <c r="Q112" s="82"/>
      <c r="R112" s="82"/>
      <c r="S112" s="82"/>
      <c r="T112" s="82"/>
      <c r="U112" s="82"/>
      <c r="V112" s="82"/>
      <c r="W112" s="82"/>
      <c r="X112" s="82"/>
      <c r="Y112" s="82"/>
      <c r="Z112" s="186"/>
      <c r="AA112" s="82"/>
      <c r="AB112" s="82"/>
      <c r="AC112" s="82"/>
      <c r="AD112" s="92"/>
      <c r="AE112" s="92"/>
      <c r="AF112" s="92"/>
      <c r="AG112" s="92"/>
      <c r="AH112" s="92"/>
      <c r="AI112" s="92"/>
      <c r="AJ112" s="92"/>
      <c r="AK112" s="92"/>
      <c r="AL112" s="92"/>
      <c r="AM112" s="92"/>
    </row>
    <row r="113" spans="1:39" ht="20">
      <c r="A113" s="8"/>
      <c r="B113" s="36"/>
      <c r="C113" s="36"/>
      <c r="D113" s="36"/>
      <c r="E113" s="204"/>
      <c r="F113" s="82"/>
      <c r="G113" s="82"/>
      <c r="H113" s="82"/>
      <c r="I113" s="214"/>
      <c r="J113" s="82"/>
      <c r="K113" s="76"/>
      <c r="L113" s="189"/>
      <c r="M113" s="76"/>
      <c r="N113" s="76"/>
      <c r="O113" s="76"/>
      <c r="P113" s="76"/>
      <c r="Q113" s="82"/>
      <c r="R113" s="82"/>
      <c r="S113" s="76"/>
      <c r="T113" s="76"/>
      <c r="U113" s="76"/>
      <c r="V113" s="76"/>
      <c r="W113" s="76"/>
      <c r="X113" s="76"/>
      <c r="Y113" s="82"/>
      <c r="Z113" s="189"/>
      <c r="AA113" s="76"/>
      <c r="AB113" s="76"/>
      <c r="AC113" s="76"/>
      <c r="AD113" s="92"/>
      <c r="AE113" s="92"/>
      <c r="AF113" s="92"/>
      <c r="AG113" s="92"/>
      <c r="AH113" s="92"/>
      <c r="AI113" s="92"/>
      <c r="AJ113" s="92"/>
      <c r="AK113" s="92"/>
      <c r="AL113" s="92"/>
      <c r="AM113" s="92"/>
    </row>
    <row r="114" spans="1:39" ht="20">
      <c r="A114" s="8"/>
      <c r="B114" s="36"/>
      <c r="C114" s="36"/>
      <c r="D114" s="36"/>
      <c r="E114" s="204"/>
      <c r="F114" s="76"/>
      <c r="G114" s="76"/>
      <c r="H114" s="76"/>
      <c r="I114" s="201"/>
      <c r="J114" s="76"/>
      <c r="K114" s="83"/>
      <c r="L114" s="190"/>
      <c r="M114" s="83"/>
      <c r="N114" s="83"/>
      <c r="O114" s="83"/>
      <c r="P114" s="83"/>
      <c r="Q114" s="76"/>
      <c r="R114" s="76"/>
      <c r="S114" s="83"/>
      <c r="T114" s="83"/>
      <c r="U114" s="83"/>
      <c r="V114" s="83"/>
      <c r="W114" s="83"/>
      <c r="X114" s="83"/>
      <c r="Y114" s="76"/>
      <c r="Z114" s="190"/>
      <c r="AA114" s="83"/>
      <c r="AB114" s="83"/>
      <c r="AC114" s="83"/>
      <c r="AD114" s="92"/>
      <c r="AE114" s="92"/>
      <c r="AF114" s="92"/>
      <c r="AG114" s="92"/>
      <c r="AH114" s="92"/>
      <c r="AI114" s="92"/>
      <c r="AJ114" s="92"/>
      <c r="AK114" s="92"/>
      <c r="AL114" s="92"/>
      <c r="AM114" s="92"/>
    </row>
    <row r="115" spans="1:39" ht="20">
      <c r="A115" s="8"/>
      <c r="B115" s="36"/>
      <c r="C115" s="36"/>
      <c r="D115" s="36"/>
      <c r="E115" s="204"/>
      <c r="F115" s="83"/>
      <c r="G115" s="83"/>
      <c r="H115" s="83"/>
      <c r="I115" s="215"/>
      <c r="J115" s="83"/>
      <c r="K115" s="84"/>
      <c r="L115" s="191"/>
      <c r="M115" s="84"/>
      <c r="N115" s="84"/>
      <c r="O115" s="84"/>
      <c r="P115" s="84"/>
      <c r="Q115" s="83"/>
      <c r="R115" s="83"/>
      <c r="S115" s="84"/>
      <c r="T115" s="84"/>
      <c r="U115" s="84"/>
      <c r="V115" s="84"/>
      <c r="W115" s="84"/>
      <c r="X115" s="84"/>
      <c r="Y115" s="83"/>
      <c r="Z115" s="191"/>
      <c r="AA115" s="84"/>
      <c r="AB115" s="84"/>
      <c r="AC115" s="84"/>
      <c r="AD115" s="92"/>
      <c r="AE115" s="92"/>
      <c r="AF115" s="92"/>
      <c r="AG115" s="92"/>
      <c r="AH115" s="92"/>
      <c r="AI115" s="92"/>
      <c r="AJ115" s="92"/>
      <c r="AK115" s="92"/>
      <c r="AL115" s="92"/>
      <c r="AM115" s="92"/>
    </row>
    <row r="116" spans="1:39">
      <c r="A116" s="8"/>
      <c r="B116" s="36"/>
      <c r="C116" s="36"/>
      <c r="D116" s="36"/>
      <c r="E116" s="204"/>
      <c r="AD116" s="92"/>
      <c r="AE116" s="92"/>
      <c r="AF116" s="92"/>
      <c r="AG116" s="92"/>
      <c r="AH116" s="92"/>
      <c r="AI116" s="92"/>
      <c r="AJ116" s="92"/>
      <c r="AK116" s="92"/>
      <c r="AL116" s="92"/>
      <c r="AM116" s="92"/>
    </row>
    <row r="117" spans="1:39">
      <c r="A117" s="8"/>
      <c r="B117" s="36"/>
      <c r="C117" s="36"/>
      <c r="D117" s="36"/>
      <c r="E117" s="204"/>
      <c r="AD117" s="92"/>
      <c r="AE117" s="92"/>
      <c r="AF117" s="92"/>
      <c r="AG117" s="92"/>
      <c r="AH117" s="92"/>
      <c r="AI117" s="92"/>
      <c r="AJ117" s="92"/>
      <c r="AK117" s="92"/>
      <c r="AL117" s="92"/>
      <c r="AM117" s="92"/>
    </row>
    <row r="118" spans="1:39">
      <c r="A118" s="8"/>
      <c r="B118" s="36"/>
      <c r="C118" s="36"/>
      <c r="D118" s="36"/>
      <c r="E118" s="204"/>
      <c r="AD118" s="92"/>
      <c r="AE118" s="92"/>
      <c r="AF118" s="92"/>
      <c r="AG118" s="92"/>
      <c r="AH118" s="92"/>
      <c r="AI118" s="92"/>
      <c r="AJ118" s="92"/>
      <c r="AK118" s="92"/>
      <c r="AL118" s="92"/>
      <c r="AM118" s="92"/>
    </row>
    <row r="119" spans="1:39">
      <c r="A119" s="8"/>
      <c r="B119" s="36"/>
      <c r="C119" s="36"/>
      <c r="D119" s="36"/>
      <c r="E119" s="204"/>
      <c r="AD119" s="92"/>
      <c r="AE119" s="92"/>
      <c r="AF119" s="92"/>
      <c r="AG119" s="92"/>
      <c r="AH119" s="92"/>
      <c r="AI119" s="92"/>
      <c r="AJ119" s="92"/>
      <c r="AK119" s="92"/>
      <c r="AL119" s="92"/>
      <c r="AM119" s="92"/>
    </row>
    <row r="120" spans="1:39">
      <c r="A120" s="8"/>
      <c r="B120" s="36"/>
      <c r="C120" s="36"/>
      <c r="D120" s="36"/>
      <c r="E120" s="204"/>
      <c r="AD120" s="92"/>
      <c r="AE120" s="92"/>
      <c r="AF120" s="92"/>
      <c r="AG120" s="92"/>
      <c r="AH120" s="92"/>
      <c r="AI120" s="92"/>
      <c r="AJ120" s="92"/>
      <c r="AK120" s="92"/>
      <c r="AL120" s="92"/>
      <c r="AM120" s="92"/>
    </row>
    <row r="121" spans="1:39">
      <c r="A121" s="8"/>
      <c r="B121" s="36"/>
      <c r="C121" s="36"/>
      <c r="D121" s="36"/>
      <c r="E121" s="204"/>
      <c r="AD121" s="92"/>
      <c r="AE121" s="92"/>
      <c r="AF121" s="92"/>
      <c r="AG121" s="92"/>
      <c r="AH121" s="92"/>
      <c r="AI121" s="92"/>
      <c r="AJ121" s="92"/>
      <c r="AK121" s="92"/>
      <c r="AL121" s="92"/>
      <c r="AM121" s="92"/>
    </row>
    <row r="122" spans="1:39">
      <c r="A122" s="8"/>
      <c r="B122" s="36"/>
      <c r="C122" s="36"/>
      <c r="D122" s="36"/>
      <c r="E122" s="204"/>
      <c r="AD122" s="92"/>
      <c r="AE122" s="92"/>
      <c r="AF122" s="92"/>
      <c r="AG122" s="92"/>
      <c r="AH122" s="92"/>
      <c r="AI122" s="92"/>
      <c r="AJ122" s="92"/>
      <c r="AK122" s="92"/>
      <c r="AL122" s="92"/>
      <c r="AM122" s="92"/>
    </row>
    <row r="123" spans="1:39">
      <c r="A123" s="8"/>
      <c r="B123" s="36"/>
      <c r="C123" s="36"/>
      <c r="D123" s="36"/>
      <c r="E123" s="204"/>
      <c r="AD123" s="92"/>
      <c r="AE123" s="92"/>
      <c r="AF123" s="92"/>
      <c r="AG123" s="92"/>
      <c r="AH123" s="92"/>
      <c r="AI123" s="92"/>
      <c r="AJ123" s="92"/>
      <c r="AK123" s="92"/>
      <c r="AL123" s="92"/>
      <c r="AM123" s="92"/>
    </row>
    <row r="124" spans="1:39">
      <c r="A124" s="8"/>
      <c r="B124" s="36"/>
      <c r="C124" s="36"/>
      <c r="D124" s="36"/>
      <c r="E124" s="204"/>
      <c r="AD124" s="92"/>
      <c r="AE124" s="92"/>
      <c r="AF124" s="92"/>
      <c r="AG124" s="92"/>
      <c r="AH124" s="92"/>
      <c r="AI124" s="92"/>
      <c r="AJ124" s="92"/>
      <c r="AK124" s="92"/>
      <c r="AL124" s="92"/>
      <c r="AM124" s="92"/>
    </row>
    <row r="125" spans="1:39">
      <c r="B125" s="92"/>
      <c r="C125" s="92"/>
      <c r="D125" s="92"/>
      <c r="E125" s="205"/>
      <c r="AD125" s="92"/>
      <c r="AE125" s="92"/>
      <c r="AF125" s="92"/>
      <c r="AG125" s="92"/>
      <c r="AH125" s="92"/>
      <c r="AI125" s="92"/>
      <c r="AJ125" s="92"/>
      <c r="AK125" s="92"/>
      <c r="AL125" s="92"/>
      <c r="AM125" s="92"/>
    </row>
    <row r="126" spans="1:39">
      <c r="B126" s="92"/>
      <c r="C126" s="92"/>
      <c r="D126" s="92"/>
      <c r="E126" s="205"/>
      <c r="AD126" s="92"/>
      <c r="AE126" s="92"/>
      <c r="AF126" s="92"/>
      <c r="AG126" s="92"/>
      <c r="AH126" s="92"/>
      <c r="AI126" s="92"/>
      <c r="AJ126" s="92"/>
      <c r="AK126" s="92"/>
      <c r="AL126" s="92"/>
      <c r="AM126" s="92"/>
    </row>
    <row r="127" spans="1:39">
      <c r="B127" s="92"/>
      <c r="C127" s="92"/>
      <c r="D127" s="92"/>
      <c r="E127" s="205"/>
      <c r="AD127" s="92"/>
      <c r="AE127" s="92"/>
      <c r="AF127" s="92"/>
      <c r="AG127" s="92"/>
      <c r="AH127" s="92"/>
      <c r="AI127" s="92"/>
      <c r="AJ127" s="92"/>
      <c r="AK127" s="92"/>
      <c r="AL127" s="92"/>
      <c r="AM127" s="92"/>
    </row>
    <row r="128" spans="1:39">
      <c r="B128" s="92"/>
      <c r="C128" s="92"/>
      <c r="D128" s="92"/>
      <c r="E128" s="205"/>
      <c r="AD128" s="92"/>
      <c r="AE128" s="92"/>
      <c r="AF128" s="92"/>
      <c r="AG128" s="92"/>
      <c r="AH128" s="92"/>
      <c r="AI128" s="92"/>
      <c r="AJ128" s="92"/>
      <c r="AK128" s="92"/>
      <c r="AL128" s="92"/>
      <c r="AM128" s="92"/>
    </row>
    <row r="129" spans="1:39">
      <c r="B129" s="92"/>
      <c r="C129" s="92"/>
      <c r="D129" s="92"/>
      <c r="E129" s="205"/>
      <c r="AD129" s="92"/>
      <c r="AE129" s="92"/>
      <c r="AF129" s="92"/>
      <c r="AG129" s="92"/>
      <c r="AH129" s="92"/>
      <c r="AI129" s="92"/>
      <c r="AJ129" s="92"/>
      <c r="AK129" s="92"/>
      <c r="AL129" s="92"/>
      <c r="AM129" s="92"/>
    </row>
    <row r="130" spans="1:39">
      <c r="B130" s="92"/>
      <c r="C130" s="92"/>
      <c r="D130" s="92"/>
      <c r="E130" s="205"/>
      <c r="AD130" s="92"/>
      <c r="AE130" s="92"/>
      <c r="AF130" s="92"/>
      <c r="AG130" s="92"/>
      <c r="AH130" s="92"/>
      <c r="AI130" s="92"/>
      <c r="AJ130" s="92"/>
      <c r="AK130" s="92"/>
      <c r="AL130" s="92"/>
      <c r="AM130" s="92"/>
    </row>
    <row r="131" spans="1:39">
      <c r="B131" s="92"/>
      <c r="C131" s="92"/>
      <c r="D131" s="92"/>
      <c r="E131" s="205"/>
      <c r="AD131" s="92"/>
      <c r="AE131" s="92"/>
      <c r="AF131" s="92"/>
      <c r="AG131" s="92"/>
      <c r="AH131" s="92"/>
      <c r="AI131" s="92"/>
      <c r="AJ131" s="92"/>
      <c r="AK131" s="92"/>
      <c r="AL131" s="92"/>
      <c r="AM131" s="92"/>
    </row>
    <row r="132" spans="1:39">
      <c r="A132" s="8"/>
      <c r="B132" s="36"/>
      <c r="C132" s="36"/>
      <c r="D132" s="36"/>
      <c r="E132" s="204"/>
      <c r="AD132" s="92"/>
      <c r="AE132" s="92"/>
      <c r="AF132" s="92"/>
      <c r="AG132" s="92"/>
      <c r="AH132" s="92"/>
      <c r="AI132" s="92"/>
      <c r="AJ132" s="92"/>
      <c r="AK132" s="92"/>
      <c r="AL132" s="92"/>
      <c r="AM132" s="92"/>
    </row>
    <row r="133" spans="1:39">
      <c r="A133" s="8"/>
      <c r="B133" s="36"/>
      <c r="C133" s="36"/>
      <c r="D133" s="36"/>
      <c r="E133" s="204"/>
      <c r="AD133" s="92"/>
      <c r="AE133" s="92"/>
      <c r="AF133" s="92"/>
      <c r="AG133" s="92"/>
      <c r="AH133" s="92"/>
      <c r="AI133" s="92"/>
      <c r="AJ133" s="92"/>
      <c r="AK133" s="92"/>
      <c r="AL133" s="92"/>
      <c r="AM133" s="92"/>
    </row>
    <row r="134" spans="1:39">
      <c r="A134" s="8"/>
      <c r="B134" s="36"/>
      <c r="C134" s="36"/>
      <c r="D134" s="36"/>
      <c r="E134" s="204"/>
      <c r="AD134" s="92"/>
      <c r="AE134" s="92"/>
      <c r="AF134" s="92"/>
      <c r="AG134" s="92"/>
      <c r="AH134" s="92"/>
      <c r="AI134" s="92"/>
      <c r="AJ134" s="92"/>
      <c r="AK134" s="92"/>
      <c r="AL134" s="92"/>
      <c r="AM134" s="92"/>
    </row>
    <row r="135" spans="1:39">
      <c r="A135" s="8"/>
      <c r="B135" s="36"/>
      <c r="C135" s="36"/>
      <c r="D135" s="36"/>
      <c r="E135" s="204"/>
      <c r="AD135" s="92"/>
      <c r="AE135" s="92"/>
      <c r="AF135" s="92"/>
      <c r="AG135" s="92"/>
      <c r="AH135" s="92"/>
      <c r="AI135" s="92"/>
      <c r="AJ135" s="92"/>
      <c r="AK135" s="92"/>
      <c r="AL135" s="92"/>
      <c r="AM135" s="92"/>
    </row>
    <row r="136" spans="1:39">
      <c r="A136" s="8"/>
      <c r="B136" s="36"/>
      <c r="C136" s="36"/>
      <c r="D136" s="36"/>
      <c r="E136" s="204"/>
      <c r="AD136" s="92"/>
      <c r="AE136" s="92"/>
      <c r="AF136" s="92"/>
      <c r="AG136" s="92"/>
      <c r="AH136" s="92"/>
      <c r="AI136" s="92"/>
      <c r="AJ136" s="92"/>
      <c r="AK136" s="92"/>
      <c r="AL136" s="92"/>
      <c r="AM136" s="92"/>
    </row>
    <row r="137" spans="1:39">
      <c r="A137" s="8"/>
      <c r="B137" s="36"/>
      <c r="C137" s="36"/>
      <c r="D137" s="36"/>
      <c r="E137" s="204"/>
      <c r="AD137" s="92"/>
      <c r="AE137" s="92"/>
      <c r="AF137" s="92"/>
      <c r="AG137" s="92"/>
      <c r="AH137" s="92"/>
      <c r="AI137" s="92"/>
      <c r="AJ137" s="92"/>
      <c r="AK137" s="92"/>
      <c r="AL137" s="92"/>
      <c r="AM137" s="92"/>
    </row>
    <row r="138" spans="1:39">
      <c r="A138" s="8"/>
      <c r="B138" s="36"/>
      <c r="C138" s="36"/>
      <c r="D138" s="36"/>
      <c r="E138" s="204"/>
      <c r="AD138" s="92"/>
      <c r="AE138" s="92"/>
      <c r="AF138" s="92"/>
      <c r="AG138" s="92"/>
      <c r="AH138" s="92"/>
      <c r="AI138" s="92"/>
      <c r="AJ138" s="92"/>
      <c r="AK138" s="92"/>
      <c r="AL138" s="92"/>
      <c r="AM138" s="92"/>
    </row>
    <row r="139" spans="1:39">
      <c r="A139" s="8"/>
      <c r="B139" s="36"/>
      <c r="C139" s="36"/>
      <c r="D139" s="36"/>
      <c r="E139" s="204"/>
      <c r="AD139" s="92"/>
      <c r="AE139" s="92"/>
      <c r="AF139" s="92"/>
      <c r="AG139" s="92"/>
      <c r="AH139" s="92"/>
      <c r="AI139" s="92"/>
      <c r="AJ139" s="92"/>
      <c r="AK139" s="92"/>
      <c r="AL139" s="92"/>
      <c r="AM139" s="92"/>
    </row>
    <row r="140" spans="1:39">
      <c r="A140" s="8"/>
      <c r="B140" s="36"/>
      <c r="C140" s="36"/>
      <c r="D140" s="36"/>
      <c r="E140" s="204"/>
      <c r="AD140" s="92"/>
      <c r="AE140" s="92"/>
      <c r="AF140" s="92"/>
      <c r="AG140" s="92"/>
      <c r="AH140" s="92"/>
      <c r="AI140" s="92"/>
      <c r="AJ140" s="92"/>
      <c r="AK140" s="92"/>
      <c r="AL140" s="92"/>
      <c r="AM140" s="92"/>
    </row>
    <row r="141" spans="1:39">
      <c r="A141" s="8"/>
      <c r="B141" s="36"/>
      <c r="C141" s="36"/>
      <c r="D141" s="36"/>
      <c r="E141" s="204"/>
      <c r="AD141" s="92"/>
      <c r="AE141" s="92"/>
      <c r="AF141" s="92"/>
      <c r="AG141" s="92"/>
      <c r="AH141" s="92"/>
      <c r="AI141" s="92"/>
      <c r="AJ141" s="92"/>
      <c r="AK141" s="92"/>
      <c r="AL141" s="92"/>
      <c r="AM141" s="92"/>
    </row>
    <row r="142" spans="1:39">
      <c r="A142" s="8"/>
      <c r="B142" s="36"/>
      <c r="C142" s="36"/>
      <c r="D142" s="36"/>
      <c r="E142" s="204"/>
      <c r="AD142" s="92"/>
      <c r="AE142" s="92"/>
      <c r="AF142" s="92"/>
      <c r="AG142" s="92"/>
      <c r="AH142" s="92"/>
      <c r="AI142" s="92"/>
      <c r="AJ142" s="92"/>
      <c r="AK142" s="92"/>
      <c r="AL142" s="92"/>
      <c r="AM142" s="92"/>
    </row>
    <row r="143" spans="1:39">
      <c r="A143" s="8"/>
      <c r="B143" s="36"/>
      <c r="C143" s="36"/>
      <c r="D143" s="36"/>
      <c r="E143" s="204"/>
      <c r="AD143" s="92"/>
      <c r="AE143" s="92"/>
      <c r="AF143" s="92"/>
      <c r="AG143" s="92"/>
      <c r="AH143" s="92"/>
      <c r="AI143" s="92"/>
      <c r="AJ143" s="92"/>
      <c r="AK143" s="92"/>
      <c r="AL143" s="92"/>
      <c r="AM143" s="92"/>
    </row>
    <row r="144" spans="1:39">
      <c r="A144" s="8"/>
      <c r="B144" s="36"/>
      <c r="C144" s="36"/>
      <c r="D144" s="36"/>
      <c r="E144" s="204"/>
      <c r="AD144" s="92"/>
      <c r="AE144" s="92"/>
      <c r="AF144" s="92"/>
      <c r="AG144" s="92"/>
      <c r="AH144" s="92"/>
      <c r="AI144" s="92"/>
      <c r="AJ144" s="92"/>
      <c r="AK144" s="92"/>
      <c r="AL144" s="92"/>
      <c r="AM144" s="92"/>
    </row>
    <row r="145" spans="1:39">
      <c r="A145" s="8"/>
      <c r="B145" s="36"/>
      <c r="C145" s="36"/>
      <c r="D145" s="36"/>
      <c r="E145" s="204"/>
      <c r="AD145" s="92"/>
      <c r="AE145" s="92"/>
      <c r="AF145" s="92"/>
      <c r="AG145" s="92"/>
      <c r="AH145" s="92"/>
      <c r="AI145" s="92"/>
      <c r="AJ145" s="92"/>
      <c r="AK145" s="92"/>
      <c r="AL145" s="92"/>
      <c r="AM145" s="92"/>
    </row>
    <row r="146" spans="1:39">
      <c r="A146" s="8"/>
      <c r="B146" s="36"/>
      <c r="C146" s="36"/>
      <c r="D146" s="36"/>
      <c r="E146" s="204"/>
      <c r="AD146" s="92"/>
      <c r="AE146" s="92"/>
      <c r="AF146" s="92"/>
      <c r="AG146" s="92"/>
      <c r="AH146" s="92"/>
      <c r="AI146" s="92"/>
      <c r="AJ146" s="92"/>
      <c r="AK146" s="92"/>
      <c r="AL146" s="92"/>
      <c r="AM146" s="92"/>
    </row>
    <row r="147" spans="1:39">
      <c r="A147" s="8"/>
      <c r="B147" s="36"/>
      <c r="C147" s="36"/>
      <c r="D147" s="36"/>
      <c r="E147" s="204"/>
      <c r="AD147" s="92"/>
      <c r="AE147" s="92"/>
      <c r="AF147" s="92"/>
      <c r="AG147" s="92"/>
      <c r="AH147" s="92"/>
      <c r="AI147" s="92"/>
      <c r="AJ147" s="92"/>
      <c r="AK147" s="92"/>
      <c r="AL147" s="92"/>
      <c r="AM147" s="92"/>
    </row>
    <row r="148" spans="1:39">
      <c r="A148" s="8"/>
      <c r="B148" s="36"/>
      <c r="C148" s="36"/>
      <c r="D148" s="36"/>
      <c r="E148" s="204"/>
      <c r="AD148" s="92"/>
      <c r="AE148" s="92"/>
      <c r="AF148" s="92"/>
      <c r="AG148" s="92"/>
      <c r="AH148" s="92"/>
      <c r="AI148" s="92"/>
      <c r="AJ148" s="92"/>
      <c r="AK148" s="92"/>
      <c r="AL148" s="92"/>
      <c r="AM148" s="92"/>
    </row>
    <row r="149" spans="1:39">
      <c r="A149" s="8"/>
      <c r="B149" s="36"/>
      <c r="C149" s="36"/>
      <c r="D149" s="36"/>
      <c r="E149" s="204"/>
      <c r="AD149" s="92"/>
      <c r="AE149" s="92"/>
      <c r="AF149" s="92"/>
      <c r="AG149" s="92"/>
      <c r="AH149" s="92"/>
      <c r="AI149" s="92"/>
      <c r="AJ149" s="92"/>
      <c r="AK149" s="92"/>
      <c r="AL149" s="92"/>
      <c r="AM149" s="92"/>
    </row>
    <row r="150" spans="1:39">
      <c r="A150" s="8"/>
      <c r="B150" s="36"/>
      <c r="C150" s="36"/>
      <c r="D150" s="36"/>
      <c r="E150" s="204"/>
      <c r="AD150" s="92"/>
      <c r="AE150" s="92"/>
      <c r="AF150" s="92"/>
      <c r="AG150" s="92"/>
      <c r="AH150" s="92"/>
      <c r="AI150" s="92"/>
      <c r="AJ150" s="92"/>
      <c r="AK150" s="92"/>
      <c r="AL150" s="92"/>
      <c r="AM150" s="92"/>
    </row>
    <row r="151" spans="1:39">
      <c r="A151" s="8"/>
      <c r="B151" s="36"/>
      <c r="C151" s="36"/>
      <c r="D151" s="36"/>
      <c r="E151" s="204"/>
      <c r="AD151" s="92"/>
      <c r="AE151" s="92"/>
      <c r="AF151" s="92"/>
      <c r="AG151" s="92"/>
      <c r="AH151" s="92"/>
      <c r="AI151" s="92"/>
      <c r="AJ151" s="92"/>
      <c r="AK151" s="92"/>
      <c r="AL151" s="92"/>
      <c r="AM151" s="92"/>
    </row>
    <row r="152" spans="1:39">
      <c r="A152" s="8"/>
      <c r="B152" s="36"/>
      <c r="C152" s="36"/>
      <c r="D152" s="36"/>
      <c r="E152" s="204"/>
      <c r="AD152" s="92"/>
      <c r="AE152" s="92"/>
      <c r="AF152" s="92"/>
      <c r="AG152" s="92"/>
      <c r="AH152" s="92"/>
      <c r="AI152" s="92"/>
      <c r="AJ152" s="92"/>
      <c r="AK152" s="92"/>
      <c r="AL152" s="92"/>
      <c r="AM152" s="92"/>
    </row>
    <row r="153" spans="1:39">
      <c r="A153" s="8"/>
      <c r="B153" s="36"/>
      <c r="C153" s="36"/>
      <c r="D153" s="36"/>
      <c r="E153" s="204"/>
      <c r="AD153" s="92"/>
      <c r="AE153" s="92"/>
      <c r="AF153" s="92"/>
      <c r="AG153" s="92"/>
      <c r="AH153" s="92"/>
      <c r="AI153" s="92"/>
      <c r="AJ153" s="92"/>
      <c r="AK153" s="92"/>
      <c r="AL153" s="92"/>
      <c r="AM153" s="92"/>
    </row>
    <row r="154" spans="1:39">
      <c r="A154" s="8"/>
      <c r="B154" s="36"/>
      <c r="C154" s="36"/>
      <c r="D154" s="36"/>
      <c r="E154" s="204"/>
      <c r="AD154" s="92"/>
      <c r="AE154" s="92"/>
      <c r="AF154" s="92"/>
      <c r="AG154" s="92"/>
      <c r="AH154" s="92"/>
      <c r="AI154" s="92"/>
      <c r="AJ154" s="92"/>
      <c r="AK154" s="92"/>
      <c r="AL154" s="92"/>
      <c r="AM154" s="92"/>
    </row>
    <row r="155" spans="1:39" ht="20">
      <c r="A155" s="8"/>
      <c r="B155" s="36"/>
      <c r="C155" s="36"/>
      <c r="D155" s="36"/>
      <c r="E155" s="204"/>
      <c r="F155" s="84"/>
      <c r="G155" s="84"/>
      <c r="H155" s="84"/>
      <c r="I155" s="93"/>
      <c r="J155" s="84"/>
      <c r="K155" s="93"/>
      <c r="L155" s="192"/>
      <c r="M155" s="93"/>
      <c r="N155" s="93"/>
      <c r="O155" s="93"/>
      <c r="P155" s="93"/>
      <c r="Q155" s="84"/>
      <c r="R155" s="84"/>
      <c r="S155" s="93"/>
      <c r="T155" s="93"/>
      <c r="U155" s="93"/>
      <c r="V155" s="93"/>
      <c r="W155" s="93"/>
      <c r="X155" s="93"/>
      <c r="Y155" s="84"/>
      <c r="Z155" s="192"/>
      <c r="AA155" s="93"/>
      <c r="AB155" s="93"/>
      <c r="AC155" s="93"/>
      <c r="AD155" s="92"/>
      <c r="AE155" s="92"/>
      <c r="AF155" s="92"/>
      <c r="AG155" s="92"/>
      <c r="AH155" s="92"/>
      <c r="AI155" s="92"/>
      <c r="AJ155" s="92"/>
      <c r="AK155" s="92"/>
      <c r="AL155" s="92"/>
      <c r="AM155" s="92"/>
    </row>
    <row r="156" spans="1:39" ht="20">
      <c r="A156" s="8"/>
      <c r="B156" s="36"/>
      <c r="C156" s="36"/>
      <c r="D156" s="36"/>
      <c r="E156" s="204"/>
      <c r="F156" s="93"/>
      <c r="G156" s="93"/>
      <c r="H156" s="93"/>
      <c r="I156" s="93"/>
      <c r="J156" s="93"/>
      <c r="K156" s="93"/>
      <c r="L156" s="192"/>
      <c r="M156" s="93"/>
      <c r="N156" s="93"/>
      <c r="O156" s="93"/>
      <c r="P156" s="93"/>
      <c r="Q156" s="93"/>
      <c r="R156" s="93"/>
      <c r="S156" s="93"/>
      <c r="T156" s="93"/>
      <c r="U156" s="93"/>
      <c r="V156" s="93"/>
      <c r="W156" s="93"/>
      <c r="X156" s="93"/>
      <c r="Y156" s="93"/>
      <c r="Z156" s="192"/>
      <c r="AA156" s="93"/>
      <c r="AB156" s="93"/>
      <c r="AC156" s="93"/>
      <c r="AD156" s="92"/>
      <c r="AE156" s="92"/>
      <c r="AF156" s="92"/>
      <c r="AG156" s="92"/>
      <c r="AH156" s="92"/>
      <c r="AI156" s="92"/>
      <c r="AJ156" s="92"/>
      <c r="AK156" s="92"/>
      <c r="AL156" s="92"/>
      <c r="AM156" s="92"/>
    </row>
    <row r="157" spans="1:39" ht="20">
      <c r="A157" s="8"/>
      <c r="B157" s="36"/>
      <c r="C157" s="36"/>
      <c r="D157" s="36"/>
      <c r="E157" s="204"/>
      <c r="F157" s="93"/>
      <c r="G157" s="93"/>
      <c r="H157" s="93"/>
      <c r="I157" s="93"/>
      <c r="J157" s="93"/>
      <c r="K157" s="93"/>
      <c r="L157" s="192"/>
      <c r="M157" s="93"/>
      <c r="N157" s="93"/>
      <c r="O157" s="93"/>
      <c r="P157" s="93"/>
      <c r="Q157" s="93"/>
      <c r="R157" s="93"/>
      <c r="S157" s="93"/>
      <c r="T157" s="93"/>
      <c r="U157" s="93"/>
      <c r="V157" s="93"/>
      <c r="W157" s="93"/>
      <c r="X157" s="93"/>
      <c r="Y157" s="93"/>
      <c r="Z157" s="192"/>
      <c r="AA157" s="93"/>
      <c r="AB157" s="93"/>
      <c r="AC157" s="93"/>
      <c r="AD157" s="92"/>
      <c r="AE157" s="92"/>
      <c r="AF157" s="92"/>
      <c r="AG157" s="92"/>
      <c r="AH157" s="92"/>
      <c r="AI157" s="92"/>
      <c r="AJ157" s="92"/>
      <c r="AK157" s="92"/>
      <c r="AL157" s="92"/>
      <c r="AM157" s="92"/>
    </row>
    <row r="158" spans="1:39" ht="20">
      <c r="A158" s="8"/>
      <c r="B158" s="36"/>
      <c r="C158" s="36"/>
      <c r="D158" s="36"/>
      <c r="E158" s="204"/>
      <c r="F158" s="93"/>
      <c r="G158" s="93"/>
      <c r="H158" s="93"/>
      <c r="I158" s="93"/>
      <c r="J158" s="93"/>
      <c r="K158" s="93"/>
      <c r="L158" s="192"/>
      <c r="M158" s="93"/>
      <c r="N158" s="93"/>
      <c r="O158" s="93"/>
      <c r="P158" s="93"/>
      <c r="Q158" s="93"/>
      <c r="R158" s="93"/>
      <c r="S158" s="93"/>
      <c r="T158" s="93"/>
      <c r="U158" s="93"/>
      <c r="V158" s="93"/>
      <c r="W158" s="93"/>
      <c r="X158" s="93"/>
      <c r="Y158" s="93"/>
      <c r="Z158" s="192"/>
      <c r="AA158" s="93"/>
      <c r="AB158" s="93"/>
      <c r="AC158" s="93"/>
      <c r="AD158" s="92"/>
      <c r="AE158" s="92"/>
      <c r="AF158" s="92"/>
      <c r="AG158" s="92"/>
      <c r="AH158" s="92"/>
      <c r="AI158" s="92"/>
      <c r="AJ158" s="92"/>
      <c r="AK158" s="92"/>
      <c r="AL158" s="92"/>
      <c r="AM158" s="92"/>
    </row>
    <row r="159" spans="1:39" ht="20">
      <c r="A159" s="8"/>
      <c r="B159" s="36"/>
      <c r="C159" s="36"/>
      <c r="D159" s="36"/>
      <c r="E159" s="204"/>
      <c r="F159" s="93"/>
      <c r="G159" s="93"/>
      <c r="H159" s="93"/>
      <c r="I159" s="93"/>
      <c r="J159" s="93"/>
      <c r="K159" s="93"/>
      <c r="L159" s="192"/>
      <c r="M159" s="93"/>
      <c r="N159" s="93"/>
      <c r="O159" s="93"/>
      <c r="P159" s="93"/>
      <c r="Q159" s="93"/>
      <c r="R159" s="93"/>
      <c r="S159" s="93"/>
      <c r="T159" s="93"/>
      <c r="U159" s="93"/>
      <c r="V159" s="93"/>
      <c r="W159" s="93"/>
      <c r="X159" s="93"/>
      <c r="Y159" s="93"/>
      <c r="Z159" s="192"/>
      <c r="AA159" s="93"/>
      <c r="AB159" s="93"/>
      <c r="AC159" s="93"/>
      <c r="AD159" s="92"/>
      <c r="AE159" s="92"/>
      <c r="AF159" s="92"/>
      <c r="AG159" s="92"/>
      <c r="AH159" s="92"/>
      <c r="AI159" s="92"/>
      <c r="AJ159" s="92"/>
      <c r="AK159" s="92"/>
      <c r="AL159" s="92"/>
      <c r="AM159" s="92"/>
    </row>
    <row r="160" spans="1:39" ht="20">
      <c r="A160" s="8"/>
      <c r="B160" s="36"/>
      <c r="C160" s="36"/>
      <c r="D160" s="36"/>
      <c r="E160" s="204"/>
      <c r="F160" s="93"/>
      <c r="G160" s="93"/>
      <c r="H160" s="93"/>
      <c r="I160" s="93"/>
      <c r="J160" s="93"/>
      <c r="K160" s="93"/>
      <c r="L160" s="192"/>
      <c r="M160" s="93"/>
      <c r="N160" s="93"/>
      <c r="O160" s="93"/>
      <c r="P160" s="93"/>
      <c r="Q160" s="93"/>
      <c r="R160" s="93"/>
      <c r="S160" s="93"/>
      <c r="T160" s="93"/>
      <c r="U160" s="93"/>
      <c r="V160" s="93"/>
      <c r="W160" s="93"/>
      <c r="X160" s="93"/>
      <c r="Y160" s="93"/>
      <c r="Z160" s="192"/>
      <c r="AA160" s="93"/>
      <c r="AB160" s="93"/>
      <c r="AC160" s="93"/>
      <c r="AD160" s="92"/>
      <c r="AE160" s="92"/>
      <c r="AF160" s="92"/>
      <c r="AG160" s="92"/>
      <c r="AH160" s="92"/>
      <c r="AI160" s="92"/>
      <c r="AJ160" s="92"/>
      <c r="AK160" s="92"/>
      <c r="AL160" s="92"/>
      <c r="AM160" s="92"/>
    </row>
    <row r="161" spans="1:39">
      <c r="A161" s="8"/>
      <c r="B161" s="36"/>
      <c r="C161" s="36"/>
      <c r="D161" s="36"/>
      <c r="E161" s="204"/>
      <c r="F161" s="36"/>
      <c r="G161" s="36"/>
      <c r="H161" s="36"/>
      <c r="I161" s="204"/>
      <c r="J161" s="36"/>
      <c r="K161" s="36"/>
      <c r="L161" s="193"/>
      <c r="M161" s="36"/>
      <c r="N161" s="36"/>
      <c r="O161" s="36"/>
      <c r="P161" s="36"/>
      <c r="Q161" s="36"/>
      <c r="R161" s="36"/>
      <c r="S161" s="36"/>
      <c r="T161" s="36"/>
      <c r="U161" s="36"/>
      <c r="V161" s="36"/>
      <c r="W161" s="36"/>
      <c r="X161" s="36"/>
      <c r="Y161" s="36"/>
      <c r="Z161" s="193"/>
      <c r="AA161" s="36"/>
      <c r="AB161" s="36"/>
      <c r="AC161" s="36"/>
      <c r="AD161" s="92"/>
      <c r="AE161" s="92"/>
      <c r="AF161" s="92"/>
      <c r="AG161" s="92"/>
      <c r="AH161" s="92"/>
      <c r="AI161" s="92"/>
      <c r="AJ161" s="92"/>
      <c r="AK161" s="92"/>
      <c r="AL161" s="92"/>
      <c r="AM161" s="92"/>
    </row>
    <row r="162" spans="1:39">
      <c r="A162" s="8"/>
      <c r="B162" s="36"/>
      <c r="C162" s="36"/>
      <c r="D162" s="36"/>
      <c r="E162" s="204"/>
      <c r="F162" s="36"/>
      <c r="G162" s="36"/>
      <c r="H162" s="36"/>
      <c r="I162" s="204"/>
      <c r="J162" s="36"/>
      <c r="K162" s="36"/>
      <c r="L162" s="193"/>
      <c r="M162" s="36"/>
      <c r="N162" s="36"/>
      <c r="O162" s="36"/>
      <c r="P162" s="36"/>
      <c r="Q162" s="36"/>
      <c r="R162" s="36"/>
      <c r="S162" s="36"/>
      <c r="T162" s="36"/>
      <c r="U162" s="36"/>
      <c r="V162" s="36"/>
      <c r="W162" s="36"/>
      <c r="X162" s="36"/>
      <c r="Y162" s="36"/>
      <c r="Z162" s="193"/>
      <c r="AA162" s="36"/>
      <c r="AB162" s="36"/>
      <c r="AC162" s="36"/>
      <c r="AD162" s="92"/>
      <c r="AE162" s="92"/>
      <c r="AF162" s="92"/>
      <c r="AG162" s="92"/>
      <c r="AH162" s="92"/>
      <c r="AI162" s="92"/>
      <c r="AJ162" s="92"/>
      <c r="AK162" s="92"/>
      <c r="AL162" s="92"/>
      <c r="AM162" s="92"/>
    </row>
    <row r="163" spans="1:39">
      <c r="A163" s="8"/>
      <c r="B163" s="36"/>
      <c r="C163" s="36"/>
      <c r="D163" s="36"/>
      <c r="E163" s="204"/>
      <c r="F163" s="36"/>
      <c r="G163" s="36"/>
      <c r="H163" s="36"/>
      <c r="I163" s="204"/>
      <c r="J163" s="36"/>
      <c r="K163" s="36"/>
      <c r="L163" s="193"/>
      <c r="M163" s="36"/>
      <c r="N163" s="36"/>
      <c r="O163" s="36"/>
      <c r="P163" s="36"/>
      <c r="Q163" s="36"/>
      <c r="R163" s="36"/>
      <c r="S163" s="36"/>
      <c r="T163" s="36"/>
      <c r="U163" s="36"/>
      <c r="V163" s="36"/>
      <c r="W163" s="36"/>
      <c r="X163" s="36"/>
      <c r="Y163" s="36"/>
      <c r="Z163" s="193"/>
      <c r="AA163" s="36"/>
      <c r="AB163" s="36"/>
      <c r="AC163" s="36"/>
      <c r="AD163" s="92"/>
      <c r="AE163" s="92"/>
      <c r="AF163" s="92"/>
      <c r="AG163" s="92"/>
      <c r="AH163" s="92"/>
      <c r="AI163" s="92"/>
      <c r="AJ163" s="92"/>
      <c r="AK163" s="92"/>
      <c r="AL163" s="92"/>
      <c r="AM163" s="92"/>
    </row>
    <row r="164" spans="1:39">
      <c r="A164" s="8"/>
      <c r="B164" s="36"/>
      <c r="C164" s="36"/>
      <c r="D164" s="36"/>
      <c r="E164" s="204"/>
      <c r="F164" s="36"/>
      <c r="G164" s="36"/>
      <c r="H164" s="36"/>
      <c r="I164" s="204"/>
      <c r="J164" s="36"/>
      <c r="K164" s="36"/>
      <c r="L164" s="193"/>
      <c r="M164" s="36"/>
      <c r="N164" s="36"/>
      <c r="O164" s="36"/>
      <c r="P164" s="36"/>
      <c r="Q164" s="36"/>
      <c r="R164" s="36"/>
      <c r="S164" s="36"/>
      <c r="T164" s="36"/>
      <c r="U164" s="36"/>
      <c r="V164" s="36"/>
      <c r="W164" s="36"/>
      <c r="X164" s="36"/>
      <c r="Y164" s="36"/>
      <c r="Z164" s="193"/>
      <c r="AA164" s="36"/>
      <c r="AB164" s="36"/>
      <c r="AC164" s="36"/>
      <c r="AD164" s="92"/>
      <c r="AE164" s="92"/>
      <c r="AF164" s="92"/>
      <c r="AG164" s="92"/>
      <c r="AH164" s="92"/>
      <c r="AI164" s="92"/>
      <c r="AJ164" s="92"/>
      <c r="AK164" s="92"/>
      <c r="AL164" s="92"/>
      <c r="AM164" s="92"/>
    </row>
    <row r="165" spans="1:39">
      <c r="A165" s="8"/>
      <c r="B165" s="36"/>
      <c r="C165" s="36"/>
      <c r="D165" s="36"/>
      <c r="E165" s="204"/>
      <c r="F165" s="36"/>
      <c r="G165" s="36"/>
      <c r="H165" s="36"/>
      <c r="I165" s="204"/>
      <c r="J165" s="36"/>
      <c r="K165" s="36"/>
      <c r="L165" s="193"/>
      <c r="M165" s="36"/>
      <c r="N165" s="36"/>
      <c r="O165" s="36"/>
      <c r="P165" s="36"/>
      <c r="Q165" s="36"/>
      <c r="R165" s="36"/>
      <c r="S165" s="36"/>
      <c r="T165" s="36"/>
      <c r="U165" s="36"/>
      <c r="V165" s="36"/>
      <c r="W165" s="36"/>
      <c r="X165" s="36"/>
      <c r="Y165" s="36"/>
      <c r="Z165" s="193"/>
      <c r="AA165" s="36"/>
      <c r="AB165" s="36"/>
      <c r="AC165" s="36"/>
      <c r="AD165" s="92"/>
      <c r="AE165" s="92"/>
      <c r="AF165" s="92"/>
      <c r="AG165" s="92"/>
      <c r="AH165" s="92"/>
      <c r="AI165" s="92"/>
      <c r="AJ165" s="92"/>
      <c r="AK165" s="92"/>
      <c r="AL165" s="92"/>
      <c r="AM165" s="92"/>
    </row>
    <row r="166" spans="1:39">
      <c r="A166" s="8"/>
      <c r="B166" s="36"/>
      <c r="C166" s="36"/>
      <c r="D166" s="36"/>
      <c r="E166" s="204"/>
      <c r="F166" s="36"/>
      <c r="G166" s="36"/>
      <c r="H166" s="36"/>
      <c r="I166" s="204"/>
      <c r="J166" s="36"/>
      <c r="K166" s="36"/>
      <c r="L166" s="193"/>
      <c r="M166" s="36"/>
      <c r="N166" s="36"/>
      <c r="O166" s="36"/>
      <c r="P166" s="36"/>
      <c r="Q166" s="36"/>
      <c r="R166" s="36"/>
      <c r="S166" s="36"/>
      <c r="T166" s="36"/>
      <c r="U166" s="36"/>
      <c r="V166" s="36"/>
      <c r="W166" s="36"/>
      <c r="X166" s="36"/>
      <c r="Y166" s="36"/>
      <c r="Z166" s="193"/>
      <c r="AA166" s="36"/>
      <c r="AB166" s="36"/>
      <c r="AC166" s="36"/>
      <c r="AD166" s="92"/>
      <c r="AE166" s="92"/>
      <c r="AF166" s="92"/>
      <c r="AG166" s="92"/>
      <c r="AH166" s="92"/>
      <c r="AI166" s="92"/>
      <c r="AJ166" s="92"/>
      <c r="AK166" s="92"/>
      <c r="AL166" s="92"/>
      <c r="AM166" s="92"/>
    </row>
    <row r="167" spans="1:39">
      <c r="A167" s="8"/>
      <c r="B167" s="36"/>
      <c r="C167" s="36"/>
      <c r="D167" s="36"/>
      <c r="E167" s="204"/>
      <c r="F167" s="36"/>
      <c r="G167" s="36"/>
      <c r="H167" s="36"/>
      <c r="I167" s="204"/>
      <c r="J167" s="36"/>
      <c r="K167" s="36"/>
      <c r="L167" s="193"/>
      <c r="M167" s="36"/>
      <c r="N167" s="36"/>
      <c r="O167" s="36"/>
      <c r="P167" s="36"/>
      <c r="Q167" s="36"/>
      <c r="R167" s="36"/>
      <c r="S167" s="36"/>
      <c r="T167" s="36"/>
      <c r="U167" s="36"/>
      <c r="V167" s="36"/>
      <c r="W167" s="36"/>
      <c r="X167" s="36"/>
      <c r="Y167" s="36"/>
      <c r="Z167" s="193"/>
      <c r="AA167" s="36"/>
      <c r="AB167" s="36"/>
      <c r="AC167" s="36"/>
      <c r="AD167" s="92"/>
      <c r="AE167" s="92"/>
      <c r="AF167" s="92"/>
      <c r="AG167" s="92"/>
      <c r="AH167" s="92"/>
      <c r="AI167" s="92"/>
      <c r="AJ167" s="92"/>
      <c r="AK167" s="92"/>
      <c r="AL167" s="92"/>
      <c r="AM167" s="92"/>
    </row>
    <row r="168" spans="1:39">
      <c r="A168" s="8"/>
      <c r="B168" s="36"/>
      <c r="C168" s="36"/>
      <c r="D168" s="36"/>
      <c r="E168" s="204"/>
      <c r="F168" s="36"/>
      <c r="G168" s="36"/>
      <c r="H168" s="36"/>
      <c r="I168" s="204"/>
      <c r="J168" s="36"/>
      <c r="K168" s="36"/>
      <c r="L168" s="193"/>
      <c r="M168" s="36"/>
      <c r="N168" s="36"/>
      <c r="O168" s="36"/>
      <c r="P168" s="36"/>
      <c r="Q168" s="36"/>
      <c r="R168" s="36"/>
      <c r="S168" s="36"/>
      <c r="T168" s="36"/>
      <c r="U168" s="36"/>
      <c r="V168" s="36"/>
      <c r="W168" s="36"/>
      <c r="X168" s="36"/>
      <c r="Y168" s="36"/>
      <c r="Z168" s="193"/>
      <c r="AA168" s="36"/>
      <c r="AB168" s="36"/>
      <c r="AC168" s="36"/>
      <c r="AD168" s="92"/>
      <c r="AE168" s="92"/>
      <c r="AF168" s="92"/>
      <c r="AG168" s="92"/>
      <c r="AH168" s="92"/>
      <c r="AI168" s="92"/>
      <c r="AJ168" s="92"/>
      <c r="AK168" s="92"/>
      <c r="AL168" s="92"/>
      <c r="AM168" s="92"/>
    </row>
    <row r="169" spans="1:39">
      <c r="A169" s="8"/>
      <c r="B169" s="36"/>
      <c r="C169" s="36"/>
      <c r="D169" s="36"/>
      <c r="E169" s="204"/>
      <c r="F169" s="36"/>
      <c r="G169" s="36"/>
      <c r="H169" s="36"/>
      <c r="I169" s="204"/>
      <c r="J169" s="36"/>
      <c r="K169" s="36"/>
      <c r="L169" s="193"/>
      <c r="M169" s="36"/>
      <c r="N169" s="36"/>
      <c r="O169" s="36"/>
      <c r="P169" s="36"/>
      <c r="Q169" s="36"/>
      <c r="R169" s="36"/>
      <c r="S169" s="36"/>
      <c r="T169" s="36"/>
      <c r="U169" s="36"/>
      <c r="V169" s="36"/>
      <c r="W169" s="36"/>
      <c r="X169" s="36"/>
      <c r="Y169" s="36"/>
      <c r="Z169" s="193"/>
      <c r="AA169" s="36"/>
      <c r="AB169" s="36"/>
      <c r="AC169" s="36"/>
      <c r="AD169" s="92"/>
      <c r="AE169" s="92"/>
      <c r="AF169" s="92"/>
      <c r="AG169" s="92"/>
      <c r="AH169" s="92"/>
      <c r="AI169" s="92"/>
      <c r="AJ169" s="92"/>
      <c r="AK169" s="92"/>
      <c r="AL169" s="92"/>
      <c r="AM169" s="92"/>
    </row>
    <row r="170" spans="1:39">
      <c r="A170" s="8"/>
      <c r="B170" s="36"/>
      <c r="C170" s="36"/>
      <c r="D170" s="36"/>
      <c r="E170" s="204"/>
      <c r="F170" s="36"/>
      <c r="G170" s="36"/>
      <c r="H170" s="36"/>
      <c r="I170" s="204"/>
      <c r="J170" s="36"/>
      <c r="K170" s="36"/>
      <c r="L170" s="193"/>
      <c r="M170" s="36"/>
      <c r="N170" s="36"/>
      <c r="O170" s="36"/>
      <c r="P170" s="36"/>
      <c r="Q170" s="36"/>
      <c r="R170" s="36"/>
      <c r="S170" s="36"/>
      <c r="T170" s="36"/>
      <c r="U170" s="36"/>
      <c r="V170" s="36"/>
      <c r="W170" s="36"/>
      <c r="X170" s="36"/>
      <c r="Y170" s="36"/>
      <c r="Z170" s="193"/>
      <c r="AA170" s="36"/>
      <c r="AB170" s="36"/>
      <c r="AC170" s="36"/>
      <c r="AD170" s="92"/>
      <c r="AE170" s="92"/>
      <c r="AF170" s="92"/>
      <c r="AG170" s="92"/>
      <c r="AH170" s="92"/>
      <c r="AI170" s="92"/>
      <c r="AJ170" s="92"/>
      <c r="AK170" s="92"/>
      <c r="AL170" s="92"/>
      <c r="AM170" s="92"/>
    </row>
    <row r="171" spans="1:39">
      <c r="A171" s="8"/>
      <c r="B171" s="36"/>
      <c r="C171" s="36"/>
      <c r="D171" s="36"/>
      <c r="E171" s="204"/>
      <c r="F171" s="36"/>
      <c r="G171" s="36"/>
      <c r="H171" s="36"/>
      <c r="I171" s="204"/>
      <c r="J171" s="36"/>
      <c r="K171" s="36"/>
      <c r="L171" s="193"/>
      <c r="M171" s="36"/>
      <c r="N171" s="36"/>
      <c r="O171" s="36"/>
      <c r="P171" s="36"/>
      <c r="Q171" s="36"/>
      <c r="R171" s="36"/>
      <c r="S171" s="36"/>
      <c r="T171" s="36"/>
      <c r="U171" s="36"/>
      <c r="V171" s="36"/>
      <c r="W171" s="36"/>
      <c r="X171" s="36"/>
      <c r="Y171" s="36"/>
      <c r="Z171" s="193"/>
      <c r="AA171" s="36"/>
      <c r="AB171" s="36"/>
      <c r="AC171" s="36"/>
      <c r="AD171" s="92"/>
      <c r="AE171" s="92"/>
      <c r="AF171" s="92"/>
      <c r="AG171" s="92"/>
      <c r="AH171" s="92"/>
      <c r="AI171" s="92"/>
      <c r="AJ171" s="92"/>
      <c r="AK171" s="92"/>
      <c r="AL171" s="92"/>
      <c r="AM171" s="92"/>
    </row>
    <row r="172" spans="1:39">
      <c r="A172" s="8"/>
      <c r="B172" s="36"/>
      <c r="C172" s="36"/>
      <c r="D172" s="36"/>
      <c r="E172" s="204"/>
      <c r="F172" s="36"/>
      <c r="G172" s="36"/>
      <c r="H172" s="36"/>
      <c r="I172" s="204"/>
      <c r="J172" s="36"/>
      <c r="K172" s="36"/>
      <c r="L172" s="193"/>
      <c r="M172" s="36"/>
      <c r="N172" s="36"/>
      <c r="O172" s="36"/>
      <c r="P172" s="36"/>
      <c r="Q172" s="36"/>
      <c r="R172" s="36"/>
      <c r="S172" s="36"/>
      <c r="T172" s="36"/>
      <c r="U172" s="36"/>
      <c r="V172" s="36"/>
      <c r="W172" s="36"/>
      <c r="X172" s="36"/>
      <c r="Y172" s="36"/>
      <c r="Z172" s="193"/>
      <c r="AA172" s="36"/>
      <c r="AB172" s="36"/>
      <c r="AC172" s="36"/>
      <c r="AD172" s="92"/>
      <c r="AE172" s="92"/>
      <c r="AF172" s="92"/>
      <c r="AG172" s="92"/>
      <c r="AH172" s="92"/>
      <c r="AI172" s="92"/>
      <c r="AJ172" s="92"/>
      <c r="AK172" s="92"/>
      <c r="AL172" s="92"/>
      <c r="AM172" s="92"/>
    </row>
    <row r="173" spans="1:39">
      <c r="A173" s="8"/>
      <c r="B173" s="36"/>
      <c r="C173" s="36"/>
      <c r="D173" s="36"/>
      <c r="E173" s="204"/>
      <c r="F173" s="36"/>
      <c r="G173" s="36"/>
      <c r="H173" s="36"/>
      <c r="I173" s="204"/>
      <c r="J173" s="36"/>
      <c r="K173" s="36"/>
      <c r="L173" s="193"/>
      <c r="M173" s="36"/>
      <c r="N173" s="36"/>
      <c r="O173" s="36"/>
      <c r="P173" s="36"/>
      <c r="Q173" s="36"/>
      <c r="R173" s="36"/>
      <c r="S173" s="36"/>
      <c r="T173" s="36"/>
      <c r="U173" s="36"/>
      <c r="V173" s="36"/>
      <c r="W173" s="36"/>
      <c r="X173" s="36"/>
      <c r="Y173" s="36"/>
      <c r="Z173" s="193"/>
      <c r="AA173" s="36"/>
      <c r="AB173" s="36"/>
      <c r="AC173" s="36"/>
      <c r="AD173" s="92"/>
      <c r="AE173" s="92"/>
      <c r="AF173" s="92"/>
      <c r="AG173" s="92"/>
      <c r="AH173" s="92"/>
      <c r="AI173" s="92"/>
      <c r="AJ173" s="92"/>
      <c r="AK173" s="92"/>
      <c r="AL173" s="92"/>
      <c r="AM173" s="92"/>
    </row>
    <row r="174" spans="1:39">
      <c r="A174" s="8"/>
      <c r="B174" s="36"/>
      <c r="C174" s="36"/>
      <c r="D174" s="36"/>
      <c r="E174" s="204"/>
      <c r="F174" s="36"/>
      <c r="G174" s="36"/>
      <c r="H174" s="36"/>
      <c r="I174" s="204"/>
      <c r="J174" s="36"/>
      <c r="K174" s="36"/>
      <c r="L174" s="193"/>
      <c r="M174" s="36"/>
      <c r="N174" s="36"/>
      <c r="O174" s="36"/>
      <c r="P174" s="36"/>
      <c r="Q174" s="36"/>
      <c r="R174" s="36"/>
      <c r="S174" s="36"/>
      <c r="T174" s="36"/>
      <c r="U174" s="36"/>
      <c r="V174" s="36"/>
      <c r="W174" s="36"/>
      <c r="X174" s="36"/>
      <c r="Y174" s="36"/>
      <c r="Z174" s="193"/>
      <c r="AA174" s="36"/>
      <c r="AB174" s="36"/>
      <c r="AC174" s="36"/>
      <c r="AD174" s="92"/>
      <c r="AE174" s="92"/>
      <c r="AF174" s="92"/>
      <c r="AG174" s="92"/>
      <c r="AH174" s="92"/>
      <c r="AI174" s="92"/>
      <c r="AJ174" s="92"/>
      <c r="AK174" s="92"/>
      <c r="AL174" s="92"/>
      <c r="AM174" s="92"/>
    </row>
    <row r="175" spans="1:39">
      <c r="A175" s="8"/>
      <c r="B175" s="36"/>
      <c r="C175" s="36"/>
      <c r="D175" s="36"/>
      <c r="E175" s="204"/>
      <c r="F175" s="36"/>
      <c r="G175" s="36"/>
      <c r="H175" s="36"/>
      <c r="I175" s="204"/>
      <c r="J175" s="36"/>
      <c r="K175" s="36"/>
      <c r="L175" s="193"/>
      <c r="M175" s="36"/>
      <c r="N175" s="36"/>
      <c r="O175" s="36"/>
      <c r="P175" s="36"/>
      <c r="Q175" s="36"/>
      <c r="R175" s="36"/>
      <c r="S175" s="36"/>
      <c r="T175" s="36"/>
      <c r="U175" s="36"/>
      <c r="V175" s="36"/>
      <c r="W175" s="36"/>
      <c r="X175" s="36"/>
      <c r="Y175" s="36"/>
      <c r="Z175" s="193"/>
      <c r="AA175" s="36"/>
      <c r="AB175" s="36"/>
      <c r="AC175" s="36"/>
      <c r="AD175" s="92"/>
      <c r="AE175" s="92"/>
      <c r="AF175" s="92"/>
      <c r="AG175" s="92"/>
      <c r="AH175" s="92"/>
      <c r="AI175" s="92"/>
      <c r="AJ175" s="92"/>
      <c r="AK175" s="92"/>
      <c r="AL175" s="92"/>
      <c r="AM175" s="92"/>
    </row>
    <row r="176" spans="1:39">
      <c r="A176" s="8"/>
      <c r="B176" s="36"/>
      <c r="C176" s="36"/>
      <c r="D176" s="36"/>
      <c r="E176" s="204"/>
      <c r="F176" s="36"/>
      <c r="G176" s="36"/>
      <c r="H176" s="36"/>
      <c r="I176" s="204"/>
      <c r="J176" s="36"/>
      <c r="K176" s="36"/>
      <c r="L176" s="193"/>
      <c r="M176" s="36"/>
      <c r="N176" s="36"/>
      <c r="O176" s="36"/>
      <c r="P176" s="36"/>
      <c r="Q176" s="36"/>
      <c r="R176" s="36"/>
      <c r="S176" s="36"/>
      <c r="T176" s="36"/>
      <c r="U176" s="36"/>
      <c r="V176" s="36"/>
      <c r="W176" s="36"/>
      <c r="X176" s="36"/>
      <c r="Y176" s="36"/>
      <c r="Z176" s="193"/>
      <c r="AA176" s="36"/>
      <c r="AB176" s="36"/>
      <c r="AC176" s="36"/>
      <c r="AD176" s="92"/>
      <c r="AE176" s="92"/>
      <c r="AF176" s="92"/>
      <c r="AG176" s="92"/>
      <c r="AH176" s="92"/>
      <c r="AI176" s="92"/>
      <c r="AJ176" s="92"/>
      <c r="AK176" s="92"/>
      <c r="AL176" s="92"/>
      <c r="AM176" s="92"/>
    </row>
    <row r="177" spans="1:39">
      <c r="A177" s="8"/>
      <c r="B177" s="36"/>
      <c r="C177" s="36"/>
      <c r="D177" s="36"/>
      <c r="E177" s="204"/>
      <c r="F177" s="36"/>
      <c r="G177" s="36"/>
      <c r="H177" s="36"/>
      <c r="I177" s="204"/>
      <c r="J177" s="36"/>
      <c r="K177" s="36"/>
      <c r="L177" s="193"/>
      <c r="M177" s="36"/>
      <c r="N177" s="36"/>
      <c r="O177" s="36"/>
      <c r="P177" s="36"/>
      <c r="Q177" s="36"/>
      <c r="R177" s="36"/>
      <c r="S177" s="36"/>
      <c r="T177" s="36"/>
      <c r="U177" s="36"/>
      <c r="V177" s="36"/>
      <c r="W177" s="36"/>
      <c r="X177" s="36"/>
      <c r="Y177" s="36"/>
      <c r="Z177" s="193"/>
      <c r="AA177" s="36"/>
      <c r="AB177" s="36"/>
      <c r="AC177" s="36"/>
      <c r="AD177" s="92"/>
      <c r="AE177" s="92"/>
      <c r="AF177" s="92"/>
      <c r="AG177" s="92"/>
      <c r="AH177" s="92"/>
      <c r="AI177" s="92"/>
      <c r="AJ177" s="92"/>
      <c r="AK177" s="92"/>
      <c r="AL177" s="92"/>
      <c r="AM177" s="92"/>
    </row>
    <row r="178" spans="1:39">
      <c r="A178" s="8"/>
      <c r="B178" s="36"/>
      <c r="C178" s="36"/>
      <c r="D178" s="36"/>
      <c r="E178" s="204"/>
      <c r="F178" s="36"/>
      <c r="G178" s="36"/>
      <c r="H178" s="36"/>
      <c r="I178" s="204"/>
      <c r="J178" s="36"/>
      <c r="K178" s="36"/>
      <c r="L178" s="193"/>
      <c r="M178" s="36"/>
      <c r="N178" s="36"/>
      <c r="O178" s="36"/>
      <c r="P178" s="36"/>
      <c r="Q178" s="36"/>
      <c r="R178" s="36"/>
      <c r="S178" s="36"/>
      <c r="T178" s="36"/>
      <c r="U178" s="36"/>
      <c r="V178" s="36"/>
      <c r="W178" s="36"/>
      <c r="X178" s="36"/>
      <c r="Y178" s="36"/>
      <c r="Z178" s="193"/>
      <c r="AA178" s="36"/>
      <c r="AB178" s="36"/>
      <c r="AC178" s="36"/>
      <c r="AD178" s="92"/>
      <c r="AE178" s="92"/>
      <c r="AF178" s="92"/>
      <c r="AG178" s="92"/>
      <c r="AH178" s="92"/>
      <c r="AI178" s="92"/>
      <c r="AJ178" s="92"/>
      <c r="AK178" s="92"/>
      <c r="AL178" s="92"/>
      <c r="AM178" s="92"/>
    </row>
    <row r="179" spans="1:39">
      <c r="A179" s="8"/>
      <c r="B179" s="36"/>
      <c r="C179" s="36"/>
      <c r="D179" s="36"/>
      <c r="E179" s="204"/>
      <c r="F179" s="36"/>
      <c r="G179" s="36"/>
      <c r="H179" s="36"/>
      <c r="I179" s="204"/>
      <c r="J179" s="36"/>
      <c r="K179" s="36"/>
      <c r="L179" s="193"/>
      <c r="M179" s="36"/>
      <c r="N179" s="36"/>
      <c r="O179" s="36"/>
      <c r="P179" s="36"/>
      <c r="Q179" s="36"/>
      <c r="R179" s="36"/>
      <c r="S179" s="36"/>
      <c r="T179" s="36"/>
      <c r="U179" s="36"/>
      <c r="V179" s="36"/>
      <c r="W179" s="36"/>
      <c r="X179" s="36"/>
      <c r="Y179" s="36"/>
      <c r="Z179" s="193"/>
      <c r="AA179" s="36"/>
      <c r="AB179" s="36"/>
      <c r="AC179" s="36"/>
      <c r="AD179" s="92"/>
      <c r="AE179" s="92"/>
      <c r="AF179" s="92"/>
      <c r="AG179" s="92"/>
      <c r="AH179" s="92"/>
      <c r="AI179" s="92"/>
      <c r="AJ179" s="92"/>
      <c r="AK179" s="92"/>
      <c r="AL179" s="92"/>
      <c r="AM179" s="92"/>
    </row>
    <row r="180" spans="1:39">
      <c r="A180" s="8"/>
      <c r="B180" s="36"/>
      <c r="C180" s="36"/>
      <c r="D180" s="36"/>
      <c r="E180" s="204"/>
      <c r="F180" s="36"/>
      <c r="G180" s="36"/>
      <c r="H180" s="36"/>
      <c r="I180" s="204"/>
      <c r="J180" s="36"/>
      <c r="K180" s="36"/>
      <c r="L180" s="193"/>
      <c r="M180" s="36"/>
      <c r="N180" s="36"/>
      <c r="O180" s="36"/>
      <c r="P180" s="36"/>
      <c r="Q180" s="36"/>
      <c r="R180" s="36"/>
      <c r="S180" s="36"/>
      <c r="T180" s="36"/>
      <c r="U180" s="36"/>
      <c r="V180" s="36"/>
      <c r="W180" s="36"/>
      <c r="X180" s="36"/>
      <c r="Y180" s="36"/>
      <c r="Z180" s="193"/>
      <c r="AA180" s="36"/>
      <c r="AB180" s="36"/>
      <c r="AC180" s="36"/>
      <c r="AD180" s="92"/>
      <c r="AE180" s="92"/>
      <c r="AF180" s="92"/>
      <c r="AG180" s="92"/>
      <c r="AH180" s="92"/>
      <c r="AI180" s="92"/>
      <c r="AJ180" s="92"/>
      <c r="AK180" s="92"/>
      <c r="AL180" s="92"/>
      <c r="AM180" s="92"/>
    </row>
    <row r="181" spans="1:39">
      <c r="A181" s="8"/>
      <c r="B181" s="36"/>
      <c r="C181" s="36"/>
      <c r="D181" s="36"/>
      <c r="E181" s="204"/>
      <c r="F181" s="36"/>
      <c r="G181" s="36"/>
      <c r="H181" s="36"/>
      <c r="I181" s="204"/>
      <c r="J181" s="36"/>
      <c r="K181" s="36"/>
      <c r="L181" s="193"/>
      <c r="M181" s="36"/>
      <c r="N181" s="36"/>
      <c r="O181" s="36"/>
      <c r="P181" s="36"/>
      <c r="Q181" s="36"/>
      <c r="R181" s="36"/>
      <c r="S181" s="36"/>
      <c r="T181" s="36"/>
      <c r="U181" s="36"/>
      <c r="V181" s="36"/>
      <c r="W181" s="36"/>
      <c r="X181" s="36"/>
      <c r="Y181" s="36"/>
      <c r="Z181" s="193"/>
      <c r="AA181" s="36"/>
      <c r="AB181" s="36"/>
      <c r="AC181" s="36"/>
      <c r="AD181" s="92"/>
      <c r="AE181" s="92"/>
      <c r="AF181" s="92"/>
      <c r="AG181" s="92"/>
      <c r="AH181" s="92"/>
      <c r="AI181" s="92"/>
      <c r="AJ181" s="92"/>
      <c r="AK181" s="92"/>
      <c r="AL181" s="92"/>
      <c r="AM181" s="92"/>
    </row>
    <row r="182" spans="1:39">
      <c r="A182" s="8"/>
      <c r="B182" s="36"/>
      <c r="C182" s="36"/>
      <c r="D182" s="36"/>
      <c r="E182" s="204"/>
      <c r="F182" s="36"/>
      <c r="G182" s="36"/>
      <c r="H182" s="36"/>
      <c r="I182" s="204"/>
      <c r="J182" s="36"/>
      <c r="K182" s="36"/>
      <c r="L182" s="193"/>
      <c r="M182" s="36"/>
      <c r="N182" s="36"/>
      <c r="O182" s="36"/>
      <c r="P182" s="36"/>
      <c r="Q182" s="36"/>
      <c r="R182" s="36"/>
      <c r="S182" s="36"/>
      <c r="T182" s="36"/>
      <c r="U182" s="36"/>
      <c r="V182" s="36"/>
      <c r="W182" s="36"/>
      <c r="X182" s="36"/>
      <c r="Y182" s="36"/>
      <c r="Z182" s="193"/>
      <c r="AA182" s="36"/>
      <c r="AB182" s="36"/>
      <c r="AC182" s="36"/>
      <c r="AD182" s="92"/>
      <c r="AE182" s="92"/>
      <c r="AF182" s="92"/>
      <c r="AG182" s="92"/>
      <c r="AH182" s="92"/>
      <c r="AI182" s="92"/>
      <c r="AJ182" s="92"/>
      <c r="AK182" s="92"/>
      <c r="AL182" s="92"/>
      <c r="AM182" s="92"/>
    </row>
    <row r="183" spans="1:39">
      <c r="A183" s="8"/>
      <c r="B183" s="36"/>
      <c r="C183" s="36"/>
      <c r="D183" s="36"/>
      <c r="E183" s="204"/>
      <c r="F183" s="36"/>
      <c r="G183" s="36"/>
      <c r="H183" s="36"/>
      <c r="I183" s="204"/>
      <c r="J183" s="36"/>
      <c r="K183" s="36"/>
      <c r="L183" s="193"/>
      <c r="M183" s="36"/>
      <c r="N183" s="36"/>
      <c r="O183" s="36"/>
      <c r="P183" s="36"/>
      <c r="Q183" s="36"/>
      <c r="R183" s="36"/>
      <c r="S183" s="36"/>
      <c r="T183" s="36"/>
      <c r="U183" s="36"/>
      <c r="V183" s="36"/>
      <c r="W183" s="36"/>
      <c r="X183" s="36"/>
      <c r="Y183" s="36"/>
      <c r="Z183" s="193"/>
      <c r="AA183" s="36"/>
      <c r="AB183" s="36"/>
      <c r="AC183" s="36"/>
      <c r="AD183" s="92"/>
      <c r="AE183" s="92"/>
      <c r="AF183" s="92"/>
      <c r="AG183" s="92"/>
      <c r="AH183" s="92"/>
      <c r="AI183" s="92"/>
      <c r="AJ183" s="92"/>
      <c r="AK183" s="92"/>
      <c r="AL183" s="92"/>
      <c r="AM183" s="92"/>
    </row>
    <row r="184" spans="1:39">
      <c r="A184" s="8"/>
      <c r="B184" s="36"/>
      <c r="C184" s="36"/>
      <c r="D184" s="36"/>
      <c r="E184" s="204"/>
      <c r="F184" s="36"/>
      <c r="G184" s="36"/>
      <c r="H184" s="36"/>
      <c r="I184" s="204"/>
      <c r="J184" s="36"/>
      <c r="K184" s="36"/>
      <c r="L184" s="193"/>
      <c r="M184" s="36"/>
      <c r="N184" s="36"/>
      <c r="O184" s="36"/>
      <c r="P184" s="36"/>
      <c r="Q184" s="36"/>
      <c r="R184" s="36"/>
      <c r="S184" s="36"/>
      <c r="T184" s="36"/>
      <c r="U184" s="36"/>
      <c r="V184" s="36"/>
      <c r="W184" s="36"/>
      <c r="X184" s="36"/>
      <c r="Y184" s="36"/>
      <c r="Z184" s="193"/>
      <c r="AA184" s="36"/>
      <c r="AB184" s="36"/>
      <c r="AC184" s="36"/>
      <c r="AD184" s="92"/>
      <c r="AE184" s="92"/>
      <c r="AF184" s="92"/>
      <c r="AG184" s="92"/>
      <c r="AH184" s="92"/>
      <c r="AI184" s="92"/>
      <c r="AJ184" s="92"/>
      <c r="AK184" s="92"/>
      <c r="AL184" s="92"/>
      <c r="AM184" s="92"/>
    </row>
    <row r="185" spans="1:39">
      <c r="A185" s="8"/>
      <c r="B185" s="36"/>
      <c r="C185" s="36"/>
      <c r="D185" s="36"/>
      <c r="E185" s="204"/>
      <c r="F185" s="36"/>
      <c r="G185" s="36"/>
      <c r="H185" s="36"/>
      <c r="I185" s="204"/>
      <c r="J185" s="36"/>
      <c r="K185" s="36"/>
      <c r="L185" s="193"/>
      <c r="M185" s="36"/>
      <c r="N185" s="36"/>
      <c r="O185" s="36"/>
      <c r="P185" s="36"/>
      <c r="Q185" s="36"/>
      <c r="R185" s="36"/>
      <c r="S185" s="36"/>
      <c r="T185" s="36"/>
      <c r="U185" s="36"/>
      <c r="V185" s="36"/>
      <c r="W185" s="36"/>
      <c r="X185" s="36"/>
      <c r="Y185" s="36"/>
      <c r="Z185" s="193"/>
      <c r="AA185" s="36"/>
      <c r="AB185" s="36"/>
      <c r="AC185" s="36"/>
      <c r="AD185" s="92"/>
      <c r="AE185" s="92"/>
      <c r="AF185" s="92"/>
      <c r="AG185" s="92"/>
      <c r="AH185" s="92"/>
      <c r="AI185" s="92"/>
      <c r="AJ185" s="92"/>
      <c r="AK185" s="92"/>
      <c r="AL185" s="92"/>
      <c r="AM185" s="92"/>
    </row>
    <row r="186" spans="1:39">
      <c r="A186" s="8"/>
      <c r="B186" s="36"/>
      <c r="C186" s="36"/>
      <c r="D186" s="36"/>
      <c r="E186" s="204"/>
      <c r="F186" s="36"/>
      <c r="G186" s="36"/>
      <c r="H186" s="36"/>
      <c r="I186" s="204"/>
      <c r="J186" s="36"/>
      <c r="K186" s="36"/>
      <c r="L186" s="193"/>
      <c r="M186" s="36"/>
      <c r="N186" s="36"/>
      <c r="O186" s="36"/>
      <c r="P186" s="36"/>
      <c r="Q186" s="36"/>
      <c r="R186" s="36"/>
      <c r="S186" s="36"/>
      <c r="T186" s="36"/>
      <c r="U186" s="36"/>
      <c r="V186" s="36"/>
      <c r="W186" s="36"/>
      <c r="X186" s="36"/>
      <c r="Y186" s="36"/>
      <c r="Z186" s="193"/>
      <c r="AA186" s="36"/>
      <c r="AB186" s="36"/>
      <c r="AC186" s="36"/>
      <c r="AD186" s="92"/>
      <c r="AE186" s="92"/>
      <c r="AF186" s="92"/>
      <c r="AG186" s="92"/>
      <c r="AH186" s="92"/>
      <c r="AI186" s="92"/>
      <c r="AJ186" s="92"/>
      <c r="AK186" s="92"/>
      <c r="AL186" s="92"/>
      <c r="AM186" s="92"/>
    </row>
    <row r="187" spans="1:39">
      <c r="A187" s="8"/>
      <c r="B187" s="36"/>
      <c r="C187" s="36"/>
      <c r="D187" s="36"/>
      <c r="E187" s="204"/>
      <c r="F187" s="36"/>
      <c r="G187" s="36"/>
      <c r="H187" s="36"/>
      <c r="I187" s="204"/>
      <c r="J187" s="36"/>
      <c r="K187" s="36"/>
      <c r="L187" s="193"/>
      <c r="M187" s="36"/>
      <c r="N187" s="36"/>
      <c r="O187" s="36"/>
      <c r="P187" s="36"/>
      <c r="Q187" s="36"/>
      <c r="R187" s="36"/>
      <c r="S187" s="36"/>
      <c r="T187" s="36"/>
      <c r="U187" s="36"/>
      <c r="V187" s="36"/>
      <c r="W187" s="36"/>
      <c r="X187" s="36"/>
      <c r="Y187" s="36"/>
      <c r="Z187" s="193"/>
      <c r="AA187" s="36"/>
      <c r="AB187" s="36"/>
      <c r="AC187" s="36"/>
      <c r="AD187" s="92"/>
      <c r="AE187" s="92"/>
      <c r="AF187" s="92"/>
      <c r="AG187" s="92"/>
      <c r="AH187" s="92"/>
      <c r="AI187" s="92"/>
      <c r="AJ187" s="92"/>
      <c r="AK187" s="92"/>
      <c r="AL187" s="92"/>
      <c r="AM187" s="92"/>
    </row>
    <row r="188" spans="1:39">
      <c r="A188" s="8"/>
      <c r="B188" s="36"/>
      <c r="C188" s="36"/>
      <c r="D188" s="36"/>
      <c r="E188" s="204"/>
      <c r="F188" s="36"/>
      <c r="G188" s="36"/>
      <c r="H188" s="36"/>
      <c r="I188" s="204"/>
      <c r="J188" s="36"/>
      <c r="K188" s="36"/>
      <c r="L188" s="193"/>
      <c r="M188" s="36"/>
      <c r="N188" s="36"/>
      <c r="O188" s="36"/>
      <c r="P188" s="36"/>
      <c r="Q188" s="36"/>
      <c r="R188" s="36"/>
      <c r="S188" s="36"/>
      <c r="T188" s="36"/>
      <c r="U188" s="36"/>
      <c r="V188" s="36"/>
      <c r="W188" s="36"/>
      <c r="X188" s="36"/>
      <c r="Y188" s="36"/>
      <c r="Z188" s="193"/>
      <c r="AA188" s="36"/>
      <c r="AB188" s="36"/>
      <c r="AC188" s="36"/>
      <c r="AD188" s="92"/>
      <c r="AE188" s="92"/>
      <c r="AF188" s="92"/>
      <c r="AG188" s="92"/>
      <c r="AH188" s="92"/>
      <c r="AI188" s="92"/>
      <c r="AJ188" s="92"/>
      <c r="AK188" s="92"/>
      <c r="AL188" s="92"/>
      <c r="AM188" s="92"/>
    </row>
    <row r="189" spans="1:39">
      <c r="A189" s="8"/>
      <c r="B189" s="36"/>
      <c r="C189" s="36"/>
      <c r="D189" s="36"/>
      <c r="E189" s="204"/>
      <c r="F189" s="36"/>
      <c r="G189" s="36"/>
      <c r="H189" s="36"/>
      <c r="I189" s="204"/>
      <c r="J189" s="36"/>
      <c r="K189" s="36"/>
      <c r="L189" s="193"/>
      <c r="M189" s="36"/>
      <c r="N189" s="36"/>
      <c r="O189" s="36"/>
      <c r="P189" s="36"/>
      <c r="Q189" s="36"/>
      <c r="R189" s="36"/>
      <c r="S189" s="36"/>
      <c r="T189" s="36"/>
      <c r="U189" s="36"/>
      <c r="V189" s="36"/>
      <c r="W189" s="36"/>
      <c r="X189" s="36"/>
      <c r="Y189" s="36"/>
      <c r="Z189" s="193"/>
      <c r="AA189" s="36"/>
      <c r="AB189" s="36"/>
      <c r="AC189" s="36"/>
      <c r="AD189" s="92"/>
      <c r="AE189" s="92"/>
      <c r="AF189" s="92"/>
      <c r="AG189" s="92"/>
      <c r="AH189" s="92"/>
      <c r="AI189" s="92"/>
      <c r="AJ189" s="92"/>
      <c r="AK189" s="92"/>
      <c r="AL189" s="92"/>
      <c r="AM189" s="92"/>
    </row>
    <row r="190" spans="1:39">
      <c r="A190" s="8"/>
      <c r="B190" s="36"/>
      <c r="C190" s="36"/>
      <c r="D190" s="36"/>
      <c r="E190" s="204"/>
      <c r="F190" s="36"/>
      <c r="G190" s="36"/>
      <c r="H190" s="36"/>
      <c r="I190" s="204"/>
      <c r="J190" s="36"/>
      <c r="K190" s="36"/>
      <c r="L190" s="193"/>
      <c r="M190" s="36"/>
      <c r="N190" s="36"/>
      <c r="O190" s="36"/>
      <c r="P190" s="36"/>
      <c r="Q190" s="36"/>
      <c r="R190" s="36"/>
      <c r="S190" s="36"/>
      <c r="T190" s="36"/>
      <c r="U190" s="36"/>
      <c r="V190" s="36"/>
      <c r="W190" s="36"/>
      <c r="X190" s="36"/>
      <c r="Y190" s="36"/>
      <c r="Z190" s="193"/>
      <c r="AA190" s="36"/>
      <c r="AB190" s="36"/>
      <c r="AC190" s="36"/>
      <c r="AD190" s="92"/>
      <c r="AE190" s="92"/>
      <c r="AF190" s="92"/>
      <c r="AG190" s="92"/>
      <c r="AH190" s="92"/>
      <c r="AI190" s="92"/>
      <c r="AJ190" s="92"/>
      <c r="AK190" s="92"/>
      <c r="AL190" s="92"/>
      <c r="AM190" s="92"/>
    </row>
    <row r="191" spans="1:39">
      <c r="A191" s="8"/>
      <c r="B191" s="36"/>
      <c r="C191" s="36"/>
      <c r="D191" s="36"/>
      <c r="E191" s="204"/>
      <c r="F191" s="36"/>
      <c r="G191" s="36"/>
      <c r="H191" s="36"/>
      <c r="I191" s="204"/>
      <c r="J191" s="36"/>
      <c r="K191" s="36"/>
      <c r="L191" s="193"/>
      <c r="M191" s="36"/>
      <c r="N191" s="36"/>
      <c r="O191" s="36"/>
      <c r="P191" s="36"/>
      <c r="Q191" s="36"/>
      <c r="R191" s="36"/>
      <c r="S191" s="36"/>
      <c r="T191" s="36"/>
      <c r="U191" s="36"/>
      <c r="V191" s="36"/>
      <c r="W191" s="36"/>
      <c r="X191" s="36"/>
      <c r="Y191" s="36"/>
      <c r="Z191" s="193"/>
      <c r="AA191" s="36"/>
      <c r="AB191" s="36"/>
      <c r="AC191" s="36"/>
      <c r="AD191" s="92"/>
      <c r="AE191" s="92"/>
      <c r="AF191" s="92"/>
      <c r="AG191" s="92"/>
      <c r="AH191" s="92"/>
      <c r="AI191" s="92"/>
      <c r="AJ191" s="92"/>
      <c r="AK191" s="92"/>
      <c r="AL191" s="92"/>
      <c r="AM191" s="92"/>
    </row>
    <row r="192" spans="1:39">
      <c r="A192" s="8"/>
      <c r="B192" s="36"/>
      <c r="C192" s="36"/>
      <c r="D192" s="36"/>
      <c r="E192" s="204"/>
      <c r="F192" s="36"/>
      <c r="G192" s="36"/>
      <c r="H192" s="36"/>
      <c r="I192" s="204"/>
      <c r="J192" s="36"/>
      <c r="K192" s="36"/>
      <c r="L192" s="193"/>
      <c r="M192" s="36"/>
      <c r="N192" s="36"/>
      <c r="O192" s="36"/>
      <c r="P192" s="36"/>
      <c r="Q192" s="36"/>
      <c r="R192" s="36"/>
      <c r="S192" s="36"/>
      <c r="T192" s="36"/>
      <c r="U192" s="36"/>
      <c r="V192" s="36"/>
      <c r="W192" s="36"/>
      <c r="X192" s="36"/>
      <c r="Y192" s="36"/>
      <c r="Z192" s="193"/>
      <c r="AA192" s="36"/>
      <c r="AB192" s="36"/>
      <c r="AC192" s="36"/>
      <c r="AD192" s="92"/>
      <c r="AE192" s="92"/>
      <c r="AF192" s="92"/>
      <c r="AG192" s="92"/>
      <c r="AH192" s="92"/>
      <c r="AI192" s="92"/>
      <c r="AJ192" s="92"/>
      <c r="AK192" s="92"/>
      <c r="AL192" s="92"/>
      <c r="AM192" s="92"/>
    </row>
    <row r="193" spans="1:39">
      <c r="A193" s="8"/>
      <c r="B193" s="36"/>
      <c r="C193" s="36"/>
      <c r="D193" s="36"/>
      <c r="E193" s="204"/>
      <c r="F193" s="36"/>
      <c r="G193" s="36"/>
      <c r="H193" s="36"/>
      <c r="I193" s="204"/>
      <c r="J193" s="36"/>
      <c r="K193" s="36"/>
      <c r="L193" s="193"/>
      <c r="M193" s="36"/>
      <c r="N193" s="36"/>
      <c r="O193" s="36"/>
      <c r="P193" s="36"/>
      <c r="Q193" s="36"/>
      <c r="R193" s="36"/>
      <c r="S193" s="36"/>
      <c r="T193" s="36"/>
      <c r="U193" s="36"/>
      <c r="V193" s="36"/>
      <c r="W193" s="36"/>
      <c r="X193" s="36"/>
      <c r="Y193" s="36"/>
      <c r="Z193" s="193"/>
      <c r="AA193" s="36"/>
      <c r="AB193" s="36"/>
      <c r="AC193" s="36"/>
      <c r="AD193" s="92"/>
      <c r="AE193" s="92"/>
      <c r="AF193" s="92"/>
      <c r="AG193" s="92"/>
      <c r="AH193" s="92"/>
      <c r="AI193" s="92"/>
      <c r="AJ193" s="92"/>
      <c r="AK193" s="92"/>
      <c r="AL193" s="92"/>
      <c r="AM193" s="92"/>
    </row>
    <row r="194" spans="1:39">
      <c r="A194" s="8"/>
      <c r="B194" s="36"/>
      <c r="C194" s="36"/>
      <c r="D194" s="36"/>
      <c r="E194" s="204"/>
      <c r="F194" s="36"/>
      <c r="G194" s="36"/>
      <c r="H194" s="36"/>
      <c r="I194" s="204"/>
      <c r="J194" s="36"/>
      <c r="K194" s="36"/>
      <c r="L194" s="193"/>
      <c r="M194" s="36"/>
      <c r="N194" s="36"/>
      <c r="O194" s="36"/>
      <c r="P194" s="36"/>
      <c r="Q194" s="36"/>
      <c r="R194" s="36"/>
      <c r="S194" s="36"/>
      <c r="T194" s="36"/>
      <c r="U194" s="36"/>
      <c r="V194" s="36"/>
      <c r="W194" s="36"/>
      <c r="X194" s="36"/>
      <c r="Y194" s="36"/>
      <c r="Z194" s="193"/>
      <c r="AA194" s="36"/>
      <c r="AB194" s="36"/>
      <c r="AC194" s="36"/>
      <c r="AD194" s="92"/>
      <c r="AE194" s="92"/>
      <c r="AF194" s="92"/>
      <c r="AG194" s="92"/>
      <c r="AH194" s="92"/>
      <c r="AI194" s="92"/>
      <c r="AJ194" s="92"/>
      <c r="AK194" s="92"/>
      <c r="AL194" s="92"/>
      <c r="AM194" s="92"/>
    </row>
    <row r="195" spans="1:39">
      <c r="A195" s="8"/>
      <c r="B195" s="36"/>
      <c r="C195" s="36"/>
      <c r="D195" s="36"/>
      <c r="E195" s="204"/>
      <c r="F195" s="36"/>
      <c r="G195" s="36"/>
      <c r="H195" s="36"/>
      <c r="I195" s="204"/>
      <c r="J195" s="36"/>
      <c r="K195" s="36"/>
      <c r="L195" s="193"/>
      <c r="M195" s="36"/>
      <c r="N195" s="36"/>
      <c r="O195" s="36"/>
      <c r="P195" s="36"/>
      <c r="Q195" s="36"/>
      <c r="R195" s="36"/>
      <c r="S195" s="36"/>
      <c r="T195" s="36"/>
      <c r="U195" s="36"/>
      <c r="V195" s="36"/>
      <c r="W195" s="36"/>
      <c r="X195" s="36"/>
      <c r="Y195" s="36"/>
      <c r="Z195" s="193"/>
      <c r="AA195" s="36"/>
      <c r="AB195" s="36"/>
      <c r="AC195" s="36"/>
      <c r="AD195" s="92"/>
      <c r="AE195" s="92"/>
      <c r="AF195" s="92"/>
      <c r="AG195" s="92"/>
      <c r="AH195" s="92"/>
      <c r="AI195" s="92"/>
      <c r="AJ195" s="92"/>
      <c r="AK195" s="92"/>
      <c r="AL195" s="92"/>
      <c r="AM195" s="92"/>
    </row>
    <row r="196" spans="1:39">
      <c r="A196" s="8"/>
      <c r="B196" s="36"/>
      <c r="C196" s="36"/>
      <c r="D196" s="36"/>
      <c r="E196" s="204"/>
      <c r="F196" s="36"/>
      <c r="G196" s="36"/>
      <c r="H196" s="36"/>
      <c r="I196" s="204"/>
      <c r="J196" s="36"/>
      <c r="K196" s="36"/>
      <c r="L196" s="193"/>
      <c r="M196" s="36"/>
      <c r="N196" s="36"/>
      <c r="O196" s="36"/>
      <c r="P196" s="36"/>
      <c r="Q196" s="36"/>
      <c r="R196" s="36"/>
      <c r="S196" s="36"/>
      <c r="T196" s="36"/>
      <c r="U196" s="36"/>
      <c r="V196" s="36"/>
      <c r="W196" s="36"/>
      <c r="X196" s="36"/>
      <c r="Y196" s="36"/>
      <c r="Z196" s="193"/>
      <c r="AA196" s="36"/>
      <c r="AB196" s="36"/>
      <c r="AC196" s="36"/>
      <c r="AD196" s="92"/>
      <c r="AE196" s="92"/>
      <c r="AF196" s="92"/>
      <c r="AG196" s="92"/>
      <c r="AH196" s="92"/>
      <c r="AI196" s="92"/>
      <c r="AJ196" s="92"/>
      <c r="AK196" s="92"/>
      <c r="AL196" s="92"/>
      <c r="AM196" s="92"/>
    </row>
    <row r="197" spans="1:39">
      <c r="A197" s="8"/>
      <c r="B197" s="36"/>
      <c r="C197" s="36"/>
      <c r="D197" s="36"/>
      <c r="E197" s="204"/>
      <c r="F197" s="36"/>
      <c r="G197" s="36"/>
      <c r="H197" s="36"/>
      <c r="I197" s="204"/>
      <c r="J197" s="36"/>
      <c r="K197" s="36"/>
      <c r="L197" s="193"/>
      <c r="M197" s="36"/>
      <c r="N197" s="36"/>
      <c r="O197" s="36"/>
      <c r="P197" s="36"/>
      <c r="Q197" s="36"/>
      <c r="R197" s="36"/>
      <c r="S197" s="36"/>
      <c r="T197" s="36"/>
      <c r="U197" s="36"/>
      <c r="V197" s="36"/>
      <c r="W197" s="36"/>
      <c r="X197" s="36"/>
      <c r="Y197" s="36"/>
      <c r="Z197" s="193"/>
      <c r="AA197" s="36"/>
      <c r="AB197" s="36"/>
      <c r="AC197" s="36"/>
      <c r="AD197" s="92"/>
      <c r="AE197" s="92"/>
      <c r="AF197" s="92"/>
      <c r="AG197" s="92"/>
      <c r="AH197" s="92"/>
      <c r="AI197" s="92"/>
      <c r="AJ197" s="92"/>
      <c r="AK197" s="92"/>
      <c r="AL197" s="92"/>
      <c r="AM197" s="92"/>
    </row>
    <row r="198" spans="1:39">
      <c r="A198" s="8"/>
      <c r="B198" s="36"/>
      <c r="C198" s="36"/>
      <c r="D198" s="36"/>
      <c r="E198" s="204"/>
      <c r="F198" s="36"/>
      <c r="G198" s="36"/>
      <c r="H198" s="36"/>
      <c r="I198" s="204"/>
      <c r="J198" s="36"/>
      <c r="K198" s="36"/>
      <c r="L198" s="193"/>
      <c r="M198" s="36"/>
      <c r="N198" s="36"/>
      <c r="O198" s="36"/>
      <c r="P198" s="36"/>
      <c r="Q198" s="36"/>
      <c r="R198" s="36"/>
      <c r="S198" s="36"/>
      <c r="T198" s="36"/>
      <c r="U198" s="36"/>
      <c r="V198" s="36"/>
      <c r="W198" s="36"/>
      <c r="X198" s="36"/>
      <c r="Y198" s="36"/>
      <c r="Z198" s="193"/>
      <c r="AA198" s="36"/>
      <c r="AB198" s="36"/>
      <c r="AC198" s="36"/>
      <c r="AD198" s="92"/>
      <c r="AE198" s="92"/>
      <c r="AF198" s="92"/>
      <c r="AG198" s="92"/>
      <c r="AH198" s="92"/>
      <c r="AI198" s="92"/>
      <c r="AJ198" s="92"/>
      <c r="AK198" s="92"/>
      <c r="AL198" s="92"/>
      <c r="AM198" s="92"/>
    </row>
    <row r="199" spans="1:39">
      <c r="A199" s="8"/>
      <c r="B199" s="36"/>
      <c r="C199" s="36"/>
      <c r="D199" s="36"/>
      <c r="E199" s="204"/>
      <c r="F199" s="36"/>
      <c r="G199" s="36"/>
      <c r="H199" s="36"/>
      <c r="I199" s="204"/>
      <c r="J199" s="36"/>
      <c r="K199" s="36"/>
      <c r="L199" s="193"/>
      <c r="M199" s="36"/>
      <c r="N199" s="36"/>
      <c r="O199" s="36"/>
      <c r="P199" s="36"/>
      <c r="Q199" s="36"/>
      <c r="R199" s="36"/>
      <c r="S199" s="36"/>
      <c r="T199" s="36"/>
      <c r="U199" s="36"/>
      <c r="V199" s="36"/>
      <c r="W199" s="36"/>
      <c r="X199" s="36"/>
      <c r="Y199" s="36"/>
      <c r="Z199" s="193"/>
      <c r="AA199" s="36"/>
      <c r="AB199" s="36"/>
      <c r="AC199" s="36"/>
      <c r="AD199" s="92"/>
      <c r="AE199" s="92"/>
      <c r="AF199" s="92"/>
      <c r="AG199" s="92"/>
      <c r="AH199" s="92"/>
      <c r="AI199" s="92"/>
      <c r="AJ199" s="92"/>
      <c r="AK199" s="92"/>
      <c r="AL199" s="92"/>
      <c r="AM199" s="92"/>
    </row>
    <row r="200" spans="1:39">
      <c r="A200" s="8"/>
      <c r="B200" s="36"/>
      <c r="C200" s="36"/>
      <c r="D200" s="36"/>
      <c r="E200" s="204"/>
      <c r="F200" s="36"/>
      <c r="G200" s="36"/>
      <c r="H200" s="36"/>
      <c r="I200" s="204"/>
      <c r="J200" s="36"/>
      <c r="K200" s="36"/>
      <c r="L200" s="193"/>
      <c r="M200" s="36"/>
      <c r="N200" s="36"/>
      <c r="O200" s="36"/>
      <c r="P200" s="36"/>
      <c r="Q200" s="36"/>
      <c r="R200" s="36"/>
      <c r="S200" s="36"/>
      <c r="T200" s="36"/>
      <c r="U200" s="36"/>
      <c r="V200" s="36"/>
      <c r="W200" s="36"/>
      <c r="X200" s="36"/>
      <c r="Y200" s="36"/>
      <c r="Z200" s="193"/>
      <c r="AA200" s="36"/>
      <c r="AB200" s="36"/>
      <c r="AC200" s="36"/>
      <c r="AD200" s="92"/>
      <c r="AE200" s="92"/>
      <c r="AF200" s="92"/>
      <c r="AG200" s="92"/>
      <c r="AH200" s="92"/>
      <c r="AI200" s="92"/>
      <c r="AJ200" s="92"/>
      <c r="AK200" s="92"/>
      <c r="AL200" s="92"/>
      <c r="AM200" s="92"/>
    </row>
    <row r="201" spans="1:39">
      <c r="A201" s="8"/>
      <c r="B201" s="36"/>
      <c r="C201" s="36"/>
      <c r="D201" s="36"/>
      <c r="E201" s="204"/>
      <c r="F201" s="36"/>
      <c r="G201" s="36"/>
      <c r="H201" s="36"/>
      <c r="I201" s="204"/>
      <c r="J201" s="36"/>
      <c r="K201" s="36"/>
      <c r="L201" s="193"/>
      <c r="M201" s="36"/>
      <c r="N201" s="36"/>
      <c r="O201" s="36"/>
      <c r="P201" s="36"/>
      <c r="Q201" s="36"/>
      <c r="R201" s="36"/>
      <c r="S201" s="36"/>
      <c r="T201" s="36"/>
      <c r="U201" s="36"/>
      <c r="V201" s="36"/>
      <c r="W201" s="36"/>
      <c r="X201" s="36"/>
      <c r="Y201" s="36"/>
      <c r="Z201" s="193"/>
      <c r="AA201" s="36"/>
      <c r="AB201" s="36"/>
      <c r="AC201" s="36"/>
      <c r="AD201" s="92"/>
      <c r="AE201" s="92"/>
      <c r="AF201" s="92"/>
      <c r="AG201" s="92"/>
      <c r="AH201" s="92"/>
      <c r="AI201" s="92"/>
      <c r="AJ201" s="92"/>
      <c r="AK201" s="92"/>
      <c r="AL201" s="92"/>
      <c r="AM201" s="92"/>
    </row>
    <row r="202" spans="1:39">
      <c r="A202" s="8"/>
      <c r="B202" s="36"/>
      <c r="C202" s="36"/>
      <c r="D202" s="36"/>
      <c r="E202" s="204"/>
      <c r="F202" s="36"/>
      <c r="G202" s="36"/>
      <c r="H202" s="36"/>
      <c r="I202" s="204"/>
      <c r="J202" s="36"/>
      <c r="K202" s="36"/>
      <c r="L202" s="193"/>
      <c r="M202" s="36"/>
      <c r="N202" s="36"/>
      <c r="O202" s="36"/>
      <c r="P202" s="36"/>
      <c r="Q202" s="36"/>
      <c r="R202" s="36"/>
      <c r="S202" s="36"/>
      <c r="T202" s="36"/>
      <c r="U202" s="36"/>
      <c r="V202" s="36"/>
      <c r="W202" s="36"/>
      <c r="X202" s="36"/>
      <c r="Y202" s="36"/>
      <c r="Z202" s="193"/>
      <c r="AA202" s="36"/>
      <c r="AB202" s="36"/>
      <c r="AC202" s="36"/>
      <c r="AD202" s="92"/>
      <c r="AE202" s="92"/>
      <c r="AF202" s="92"/>
      <c r="AG202" s="92"/>
      <c r="AH202" s="92"/>
      <c r="AI202" s="92"/>
      <c r="AJ202" s="92"/>
      <c r="AK202" s="92"/>
      <c r="AL202" s="92"/>
      <c r="AM202" s="92"/>
    </row>
    <row r="203" spans="1:39">
      <c r="A203" s="8"/>
      <c r="B203" s="36"/>
      <c r="C203" s="36"/>
      <c r="D203" s="36"/>
      <c r="E203" s="204"/>
      <c r="F203" s="36"/>
      <c r="G203" s="36"/>
      <c r="H203" s="36"/>
      <c r="I203" s="204"/>
      <c r="J203" s="36"/>
      <c r="K203" s="36"/>
      <c r="L203" s="193"/>
      <c r="M203" s="36"/>
      <c r="N203" s="36"/>
      <c r="O203" s="36"/>
      <c r="P203" s="36"/>
      <c r="Q203" s="36"/>
      <c r="R203" s="36"/>
      <c r="S203" s="36"/>
      <c r="T203" s="36"/>
      <c r="U203" s="36"/>
      <c r="V203" s="36"/>
      <c r="W203" s="36"/>
      <c r="X203" s="36"/>
      <c r="Y203" s="36"/>
      <c r="Z203" s="193"/>
      <c r="AA203" s="36"/>
      <c r="AB203" s="36"/>
      <c r="AC203" s="36"/>
      <c r="AD203" s="92"/>
      <c r="AE203" s="92"/>
      <c r="AF203" s="92"/>
      <c r="AG203" s="92"/>
      <c r="AH203" s="92"/>
      <c r="AI203" s="92"/>
      <c r="AJ203" s="92"/>
      <c r="AK203" s="92"/>
      <c r="AL203" s="92"/>
      <c r="AM203" s="92"/>
    </row>
    <row r="204" spans="1:39">
      <c r="A204" s="8"/>
      <c r="B204" s="36"/>
      <c r="C204" s="36"/>
      <c r="D204" s="36"/>
      <c r="E204" s="204"/>
      <c r="F204" s="36"/>
      <c r="G204" s="36"/>
      <c r="H204" s="36"/>
      <c r="I204" s="204"/>
      <c r="J204" s="36"/>
      <c r="K204" s="36"/>
      <c r="L204" s="193"/>
      <c r="M204" s="36"/>
      <c r="N204" s="36"/>
      <c r="O204" s="36"/>
      <c r="P204" s="36"/>
      <c r="Q204" s="36"/>
      <c r="R204" s="36"/>
      <c r="S204" s="36"/>
      <c r="T204" s="36"/>
      <c r="U204" s="36"/>
      <c r="V204" s="36"/>
      <c r="W204" s="36"/>
      <c r="X204" s="36"/>
      <c r="Y204" s="36"/>
      <c r="Z204" s="193"/>
      <c r="AA204" s="36"/>
      <c r="AB204" s="36"/>
      <c r="AC204" s="36"/>
      <c r="AD204" s="92"/>
      <c r="AE204" s="92"/>
      <c r="AF204" s="92"/>
      <c r="AG204" s="92"/>
      <c r="AH204" s="92"/>
      <c r="AI204" s="92"/>
      <c r="AJ204" s="92"/>
      <c r="AK204" s="92"/>
      <c r="AL204" s="92"/>
      <c r="AM204" s="92"/>
    </row>
    <row r="205" spans="1:39">
      <c r="A205" s="8"/>
      <c r="B205" s="36"/>
      <c r="C205" s="36"/>
      <c r="D205" s="36"/>
      <c r="E205" s="204"/>
      <c r="F205" s="36"/>
      <c r="G205" s="36"/>
      <c r="H205" s="36"/>
      <c r="I205" s="204"/>
      <c r="J205" s="36"/>
      <c r="K205" s="36"/>
      <c r="L205" s="193"/>
      <c r="M205" s="36"/>
      <c r="N205" s="36"/>
      <c r="O205" s="36"/>
      <c r="P205" s="36"/>
      <c r="Q205" s="36"/>
      <c r="R205" s="36"/>
      <c r="S205" s="36"/>
      <c r="T205" s="36"/>
      <c r="U205" s="36"/>
      <c r="V205" s="36"/>
      <c r="W205" s="36"/>
      <c r="X205" s="36"/>
      <c r="Y205" s="36"/>
      <c r="Z205" s="193"/>
      <c r="AA205" s="36"/>
      <c r="AB205" s="36"/>
      <c r="AC205" s="36"/>
      <c r="AD205" s="92"/>
      <c r="AE205" s="92"/>
      <c r="AF205" s="92"/>
      <c r="AG205" s="92"/>
      <c r="AH205" s="92"/>
      <c r="AI205" s="92"/>
      <c r="AJ205" s="92"/>
      <c r="AK205" s="92"/>
      <c r="AL205" s="92"/>
      <c r="AM205" s="92"/>
    </row>
    <row r="206" spans="1:39">
      <c r="A206" s="8"/>
      <c r="B206" s="36"/>
      <c r="C206" s="36"/>
      <c r="D206" s="36"/>
      <c r="E206" s="204"/>
      <c r="F206" s="36"/>
      <c r="G206" s="36"/>
      <c r="H206" s="36"/>
      <c r="I206" s="204"/>
      <c r="J206" s="36"/>
      <c r="K206" s="36"/>
      <c r="L206" s="193"/>
      <c r="M206" s="36"/>
      <c r="N206" s="36"/>
      <c r="O206" s="36"/>
      <c r="P206" s="36"/>
      <c r="Q206" s="36"/>
      <c r="R206" s="36"/>
      <c r="S206" s="36"/>
      <c r="T206" s="36"/>
      <c r="U206" s="36"/>
      <c r="V206" s="36"/>
      <c r="W206" s="36"/>
      <c r="X206" s="36"/>
      <c r="Y206" s="36"/>
      <c r="Z206" s="193"/>
      <c r="AA206" s="36"/>
      <c r="AB206" s="36"/>
      <c r="AC206" s="36"/>
      <c r="AD206" s="92"/>
      <c r="AE206" s="92"/>
      <c r="AF206" s="92"/>
      <c r="AG206" s="92"/>
      <c r="AH206" s="92"/>
      <c r="AI206" s="92"/>
      <c r="AJ206" s="92"/>
      <c r="AK206" s="92"/>
      <c r="AL206" s="92"/>
      <c r="AM206" s="92"/>
    </row>
    <row r="207" spans="1:39">
      <c r="A207" s="8"/>
      <c r="B207" s="36"/>
      <c r="C207" s="36"/>
      <c r="D207" s="36"/>
      <c r="E207" s="204"/>
      <c r="F207" s="36"/>
      <c r="G207" s="36"/>
      <c r="H207" s="36"/>
      <c r="I207" s="204"/>
      <c r="J207" s="36"/>
      <c r="K207" s="36"/>
      <c r="L207" s="193"/>
      <c r="M207" s="36"/>
      <c r="N207" s="36"/>
      <c r="O207" s="36"/>
      <c r="P207" s="36"/>
      <c r="Q207" s="36"/>
      <c r="R207" s="36"/>
      <c r="S207" s="36"/>
      <c r="T207" s="36"/>
      <c r="U207" s="36"/>
      <c r="V207" s="36"/>
      <c r="W207" s="36"/>
      <c r="X207" s="36"/>
      <c r="Y207" s="36"/>
      <c r="Z207" s="193"/>
      <c r="AA207" s="36"/>
      <c r="AB207" s="36"/>
      <c r="AC207" s="36"/>
      <c r="AD207" s="92"/>
      <c r="AE207" s="92"/>
      <c r="AF207" s="92"/>
      <c r="AG207" s="92"/>
      <c r="AH207" s="92"/>
      <c r="AI207" s="92"/>
      <c r="AJ207" s="92"/>
      <c r="AK207" s="92"/>
      <c r="AL207" s="92"/>
      <c r="AM207" s="92"/>
    </row>
    <row r="208" spans="1:39">
      <c r="A208" s="8"/>
      <c r="B208" s="36"/>
      <c r="C208" s="36"/>
      <c r="D208" s="36"/>
      <c r="E208" s="204"/>
      <c r="F208" s="36"/>
      <c r="G208" s="36"/>
      <c r="H208" s="36"/>
      <c r="I208" s="204"/>
      <c r="J208" s="36"/>
      <c r="K208" s="36"/>
      <c r="L208" s="193"/>
      <c r="M208" s="36"/>
      <c r="N208" s="36"/>
      <c r="O208" s="36"/>
      <c r="P208" s="36"/>
      <c r="Q208" s="36"/>
      <c r="R208" s="36"/>
      <c r="S208" s="36"/>
      <c r="T208" s="36"/>
      <c r="U208" s="36"/>
      <c r="V208" s="36"/>
      <c r="W208" s="36"/>
      <c r="X208" s="36"/>
      <c r="Y208" s="36"/>
      <c r="Z208" s="193"/>
      <c r="AA208" s="36"/>
      <c r="AB208" s="36"/>
      <c r="AC208" s="36"/>
      <c r="AD208" s="92"/>
      <c r="AE208" s="92"/>
      <c r="AF208" s="92"/>
      <c r="AG208" s="92"/>
      <c r="AH208" s="92"/>
      <c r="AI208" s="92"/>
      <c r="AJ208" s="92"/>
      <c r="AK208" s="92"/>
      <c r="AL208" s="92"/>
      <c r="AM208" s="92"/>
    </row>
    <row r="209" spans="1:39">
      <c r="A209" s="8"/>
      <c r="B209" s="36"/>
      <c r="C209" s="36"/>
      <c r="D209" s="36"/>
      <c r="E209" s="204"/>
      <c r="F209" s="36"/>
      <c r="G209" s="36"/>
      <c r="H209" s="36"/>
      <c r="I209" s="204"/>
      <c r="J209" s="36"/>
      <c r="K209" s="36"/>
      <c r="L209" s="193"/>
      <c r="M209" s="36"/>
      <c r="N209" s="36"/>
      <c r="O209" s="36"/>
      <c r="P209" s="36"/>
      <c r="Q209" s="36"/>
      <c r="R209" s="36"/>
      <c r="S209" s="36"/>
      <c r="T209" s="36"/>
      <c r="U209" s="36"/>
      <c r="V209" s="36"/>
      <c r="W209" s="36"/>
      <c r="X209" s="36"/>
      <c r="Y209" s="36"/>
      <c r="Z209" s="193"/>
      <c r="AA209" s="36"/>
      <c r="AB209" s="36"/>
      <c r="AC209" s="36"/>
      <c r="AD209" s="92"/>
      <c r="AE209" s="92"/>
      <c r="AF209" s="92"/>
      <c r="AG209" s="92"/>
      <c r="AH209" s="92"/>
      <c r="AI209" s="92"/>
      <c r="AJ209" s="92"/>
      <c r="AK209" s="92"/>
      <c r="AL209" s="92"/>
      <c r="AM209" s="92"/>
    </row>
    <row r="210" spans="1:39">
      <c r="A210" s="8"/>
      <c r="B210" s="36"/>
      <c r="C210" s="36"/>
      <c r="D210" s="36"/>
      <c r="E210" s="204"/>
      <c r="F210" s="36"/>
      <c r="G210" s="36"/>
      <c r="H210" s="36"/>
      <c r="I210" s="204"/>
      <c r="J210" s="36"/>
      <c r="K210" s="36"/>
      <c r="L210" s="193"/>
      <c r="M210" s="36"/>
      <c r="N210" s="36"/>
      <c r="O210" s="36"/>
      <c r="P210" s="36"/>
      <c r="Q210" s="36"/>
      <c r="R210" s="36"/>
      <c r="S210" s="36"/>
      <c r="T210" s="36"/>
      <c r="U210" s="36"/>
      <c r="V210" s="36"/>
      <c r="W210" s="36"/>
      <c r="X210" s="36"/>
      <c r="Y210" s="36"/>
      <c r="Z210" s="193"/>
      <c r="AA210" s="36"/>
      <c r="AB210" s="36"/>
      <c r="AC210" s="36"/>
      <c r="AD210" s="92"/>
      <c r="AE210" s="92"/>
      <c r="AF210" s="92"/>
      <c r="AG210" s="92"/>
      <c r="AH210" s="92"/>
      <c r="AI210" s="92"/>
      <c r="AJ210" s="92"/>
      <c r="AK210" s="92"/>
      <c r="AL210" s="92"/>
      <c r="AM210" s="92"/>
    </row>
    <row r="211" spans="1:39">
      <c r="A211" s="8"/>
      <c r="B211" s="36"/>
      <c r="C211" s="36"/>
      <c r="D211" s="36"/>
      <c r="E211" s="204"/>
      <c r="F211" s="36"/>
      <c r="G211" s="36"/>
      <c r="H211" s="36"/>
      <c r="I211" s="204"/>
      <c r="J211" s="36"/>
      <c r="K211" s="36"/>
      <c r="L211" s="193"/>
      <c r="M211" s="36"/>
      <c r="N211" s="36"/>
      <c r="O211" s="36"/>
      <c r="P211" s="36"/>
      <c r="Q211" s="36"/>
      <c r="R211" s="36"/>
      <c r="S211" s="36"/>
      <c r="T211" s="36"/>
      <c r="U211" s="36"/>
      <c r="V211" s="36"/>
      <c r="W211" s="36"/>
      <c r="X211" s="36"/>
      <c r="Y211" s="36"/>
      <c r="Z211" s="193"/>
      <c r="AA211" s="36"/>
      <c r="AB211" s="36"/>
      <c r="AC211" s="36"/>
      <c r="AD211" s="92"/>
      <c r="AE211" s="92"/>
      <c r="AF211" s="92"/>
      <c r="AG211" s="92"/>
      <c r="AH211" s="92"/>
      <c r="AI211" s="92"/>
      <c r="AJ211" s="92"/>
      <c r="AK211" s="92"/>
      <c r="AL211" s="92"/>
      <c r="AM211" s="92"/>
    </row>
    <row r="212" spans="1:39">
      <c r="A212" s="8"/>
      <c r="B212" s="36"/>
      <c r="C212" s="36"/>
      <c r="D212" s="36"/>
      <c r="E212" s="204"/>
      <c r="F212" s="36"/>
      <c r="G212" s="36"/>
      <c r="H212" s="36"/>
      <c r="I212" s="204"/>
      <c r="J212" s="36"/>
      <c r="K212" s="36"/>
      <c r="L212" s="193"/>
      <c r="M212" s="36"/>
      <c r="N212" s="36"/>
      <c r="O212" s="36"/>
      <c r="P212" s="36"/>
      <c r="Q212" s="36"/>
      <c r="R212" s="36"/>
      <c r="S212" s="36"/>
      <c r="T212" s="36"/>
      <c r="U212" s="36"/>
      <c r="V212" s="36"/>
      <c r="W212" s="36"/>
      <c r="X212" s="36"/>
      <c r="Y212" s="36"/>
      <c r="Z212" s="193"/>
      <c r="AA212" s="36"/>
      <c r="AB212" s="36"/>
      <c r="AC212" s="36"/>
      <c r="AD212" s="92"/>
      <c r="AE212" s="92"/>
      <c r="AF212" s="92"/>
      <c r="AG212" s="92"/>
      <c r="AH212" s="92"/>
      <c r="AI212" s="92"/>
      <c r="AJ212" s="92"/>
      <c r="AK212" s="92"/>
      <c r="AL212" s="92"/>
      <c r="AM212" s="92"/>
    </row>
    <row r="213" spans="1:39">
      <c r="A213" s="8"/>
      <c r="B213" s="36"/>
      <c r="C213" s="36"/>
      <c r="D213" s="36"/>
      <c r="E213" s="204"/>
      <c r="F213" s="36"/>
      <c r="G213" s="36"/>
      <c r="H213" s="36"/>
      <c r="I213" s="204"/>
      <c r="J213" s="36"/>
      <c r="K213" s="36"/>
      <c r="L213" s="193"/>
      <c r="M213" s="36"/>
      <c r="N213" s="36"/>
      <c r="O213" s="36"/>
      <c r="P213" s="36"/>
      <c r="Q213" s="36"/>
      <c r="R213" s="36"/>
      <c r="S213" s="36"/>
      <c r="T213" s="36"/>
      <c r="U213" s="36"/>
      <c r="V213" s="36"/>
      <c r="W213" s="36"/>
      <c r="X213" s="36"/>
      <c r="Y213" s="36"/>
      <c r="Z213" s="193"/>
      <c r="AA213" s="36"/>
      <c r="AB213" s="36"/>
      <c r="AC213" s="36"/>
      <c r="AD213" s="92"/>
      <c r="AE213" s="92"/>
      <c r="AF213" s="92"/>
      <c r="AG213" s="92"/>
      <c r="AH213" s="92"/>
      <c r="AI213" s="92"/>
      <c r="AJ213" s="92"/>
      <c r="AK213" s="92"/>
      <c r="AL213" s="92"/>
      <c r="AM213" s="92"/>
    </row>
    <row r="214" spans="1:39">
      <c r="A214" s="8"/>
      <c r="B214" s="36"/>
      <c r="C214" s="36"/>
      <c r="D214" s="36"/>
      <c r="E214" s="204"/>
      <c r="F214" s="36"/>
      <c r="G214" s="36"/>
      <c r="H214" s="36"/>
      <c r="I214" s="204"/>
      <c r="J214" s="36"/>
      <c r="K214" s="36"/>
      <c r="L214" s="193"/>
      <c r="M214" s="36"/>
      <c r="N214" s="36"/>
      <c r="O214" s="36"/>
      <c r="P214" s="36"/>
      <c r="Q214" s="36"/>
      <c r="R214" s="36"/>
      <c r="S214" s="36"/>
      <c r="T214" s="36"/>
      <c r="U214" s="36"/>
      <c r="V214" s="36"/>
      <c r="W214" s="36"/>
      <c r="X214" s="36"/>
      <c r="Y214" s="36"/>
      <c r="Z214" s="193"/>
      <c r="AA214" s="36"/>
      <c r="AB214" s="36"/>
      <c r="AC214" s="36"/>
      <c r="AD214" s="92"/>
      <c r="AE214" s="92"/>
      <c r="AF214" s="92"/>
      <c r="AG214" s="92"/>
      <c r="AH214" s="92"/>
      <c r="AI214" s="92"/>
      <c r="AJ214" s="92"/>
      <c r="AK214" s="92"/>
      <c r="AL214" s="92"/>
      <c r="AM214" s="92"/>
    </row>
    <row r="215" spans="1:39">
      <c r="A215" s="8"/>
      <c r="B215" s="36"/>
      <c r="C215" s="36"/>
      <c r="D215" s="36"/>
      <c r="E215" s="204"/>
      <c r="F215" s="36"/>
      <c r="G215" s="36"/>
      <c r="H215" s="36"/>
      <c r="I215" s="204"/>
      <c r="J215" s="36"/>
      <c r="K215" s="36"/>
      <c r="L215" s="193"/>
      <c r="M215" s="36"/>
      <c r="N215" s="36"/>
      <c r="O215" s="36"/>
      <c r="P215" s="36"/>
      <c r="Q215" s="36"/>
      <c r="R215" s="36"/>
      <c r="S215" s="36"/>
      <c r="T215" s="36"/>
      <c r="U215" s="36"/>
      <c r="V215" s="36"/>
      <c r="W215" s="36"/>
      <c r="X215" s="36"/>
      <c r="Y215" s="36"/>
      <c r="Z215" s="193"/>
      <c r="AA215" s="36"/>
      <c r="AB215" s="36"/>
      <c r="AC215" s="36"/>
      <c r="AD215" s="92"/>
      <c r="AE215" s="92"/>
      <c r="AF215" s="92"/>
      <c r="AG215" s="92"/>
      <c r="AH215" s="92"/>
      <c r="AI215" s="92"/>
      <c r="AJ215" s="92"/>
      <c r="AK215" s="92"/>
      <c r="AL215" s="92"/>
      <c r="AM215" s="92"/>
    </row>
    <row r="216" spans="1:39">
      <c r="A216" s="8"/>
      <c r="B216" s="36"/>
      <c r="C216" s="36"/>
      <c r="D216" s="36"/>
      <c r="E216" s="204"/>
      <c r="F216" s="36"/>
      <c r="G216" s="36"/>
      <c r="H216" s="36"/>
      <c r="I216" s="204"/>
      <c r="J216" s="36"/>
      <c r="K216" s="36"/>
      <c r="L216" s="193"/>
      <c r="M216" s="36"/>
      <c r="N216" s="36"/>
      <c r="O216" s="36"/>
      <c r="P216" s="36"/>
      <c r="Q216" s="36"/>
      <c r="R216" s="36"/>
      <c r="S216" s="36"/>
      <c r="T216" s="36"/>
      <c r="U216" s="36"/>
      <c r="V216" s="36"/>
      <c r="W216" s="36"/>
      <c r="X216" s="36"/>
      <c r="Y216" s="36"/>
      <c r="Z216" s="193"/>
      <c r="AA216" s="36"/>
      <c r="AB216" s="36"/>
      <c r="AC216" s="36"/>
      <c r="AD216" s="92"/>
      <c r="AE216" s="92"/>
      <c r="AF216" s="92"/>
      <c r="AG216" s="92"/>
      <c r="AH216" s="92"/>
      <c r="AI216" s="92"/>
      <c r="AJ216" s="92"/>
      <c r="AK216" s="92"/>
      <c r="AL216" s="92"/>
      <c r="AM216" s="92"/>
    </row>
    <row r="217" spans="1:39">
      <c r="A217" s="8"/>
      <c r="B217" s="36"/>
      <c r="C217" s="36"/>
      <c r="D217" s="36"/>
      <c r="E217" s="204"/>
      <c r="F217" s="36"/>
      <c r="G217" s="36"/>
      <c r="H217" s="36"/>
      <c r="I217" s="204"/>
      <c r="J217" s="36"/>
      <c r="K217" s="36"/>
      <c r="L217" s="193"/>
      <c r="M217" s="36"/>
      <c r="N217" s="36"/>
      <c r="O217" s="36"/>
      <c r="P217" s="36"/>
      <c r="Q217" s="36"/>
      <c r="R217" s="36"/>
      <c r="S217" s="36"/>
      <c r="T217" s="36"/>
      <c r="U217" s="36"/>
      <c r="V217" s="36"/>
      <c r="W217" s="36"/>
      <c r="X217" s="36"/>
      <c r="Y217" s="36"/>
      <c r="Z217" s="193"/>
      <c r="AA217" s="36"/>
      <c r="AB217" s="36"/>
      <c r="AC217" s="36"/>
      <c r="AD217" s="92"/>
      <c r="AE217" s="92"/>
      <c r="AF217" s="92"/>
      <c r="AG217" s="92"/>
      <c r="AH217" s="92"/>
      <c r="AI217" s="92"/>
      <c r="AJ217" s="92"/>
      <c r="AK217" s="92"/>
      <c r="AL217" s="92"/>
      <c r="AM217" s="92"/>
    </row>
    <row r="218" spans="1:39">
      <c r="A218" s="8"/>
      <c r="B218" s="36"/>
      <c r="C218" s="36"/>
      <c r="D218" s="36"/>
      <c r="E218" s="204"/>
      <c r="F218" s="36"/>
      <c r="G218" s="36"/>
      <c r="H218" s="36"/>
      <c r="I218" s="204"/>
      <c r="J218" s="36"/>
      <c r="K218" s="36"/>
      <c r="L218" s="193"/>
      <c r="M218" s="36"/>
      <c r="N218" s="36"/>
      <c r="O218" s="36"/>
      <c r="P218" s="36"/>
      <c r="Q218" s="36"/>
      <c r="R218" s="36"/>
      <c r="S218" s="36"/>
      <c r="T218" s="36"/>
      <c r="U218" s="36"/>
      <c r="V218" s="36"/>
      <c r="W218" s="36"/>
      <c r="X218" s="36"/>
      <c r="Y218" s="36"/>
      <c r="Z218" s="193"/>
      <c r="AA218" s="36"/>
      <c r="AB218" s="36"/>
      <c r="AC218" s="36"/>
      <c r="AD218" s="92"/>
      <c r="AE218" s="92"/>
      <c r="AF218" s="92"/>
      <c r="AG218" s="92"/>
      <c r="AH218" s="92"/>
      <c r="AI218" s="92"/>
      <c r="AJ218" s="92"/>
      <c r="AK218" s="92"/>
      <c r="AL218" s="92"/>
      <c r="AM218" s="92"/>
    </row>
    <row r="219" spans="1:39">
      <c r="A219" s="8"/>
      <c r="B219" s="36"/>
      <c r="C219" s="36"/>
      <c r="D219" s="36"/>
      <c r="E219" s="204"/>
      <c r="F219" s="36"/>
      <c r="G219" s="36"/>
      <c r="H219" s="36"/>
      <c r="I219" s="204"/>
      <c r="J219" s="36"/>
      <c r="K219" s="36"/>
      <c r="L219" s="193"/>
      <c r="M219" s="36"/>
      <c r="N219" s="36"/>
      <c r="O219" s="36"/>
      <c r="P219" s="36"/>
      <c r="Q219" s="36"/>
      <c r="R219" s="36"/>
      <c r="S219" s="36"/>
      <c r="T219" s="36"/>
      <c r="U219" s="36"/>
      <c r="V219" s="36"/>
      <c r="W219" s="36"/>
      <c r="X219" s="36"/>
      <c r="Y219" s="36"/>
      <c r="Z219" s="193"/>
      <c r="AA219" s="36"/>
      <c r="AB219" s="36"/>
      <c r="AC219" s="36"/>
      <c r="AD219" s="92"/>
      <c r="AE219" s="92"/>
      <c r="AF219" s="92"/>
      <c r="AG219" s="92"/>
      <c r="AH219" s="92"/>
      <c r="AI219" s="92"/>
      <c r="AJ219" s="92"/>
      <c r="AK219" s="92"/>
      <c r="AL219" s="92"/>
      <c r="AM219" s="92"/>
    </row>
    <row r="220" spans="1:39">
      <c r="A220" s="8"/>
      <c r="B220" s="36"/>
      <c r="C220" s="36"/>
      <c r="D220" s="36"/>
      <c r="E220" s="204"/>
      <c r="F220" s="36"/>
      <c r="G220" s="36"/>
      <c r="H220" s="36"/>
      <c r="I220" s="204"/>
      <c r="J220" s="36"/>
      <c r="K220" s="36"/>
      <c r="L220" s="193"/>
      <c r="M220" s="36"/>
      <c r="N220" s="36"/>
      <c r="O220" s="36"/>
      <c r="P220" s="36"/>
      <c r="Q220" s="36"/>
      <c r="R220" s="36"/>
      <c r="S220" s="36"/>
      <c r="T220" s="36"/>
      <c r="U220" s="36"/>
      <c r="V220" s="36"/>
      <c r="W220" s="36"/>
      <c r="X220" s="36"/>
      <c r="Y220" s="36"/>
      <c r="Z220" s="193"/>
      <c r="AA220" s="36"/>
      <c r="AB220" s="36"/>
      <c r="AC220" s="36"/>
      <c r="AD220" s="92"/>
      <c r="AE220" s="92"/>
      <c r="AF220" s="92"/>
      <c r="AG220" s="92"/>
      <c r="AH220" s="92"/>
      <c r="AI220" s="92"/>
      <c r="AJ220" s="92"/>
      <c r="AK220" s="92"/>
      <c r="AL220" s="92"/>
      <c r="AM220" s="92"/>
    </row>
    <row r="221" spans="1:39">
      <c r="A221" s="8"/>
      <c r="B221" s="36"/>
      <c r="C221" s="36"/>
      <c r="D221" s="36"/>
      <c r="E221" s="204"/>
      <c r="F221" s="36"/>
      <c r="G221" s="36"/>
      <c r="H221" s="36"/>
      <c r="I221" s="204"/>
      <c r="J221" s="36"/>
      <c r="K221" s="36"/>
      <c r="L221" s="193"/>
      <c r="M221" s="36"/>
      <c r="N221" s="36"/>
      <c r="O221" s="36"/>
      <c r="P221" s="36"/>
      <c r="Q221" s="36"/>
      <c r="R221" s="36"/>
      <c r="S221" s="36"/>
      <c r="T221" s="36"/>
      <c r="U221" s="36"/>
      <c r="V221" s="36"/>
      <c r="W221" s="36"/>
      <c r="X221" s="36"/>
      <c r="Y221" s="36"/>
      <c r="Z221" s="193"/>
      <c r="AA221" s="36"/>
      <c r="AB221" s="36"/>
      <c r="AC221" s="36"/>
      <c r="AD221" s="92"/>
      <c r="AE221" s="92"/>
      <c r="AF221" s="92"/>
      <c r="AG221" s="92"/>
      <c r="AH221" s="92"/>
      <c r="AI221" s="92"/>
      <c r="AJ221" s="92"/>
      <c r="AK221" s="92"/>
      <c r="AL221" s="92"/>
      <c r="AM221" s="92"/>
    </row>
    <row r="222" spans="1:39">
      <c r="A222" s="8"/>
      <c r="B222" s="36"/>
      <c r="C222" s="36"/>
      <c r="D222" s="36"/>
      <c r="E222" s="204"/>
      <c r="F222" s="36"/>
      <c r="G222" s="36"/>
      <c r="H222" s="36"/>
      <c r="I222" s="204"/>
      <c r="J222" s="36"/>
      <c r="K222" s="36"/>
      <c r="L222" s="193"/>
      <c r="M222" s="36"/>
      <c r="N222" s="36"/>
      <c r="O222" s="36"/>
      <c r="P222" s="36"/>
      <c r="Q222" s="36"/>
      <c r="R222" s="36"/>
      <c r="S222" s="36"/>
      <c r="T222" s="36"/>
      <c r="U222" s="36"/>
      <c r="V222" s="36"/>
      <c r="W222" s="36"/>
      <c r="X222" s="36"/>
      <c r="Y222" s="36"/>
      <c r="Z222" s="193"/>
      <c r="AA222" s="36"/>
      <c r="AB222" s="36"/>
      <c r="AC222" s="36"/>
      <c r="AD222" s="92"/>
      <c r="AE222" s="92"/>
      <c r="AF222" s="92"/>
      <c r="AG222" s="92"/>
      <c r="AH222" s="92"/>
      <c r="AI222" s="92"/>
      <c r="AJ222" s="92"/>
      <c r="AK222" s="92"/>
      <c r="AL222" s="92"/>
      <c r="AM222" s="92"/>
    </row>
    <row r="223" spans="1:39">
      <c r="A223" s="8"/>
      <c r="B223" s="36"/>
      <c r="C223" s="36"/>
      <c r="D223" s="36"/>
      <c r="E223" s="204"/>
      <c r="F223" s="36"/>
      <c r="G223" s="36"/>
      <c r="H223" s="36"/>
      <c r="I223" s="204"/>
      <c r="J223" s="36"/>
      <c r="K223" s="36"/>
      <c r="L223" s="193"/>
      <c r="M223" s="36"/>
      <c r="N223" s="36"/>
      <c r="O223" s="36"/>
      <c r="P223" s="36"/>
      <c r="Q223" s="36"/>
      <c r="R223" s="36"/>
      <c r="S223" s="36"/>
      <c r="T223" s="36"/>
      <c r="U223" s="36"/>
      <c r="V223" s="36"/>
      <c r="W223" s="36"/>
      <c r="X223" s="36"/>
      <c r="Y223" s="36"/>
      <c r="Z223" s="193"/>
      <c r="AA223" s="36"/>
      <c r="AB223" s="36"/>
      <c r="AC223" s="36"/>
      <c r="AD223" s="92"/>
      <c r="AE223" s="92"/>
      <c r="AF223" s="92"/>
      <c r="AG223" s="92"/>
      <c r="AH223" s="92"/>
      <c r="AI223" s="92"/>
      <c r="AJ223" s="92"/>
      <c r="AK223" s="92"/>
      <c r="AL223" s="92"/>
      <c r="AM223" s="92"/>
    </row>
    <row r="224" spans="1:39">
      <c r="F224" s="7"/>
      <c r="G224" s="7"/>
      <c r="H224" s="7"/>
      <c r="I224" s="216"/>
      <c r="J224" s="7"/>
      <c r="K224" s="7"/>
      <c r="L224" s="194"/>
      <c r="M224" s="7"/>
      <c r="N224" s="7"/>
      <c r="O224" s="7"/>
      <c r="P224" s="7"/>
      <c r="Q224" s="7"/>
      <c r="R224" s="7"/>
      <c r="S224" s="7"/>
      <c r="T224" s="7"/>
      <c r="U224" s="7"/>
      <c r="V224" s="7"/>
      <c r="W224" s="7"/>
      <c r="X224" s="7"/>
      <c r="Y224" s="7"/>
      <c r="Z224" s="194"/>
      <c r="AA224" s="7"/>
      <c r="AB224" s="7"/>
      <c r="AC224" s="7"/>
    </row>
    <row r="225" spans="6:29">
      <c r="F225" s="7"/>
      <c r="G225" s="7"/>
      <c r="H225" s="7"/>
      <c r="I225" s="216"/>
      <c r="J225" s="7"/>
      <c r="K225" s="7"/>
      <c r="L225" s="194"/>
      <c r="M225" s="7"/>
      <c r="N225" s="7"/>
      <c r="O225" s="7"/>
      <c r="P225" s="7"/>
      <c r="Q225" s="7"/>
      <c r="R225" s="7"/>
      <c r="S225" s="7"/>
      <c r="T225" s="7"/>
      <c r="U225" s="7"/>
      <c r="V225" s="7"/>
      <c r="W225" s="7"/>
      <c r="X225" s="7"/>
      <c r="Y225" s="7"/>
      <c r="Z225" s="194"/>
      <c r="AA225" s="7"/>
      <c r="AB225" s="7"/>
      <c r="AC225" s="7"/>
    </row>
    <row r="226" spans="6:29">
      <c r="F226" s="7"/>
      <c r="G226" s="7"/>
      <c r="H226" s="7"/>
      <c r="J226" s="7"/>
      <c r="Q226" s="7"/>
      <c r="R226" s="7"/>
      <c r="Y226" s="7"/>
    </row>
  </sheetData>
  <sheetProtection algorithmName="SHA-512" hashValue="tlL0hae2vahOoz6pVB8lyKGpz2LyPMcBHBiRtk/zWJtkZZHm+o5dHreuNdirKb6m3u5Z8+as1/gHUCbt/3uiEw==" saltValue="OfwEYPmS3S1Qnkftgado5Q==" spinCount="100000" sheet="1" objects="1" scenarios="1"/>
  <mergeCells count="30">
    <mergeCell ref="B3:E3"/>
    <mergeCell ref="C4:C5"/>
    <mergeCell ref="AC4:AC5"/>
    <mergeCell ref="N4:N5"/>
    <mergeCell ref="O4:O5"/>
    <mergeCell ref="P4:P5"/>
    <mergeCell ref="K4:K5"/>
    <mergeCell ref="L4:L5"/>
    <mergeCell ref="X4:X5"/>
    <mergeCell ref="W4:W5"/>
    <mergeCell ref="I4:I5"/>
    <mergeCell ref="M4:M5"/>
    <mergeCell ref="AA4:AA5"/>
    <mergeCell ref="V4:V5"/>
    <mergeCell ref="AB4:AB5"/>
    <mergeCell ref="T4:T5"/>
    <mergeCell ref="Y4:Y5"/>
    <mergeCell ref="Z4:Z5"/>
    <mergeCell ref="U4:U5"/>
    <mergeCell ref="S4:S5"/>
    <mergeCell ref="A103:A104"/>
    <mergeCell ref="B4:B5"/>
    <mergeCell ref="D4:D5"/>
    <mergeCell ref="E4:E5"/>
    <mergeCell ref="R4:R5"/>
    <mergeCell ref="Q4:Q5"/>
    <mergeCell ref="F4:F5"/>
    <mergeCell ref="G4:G5"/>
    <mergeCell ref="H4:H5"/>
    <mergeCell ref="J4:J5"/>
  </mergeCells>
  <pageMargins left="0.7" right="0.7" top="0.75" bottom="0.75" header="0.3" footer="0.3"/>
  <pageSetup scale="21" orientation="landscape" horizontalDpi="360" verticalDpi="360" r:id="rId1"/>
  <ignoredErrors>
    <ignoredError sqref="C6:C8 C25:C26 B28:B72 C22:C23 C19:C20 C16:C17 C13:C14 C10:C11 C9 C12 C15 C18 C21 C24" unlockedFormula="1"/>
  </ignoredError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BA325-7006-9D41-ACB9-1B489FB2092C}">
  <sheetPr codeName="Sheet37">
    <pageSetUpPr fitToPage="1"/>
  </sheetPr>
  <dimension ref="A1:AZ204"/>
  <sheetViews>
    <sheetView zoomScale="110" zoomScaleNormal="110" workbookViewId="0">
      <selection activeCell="B2" sqref="B2:AK2"/>
    </sheetView>
  </sheetViews>
  <sheetFormatPr baseColWidth="10" defaultColWidth="11.5" defaultRowHeight="15"/>
  <cols>
    <col min="1" max="1" width="5.33203125" style="1" customWidth="1"/>
    <col min="2" max="2" width="33.1640625" style="1" customWidth="1"/>
    <col min="3" max="3" width="17.1640625" style="1" customWidth="1"/>
    <col min="4" max="4" width="11.5" customWidth="1"/>
    <col min="5" max="5" width="13.6640625" hidden="1" customWidth="1"/>
    <col min="6" max="6" width="11.6640625" hidden="1" customWidth="1"/>
    <col min="7" max="7" width="12.83203125" hidden="1" customWidth="1"/>
    <col min="8" max="8" width="11.83203125" customWidth="1"/>
    <col min="9" max="9" width="10.5" customWidth="1"/>
    <col min="10" max="10" width="9.5" style="1" customWidth="1"/>
    <col min="11" max="11" width="12.5" customWidth="1"/>
    <col min="12" max="12" width="14.33203125" hidden="1" customWidth="1"/>
    <col min="13" max="13" width="16.5" hidden="1" customWidth="1"/>
    <col min="14" max="14" width="11.6640625" hidden="1" customWidth="1"/>
    <col min="15" max="15" width="13.83203125" style="3" hidden="1" customWidth="1"/>
    <col min="16" max="16" width="12.33203125" hidden="1" customWidth="1"/>
    <col min="17" max="17" width="11.6640625" hidden="1" customWidth="1"/>
    <col min="18" max="18" width="11.5" hidden="1" customWidth="1"/>
    <col min="19" max="19" width="13.1640625" hidden="1" customWidth="1"/>
    <col min="20" max="21" width="11.5" hidden="1" customWidth="1"/>
    <col min="22" max="33" width="11.5" style="1" hidden="1" customWidth="1"/>
    <col min="34" max="36" width="0" style="1" hidden="1" customWidth="1"/>
    <col min="37" max="16384" width="11.5" style="1"/>
  </cols>
  <sheetData>
    <row r="1" spans="1:39" s="15" customFormat="1">
      <c r="A1" s="8"/>
      <c r="B1" s="8"/>
      <c r="C1" s="8"/>
      <c r="D1" s="8"/>
      <c r="E1" s="8"/>
      <c r="F1" s="8"/>
      <c r="G1" s="8"/>
      <c r="H1" s="8"/>
      <c r="I1" s="8"/>
      <c r="J1" s="8"/>
      <c r="K1" s="8"/>
      <c r="O1" s="403"/>
    </row>
    <row r="2" spans="1:39" s="15" customFormat="1" ht="21" customHeight="1">
      <c r="B2" s="682" t="s">
        <v>370</v>
      </c>
      <c r="C2" s="682"/>
      <c r="D2" s="682"/>
      <c r="E2" s="682"/>
      <c r="F2" s="682"/>
      <c r="G2" s="682"/>
      <c r="H2" s="682"/>
      <c r="I2" s="682"/>
      <c r="J2" s="682"/>
      <c r="K2" s="682"/>
      <c r="L2" s="682"/>
      <c r="M2" s="682"/>
      <c r="N2" s="682"/>
      <c r="O2" s="682"/>
      <c r="P2" s="682"/>
      <c r="Q2" s="682"/>
      <c r="R2" s="682"/>
      <c r="S2" s="682"/>
      <c r="T2" s="682"/>
      <c r="U2" s="682"/>
      <c r="V2" s="682"/>
      <c r="W2" s="682"/>
      <c r="X2" s="682"/>
      <c r="Y2" s="682"/>
      <c r="Z2" s="682"/>
      <c r="AA2" s="682"/>
      <c r="AB2" s="682"/>
      <c r="AC2" s="682"/>
      <c r="AD2" s="682"/>
      <c r="AE2" s="682"/>
      <c r="AF2" s="682"/>
      <c r="AG2" s="682"/>
      <c r="AH2" s="682"/>
      <c r="AI2" s="682"/>
      <c r="AJ2" s="682"/>
      <c r="AK2" s="682"/>
    </row>
    <row r="3" spans="1:39" s="15" customFormat="1" ht="21" customHeight="1">
      <c r="B3" s="789" t="s">
        <v>94</v>
      </c>
      <c r="C3" s="780" t="s">
        <v>385</v>
      </c>
      <c r="D3" s="777" t="s">
        <v>93</v>
      </c>
      <c r="E3" s="791" t="s">
        <v>22</v>
      </c>
      <c r="F3" s="791"/>
      <c r="G3" s="777" t="s">
        <v>23</v>
      </c>
      <c r="H3" s="780" t="s">
        <v>389</v>
      </c>
      <c r="I3" s="793" t="s">
        <v>24</v>
      </c>
      <c r="J3" s="793" t="s">
        <v>25</v>
      </c>
      <c r="K3" s="786" t="s">
        <v>71</v>
      </c>
      <c r="L3" s="780" t="s">
        <v>73</v>
      </c>
      <c r="M3" s="780" t="s">
        <v>82</v>
      </c>
      <c r="N3" s="780" t="s">
        <v>74</v>
      </c>
      <c r="O3" s="783" t="s">
        <v>75</v>
      </c>
      <c r="P3" s="786" t="s">
        <v>76</v>
      </c>
      <c r="Q3" s="777" t="s">
        <v>77</v>
      </c>
      <c r="R3" s="780" t="s">
        <v>78</v>
      </c>
      <c r="S3" s="780" t="s">
        <v>79</v>
      </c>
      <c r="T3" s="780" t="s">
        <v>80</v>
      </c>
      <c r="U3" s="780" t="s">
        <v>81</v>
      </c>
      <c r="V3" s="788" t="s">
        <v>273</v>
      </c>
      <c r="W3" s="16"/>
      <c r="X3" s="16"/>
      <c r="Y3" s="16"/>
      <c r="Z3" s="16"/>
      <c r="AA3" s="16"/>
      <c r="AB3" s="16"/>
      <c r="AC3" s="16"/>
      <c r="AD3" s="16"/>
      <c r="AE3" s="16"/>
      <c r="AF3" s="16"/>
      <c r="AG3" s="16"/>
      <c r="AH3" s="16"/>
      <c r="AI3" s="16"/>
      <c r="AJ3" s="16"/>
      <c r="AK3" s="18"/>
      <c r="AL3" s="672"/>
      <c r="AM3" s="672"/>
    </row>
    <row r="4" spans="1:39" s="15" customFormat="1" ht="21" customHeight="1">
      <c r="B4" s="790"/>
      <c r="C4" s="781"/>
      <c r="D4" s="778"/>
      <c r="E4" s="792"/>
      <c r="F4" s="792"/>
      <c r="G4" s="778"/>
      <c r="H4" s="781"/>
      <c r="I4" s="794"/>
      <c r="J4" s="794"/>
      <c r="K4" s="787"/>
      <c r="L4" s="781"/>
      <c r="M4" s="781"/>
      <c r="N4" s="781"/>
      <c r="O4" s="784"/>
      <c r="P4" s="787"/>
      <c r="Q4" s="778"/>
      <c r="R4" s="781"/>
      <c r="S4" s="781"/>
      <c r="T4" s="781"/>
      <c r="U4" s="781"/>
      <c r="V4" s="788"/>
      <c r="W4" s="16"/>
      <c r="X4" s="16"/>
      <c r="Y4" s="16"/>
      <c r="Z4" s="16"/>
      <c r="AA4" s="16"/>
      <c r="AB4" s="16"/>
      <c r="AC4" s="16"/>
      <c r="AD4" s="16"/>
      <c r="AE4" s="16"/>
      <c r="AF4" s="16"/>
      <c r="AG4" s="16"/>
      <c r="AH4" s="16"/>
      <c r="AI4" s="16"/>
      <c r="AJ4" s="16"/>
      <c r="AK4" s="18"/>
      <c r="AL4" s="672"/>
      <c r="AM4" s="672"/>
    </row>
    <row r="5" spans="1:39" s="15" customFormat="1" ht="21" customHeight="1">
      <c r="B5" s="555" t="s">
        <v>70</v>
      </c>
      <c r="C5" s="556">
        <v>180000</v>
      </c>
      <c r="D5" s="557">
        <v>10</v>
      </c>
      <c r="E5" s="558">
        <v>3.0000000000000001E-3</v>
      </c>
      <c r="F5" s="559">
        <v>2</v>
      </c>
      <c r="G5" s="560">
        <v>0.23330000000000001</v>
      </c>
      <c r="H5" s="561">
        <v>20</v>
      </c>
      <c r="I5" s="562" t="s">
        <v>8</v>
      </c>
      <c r="J5" s="562" t="s">
        <v>8</v>
      </c>
      <c r="K5" s="563" t="s">
        <v>8</v>
      </c>
      <c r="L5" s="564">
        <f t="shared" ref="L5:L20" si="0">IF(Q5=0,0,(C5*(((E5*(((Q5*D5)/1000))^F5)/D5))/Q5))</f>
        <v>1.522967930029155</v>
      </c>
      <c r="M5" s="564">
        <f t="shared" ref="M5:M20" si="1">IF(Q5=0,0,((C5-(C5*(G5)))/D5)/Q5)</f>
        <v>48.932901691878293</v>
      </c>
      <c r="N5" s="16"/>
      <c r="O5" s="365" t="s">
        <v>8</v>
      </c>
      <c r="P5" s="517">
        <v>1</v>
      </c>
      <c r="Q5" s="565">
        <f>Q7+Q9+Q10+Q11+Q12+Q13</f>
        <v>282.03109815354713</v>
      </c>
      <c r="R5" s="566" t="s">
        <v>8</v>
      </c>
      <c r="S5" s="567"/>
      <c r="T5" s="566" t="s">
        <v>8</v>
      </c>
      <c r="U5" s="566" t="s">
        <v>8</v>
      </c>
      <c r="V5" s="16">
        <v>250</v>
      </c>
      <c r="W5" s="594">
        <f>V5/(V5-Q5)</f>
        <v>-7.8049150485436893</v>
      </c>
      <c r="X5" s="16" t="str">
        <f>B5</f>
        <v>450 HP tractor</v>
      </c>
      <c r="Y5" s="16"/>
      <c r="Z5" s="16"/>
      <c r="AA5" s="16"/>
      <c r="AB5" s="16"/>
      <c r="AC5" s="16"/>
      <c r="AD5" s="16"/>
      <c r="AE5" s="16"/>
      <c r="AF5" s="16"/>
      <c r="AG5" s="16"/>
      <c r="AH5" s="16"/>
      <c r="AI5" s="16"/>
      <c r="AJ5" s="16"/>
      <c r="AK5" s="18"/>
      <c r="AL5" s="672"/>
      <c r="AM5" s="672"/>
    </row>
    <row r="6" spans="1:39" s="15" customFormat="1" ht="21">
      <c r="A6" s="522" t="s">
        <v>8</v>
      </c>
      <c r="B6" s="555" t="s">
        <v>68</v>
      </c>
      <c r="C6" s="556">
        <v>180000</v>
      </c>
      <c r="D6" s="557">
        <v>10</v>
      </c>
      <c r="E6" s="568">
        <v>3.0000000000000001E-3</v>
      </c>
      <c r="F6" s="569">
        <v>2</v>
      </c>
      <c r="G6" s="560">
        <v>0.23330000000000001</v>
      </c>
      <c r="H6" s="561">
        <v>20</v>
      </c>
      <c r="I6" s="570"/>
      <c r="J6" s="571"/>
      <c r="K6" s="571"/>
      <c r="L6" s="564">
        <f t="shared" si="0"/>
        <v>2.0674110572076945</v>
      </c>
      <c r="M6" s="564">
        <f t="shared" si="1"/>
        <v>36.046648652761526</v>
      </c>
      <c r="N6" s="16"/>
      <c r="O6" s="16"/>
      <c r="P6" s="517">
        <v>2</v>
      </c>
      <c r="Q6" s="565">
        <f>Q8+Q16+Q18+Q15</f>
        <v>382.85389948290629</v>
      </c>
      <c r="R6" s="566" t="s">
        <v>8</v>
      </c>
      <c r="S6" s="16"/>
      <c r="T6" s="566" t="s">
        <v>8</v>
      </c>
      <c r="U6" s="16"/>
      <c r="V6" s="16">
        <v>300</v>
      </c>
      <c r="W6" s="594">
        <f t="shared" ref="W6:W18" si="2">V6/(V6-Q6)</f>
        <v>-3.6208313896184627</v>
      </c>
      <c r="X6" s="16" t="str">
        <f t="shared" ref="X6:X18" si="3">B6</f>
        <v>200 HP Trac</v>
      </c>
      <c r="Y6" s="16"/>
      <c r="Z6" s="16"/>
      <c r="AA6" s="16"/>
      <c r="AB6" s="16"/>
      <c r="AC6" s="16"/>
      <c r="AD6" s="16"/>
      <c r="AE6" s="16"/>
      <c r="AF6" s="16"/>
      <c r="AG6" s="16"/>
      <c r="AH6" s="16"/>
      <c r="AI6" s="16"/>
      <c r="AJ6" s="16"/>
      <c r="AK6" s="16"/>
    </row>
    <row r="7" spans="1:39" s="15" customFormat="1" ht="20">
      <c r="B7" s="571" t="s">
        <v>121</v>
      </c>
      <c r="C7" s="556">
        <v>30000</v>
      </c>
      <c r="D7" s="557">
        <v>10</v>
      </c>
      <c r="E7" s="558">
        <v>0.18</v>
      </c>
      <c r="F7" s="559">
        <v>1.7</v>
      </c>
      <c r="G7" s="560">
        <v>0.21759999999999999</v>
      </c>
      <c r="H7" s="572" t="s">
        <v>28</v>
      </c>
      <c r="I7" s="573">
        <v>30</v>
      </c>
      <c r="J7" s="574">
        <v>4.8899999999999997</v>
      </c>
      <c r="K7" s="575">
        <v>90</v>
      </c>
      <c r="L7" s="564">
        <f t="shared" si="0"/>
        <v>5.9550066125879777</v>
      </c>
      <c r="M7" s="564">
        <f t="shared" si="1"/>
        <v>20.410434782608693</v>
      </c>
      <c r="N7" s="576">
        <f t="shared" ref="N7:N18" si="4">(I7*J7*(K7/100))/8.25</f>
        <v>16.003636363636364</v>
      </c>
      <c r="O7" s="577">
        <f>(FieldApplications!O6*SUM('Farm and Rotation Setup'!AH$5:AH$9))+(FieldApplications!N6*SUM('Farm and Rotation Setup'!AG$5:AG$9))+(FieldApplications!C6*SUM('Farm and Rotation Setup'!V$5:V$9))+(FieldApplications!D6*SUM('Farm and Rotation Setup'!W$5:W$9))+(FieldApplications!V6*SUM('Farm and Rotation Setup'!AO$5:AO$9))+(FieldApplications!E6*SUM('Farm and Rotation Setup'!X$5:X$9))+(FieldApplications!G6*SUM('Farm and Rotation Setup'!Z$5:Z$9))+(FieldApplications!W6*SUM('Farm and Rotation Setup'!AP$5:AP$9))+(FieldApplications!R6*SUM('Farm and Rotation Setup'!AK$5:AK$9))+(FieldApplications!P6*SUM('Farm and Rotation Setup'!AI$5:AI$9))+(FieldApplications!Q6*SUM('Farm and Rotation Setup'!AJ$5:AJ$9))+(FieldApplications!H6*SUM('Farm and Rotation Setup'!AA$5:AA$9))+(FieldApplications!X6*SUM('Farm and Rotation Setup'!AQ$5:AQ$9))+(FieldApplications!J6*SUM('Farm and Rotation Setup'!AC$5:AC$9))+(FieldApplications!I6*SUM('Farm and Rotation Setup'!AB$5:AB$9))+(FieldApplications!U6*SUM('Farm and Rotation Setup'!AN$5:AN$9))+(FieldApplications!T6*SUM('Farm and Rotation Setup'!AM$5:AM$9))+(FieldApplications!S6*SUM('Farm and Rotation Setup'!AL$5:AL$9))+(FieldApplications!Y6*SUM('Farm and Rotation Setup'!AR$5:AR$9))+(FieldApplications!F6*SUM('Farm and Rotation Setup'!Y$5:Y$9))+(FieldApplications!Z6*SUM('Farm and Rotation Setup'!AS$5:AS$9))+(FieldApplications!K6*SUM('Farm and Rotation Setup'!AD$5:AD$9))+(FieldApplications!L6*SUM('Farm and Rotation Setup'!AE$5:AE$9))+(FieldApplications!M6*SUM('Farm and Rotation Setup'!AF$5:AF$9))</f>
        <v>0</v>
      </c>
      <c r="P7" s="517">
        <v>1</v>
      </c>
      <c r="Q7" s="578">
        <v>115</v>
      </c>
      <c r="R7" s="564">
        <f>IF(Q7=0,0,(MachineAssumptions!$D$30*1.2)/N7)</f>
        <v>1.4996591683708247</v>
      </c>
      <c r="S7" s="564">
        <f>IF(Q7=0,0,(MachineAssumptions!$D$29*$H$5*1.15)/N7)</f>
        <v>5.7486934787548281</v>
      </c>
      <c r="T7" s="564">
        <f t="shared" ref="T7:T13" si="5">IF(Q7=0,0,((L7+$L$5)/N7))</f>
        <v>0.46726721181997538</v>
      </c>
      <c r="U7" s="564">
        <f t="shared" ref="U7:U13" si="6">IF(Q7=0,0,((M7+$M$5)/N7))</f>
        <v>4.3329737628911431</v>
      </c>
      <c r="V7" s="16">
        <v>115</v>
      </c>
      <c r="W7" s="594" t="e">
        <f t="shared" si="2"/>
        <v>#DIV/0!</v>
      </c>
      <c r="X7" s="16" t="str">
        <f t="shared" si="3"/>
        <v>Shredder</v>
      </c>
      <c r="Y7" s="16"/>
      <c r="Z7" s="16"/>
      <c r="AA7" s="16"/>
      <c r="AB7" s="16"/>
      <c r="AC7" s="16"/>
      <c r="AD7" s="16"/>
      <c r="AE7" s="16"/>
      <c r="AF7" s="16"/>
      <c r="AG7" s="16"/>
      <c r="AH7" s="16"/>
      <c r="AI7" s="16"/>
      <c r="AJ7" s="16"/>
      <c r="AK7" s="16"/>
    </row>
    <row r="8" spans="1:39" s="15" customFormat="1" ht="20">
      <c r="B8" s="571" t="s">
        <v>122</v>
      </c>
      <c r="C8" s="556">
        <v>12000</v>
      </c>
      <c r="D8" s="557">
        <v>15</v>
      </c>
      <c r="E8" s="558">
        <v>0.27</v>
      </c>
      <c r="F8" s="559">
        <v>1.4</v>
      </c>
      <c r="G8" s="560">
        <v>0.21759999999999999</v>
      </c>
      <c r="H8" s="572" t="s">
        <v>28</v>
      </c>
      <c r="I8" s="573">
        <v>60</v>
      </c>
      <c r="J8" s="574">
        <v>5.99</v>
      </c>
      <c r="K8" s="579">
        <v>85</v>
      </c>
      <c r="L8" s="564">
        <f t="shared" si="0"/>
        <v>3.396299797229875</v>
      </c>
      <c r="M8" s="564">
        <f t="shared" si="1"/>
        <v>8.3455999999999992</v>
      </c>
      <c r="N8" s="576">
        <f t="shared" si="4"/>
        <v>37.029090909090911</v>
      </c>
      <c r="O8" s="577">
        <f>(FieldApplications!O7*SUM('Farm and Rotation Setup'!AH$5:AH$9))+(FieldApplications!N7*SUM('Farm and Rotation Setup'!AG$5:AG$9))+(FieldApplications!C7*SUM('Farm and Rotation Setup'!V$5:V$9))+(FieldApplications!D7*SUM('Farm and Rotation Setup'!W$5:W$9))+(FieldApplications!V7*SUM('Farm and Rotation Setup'!AO$5:AO$9))+(FieldApplications!E7*SUM('Farm and Rotation Setup'!X$5:X$9))+(FieldApplications!G7*SUM('Farm and Rotation Setup'!Z$5:Z$9))+(FieldApplications!W7*SUM('Farm and Rotation Setup'!AP$5:AP$9))+(FieldApplications!R7*SUM('Farm and Rotation Setup'!AK$5:AK$9))+(FieldApplications!P7*SUM('Farm and Rotation Setup'!AI$5:AI$9))+(FieldApplications!Q7*SUM('Farm and Rotation Setup'!AJ$5:AJ$9))+(FieldApplications!H7*SUM('Farm and Rotation Setup'!AA$5:AA$9))+(FieldApplications!X7*SUM('Farm and Rotation Setup'!AQ$5:AQ$9))+(FieldApplications!J7*SUM('Farm and Rotation Setup'!AC$5:AC$9))+(FieldApplications!I7*SUM('Farm and Rotation Setup'!AB$5:AB$9))+(FieldApplications!U7*SUM('Farm and Rotation Setup'!AN$5:AN$9))+(FieldApplications!T7*SUM('Farm and Rotation Setup'!AM$5:AM$9))+(FieldApplications!S7*SUM('Farm and Rotation Setup'!AL$5:AL$9))+(FieldApplications!Y7*SUM('Farm and Rotation Setup'!AR$5:AR$9))+(FieldApplications!F7*SUM('Farm and Rotation Setup'!Y$5:Y$9))+(FieldApplications!Z7*SUM('Farm and Rotation Setup'!AS$5:AS$9))+(FieldApplications!K7*SUM('Farm and Rotation Setup'!AD$5:AD$9))+(FieldApplications!L7*SUM('Farm and Rotation Setup'!AE$5:AE$9))+(FieldApplications!M7*SUM('Farm and Rotation Setup'!AF$5:AF$9))</f>
        <v>0</v>
      </c>
      <c r="P8" s="517">
        <v>2</v>
      </c>
      <c r="Q8" s="578">
        <v>75</v>
      </c>
      <c r="R8" s="564">
        <f>IF(Q8=0,0,(MachineAssumptions!$D$30*1.1)/N8)</f>
        <v>0.59412746734753996</v>
      </c>
      <c r="S8" s="564">
        <f>IF(Q8=0,0,(MachineAssumptions!$D$29*$H$5*1.15)/N8)</f>
        <v>2.4845330452715308</v>
      </c>
      <c r="T8" s="564">
        <f>IF(Q8=0,0,((L8+$L$6)/N8))</f>
        <v>0.14755184964846621</v>
      </c>
      <c r="U8" s="564">
        <f>IF(Q8=0,0,((M8+$M$6)/N8))</f>
        <v>1.1988479209967022</v>
      </c>
      <c r="V8" s="16">
        <v>75</v>
      </c>
      <c r="W8" s="594" t="e">
        <f t="shared" si="2"/>
        <v>#DIV/0!</v>
      </c>
      <c r="X8" s="16" t="str">
        <f t="shared" si="3"/>
        <v>Harrow</v>
      </c>
      <c r="Y8" s="16"/>
      <c r="Z8" s="16"/>
      <c r="AA8" s="16"/>
      <c r="AB8" s="16"/>
      <c r="AC8" s="16"/>
      <c r="AD8" s="16"/>
      <c r="AE8" s="16"/>
      <c r="AF8" s="16"/>
      <c r="AG8" s="16"/>
      <c r="AH8" s="16"/>
      <c r="AI8" s="16"/>
      <c r="AJ8" s="16"/>
      <c r="AK8" s="16"/>
    </row>
    <row r="9" spans="1:39" s="15" customFormat="1" ht="20">
      <c r="B9" s="571" t="s">
        <v>365</v>
      </c>
      <c r="C9" s="580">
        <v>45000</v>
      </c>
      <c r="D9" s="581">
        <v>15</v>
      </c>
      <c r="E9" s="568">
        <v>0.28000000000000003</v>
      </c>
      <c r="F9" s="569">
        <v>1.7</v>
      </c>
      <c r="G9" s="560">
        <v>0.21759999999999999</v>
      </c>
      <c r="H9" s="572" t="s">
        <v>28</v>
      </c>
      <c r="I9" s="582">
        <v>35</v>
      </c>
      <c r="J9" s="583">
        <v>6</v>
      </c>
      <c r="K9" s="584">
        <v>85</v>
      </c>
      <c r="L9" s="564">
        <f t="shared" si="0"/>
        <v>0</v>
      </c>
      <c r="M9" s="564">
        <f t="shared" si="1"/>
        <v>0</v>
      </c>
      <c r="N9" s="576">
        <f t="shared" si="4"/>
        <v>21.636363636363637</v>
      </c>
      <c r="O9" s="577">
        <f>(FieldApplications!O8*SUM('Farm and Rotation Setup'!AH$5:AH$9))+(FieldApplications!N8*SUM('Farm and Rotation Setup'!AG$5:AG$9))+(FieldApplications!C8*SUM('Farm and Rotation Setup'!V$5:V$9))+(FieldApplications!D8*SUM('Farm and Rotation Setup'!W$5:W$9))+(FieldApplications!V8*SUM('Farm and Rotation Setup'!AO$5:AO$9))+(FieldApplications!E8*SUM('Farm and Rotation Setup'!X$5:X$9))+(FieldApplications!G8*SUM('Farm and Rotation Setup'!Z$5:Z$9))+(FieldApplications!W8*SUM('Farm and Rotation Setup'!AP$5:AP$9))+(FieldApplications!R8*SUM('Farm and Rotation Setup'!AK$5:AK$9))+(FieldApplications!P8*SUM('Farm and Rotation Setup'!AI$5:AI$9))+(FieldApplications!Q8*SUM('Farm and Rotation Setup'!AJ$5:AJ$9))+(FieldApplications!H8*SUM('Farm and Rotation Setup'!AA$5:AA$9))+(FieldApplications!X8*SUM('Farm and Rotation Setup'!AQ$5:AQ$9))+(FieldApplications!J8*SUM('Farm and Rotation Setup'!AC$5:AC$9))+(FieldApplications!I8*SUM('Farm and Rotation Setup'!AB$5:AB$9))+(FieldApplications!U8*SUM('Farm and Rotation Setup'!AN$5:AN$9))+(FieldApplications!T8*SUM('Farm and Rotation Setup'!AM$5:AM$9))+(FieldApplications!S8*SUM('Farm and Rotation Setup'!AL$5:AL$9))+(FieldApplications!Y8*SUM('Farm and Rotation Setup'!AR$5:AR$9))+(FieldApplications!F8*SUM('Farm and Rotation Setup'!Y$5:Y$9))+(FieldApplications!Z8*SUM('Farm and Rotation Setup'!AS$5:AS$9))+(FieldApplications!K8*SUM('Farm and Rotation Setup'!AD$5:AD$9))+(FieldApplications!L8*SUM('Farm and Rotation Setup'!AE$5:AE$9))+(FieldApplications!M8*SUM('Farm and Rotation Setup'!AF$5:AF$9))</f>
        <v>0</v>
      </c>
      <c r="P9" s="517">
        <v>1</v>
      </c>
      <c r="Q9" s="565">
        <f t="shared" ref="Q9:Q18" si="7">O9/N9</f>
        <v>0</v>
      </c>
      <c r="R9" s="564">
        <f>IF(Q9=0,0,(MachineAssumptions!$D$30*1.1)/N9)</f>
        <v>0</v>
      </c>
      <c r="S9" s="564">
        <f>IF(Q9=0,0,(MachineAssumptions!$D$29*$H$5*1.15)/N9)</f>
        <v>0</v>
      </c>
      <c r="T9" s="564">
        <f t="shared" si="5"/>
        <v>0</v>
      </c>
      <c r="U9" s="564">
        <f t="shared" si="6"/>
        <v>0</v>
      </c>
      <c r="V9" s="16"/>
      <c r="W9" s="595" t="s">
        <v>8</v>
      </c>
      <c r="X9" s="365" t="s">
        <v>8</v>
      </c>
      <c r="Y9" s="16"/>
      <c r="Z9" s="16"/>
      <c r="AA9" s="16"/>
      <c r="AB9" s="16"/>
      <c r="AC9" s="16"/>
      <c r="AD9" s="16"/>
      <c r="AE9" s="16"/>
      <c r="AF9" s="16"/>
      <c r="AG9" s="16"/>
      <c r="AH9" s="16"/>
      <c r="AI9" s="16"/>
      <c r="AJ9" s="16"/>
      <c r="AK9" s="16"/>
    </row>
    <row r="10" spans="1:39" s="15" customFormat="1" ht="20">
      <c r="B10" s="571" t="s">
        <v>366</v>
      </c>
      <c r="C10" s="580">
        <v>55000</v>
      </c>
      <c r="D10" s="581">
        <v>15</v>
      </c>
      <c r="E10" s="568">
        <v>0.28999999999999998</v>
      </c>
      <c r="F10" s="569">
        <v>1.8</v>
      </c>
      <c r="G10" s="585">
        <v>0.2923</v>
      </c>
      <c r="H10" s="572" t="s">
        <v>28</v>
      </c>
      <c r="I10" s="582">
        <v>25</v>
      </c>
      <c r="J10" s="583">
        <v>3.4</v>
      </c>
      <c r="K10" s="584">
        <v>85</v>
      </c>
      <c r="L10" s="564">
        <f t="shared" si="0"/>
        <v>0</v>
      </c>
      <c r="M10" s="564">
        <f t="shared" si="1"/>
        <v>0</v>
      </c>
      <c r="N10" s="576">
        <f t="shared" si="4"/>
        <v>8.7575757575757578</v>
      </c>
      <c r="O10" s="577">
        <f>(FieldApplications!O9*SUM('Farm and Rotation Setup'!AH$5:AH$9))+(FieldApplications!N9*SUM('Farm and Rotation Setup'!AG$5:AG$9))+(FieldApplications!C9*SUM('Farm and Rotation Setup'!V$5:V$9))+(FieldApplications!D9*SUM('Farm and Rotation Setup'!W$5:W$9))+(FieldApplications!V9*SUM('Farm and Rotation Setup'!AO$5:AO$9))+(FieldApplications!E9*SUM('Farm and Rotation Setup'!X$5:X$9))+(FieldApplications!G9*SUM('Farm and Rotation Setup'!Z$5:Z$9))+(FieldApplications!W9*SUM('Farm and Rotation Setup'!AP$5:AP$9))+(FieldApplications!R9*SUM('Farm and Rotation Setup'!AK$5:AK$9))+(FieldApplications!P9*SUM('Farm and Rotation Setup'!AI$5:AI$9))+(FieldApplications!Q9*SUM('Farm and Rotation Setup'!AJ$5:AJ$9))+(FieldApplications!H9*SUM('Farm and Rotation Setup'!AA$5:AA$9))+(FieldApplications!X9*SUM('Farm and Rotation Setup'!AQ$5:AQ$9))+(FieldApplications!J9*SUM('Farm and Rotation Setup'!AC$5:AC$9))+(FieldApplications!I9*SUM('Farm and Rotation Setup'!AB$5:AB$9))+(FieldApplications!U9*SUM('Farm and Rotation Setup'!AN$5:AN$9))+(FieldApplications!T9*SUM('Farm and Rotation Setup'!AM$5:AM$9))+(FieldApplications!S9*SUM('Farm and Rotation Setup'!AL$5:AL$9))+(FieldApplications!Y9*SUM('Farm and Rotation Setup'!AR$5:AR$9))+(FieldApplications!F9*SUM('Farm and Rotation Setup'!Y$5:Y$9))+(FieldApplications!Z9*SUM('Farm and Rotation Setup'!AS$5:AS$9))+(FieldApplications!K9*SUM('Farm and Rotation Setup'!AD$5:AD$9))+(FieldApplications!L9*SUM('Farm and Rotation Setup'!AE$5:AE$9))+(FieldApplications!M9*SUM('Farm and Rotation Setup'!AF$5:AF$9))</f>
        <v>0</v>
      </c>
      <c r="P10" s="517">
        <v>1</v>
      </c>
      <c r="Q10" s="565">
        <f t="shared" si="7"/>
        <v>0</v>
      </c>
      <c r="R10" s="564">
        <f>IF(Q10=0,0,(MachineAssumptions!$D$30*1.1)/N10)</f>
        <v>0</v>
      </c>
      <c r="S10" s="564">
        <f>IF(Q10=0,0,(MachineAssumptions!$D$29*$H$5*1.15)/N10)</f>
        <v>0</v>
      </c>
      <c r="T10" s="564">
        <f t="shared" si="5"/>
        <v>0</v>
      </c>
      <c r="U10" s="564">
        <f t="shared" si="6"/>
        <v>0</v>
      </c>
      <c r="V10" s="16"/>
      <c r="W10" s="595" t="s">
        <v>8</v>
      </c>
      <c r="X10" s="365" t="s">
        <v>8</v>
      </c>
      <c r="Y10" s="16"/>
      <c r="Z10" s="16"/>
      <c r="AA10" s="16"/>
      <c r="AB10" s="16"/>
      <c r="AC10" s="16"/>
      <c r="AD10" s="16"/>
      <c r="AE10" s="16"/>
      <c r="AF10" s="16"/>
      <c r="AG10" s="16"/>
      <c r="AH10" s="16"/>
      <c r="AI10" s="16"/>
      <c r="AJ10" s="16"/>
      <c r="AK10" s="16"/>
    </row>
    <row r="11" spans="1:39" s="15" customFormat="1" ht="20">
      <c r="B11" s="571" t="s">
        <v>119</v>
      </c>
      <c r="C11" s="580">
        <v>20000</v>
      </c>
      <c r="D11" s="581">
        <v>15</v>
      </c>
      <c r="E11" s="568">
        <v>0.28000000000000003</v>
      </c>
      <c r="F11" s="569">
        <v>1.7</v>
      </c>
      <c r="G11" s="560">
        <v>0.21759999999999999</v>
      </c>
      <c r="H11" s="572" t="s">
        <v>28</v>
      </c>
      <c r="I11" s="582">
        <v>36</v>
      </c>
      <c r="J11" s="583">
        <v>5</v>
      </c>
      <c r="K11" s="584">
        <v>85</v>
      </c>
      <c r="L11" s="564">
        <f t="shared" ref="L11:L12" si="8">IF(Q11=0,0,(C11*(((E11*(((Q11*D11)/1000))^F11)/D11))/Q11))</f>
        <v>0</v>
      </c>
      <c r="M11" s="564">
        <f t="shared" si="1"/>
        <v>0</v>
      </c>
      <c r="N11" s="576">
        <f t="shared" ref="N11:N12" si="9">(I11*J11*(K11/100))/8.25</f>
        <v>18.545454545454547</v>
      </c>
      <c r="O11" s="577">
        <f>(FieldApplications!O10*SUM('Farm and Rotation Setup'!AH$5:AH$9))+(FieldApplications!N10*SUM('Farm and Rotation Setup'!AG$5:AG$9))+(FieldApplications!C10*SUM('Farm and Rotation Setup'!V$5:V$9))+(FieldApplications!D10*SUM('Farm and Rotation Setup'!W$5:W$9))+(FieldApplications!V10*SUM('Farm and Rotation Setup'!AO$5:AO$9))+(FieldApplications!E10*SUM('Farm and Rotation Setup'!X$5:X$9))+(FieldApplications!G10*SUM('Farm and Rotation Setup'!Z$5:Z$9))+(FieldApplications!W10*SUM('Farm and Rotation Setup'!AP$5:AP$9))+(FieldApplications!R10*SUM('Farm and Rotation Setup'!AK$5:AK$9))+(FieldApplications!P10*SUM('Farm and Rotation Setup'!AI$5:AI$9))+(FieldApplications!Q10*SUM('Farm and Rotation Setup'!AJ$5:AJ$9))+(FieldApplications!H10*SUM('Farm and Rotation Setup'!AA$5:AA$9))+(FieldApplications!X10*SUM('Farm and Rotation Setup'!AQ$5:AQ$9))+(FieldApplications!J10*SUM('Farm and Rotation Setup'!AC$5:AC$9))+(FieldApplications!I10*SUM('Farm and Rotation Setup'!AB$5:AB$9))+(FieldApplications!U10*SUM('Farm and Rotation Setup'!AN$5:AN$9))+(FieldApplications!T10*SUM('Farm and Rotation Setup'!AM$5:AM$9))+(FieldApplications!S10*SUM('Farm and Rotation Setup'!AL$5:AL$9))+(FieldApplications!Y10*SUM('Farm and Rotation Setup'!AR$5:AR$9))+(FieldApplications!F10*SUM('Farm and Rotation Setup'!Y$5:Y$9))+(FieldApplications!Z10*SUM('Farm and Rotation Setup'!AS$5:AS$9))+(FieldApplications!K10*SUM('Farm and Rotation Setup'!AD$5:AD$9))+(FieldApplications!L10*SUM('Farm and Rotation Setup'!AE$5:AE$9))+(FieldApplications!M10*SUM('Farm and Rotation Setup'!AF$5:AF$9))</f>
        <v>0</v>
      </c>
      <c r="P11" s="517">
        <v>1</v>
      </c>
      <c r="Q11" s="565">
        <f t="shared" ref="Q11:Q12" si="10">O11/N11</f>
        <v>0</v>
      </c>
      <c r="R11" s="564">
        <f>IF(Q11=0,0,(MachineAssumptions!$D$30*1.1)/N11)</f>
        <v>0</v>
      </c>
      <c r="S11" s="564">
        <f>IF(Q11=0,0,(MachineAssumptions!$D$29*$H$5*1.15)/N11)</f>
        <v>0</v>
      </c>
      <c r="T11" s="564">
        <f t="shared" ref="T11:T12" si="11">IF(Q11=0,0,((L11+$L$5)/N11))</f>
        <v>0</v>
      </c>
      <c r="U11" s="564">
        <f t="shared" ref="U11:U12" si="12">IF(Q11=0,0,((M11+$M$5)/N11))</f>
        <v>0</v>
      </c>
      <c r="V11" s="16"/>
      <c r="W11" s="595" t="s">
        <v>8</v>
      </c>
      <c r="X11" s="365" t="s">
        <v>8</v>
      </c>
      <c r="Y11" s="16"/>
      <c r="Z11" s="16"/>
      <c r="AA11" s="16"/>
      <c r="AB11" s="16"/>
      <c r="AC11" s="16"/>
      <c r="AD11" s="16"/>
      <c r="AE11" s="16"/>
      <c r="AF11" s="16"/>
      <c r="AG11" s="16"/>
      <c r="AH11" s="16"/>
      <c r="AI11" s="16"/>
      <c r="AJ11" s="16"/>
      <c r="AK11" s="16"/>
    </row>
    <row r="12" spans="1:39" s="15" customFormat="1" ht="20">
      <c r="B12" s="571" t="s">
        <v>120</v>
      </c>
      <c r="C12" s="580">
        <v>25000</v>
      </c>
      <c r="D12" s="581">
        <v>15</v>
      </c>
      <c r="E12" s="568">
        <v>0.28000000000000003</v>
      </c>
      <c r="F12" s="569">
        <v>1.7</v>
      </c>
      <c r="G12" s="560">
        <v>0.21759999999999999</v>
      </c>
      <c r="H12" s="572" t="s">
        <v>28</v>
      </c>
      <c r="I12" s="582">
        <v>36</v>
      </c>
      <c r="J12" s="583">
        <v>5</v>
      </c>
      <c r="K12" s="584">
        <v>85</v>
      </c>
      <c r="L12" s="564">
        <f t="shared" si="8"/>
        <v>0</v>
      </c>
      <c r="M12" s="564">
        <f t="shared" si="1"/>
        <v>0</v>
      </c>
      <c r="N12" s="576">
        <f t="shared" si="9"/>
        <v>18.545454545454547</v>
      </c>
      <c r="O12" s="577">
        <f>(FieldApplications!O11*SUM('Farm and Rotation Setup'!AH$5:AH$9))+(FieldApplications!N11*SUM('Farm and Rotation Setup'!AG$5:AG$9))+(FieldApplications!C11*SUM('Farm and Rotation Setup'!V$5:V$9))+(FieldApplications!D11*SUM('Farm and Rotation Setup'!W$5:W$9))+(FieldApplications!V11*SUM('Farm and Rotation Setup'!AO$5:AO$9))+(FieldApplications!E11*SUM('Farm and Rotation Setup'!X$5:X$9))+(FieldApplications!G11*SUM('Farm and Rotation Setup'!Z$5:Z$9))+(FieldApplications!W11*SUM('Farm and Rotation Setup'!AP$5:AP$9))+(FieldApplications!R11*SUM('Farm and Rotation Setup'!AK$5:AK$9))+(FieldApplications!P11*SUM('Farm and Rotation Setup'!AI$5:AI$9))+(FieldApplications!Q11*SUM('Farm and Rotation Setup'!AJ$5:AJ$9))+(FieldApplications!H11*SUM('Farm and Rotation Setup'!AA$5:AA$9))+(FieldApplications!X11*SUM('Farm and Rotation Setup'!AQ$5:AQ$9))+(FieldApplications!J11*SUM('Farm and Rotation Setup'!AC$5:AC$9))+(FieldApplications!I11*SUM('Farm and Rotation Setup'!AB$5:AB$9))+(FieldApplications!U11*SUM('Farm and Rotation Setup'!AN$5:AN$9))+(FieldApplications!T11*SUM('Farm and Rotation Setup'!AM$5:AM$9))+(FieldApplications!S11*SUM('Farm and Rotation Setup'!AL$5:AL$9))+(FieldApplications!Y11*SUM('Farm and Rotation Setup'!AR$5:AR$9))+(FieldApplications!F11*SUM('Farm and Rotation Setup'!Y$5:Y$9))+(FieldApplications!Z11*SUM('Farm and Rotation Setup'!AS$5:AS$9))+(FieldApplications!K11*SUM('Farm and Rotation Setup'!AD$5:AD$9))+(FieldApplications!L11*SUM('Farm and Rotation Setup'!AE$5:AE$9))+(FieldApplications!M11*SUM('Farm and Rotation Setup'!AF$5:AF$9))</f>
        <v>0</v>
      </c>
      <c r="P12" s="517">
        <v>1</v>
      </c>
      <c r="Q12" s="565">
        <f t="shared" si="10"/>
        <v>0</v>
      </c>
      <c r="R12" s="564">
        <f>IF(Q12=0,0,(MachineAssumptions!$D$30*1.1)/N12)</f>
        <v>0</v>
      </c>
      <c r="S12" s="564">
        <f>IF(Q12=0,0,(MachineAssumptions!$D$29*$H$5*1.15)/N12)</f>
        <v>0</v>
      </c>
      <c r="T12" s="564">
        <f t="shared" si="11"/>
        <v>0</v>
      </c>
      <c r="U12" s="564">
        <f t="shared" si="12"/>
        <v>0</v>
      </c>
      <c r="V12" s="16"/>
      <c r="W12" s="595" t="s">
        <v>8</v>
      </c>
      <c r="X12" s="365" t="s">
        <v>8</v>
      </c>
      <c r="Y12" s="16"/>
      <c r="Z12" s="16"/>
      <c r="AA12" s="16"/>
      <c r="AB12" s="16"/>
      <c r="AC12" s="16"/>
      <c r="AD12" s="16"/>
      <c r="AE12" s="16"/>
      <c r="AF12" s="16"/>
      <c r="AG12" s="16"/>
      <c r="AH12" s="16"/>
      <c r="AI12" s="16"/>
      <c r="AJ12" s="16"/>
      <c r="AK12" s="16"/>
    </row>
    <row r="13" spans="1:39" s="15" customFormat="1" ht="20">
      <c r="B13" s="571" t="s">
        <v>123</v>
      </c>
      <c r="C13" s="586">
        <v>150000</v>
      </c>
      <c r="D13" s="581">
        <v>10</v>
      </c>
      <c r="E13" s="568">
        <v>0.32</v>
      </c>
      <c r="F13" s="569">
        <v>2.1</v>
      </c>
      <c r="G13" s="585">
        <v>0.33789999999999998</v>
      </c>
      <c r="H13" s="572" t="s">
        <v>28</v>
      </c>
      <c r="I13" s="573">
        <v>36</v>
      </c>
      <c r="J13" s="574">
        <v>4.9000000000000004</v>
      </c>
      <c r="K13" s="579">
        <v>70</v>
      </c>
      <c r="L13" s="564">
        <f t="shared" si="0"/>
        <v>84.39530896272025</v>
      </c>
      <c r="M13" s="564">
        <f t="shared" si="1"/>
        <v>59.458987636363638</v>
      </c>
      <c r="N13" s="576">
        <f t="shared" si="4"/>
        <v>14.967272727272727</v>
      </c>
      <c r="O13" s="577">
        <f>(FieldApplications!O12*SUM('Farm and Rotation Setup'!AH$5:AH$9))+(FieldApplications!N12*SUM('Farm and Rotation Setup'!AG$5:AG$9))+(FieldApplications!C12*SUM('Farm and Rotation Setup'!V$5:V$9))+(FieldApplications!D12*SUM('Farm and Rotation Setup'!W$5:W$9))+(FieldApplications!V12*SUM('Farm and Rotation Setup'!AO$5:AO$9))+(FieldApplications!E12*SUM('Farm and Rotation Setup'!X$5:X$9))+(FieldApplications!G12*SUM('Farm and Rotation Setup'!Z$5:Z$9))+(FieldApplications!W12*SUM('Farm and Rotation Setup'!AP$5:AP$9))+(FieldApplications!R12*SUM('Farm and Rotation Setup'!AK$5:AK$9))+(FieldApplications!P12*SUM('Farm and Rotation Setup'!AI$5:AI$9))+(FieldApplications!Q12*SUM('Farm and Rotation Setup'!AJ$5:AJ$9))+(FieldApplications!H12*SUM('Farm and Rotation Setup'!AA$5:AA$9))+(FieldApplications!X12*SUM('Farm and Rotation Setup'!AQ$5:AQ$9))+(FieldApplications!J12*SUM('Farm and Rotation Setup'!AC$5:AC$9))+(FieldApplications!I12*SUM('Farm and Rotation Setup'!AB$5:AB$9))+(FieldApplications!U12*SUM('Farm and Rotation Setup'!AN$5:AN$9))+(FieldApplications!T12*SUM('Farm and Rotation Setup'!AM$5:AM$9))+(FieldApplications!S12*SUM('Farm and Rotation Setup'!AL$5:AL$9))+(FieldApplications!Y12*SUM('Farm and Rotation Setup'!AR$5:AR$9))+(FieldApplications!F12*SUM('Farm and Rotation Setup'!Y$5:Y$9))+(FieldApplications!Z12*SUM('Farm and Rotation Setup'!AS$5:AS$9))+(FieldApplications!K12*SUM('Farm and Rotation Setup'!AD$5:AD$9))+(FieldApplications!L12*SUM('Farm and Rotation Setup'!AE$5:AE$9))+(FieldApplications!M12*SUM('Farm and Rotation Setup'!AF$5:AF$9))</f>
        <v>2500</v>
      </c>
      <c r="P13" s="517">
        <v>1</v>
      </c>
      <c r="Q13" s="565">
        <f t="shared" si="7"/>
        <v>167.03109815354713</v>
      </c>
      <c r="R13" s="564">
        <f>IF(Q13=0,0,(MachineAssumptions!$D$30*1.25)/N13)</f>
        <v>1.6703109815354713</v>
      </c>
      <c r="S13" s="564">
        <f>IF(Q13=0,0,(MachineAssumptions!$D$29*$H$5*1.15)/N13)</f>
        <v>6.146744412050535</v>
      </c>
      <c r="T13" s="564">
        <f t="shared" si="5"/>
        <v>5.740409656342587</v>
      </c>
      <c r="U13" s="564">
        <f t="shared" si="6"/>
        <v>7.2419265221735989</v>
      </c>
      <c r="V13" s="16">
        <v>200</v>
      </c>
      <c r="W13" s="594">
        <f t="shared" si="2"/>
        <v>6.0663227708179814</v>
      </c>
      <c r="X13" s="16" t="str">
        <f t="shared" si="3"/>
        <v>Drill</v>
      </c>
      <c r="Y13" s="16"/>
      <c r="Z13" s="16"/>
      <c r="AA13" s="16"/>
      <c r="AB13" s="16"/>
      <c r="AC13" s="16"/>
      <c r="AD13" s="16"/>
      <c r="AE13" s="16"/>
      <c r="AF13" s="16"/>
      <c r="AG13" s="16"/>
      <c r="AH13" s="16"/>
      <c r="AI13" s="16"/>
      <c r="AJ13" s="16"/>
      <c r="AK13" s="16"/>
    </row>
    <row r="14" spans="1:39" s="15" customFormat="1" ht="20">
      <c r="B14" s="571" t="s">
        <v>367</v>
      </c>
      <c r="C14" s="556">
        <v>300000</v>
      </c>
      <c r="D14" s="557">
        <v>10</v>
      </c>
      <c r="E14" s="558">
        <v>0.12</v>
      </c>
      <c r="F14" s="559">
        <v>2.2999999999999998</v>
      </c>
      <c r="G14" s="560">
        <v>0.19139999999999999</v>
      </c>
      <c r="H14" s="561">
        <v>14</v>
      </c>
      <c r="I14" s="573">
        <v>36</v>
      </c>
      <c r="J14" s="574">
        <v>4.5999999999999996</v>
      </c>
      <c r="K14" s="579">
        <v>65</v>
      </c>
      <c r="L14" s="564">
        <f t="shared" si="0"/>
        <v>83.839532764862781</v>
      </c>
      <c r="M14" s="564">
        <f t="shared" si="1"/>
        <v>126.60029672727272</v>
      </c>
      <c r="N14" s="576">
        <f t="shared" si="4"/>
        <v>13.047272727272727</v>
      </c>
      <c r="O14" s="577">
        <f>(FieldApplications!O13*SUM('Farm and Rotation Setup'!AH$5:AH$9))+(FieldApplications!N13*SUM('Farm and Rotation Setup'!AG$5:AG$9))+(FieldApplications!C13*SUM('Farm and Rotation Setup'!V$5:V$9))+(FieldApplications!D13*SUM('Farm and Rotation Setup'!W$5:W$9))+(FieldApplications!V13*SUM('Farm and Rotation Setup'!AO$5:AO$9))+(FieldApplications!E13*SUM('Farm and Rotation Setup'!X$5:X$9))+(FieldApplications!G13*SUM('Farm and Rotation Setup'!Z$5:Z$9))+(FieldApplications!W13*SUM('Farm and Rotation Setup'!AP$5:AP$9))+(FieldApplications!R13*SUM('Farm and Rotation Setup'!AK$5:AK$9))+(FieldApplications!P13*SUM('Farm and Rotation Setup'!AI$5:AI$9))+(FieldApplications!Q13*SUM('Farm and Rotation Setup'!AJ$5:AJ$9))+(FieldApplications!H13*SUM('Farm and Rotation Setup'!AA$5:AA$9))+(FieldApplications!X13*SUM('Farm and Rotation Setup'!AQ$5:AQ$9))+(FieldApplications!J13*SUM('Farm and Rotation Setup'!AC$5:AC$9))+(FieldApplications!I13*SUM('Farm and Rotation Setup'!AB$5:AB$9))+(FieldApplications!U13*SUM('Farm and Rotation Setup'!AN$5:AN$9))+(FieldApplications!T13*SUM('Farm and Rotation Setup'!AM$5:AM$9))+(FieldApplications!S13*SUM('Farm and Rotation Setup'!AL$5:AL$9))+(FieldApplications!Y13*SUM('Farm and Rotation Setup'!AR$5:AR$9))+(FieldApplications!F13*SUM('Farm and Rotation Setup'!Y$5:Y$9))+(FieldApplications!Z13*SUM('Farm and Rotation Setup'!AS$5:AS$9))+(FieldApplications!K13*SUM('Farm and Rotation Setup'!AD$5:AD$9))+(FieldApplications!L13*SUM('Farm and Rotation Setup'!AE$5:AE$9))+(FieldApplications!M13*SUM('Farm and Rotation Setup'!AF$5:AF$9))</f>
        <v>2500</v>
      </c>
      <c r="P14" s="517" t="s">
        <v>97</v>
      </c>
      <c r="Q14" s="565">
        <f t="shared" si="7"/>
        <v>191.61092530657749</v>
      </c>
      <c r="R14" s="564">
        <f>IF(Q14=0,0,(MachineAssumptions!$D$30*1.25)/N14)</f>
        <v>1.9161092530657748</v>
      </c>
      <c r="S14" s="564">
        <f>IF(Q14=0,0,(MachineAssumptions!$D$29*$H$5*1.15)/N14)</f>
        <v>7.0512820512820511</v>
      </c>
      <c r="T14" s="564">
        <f>IF(Q14=0,0,((L14)/N14))</f>
        <v>6.4258281801385913</v>
      </c>
      <c r="U14" s="564">
        <f>IF(Q14=0,0,((M14)/N14))</f>
        <v>9.7031999999999989</v>
      </c>
      <c r="V14" s="16">
        <v>225</v>
      </c>
      <c r="W14" s="594">
        <f t="shared" si="2"/>
        <v>6.738731218697831</v>
      </c>
      <c r="X14" s="16" t="str">
        <f t="shared" si="3"/>
        <v>Combine w/ 36' header</v>
      </c>
      <c r="Y14" s="16"/>
      <c r="Z14" s="16"/>
      <c r="AA14" s="16"/>
      <c r="AB14" s="16"/>
      <c r="AC14" s="16"/>
      <c r="AD14" s="16"/>
      <c r="AE14" s="16"/>
      <c r="AF14" s="16"/>
      <c r="AG14" s="16"/>
      <c r="AH14" s="16"/>
      <c r="AI14" s="16"/>
      <c r="AJ14" s="16"/>
      <c r="AK14" s="16"/>
    </row>
    <row r="15" spans="1:39" s="15" customFormat="1" ht="20">
      <c r="B15" s="555" t="s">
        <v>69</v>
      </c>
      <c r="C15" s="556">
        <v>18000</v>
      </c>
      <c r="D15" s="557">
        <v>15</v>
      </c>
      <c r="E15" s="558">
        <v>0.19</v>
      </c>
      <c r="F15" s="559">
        <v>1.3</v>
      </c>
      <c r="G15" s="560">
        <v>0.66</v>
      </c>
      <c r="H15" s="570" t="s">
        <v>28</v>
      </c>
      <c r="I15" s="572" t="s">
        <v>28</v>
      </c>
      <c r="J15" s="572" t="s">
        <v>28</v>
      </c>
      <c r="K15" s="572" t="s">
        <v>28</v>
      </c>
      <c r="L15" s="564">
        <f>IF(Q15=0,0,(C15*(((E15*(((Q15*D15)/1000))^F15)/D15))/Q15))</f>
        <v>4.5331132197900024</v>
      </c>
      <c r="M15" s="564">
        <f>IF(Q15=0,0,((C15-(C15*(G15)))/D15)/Q15)</f>
        <v>2.3924886618998977</v>
      </c>
      <c r="N15" s="576">
        <f>N14</f>
        <v>13.047272727272727</v>
      </c>
      <c r="O15" s="577">
        <f>(FieldApplications!O17*SUM('Farm and Rotation Setup'!AH$5:AH$9))+(FieldApplications!N17*SUM('Farm and Rotation Setup'!AG$5:AG$9))+(FieldApplications!C17*SUM('Farm and Rotation Setup'!V$5:V$9))+(FieldApplications!D17*SUM('Farm and Rotation Setup'!W$5:W$9))+(FieldApplications!V17*SUM('Farm and Rotation Setup'!AO$5:AO$9))+(FieldApplications!E17*SUM('Farm and Rotation Setup'!X$5:X$9))+(FieldApplications!G17*SUM('Farm and Rotation Setup'!Z$5:Z$9))+(FieldApplications!W17*SUM('Farm and Rotation Setup'!AP$5:AP$9))+(FieldApplications!R17*SUM('Farm and Rotation Setup'!AK$5:AK$9))+(FieldApplications!P17*SUM('Farm and Rotation Setup'!AI$5:AI$9))+(FieldApplications!Q17*SUM('Farm and Rotation Setup'!AJ$5:AJ$9))+(FieldApplications!H17*SUM('Farm and Rotation Setup'!AA$5:AA$9))+(FieldApplications!X17*SUM('Farm and Rotation Setup'!AQ$5:AQ$9))+(FieldApplications!J17*SUM('Farm and Rotation Setup'!AC$5:AC$9))+(FieldApplications!I17*SUM('Farm and Rotation Setup'!AB$5:AB$9))+(FieldApplications!U17*SUM('Farm and Rotation Setup'!AN$5:AN$9))+(FieldApplications!T17*SUM('Farm and Rotation Setup'!AM$5:AM$9))+(FieldApplications!S17*SUM('Farm and Rotation Setup'!AL$5:AL$9))+(FieldApplications!Y17*SUM('Farm and Rotation Setup'!AR$5:AR$9))+(FieldApplications!F17*SUM('Farm and Rotation Setup'!Y$5:Y$9))+(FieldApplications!Z17*SUM('Farm and Rotation Setup'!AS$5:AS$9))+(FieldApplications!K17*SUM('Farm and Rotation Setup'!AD$5:AD$9))+(FieldApplications!L17*SUM('Farm and Rotation Setup'!AE$5:AE$9))+(FieldApplications!M17*SUM('Farm and Rotation Setup'!AF$5:AF$9))</f>
        <v>0</v>
      </c>
      <c r="P15" s="517">
        <v>2</v>
      </c>
      <c r="Q15" s="565">
        <f>Q14*0.89</f>
        <v>170.53372352285396</v>
      </c>
      <c r="R15" s="564">
        <f>IF(Q15=0,0,(MachineAssumptions!$D$30*1.1)/N15)</f>
        <v>1.6861761426978819</v>
      </c>
      <c r="S15" s="564">
        <f>IF(Q15=0,0,(MachineAssumptions!$D$29*$H$6*1.15)/N15)</f>
        <v>7.0512820512820511</v>
      </c>
      <c r="T15" s="564">
        <f>IF(Q15=0,0,((L15+$L$6)/N15))</f>
        <v>0.5058930256896228</v>
      </c>
      <c r="U15" s="564">
        <f>IF(Q15=0,0,((M15+$M$6)/N15))</f>
        <v>2.9461434675395459</v>
      </c>
      <c r="V15" s="16">
        <v>200</v>
      </c>
      <c r="W15" s="594">
        <f>V15/(V15-Q15)</f>
        <v>6.7874201938992682</v>
      </c>
      <c r="X15" s="16" t="str">
        <f>B15</f>
        <v>Bankout Wagon</v>
      </c>
      <c r="Y15" s="16"/>
      <c r="Z15" s="16"/>
      <c r="AA15" s="16"/>
      <c r="AB15" s="16"/>
      <c r="AC15" s="16"/>
      <c r="AD15" s="16"/>
      <c r="AE15" s="16"/>
      <c r="AF15" s="16"/>
      <c r="AG15" s="16"/>
      <c r="AH15" s="16"/>
      <c r="AI15" s="16"/>
      <c r="AJ15" s="16"/>
      <c r="AK15" s="16"/>
    </row>
    <row r="16" spans="1:39" s="15" customFormat="1" ht="20">
      <c r="B16" s="571" t="s">
        <v>124</v>
      </c>
      <c r="C16" s="556">
        <v>25000</v>
      </c>
      <c r="D16" s="557">
        <v>20</v>
      </c>
      <c r="E16" s="558">
        <v>0.63</v>
      </c>
      <c r="F16" s="559">
        <v>1.3</v>
      </c>
      <c r="G16" s="560">
        <v>0.66</v>
      </c>
      <c r="H16" s="587" t="s">
        <v>28</v>
      </c>
      <c r="I16" s="573">
        <v>40</v>
      </c>
      <c r="J16" s="574">
        <v>6</v>
      </c>
      <c r="K16" s="575">
        <v>70</v>
      </c>
      <c r="L16" s="564">
        <f t="shared" si="0"/>
        <v>0</v>
      </c>
      <c r="M16" s="564">
        <f t="shared" si="1"/>
        <v>0</v>
      </c>
      <c r="N16" s="576">
        <f t="shared" si="4"/>
        <v>20.363636363636363</v>
      </c>
      <c r="O16" s="577">
        <f>(FieldApplications!O14*SUM('Farm and Rotation Setup'!AH$5:AH$9))+(FieldApplications!N14*SUM('Farm and Rotation Setup'!AG$5:AG$9))+(FieldApplications!C14*SUM('Farm and Rotation Setup'!V$5:V$9))+(FieldApplications!D14*SUM('Farm and Rotation Setup'!W$5:W$9))+(FieldApplications!V14*SUM('Farm and Rotation Setup'!AO$5:AO$9))+(FieldApplications!E14*SUM('Farm and Rotation Setup'!X$5:X$9))+(FieldApplications!G14*SUM('Farm and Rotation Setup'!Z$5:Z$9))+(FieldApplications!W14*SUM('Farm and Rotation Setup'!AP$5:AP$9))+(FieldApplications!R14*SUM('Farm and Rotation Setup'!AK$5:AK$9))+(FieldApplications!P14*SUM('Farm and Rotation Setup'!AI$5:AI$9))+(FieldApplications!Q14*SUM('Farm and Rotation Setup'!AJ$5:AJ$9))+(FieldApplications!H14*SUM('Farm and Rotation Setup'!AA$5:AA$9))+(FieldApplications!X14*SUM('Farm and Rotation Setup'!AQ$5:AQ$9))+(FieldApplications!J14*SUM('Farm and Rotation Setup'!AC$5:AC$9))+(FieldApplications!I14*SUM('Farm and Rotation Setup'!AB$5:AB$9))+(FieldApplications!U14*SUM('Farm and Rotation Setup'!AN$5:AN$9))+(FieldApplications!T14*SUM('Farm and Rotation Setup'!AM$5:AM$9))+(FieldApplications!S14*SUM('Farm and Rotation Setup'!AL$5:AL$9))+(FieldApplications!Y14*SUM('Farm and Rotation Setup'!AR$5:AR$9))+(FieldApplications!F14*SUM('Farm and Rotation Setup'!Y$5:Y$9))+(FieldApplications!Z14*SUM('Farm and Rotation Setup'!AS$5:AS$9))+(FieldApplications!K14*SUM('Farm and Rotation Setup'!AD$5:AD$9))+(FieldApplications!L14*SUM('Farm and Rotation Setup'!AE$5:AE$9))+(FieldApplications!M14*SUM('Farm and Rotation Setup'!AF$5:AF$9))</f>
        <v>0</v>
      </c>
      <c r="P16" s="517">
        <v>2</v>
      </c>
      <c r="Q16" s="565">
        <f t="shared" si="7"/>
        <v>0</v>
      </c>
      <c r="R16" s="564">
        <f>IF(Q16=0,0,(MachineAssumptions!$D$30*1.1)/N16)</f>
        <v>0</v>
      </c>
      <c r="S16" s="564">
        <f>IF(Q16=0,0,(MachineAssumptions!$D$29*$H$5*1.15)/N16)</f>
        <v>0</v>
      </c>
      <c r="T16" s="564">
        <f>IF(Q16=0,0,((L16+$L$6)/N16))</f>
        <v>0</v>
      </c>
      <c r="U16" s="564">
        <f>IF(Q16=0,0,((M16+$M$6)/N16))</f>
        <v>0</v>
      </c>
      <c r="V16" s="16"/>
      <c r="W16" s="595" t="s">
        <v>8</v>
      </c>
      <c r="X16" s="365" t="s">
        <v>8</v>
      </c>
      <c r="Y16" s="16"/>
      <c r="Z16" s="16"/>
      <c r="AA16" s="16"/>
      <c r="AB16" s="16"/>
      <c r="AC16" s="16"/>
      <c r="AD16" s="16"/>
      <c r="AE16" s="16"/>
      <c r="AF16" s="16"/>
      <c r="AG16" s="16"/>
      <c r="AH16" s="16"/>
      <c r="AI16" s="16"/>
      <c r="AJ16" s="16"/>
      <c r="AK16" s="16"/>
    </row>
    <row r="17" spans="2:37" s="15" customFormat="1" ht="20">
      <c r="B17" s="571" t="s">
        <v>368</v>
      </c>
      <c r="C17" s="556">
        <v>30000</v>
      </c>
      <c r="D17" s="557">
        <v>20</v>
      </c>
      <c r="E17" s="558">
        <v>0</v>
      </c>
      <c r="F17" s="559">
        <v>0</v>
      </c>
      <c r="G17" s="560">
        <v>0</v>
      </c>
      <c r="H17" s="570" t="s">
        <v>28</v>
      </c>
      <c r="I17" s="573">
        <v>16.5</v>
      </c>
      <c r="J17" s="574">
        <v>7</v>
      </c>
      <c r="K17" s="579">
        <v>70</v>
      </c>
      <c r="L17" s="564">
        <f t="shared" si="0"/>
        <v>0</v>
      </c>
      <c r="M17" s="564">
        <f t="shared" si="1"/>
        <v>5.879999999999999</v>
      </c>
      <c r="N17" s="576">
        <f t="shared" si="4"/>
        <v>9.7999999999999989</v>
      </c>
      <c r="O17" s="577">
        <f>(FieldApplications!O15*SUM('Farm and Rotation Setup'!AH$5:AH$9))+(FieldApplications!N15*SUM('Farm and Rotation Setup'!AG$5:AG$9))+(FieldApplications!C15*SUM('Farm and Rotation Setup'!V$5:V$9))+(FieldApplications!D15*SUM('Farm and Rotation Setup'!W$5:W$9))+(FieldApplications!V15*SUM('Farm and Rotation Setup'!AO$5:AO$9))+(FieldApplications!E15*SUM('Farm and Rotation Setup'!X$5:X$9))+(FieldApplications!G15*SUM('Farm and Rotation Setup'!Z$5:Z$9))+(FieldApplications!W15*SUM('Farm and Rotation Setup'!AP$5:AP$9))+(FieldApplications!R15*SUM('Farm and Rotation Setup'!AK$5:AK$9))+(FieldApplications!P15*SUM('Farm and Rotation Setup'!AI$5:AI$9))+(FieldApplications!Q15*SUM('Farm and Rotation Setup'!AJ$5:AJ$9))+(FieldApplications!H15*SUM('Farm and Rotation Setup'!AA$5:AA$9))+(FieldApplications!X15*SUM('Farm and Rotation Setup'!AQ$5:AQ$9))+(FieldApplications!J15*SUM('Farm and Rotation Setup'!AC$5:AC$9))+(FieldApplications!I15*SUM('Farm and Rotation Setup'!AB$5:AB$9))+(FieldApplications!U15*SUM('Farm and Rotation Setup'!AN$5:AN$9))+(FieldApplications!T15*SUM('Farm and Rotation Setup'!AM$5:AM$9))+(FieldApplications!S15*SUM('Farm and Rotation Setup'!AL$5:AL$9))+(FieldApplications!Y15*SUM('Farm and Rotation Setup'!AR$5:AR$9))+(FieldApplications!F15*SUM('Farm and Rotation Setup'!Y$5:Y$9))+(FieldApplications!Z15*SUM('Farm and Rotation Setup'!AS$5:AS$9))+(FieldApplications!K15*SUM('Farm and Rotation Setup'!AD$5:AD$9))+(FieldApplications!L15*SUM('Farm and Rotation Setup'!AE$5:AE$9))+(FieldApplications!M15*SUM('Farm and Rotation Setup'!AF$5:AF$9))</f>
        <v>2500</v>
      </c>
      <c r="P17" s="517" t="s">
        <v>97</v>
      </c>
      <c r="Q17" s="565">
        <f t="shared" si="7"/>
        <v>255.10204081632656</v>
      </c>
      <c r="R17" s="564">
        <f>IF(Q17=0,0,(MachineAssumptions!$D$30*1.1)/N17)</f>
        <v>2.2448979591836737</v>
      </c>
      <c r="S17" s="564">
        <f>IF(Q17=0,0,(MachineAssumptions!$D$29*$H$5*1.15)/N17)</f>
        <v>9.387755102040817</v>
      </c>
      <c r="T17" s="564">
        <f>IF(Q17=0,0,((L17)/N17))</f>
        <v>0</v>
      </c>
      <c r="U17" s="564">
        <f>IF(Q17=0,0,((M17)/N17))</f>
        <v>0.6</v>
      </c>
      <c r="V17" s="16"/>
      <c r="W17" s="594">
        <f t="shared" si="2"/>
        <v>0</v>
      </c>
      <c r="X17" s="16" t="str">
        <f t="shared" si="3"/>
        <v>Fertilizer tanks and pump</v>
      </c>
      <c r="Y17" s="16"/>
      <c r="Z17" s="16"/>
      <c r="AA17" s="16"/>
      <c r="AB17" s="16"/>
      <c r="AC17" s="16"/>
      <c r="AD17" s="16"/>
      <c r="AE17" s="16"/>
      <c r="AF17" s="16"/>
      <c r="AG17" s="16"/>
      <c r="AH17" s="16"/>
      <c r="AI17" s="16"/>
      <c r="AJ17" s="16"/>
      <c r="AK17" s="16"/>
    </row>
    <row r="18" spans="2:37" s="15" customFormat="1" ht="20">
      <c r="B18" s="571" t="s">
        <v>369</v>
      </c>
      <c r="C18" s="556">
        <v>42000</v>
      </c>
      <c r="D18" s="557">
        <v>20</v>
      </c>
      <c r="E18" s="558">
        <v>0.41</v>
      </c>
      <c r="F18" s="559">
        <v>1.3</v>
      </c>
      <c r="G18" s="560">
        <v>0.66</v>
      </c>
      <c r="H18" s="570" t="s">
        <v>28</v>
      </c>
      <c r="I18" s="573">
        <v>100</v>
      </c>
      <c r="J18" s="574">
        <v>6.47</v>
      </c>
      <c r="K18" s="579">
        <v>65</v>
      </c>
      <c r="L18" s="564">
        <f t="shared" si="0"/>
        <v>23.31645121980694</v>
      </c>
      <c r="M18" s="564">
        <f t="shared" si="1"/>
        <v>5.1995272727272726</v>
      </c>
      <c r="N18" s="576">
        <f t="shared" si="4"/>
        <v>50.975757575757576</v>
      </c>
      <c r="O18" s="577">
        <f>(FieldApplications!O16*SUM('Farm and Rotation Setup'!AH$5:AH$9))+(FieldApplications!N16*SUM('Farm and Rotation Setup'!AG$5:AG$9))+(FieldApplications!C16*SUM('Farm and Rotation Setup'!V$5:V$9))+(FieldApplications!D16*SUM('Farm and Rotation Setup'!W$5:W$9))+(FieldApplications!V16*SUM('Farm and Rotation Setup'!AO$5:AO$9))+(FieldApplications!E16*SUM('Farm and Rotation Setup'!X$5:X$9))+(FieldApplications!G16*SUM('Farm and Rotation Setup'!Z$5:Z$9))+(FieldApplications!W16*SUM('Farm and Rotation Setup'!AP$5:AP$9))+(FieldApplications!R16*SUM('Farm and Rotation Setup'!AK$5:AK$9))+(FieldApplications!P16*SUM('Farm and Rotation Setup'!AI$5:AI$9))+(FieldApplications!Q16*SUM('Farm and Rotation Setup'!AJ$5:AJ$9))+(FieldApplications!H16*SUM('Farm and Rotation Setup'!AA$5:AA$9))+(FieldApplications!X16*SUM('Farm and Rotation Setup'!AQ$5:AQ$9))+(FieldApplications!J16*SUM('Farm and Rotation Setup'!AC$5:AC$9))+(FieldApplications!I16*SUM('Farm and Rotation Setup'!AB$5:AB$9))+(FieldApplications!U16*SUM('Farm and Rotation Setup'!AN$5:AN$9))+(FieldApplications!T16*SUM('Farm and Rotation Setup'!AM$5:AM$9))+(FieldApplications!S16*SUM('Farm and Rotation Setup'!AL$5:AL$9))+(FieldApplications!Y16*SUM('Farm and Rotation Setup'!AR$5:AR$9))+(FieldApplications!F16*SUM('Farm and Rotation Setup'!Y$5:Y$9))+(FieldApplications!Z16*SUM('Farm and Rotation Setup'!AS$5:AS$9))+(FieldApplications!K16*SUM('Farm and Rotation Setup'!AD$5:AD$9))+(FieldApplications!L16*SUM('Farm and Rotation Setup'!AE$5:AE$9))+(FieldApplications!M16*SUM('Farm and Rotation Setup'!AF$5:AF$9))</f>
        <v>7000</v>
      </c>
      <c r="P18" s="517">
        <v>2</v>
      </c>
      <c r="Q18" s="565">
        <f t="shared" si="7"/>
        <v>137.32017596005232</v>
      </c>
      <c r="R18" s="564">
        <f>IF(Q18=0,0,(MachineAssumptions!$D$30*1.2)/N18)</f>
        <v>0.4708120318630365</v>
      </c>
      <c r="S18" s="564">
        <f>IF(Q18=0,0,(MachineAssumptions!$D$29*$H$5*1.15)/N18)</f>
        <v>1.8047794554749732</v>
      </c>
      <c r="T18" s="564">
        <f>IF(Q18=0,0,((L18+$L$6)/N18))</f>
        <v>0.49795949063219769</v>
      </c>
      <c r="U18" s="564">
        <f>IF(Q18=0,0,((M18+$M$6)/N18))</f>
        <v>0.80913316225248511</v>
      </c>
      <c r="V18" s="16">
        <v>200</v>
      </c>
      <c r="W18" s="594">
        <f t="shared" si="2"/>
        <v>3.1908194233687412</v>
      </c>
      <c r="X18" s="16" t="str">
        <f t="shared" si="3"/>
        <v>Boom sprayer</v>
      </c>
      <c r="Y18" s="16"/>
      <c r="Z18" s="16"/>
      <c r="AA18" s="16"/>
      <c r="AB18" s="16"/>
      <c r="AC18" s="16"/>
      <c r="AD18" s="16"/>
      <c r="AE18" s="16"/>
      <c r="AF18" s="16"/>
      <c r="AG18" s="16"/>
      <c r="AH18" s="16"/>
      <c r="AI18" s="16"/>
      <c r="AJ18" s="16"/>
      <c r="AK18" s="16"/>
    </row>
    <row r="19" spans="2:37" s="15" customFormat="1" ht="20">
      <c r="B19" s="555" t="s">
        <v>387</v>
      </c>
      <c r="C19" s="556">
        <v>40000</v>
      </c>
      <c r="D19" s="588">
        <v>10</v>
      </c>
      <c r="E19" s="558"/>
      <c r="F19" s="589"/>
      <c r="G19" s="560">
        <v>0</v>
      </c>
      <c r="H19" s="561">
        <v>6</v>
      </c>
      <c r="I19" s="572" t="s">
        <v>28</v>
      </c>
      <c r="J19" s="572" t="s">
        <v>28</v>
      </c>
      <c r="K19" s="572" t="s">
        <v>28</v>
      </c>
      <c r="L19" s="564">
        <f t="shared" si="0"/>
        <v>0</v>
      </c>
      <c r="M19" s="564">
        <f t="shared" si="1"/>
        <v>0</v>
      </c>
      <c r="N19" s="16"/>
      <c r="O19" s="18">
        <v>7500</v>
      </c>
      <c r="P19" s="16"/>
      <c r="Q19" s="16"/>
      <c r="R19" s="564">
        <v>3.6</v>
      </c>
      <c r="S19" s="590">
        <v>1.1499999999999999</v>
      </c>
      <c r="T19" s="564">
        <v>0.8</v>
      </c>
      <c r="U19" s="564">
        <v>0.64</v>
      </c>
      <c r="V19" s="16"/>
      <c r="W19" s="16"/>
      <c r="X19" s="16"/>
      <c r="Y19" s="16"/>
      <c r="Z19" s="16"/>
      <c r="AA19" s="16"/>
      <c r="AB19" s="16"/>
      <c r="AC19" s="16"/>
      <c r="AD19" s="16"/>
      <c r="AE19" s="16"/>
      <c r="AF19" s="16"/>
      <c r="AG19" s="16"/>
      <c r="AH19" s="16"/>
      <c r="AI19" s="16"/>
      <c r="AJ19" s="16"/>
      <c r="AK19" s="16"/>
    </row>
    <row r="20" spans="2:37" s="15" customFormat="1" ht="20">
      <c r="B20" s="555" t="s">
        <v>387</v>
      </c>
      <c r="C20" s="556">
        <v>40000</v>
      </c>
      <c r="D20" s="588">
        <v>10</v>
      </c>
      <c r="E20" s="167"/>
      <c r="F20" s="167"/>
      <c r="G20" s="560">
        <v>0</v>
      </c>
      <c r="H20" s="561">
        <v>6</v>
      </c>
      <c r="I20" s="572" t="s">
        <v>28</v>
      </c>
      <c r="J20" s="572" t="s">
        <v>28</v>
      </c>
      <c r="K20" s="572" t="s">
        <v>28</v>
      </c>
      <c r="L20" s="564">
        <f t="shared" si="0"/>
        <v>0</v>
      </c>
      <c r="M20" s="564">
        <f t="shared" si="1"/>
        <v>0</v>
      </c>
      <c r="N20" s="16"/>
      <c r="O20" s="18">
        <v>7500</v>
      </c>
      <c r="P20" s="16"/>
      <c r="Q20" s="16"/>
      <c r="R20" s="564">
        <v>3.6</v>
      </c>
      <c r="S20" s="590">
        <v>1.72</v>
      </c>
      <c r="T20" s="564">
        <v>0.8</v>
      </c>
      <c r="U20" s="564">
        <v>0.64</v>
      </c>
      <c r="V20" s="16"/>
      <c r="W20" s="16"/>
      <c r="X20" s="16"/>
      <c r="Y20" s="16"/>
      <c r="Z20" s="16"/>
      <c r="AA20" s="16"/>
      <c r="AB20" s="16"/>
      <c r="AC20" s="16"/>
      <c r="AD20" s="16"/>
      <c r="AE20" s="16"/>
      <c r="AF20" s="16"/>
      <c r="AG20" s="16"/>
      <c r="AH20" s="16"/>
      <c r="AI20" s="16"/>
      <c r="AJ20" s="16"/>
      <c r="AK20" s="16"/>
    </row>
    <row r="21" spans="2:37" s="15" customFormat="1" ht="21" customHeight="1">
      <c r="B21" s="10"/>
      <c r="C21" s="10"/>
      <c r="D21" s="10"/>
      <c r="E21" s="10"/>
      <c r="F21" s="10"/>
      <c r="G21" s="10"/>
      <c r="H21" s="10"/>
      <c r="I21" s="10"/>
      <c r="J21" s="10"/>
      <c r="K21" s="10"/>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row>
    <row r="22" spans="2:37" s="15" customFormat="1" ht="21" customHeight="1">
      <c r="B22" s="10"/>
      <c r="C22" s="10"/>
      <c r="D22" s="10"/>
      <c r="E22" s="10"/>
      <c r="F22" s="10"/>
      <c r="G22" s="10"/>
      <c r="H22" s="10"/>
      <c r="I22" s="10"/>
      <c r="J22" s="10"/>
      <c r="K22" s="10"/>
      <c r="L22" s="591" t="s">
        <v>144</v>
      </c>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row>
    <row r="23" spans="2:37" s="15" customFormat="1" ht="20">
      <c r="B23" s="525" t="s">
        <v>371</v>
      </c>
      <c r="C23" s="596"/>
      <c r="D23" s="596"/>
      <c r="E23" s="10"/>
      <c r="F23" s="10"/>
      <c r="G23" s="10"/>
      <c r="H23" s="10"/>
      <c r="I23" s="10"/>
      <c r="J23" s="10"/>
      <c r="K23" s="10"/>
      <c r="L23" s="779" t="s">
        <v>73</v>
      </c>
      <c r="M23" s="779" t="s">
        <v>82</v>
      </c>
      <c r="N23" s="779" t="s">
        <v>74</v>
      </c>
      <c r="O23" s="782" t="s">
        <v>75</v>
      </c>
      <c r="P23" s="785" t="s">
        <v>76</v>
      </c>
      <c r="Q23" s="776" t="s">
        <v>77</v>
      </c>
      <c r="R23" s="779" t="s">
        <v>78</v>
      </c>
      <c r="S23" s="779" t="s">
        <v>79</v>
      </c>
      <c r="T23" s="779" t="s">
        <v>80</v>
      </c>
      <c r="U23" s="779" t="s">
        <v>81</v>
      </c>
      <c r="V23" s="16" t="s">
        <v>281</v>
      </c>
      <c r="W23" s="16"/>
      <c r="X23" s="16"/>
      <c r="Y23" s="16"/>
      <c r="Z23" s="16"/>
      <c r="AA23" s="16"/>
      <c r="AB23" s="16"/>
      <c r="AC23" s="16"/>
      <c r="AD23" s="16"/>
      <c r="AE23" s="16"/>
      <c r="AF23" s="16"/>
      <c r="AG23" s="16"/>
      <c r="AH23" s="16"/>
      <c r="AI23" s="16"/>
      <c r="AJ23" s="16"/>
      <c r="AK23" s="16"/>
    </row>
    <row r="24" spans="2:37" s="15" customFormat="1" ht="20">
      <c r="B24" s="525"/>
      <c r="C24" s="526" t="s">
        <v>2</v>
      </c>
      <c r="D24" s="153" t="s">
        <v>12</v>
      </c>
      <c r="E24" s="10"/>
      <c r="F24" s="10"/>
      <c r="G24" s="10"/>
      <c r="H24" s="10"/>
      <c r="I24" s="10"/>
      <c r="J24" s="10"/>
      <c r="K24" s="10"/>
      <c r="L24" s="780"/>
      <c r="M24" s="780"/>
      <c r="N24" s="780"/>
      <c r="O24" s="783"/>
      <c r="P24" s="786"/>
      <c r="Q24" s="777"/>
      <c r="R24" s="780"/>
      <c r="S24" s="780"/>
      <c r="T24" s="780"/>
      <c r="U24" s="780"/>
      <c r="V24" s="16"/>
      <c r="W24" s="16"/>
      <c r="X24" s="16"/>
      <c r="Y24" s="16"/>
      <c r="Z24" s="16"/>
      <c r="AA24" s="16"/>
      <c r="AB24" s="16"/>
      <c r="AC24" s="16"/>
      <c r="AD24" s="16"/>
      <c r="AE24" s="16"/>
      <c r="AF24" s="16"/>
      <c r="AG24" s="16"/>
      <c r="AH24" s="16"/>
      <c r="AI24" s="16"/>
      <c r="AJ24" s="16"/>
      <c r="AK24" s="16"/>
    </row>
    <row r="25" spans="2:37" s="15" customFormat="1" ht="20">
      <c r="B25" s="527" t="s">
        <v>29</v>
      </c>
      <c r="C25" s="13" t="s">
        <v>30</v>
      </c>
      <c r="D25" s="155">
        <v>0.05</v>
      </c>
      <c r="E25" s="10"/>
      <c r="F25" s="10"/>
      <c r="G25" s="10"/>
      <c r="H25" s="10"/>
      <c r="I25" s="10"/>
      <c r="J25" s="10"/>
      <c r="K25" s="10"/>
      <c r="L25" s="781"/>
      <c r="M25" s="781"/>
      <c r="N25" s="781"/>
      <c r="O25" s="784"/>
      <c r="P25" s="787"/>
      <c r="Q25" s="778"/>
      <c r="R25" s="781"/>
      <c r="S25" s="781"/>
      <c r="T25" s="781"/>
      <c r="U25" s="781"/>
      <c r="V25" s="16"/>
      <c r="W25" s="16"/>
      <c r="X25" s="16"/>
      <c r="Y25" s="16"/>
      <c r="Z25" s="16"/>
      <c r="AA25" s="16"/>
      <c r="AB25" s="16"/>
      <c r="AC25" s="16"/>
      <c r="AD25" s="16"/>
      <c r="AE25" s="16"/>
      <c r="AF25" s="16"/>
      <c r="AG25" s="16"/>
      <c r="AH25" s="16"/>
      <c r="AI25" s="16"/>
      <c r="AJ25" s="16"/>
      <c r="AK25" s="16"/>
    </row>
    <row r="26" spans="2:37" s="15" customFormat="1" ht="20">
      <c r="B26" s="527" t="s">
        <v>90</v>
      </c>
      <c r="C26" s="13" t="s">
        <v>30</v>
      </c>
      <c r="D26" s="155">
        <v>6.7500000000000004E-2</v>
      </c>
      <c r="E26" s="592">
        <v>18000</v>
      </c>
      <c r="F26" s="593">
        <v>15</v>
      </c>
      <c r="G26" s="10"/>
      <c r="H26" s="593">
        <v>1.3</v>
      </c>
      <c r="I26" s="10"/>
      <c r="J26" s="10"/>
      <c r="K26" s="10"/>
      <c r="L26" s="564">
        <f>IF(Q26=0,0,(C5*(((E5*(((Q26*D5)/1000))^F5)/D5))/Q26))</f>
        <v>1.522967930029155</v>
      </c>
      <c r="M26" s="564">
        <f t="shared" ref="M26:M35" si="13">IF(Q26=0,0,((C5-(C5*(G5)))/D5)/Q26)*(1+V26)</f>
        <v>48.932901691878293</v>
      </c>
      <c r="N26" s="16"/>
      <c r="O26" s="365" t="s">
        <v>8</v>
      </c>
      <c r="P26" s="517">
        <v>1</v>
      </c>
      <c r="Q26" s="565">
        <f>Q28+Q30+Q31+Q32+Q33+Q34</f>
        <v>282.03109815354713</v>
      </c>
      <c r="R26" s="566" t="s">
        <v>8</v>
      </c>
      <c r="S26" s="567"/>
      <c r="T26" s="566" t="s">
        <v>8</v>
      </c>
      <c r="U26" s="566" t="s">
        <v>8</v>
      </c>
      <c r="V26" s="40">
        <f>IF(((Q26-Q5)/Q26)=0,0,((Q26-Q5)/Q26))</f>
        <v>0</v>
      </c>
      <c r="W26" s="16"/>
      <c r="X26" s="16"/>
      <c r="Y26" s="16"/>
      <c r="Z26" s="16"/>
      <c r="AA26" s="16"/>
      <c r="AB26" s="16"/>
      <c r="AC26" s="16"/>
      <c r="AD26" s="16"/>
      <c r="AE26" s="16"/>
      <c r="AF26" s="16"/>
      <c r="AG26" s="16"/>
      <c r="AH26" s="16"/>
      <c r="AI26" s="16"/>
      <c r="AJ26" s="16"/>
      <c r="AK26" s="16"/>
    </row>
    <row r="27" spans="2:37" s="15" customFormat="1" ht="20">
      <c r="B27" s="527" t="s">
        <v>36</v>
      </c>
      <c r="C27" s="13" t="s">
        <v>35</v>
      </c>
      <c r="D27" s="504">
        <v>9</v>
      </c>
      <c r="E27" s="592">
        <v>75000</v>
      </c>
      <c r="F27" s="593">
        <v>15</v>
      </c>
      <c r="G27" s="10"/>
      <c r="H27" s="593">
        <v>2</v>
      </c>
      <c r="I27" s="10"/>
      <c r="J27" s="10"/>
      <c r="K27" s="10"/>
      <c r="L27" s="564">
        <f>IF(Q6=0,0,(C6*(((E6*(((Q6*D6)/1000))^F6)/D6))/Q6))</f>
        <v>2.0674110572076945</v>
      </c>
      <c r="M27" s="564">
        <f t="shared" si="13"/>
        <v>35.590737483257413</v>
      </c>
      <c r="N27" s="16"/>
      <c r="O27" s="16"/>
      <c r="P27" s="517">
        <v>2</v>
      </c>
      <c r="Q27" s="565">
        <f>Q29+Q36+Q38+Q39</f>
        <v>387.75819148147957</v>
      </c>
      <c r="R27" s="566" t="s">
        <v>8</v>
      </c>
      <c r="S27" s="16"/>
      <c r="T27" s="566" t="s">
        <v>8</v>
      </c>
      <c r="U27" s="16"/>
      <c r="V27" s="40">
        <f>IF(((Q6-Q6)/Q6)=0,0,((Q6-Q6)/Q6))</f>
        <v>0</v>
      </c>
      <c r="W27" s="16"/>
      <c r="X27" s="16"/>
      <c r="Y27" s="16"/>
      <c r="Z27" s="16"/>
      <c r="AA27" s="16"/>
      <c r="AB27" s="16"/>
      <c r="AC27" s="16"/>
      <c r="AD27" s="16"/>
      <c r="AE27" s="16"/>
      <c r="AF27" s="16"/>
      <c r="AG27" s="16"/>
      <c r="AH27" s="16"/>
      <c r="AI27" s="16"/>
      <c r="AJ27" s="16"/>
      <c r="AK27" s="16"/>
    </row>
    <row r="28" spans="2:37" s="15" customFormat="1" ht="20">
      <c r="B28" s="527" t="s">
        <v>67</v>
      </c>
      <c r="C28" s="13" t="s">
        <v>33</v>
      </c>
      <c r="D28" s="529">
        <v>4</v>
      </c>
      <c r="E28" s="592"/>
      <c r="F28" s="593"/>
      <c r="G28" s="10"/>
      <c r="H28" s="593"/>
      <c r="I28" s="10"/>
      <c r="J28" s="10"/>
      <c r="K28" s="10"/>
      <c r="L28" s="564">
        <f t="shared" ref="L28:L35" si="14">IF(Q28=0,0,(C7*(((E7*(((Q28*D7)/1000))^F7)/D7))/Q28))</f>
        <v>5.9550066125879777</v>
      </c>
      <c r="M28" s="564">
        <f t="shared" si="13"/>
        <v>20.410434782608693</v>
      </c>
      <c r="N28" s="576">
        <f t="shared" ref="N28:N35" si="15">(I7*J7*(K7/100))/8.25</f>
        <v>16.003636363636364</v>
      </c>
      <c r="O28" s="577">
        <f>(FieldApplications!O6*SUM('Farm and Rotation Setup'!AH$14:AH$18))+(FieldApplications!N6*SUM('Farm and Rotation Setup'!AG$14:AG$18))+(FieldApplications!C6*SUM('Farm and Rotation Setup'!V$14:V$18))+(FieldApplications!D6*SUM('Farm and Rotation Setup'!W$14:W$18))+(FieldApplications!V6*SUM('Farm and Rotation Setup'!AO$14:AO$18))+(FieldApplications!E6*SUM('Farm and Rotation Setup'!X$14:X$18))+(FieldApplications!G6*SUM('Farm and Rotation Setup'!Z$14:Z$18))+(FieldApplications!W6*SUM('Farm and Rotation Setup'!AP$14:AP$18))+(FieldApplications!R6*SUM('Farm and Rotation Setup'!AK$14:AK$18))+(FieldApplications!P6*SUM('Farm and Rotation Setup'!AI$14:AI$18))+(FieldApplications!Q6*SUM('Farm and Rotation Setup'!AJ$14:AJ$18))+(FieldApplications!H6*SUM('Farm and Rotation Setup'!AA$14:AA$18))+(FieldApplications!X6*SUM('Farm and Rotation Setup'!AQ$14:AQ$18))+(FieldApplications!J6*SUM('Farm and Rotation Setup'!AC$14:AC$18))+(FieldApplications!I6*SUM('Farm and Rotation Setup'!AB$14:AB$18))+(FieldApplications!U6*SUM('Farm and Rotation Setup'!AN$14:AN$18))+(FieldApplications!T6*SUM('Farm and Rotation Setup'!AM$14:AM$18))+(FieldApplications!S6*SUM('Farm and Rotation Setup'!AL$14:AL$18))+(FieldApplications!Y6*SUM('Farm and Rotation Setup'!AR$14:AR$18))+(FieldApplications!F6*SUM('Farm and Rotation Setup'!Y$14:Y$18))+(FieldApplications!Z6*SUM('Farm and Rotation Setup'!AS$14:AS$18))+(FieldApplications!K6*SUM('Farm and Rotation Setup'!AD$14:AD$18))+(FieldApplications!L6*SUM('Farm and Rotation Setup'!AE$14:AE$18))+(FieldApplications!M6*SUM('Farm and Rotation Setup'!AF$14:AF$18))</f>
        <v>0</v>
      </c>
      <c r="P28" s="517">
        <v>1</v>
      </c>
      <c r="Q28" s="565">
        <f t="shared" ref="Q28:S29" si="16">Q7</f>
        <v>115</v>
      </c>
      <c r="R28" s="564">
        <f t="shared" si="16"/>
        <v>1.4996591683708247</v>
      </c>
      <c r="S28" s="564">
        <f t="shared" si="16"/>
        <v>5.7486934787548281</v>
      </c>
      <c r="T28" s="564">
        <f>IF(Q28=0,0,((L28+$L$26)/N28))</f>
        <v>0.46726721181997538</v>
      </c>
      <c r="U28" s="564">
        <f>IF(Q28=0,0,((M28+$M$26)/N28))</f>
        <v>4.3329737628911431</v>
      </c>
      <c r="V28" s="40">
        <f t="shared" ref="V28:V35" si="17">IF(Q28=0,0,((Q28-Q7)/Q28))</f>
        <v>0</v>
      </c>
      <c r="W28" s="16"/>
      <c r="X28" s="16"/>
      <c r="Y28" s="16"/>
      <c r="Z28" s="16"/>
      <c r="AA28" s="16"/>
      <c r="AB28" s="16"/>
      <c r="AC28" s="16"/>
      <c r="AD28" s="16"/>
      <c r="AE28" s="16"/>
      <c r="AF28" s="16"/>
      <c r="AG28" s="16"/>
      <c r="AH28" s="16"/>
      <c r="AI28" s="16"/>
      <c r="AJ28" s="16"/>
      <c r="AK28" s="16"/>
    </row>
    <row r="29" spans="2:37" s="15" customFormat="1" ht="20">
      <c r="B29" s="527" t="s">
        <v>5</v>
      </c>
      <c r="C29" s="13" t="s">
        <v>33</v>
      </c>
      <c r="D29" s="530">
        <v>4</v>
      </c>
      <c r="E29" s="592">
        <v>120000</v>
      </c>
      <c r="F29" s="593">
        <v>10</v>
      </c>
      <c r="G29" s="10"/>
      <c r="H29" s="593">
        <v>1.8</v>
      </c>
      <c r="I29" s="10"/>
      <c r="J29" s="10"/>
      <c r="K29" s="10"/>
      <c r="L29" s="564">
        <f t="shared" si="14"/>
        <v>3.396299797229875</v>
      </c>
      <c r="M29" s="564">
        <f t="shared" si="13"/>
        <v>8.3455999999999992</v>
      </c>
      <c r="N29" s="576">
        <f t="shared" si="15"/>
        <v>37.029090909090911</v>
      </c>
      <c r="O29" s="577">
        <f>(FieldApplications!O7*SUM('Farm and Rotation Setup'!AH$14:AH$18))+(FieldApplications!N7*SUM('Farm and Rotation Setup'!AG$14:AG$18))+(FieldApplications!C7*SUM('Farm and Rotation Setup'!V$14:V$18))+(FieldApplications!D7*SUM('Farm and Rotation Setup'!W$14:W$18))+(FieldApplications!V7*SUM('Farm and Rotation Setup'!AO$14:AO$18))+(FieldApplications!E7*SUM('Farm and Rotation Setup'!X$14:X$18))+(FieldApplications!G7*SUM('Farm and Rotation Setup'!Z$14:Z$18))+(FieldApplications!W7*SUM('Farm and Rotation Setup'!AP$14:AP$18))+(FieldApplications!R7*SUM('Farm and Rotation Setup'!AK$14:AK$18))+(FieldApplications!P7*SUM('Farm and Rotation Setup'!AI$14:AI$18))+(FieldApplications!Q7*SUM('Farm and Rotation Setup'!AJ$14:AJ$18))+(FieldApplications!H7*SUM('Farm and Rotation Setup'!AA$14:AA$18))+(FieldApplications!X7*SUM('Farm and Rotation Setup'!AQ$14:AQ$18))+(FieldApplications!J7*SUM('Farm and Rotation Setup'!AC$14:AC$18))+(FieldApplications!I7*SUM('Farm and Rotation Setup'!AB$14:AB$18))+(FieldApplications!U7*SUM('Farm and Rotation Setup'!AN$14:AN$18))+(FieldApplications!T7*SUM('Farm and Rotation Setup'!AM$14:AM$18))+(FieldApplications!S7*SUM('Farm and Rotation Setup'!AL$14:AL$18))+(FieldApplications!Y7*SUM('Farm and Rotation Setup'!AR$14:AR$18))+(FieldApplications!F7*SUM('Farm and Rotation Setup'!Y$14:Y$18))+(FieldApplications!Z7*SUM('Farm and Rotation Setup'!AS$14:AS$18))+(FieldApplications!K7*SUM('Farm and Rotation Setup'!AD$14:AD$18))+(FieldApplications!L7*SUM('Farm and Rotation Setup'!AE$14:AE$18))+(FieldApplications!M7*SUM('Farm and Rotation Setup'!AF$14:AF$18))</f>
        <v>0</v>
      </c>
      <c r="P29" s="517">
        <v>2</v>
      </c>
      <c r="Q29" s="565">
        <f t="shared" si="16"/>
        <v>75</v>
      </c>
      <c r="R29" s="564">
        <f t="shared" si="16"/>
        <v>0.59412746734753996</v>
      </c>
      <c r="S29" s="564">
        <f t="shared" si="16"/>
        <v>2.4845330452715308</v>
      </c>
      <c r="T29" s="564">
        <f>IF(Q29=0,0,((L29+$L$6)/N29))</f>
        <v>0.14755184964846621</v>
      </c>
      <c r="U29" s="564">
        <f>IF(Q29=0,0,((M29+$M$6)/N29))</f>
        <v>1.1988479209967022</v>
      </c>
      <c r="V29" s="40">
        <f t="shared" si="17"/>
        <v>0</v>
      </c>
      <c r="W29" s="16"/>
      <c r="X29" s="16"/>
      <c r="Y29" s="16"/>
      <c r="Z29" s="16"/>
      <c r="AA29" s="16"/>
      <c r="AB29" s="16"/>
      <c r="AC29" s="16"/>
      <c r="AD29" s="16"/>
      <c r="AE29" s="16"/>
      <c r="AF29" s="16"/>
      <c r="AG29" s="16"/>
      <c r="AH29" s="16"/>
      <c r="AI29" s="16"/>
      <c r="AJ29" s="16"/>
      <c r="AK29" s="16"/>
    </row>
    <row r="30" spans="2:37" s="15" customFormat="1" ht="20">
      <c r="B30" s="478" t="s">
        <v>34</v>
      </c>
      <c r="C30" s="531" t="s">
        <v>17</v>
      </c>
      <c r="D30" s="532">
        <v>20</v>
      </c>
      <c r="E30" s="592">
        <v>75000</v>
      </c>
      <c r="F30" s="593">
        <v>7</v>
      </c>
      <c r="G30" s="10"/>
      <c r="H30" s="593">
        <v>2</v>
      </c>
      <c r="I30" s="10"/>
      <c r="J30" s="10"/>
      <c r="K30" s="10"/>
      <c r="L30" s="564">
        <f t="shared" si="14"/>
        <v>0</v>
      </c>
      <c r="M30" s="564">
        <f t="shared" si="13"/>
        <v>0</v>
      </c>
      <c r="N30" s="576">
        <f t="shared" si="15"/>
        <v>21.636363636363637</v>
      </c>
      <c r="O30" s="577">
        <f>(FieldApplications!O8*SUM('Farm and Rotation Setup'!AH$14:AH$18))+(FieldApplications!N8*SUM('Farm and Rotation Setup'!AG$14:AG$18))+(FieldApplications!C8*SUM('Farm and Rotation Setup'!V$14:V$18))+(FieldApplications!D8*SUM('Farm and Rotation Setup'!W$14:W$18))+(FieldApplications!V8*SUM('Farm and Rotation Setup'!AO$14:AO$18))+(FieldApplications!E8*SUM('Farm and Rotation Setup'!X$14:X$18))+(FieldApplications!G8*SUM('Farm and Rotation Setup'!Z$14:Z$18))+(FieldApplications!W8*SUM('Farm and Rotation Setup'!AP$14:AP$18))+(FieldApplications!R8*SUM('Farm and Rotation Setup'!AK$14:AK$18))+(FieldApplications!P8*SUM('Farm and Rotation Setup'!AI$14:AI$18))+(FieldApplications!Q8*SUM('Farm and Rotation Setup'!AJ$14:AJ$18))+(FieldApplications!H8*SUM('Farm and Rotation Setup'!AA$14:AA$18))+(FieldApplications!X8*SUM('Farm and Rotation Setup'!AQ$14:AQ$18))+(FieldApplications!J8*SUM('Farm and Rotation Setup'!AC$14:AC$18))+(FieldApplications!I8*SUM('Farm and Rotation Setup'!AB$14:AB$18))+(FieldApplications!U8*SUM('Farm and Rotation Setup'!AN$14:AN$18))+(FieldApplications!T8*SUM('Farm and Rotation Setup'!AM$14:AM$18))+(FieldApplications!S8*SUM('Farm and Rotation Setup'!AL$14:AL$18))+(FieldApplications!Y8*SUM('Farm and Rotation Setup'!AR$14:AR$18))+(FieldApplications!F8*SUM('Farm and Rotation Setup'!Y$14:Y$18))+(FieldApplications!Z8*SUM('Farm and Rotation Setup'!AS$14:AS$18))+(FieldApplications!K8*SUM('Farm and Rotation Setup'!AD$14:AD$18))+(FieldApplications!L8*SUM('Farm and Rotation Setup'!AE$14:AE$18))+(FieldApplications!M8*SUM('Farm and Rotation Setup'!AF$14:AF$18))</f>
        <v>0</v>
      </c>
      <c r="P30" s="517">
        <v>1</v>
      </c>
      <c r="Q30" s="565">
        <f t="shared" ref="Q30:Q38" si="18">O30/N30</f>
        <v>0</v>
      </c>
      <c r="R30" s="564">
        <f t="shared" ref="R30:S35" si="19">R9</f>
        <v>0</v>
      </c>
      <c r="S30" s="564">
        <f t="shared" si="19"/>
        <v>0</v>
      </c>
      <c r="T30" s="564">
        <f t="shared" ref="T30:T34" si="20">IF(Q30=0,0,((L30+$L$26)/N30))</f>
        <v>0</v>
      </c>
      <c r="U30" s="564">
        <f t="shared" ref="U30:U34" si="21">IF(Q30=0,0,((M30+$M$26)/N30))</f>
        <v>0</v>
      </c>
      <c r="V30" s="40">
        <f t="shared" si="17"/>
        <v>0</v>
      </c>
      <c r="W30" s="16"/>
      <c r="X30" s="16"/>
      <c r="Y30" s="16"/>
      <c r="Z30" s="16"/>
      <c r="AA30" s="16"/>
      <c r="AB30" s="16"/>
      <c r="AC30" s="16"/>
      <c r="AD30" s="16"/>
      <c r="AE30" s="16"/>
      <c r="AF30" s="16"/>
      <c r="AG30" s="16"/>
      <c r="AH30" s="16"/>
      <c r="AI30" s="16"/>
      <c r="AJ30" s="16"/>
      <c r="AK30" s="16"/>
    </row>
    <row r="31" spans="2:37" s="15" customFormat="1" ht="21">
      <c r="D31" s="533" t="s">
        <v>15</v>
      </c>
      <c r="E31" s="534">
        <v>120000</v>
      </c>
      <c r="F31" s="535">
        <v>5</v>
      </c>
      <c r="H31" s="535">
        <v>1.8</v>
      </c>
      <c r="K31" s="8"/>
      <c r="L31" s="519">
        <f t="shared" si="14"/>
        <v>0</v>
      </c>
      <c r="M31" s="519">
        <f t="shared" si="13"/>
        <v>0</v>
      </c>
      <c r="N31" s="523">
        <f t="shared" si="15"/>
        <v>8.7575757575757578</v>
      </c>
      <c r="O31" s="524">
        <f>(FieldApplications!O9*SUM('Farm and Rotation Setup'!AH$14:AH$18))+(FieldApplications!N9*SUM('Farm and Rotation Setup'!AG$14:AG$18))+(FieldApplications!C9*SUM('Farm and Rotation Setup'!V$14:V$18))+(FieldApplications!D9*SUM('Farm and Rotation Setup'!W$14:W$18))+(FieldApplications!V9*SUM('Farm and Rotation Setup'!AO$14:AO$18))+(FieldApplications!E9*SUM('Farm and Rotation Setup'!X$14:X$18))+(FieldApplications!G9*SUM('Farm and Rotation Setup'!Z$14:Z$18))+(FieldApplications!W9*SUM('Farm and Rotation Setup'!AP$14:AP$18))+(FieldApplications!R9*SUM('Farm and Rotation Setup'!AK$14:AK$18))+(FieldApplications!P9*SUM('Farm and Rotation Setup'!AI$14:AI$18))+(FieldApplications!Q9*SUM('Farm and Rotation Setup'!AJ$14:AJ$18))+(FieldApplications!H9*SUM('Farm and Rotation Setup'!AA$14:AA$18))+(FieldApplications!X9*SUM('Farm and Rotation Setup'!AQ$14:AQ$18))+(FieldApplications!J9*SUM('Farm and Rotation Setup'!AC$14:AC$18))+(FieldApplications!I9*SUM('Farm and Rotation Setup'!AB$14:AB$18))+(FieldApplications!U9*SUM('Farm and Rotation Setup'!AN$14:AN$18))+(FieldApplications!T9*SUM('Farm and Rotation Setup'!AM$14:AM$18))+(FieldApplications!S9*SUM('Farm and Rotation Setup'!AL$14:AL$18))+(FieldApplications!Y9*SUM('Farm and Rotation Setup'!AR$14:AR$18))+(FieldApplications!F9*SUM('Farm and Rotation Setup'!Y$14:Y$18))+(FieldApplications!Z9*SUM('Farm and Rotation Setup'!AS$14:AS$18))+(FieldApplications!K9*SUM('Farm and Rotation Setup'!AD$14:AD$18))+(FieldApplications!L9*SUM('Farm and Rotation Setup'!AE$14:AE$18))+(FieldApplications!M9*SUM('Farm and Rotation Setup'!AF$14:AF$18))</f>
        <v>0</v>
      </c>
      <c r="P31" s="520">
        <v>1</v>
      </c>
      <c r="Q31" s="521">
        <f t="shared" si="18"/>
        <v>0</v>
      </c>
      <c r="R31" s="519">
        <f t="shared" si="19"/>
        <v>0</v>
      </c>
      <c r="S31" s="519">
        <f t="shared" si="19"/>
        <v>0</v>
      </c>
      <c r="T31" s="519">
        <f t="shared" si="20"/>
        <v>0</v>
      </c>
      <c r="U31" s="519">
        <f t="shared" si="21"/>
        <v>0</v>
      </c>
      <c r="V31" s="528">
        <f t="shared" si="17"/>
        <v>0</v>
      </c>
    </row>
    <row r="32" spans="2:37" s="15" customFormat="1" ht="22" customHeight="1">
      <c r="D32" s="533" t="s">
        <v>16</v>
      </c>
      <c r="E32" s="534">
        <v>8500</v>
      </c>
      <c r="F32" s="535">
        <v>10</v>
      </c>
      <c r="H32" s="535">
        <v>1.6</v>
      </c>
      <c r="K32" s="8"/>
      <c r="L32" s="519">
        <f t="shared" si="14"/>
        <v>0</v>
      </c>
      <c r="M32" s="519">
        <f t="shared" si="13"/>
        <v>0</v>
      </c>
      <c r="N32" s="523">
        <f t="shared" si="15"/>
        <v>18.545454545454547</v>
      </c>
      <c r="O32" s="524">
        <f>(FieldApplications!O10*SUM('Farm and Rotation Setup'!AH$14:AH$18))+(FieldApplications!N10*SUM('Farm and Rotation Setup'!AG$14:AG$18))+(FieldApplications!C10*SUM('Farm and Rotation Setup'!V$14:V$18))+(FieldApplications!D10*SUM('Farm and Rotation Setup'!W$14:W$18))+(FieldApplications!V10*SUM('Farm and Rotation Setup'!AO$14:AO$18))+(FieldApplications!E10*SUM('Farm and Rotation Setup'!X$14:X$18))+(FieldApplications!G10*SUM('Farm and Rotation Setup'!Z$14:Z$18))+(FieldApplications!W10*SUM('Farm and Rotation Setup'!AP$14:AP$18))+(FieldApplications!R10*SUM('Farm and Rotation Setup'!AK$14:AK$18))+(FieldApplications!P10*SUM('Farm and Rotation Setup'!AI$14:AI$18))+(FieldApplications!Q10*SUM('Farm and Rotation Setup'!AJ$14:AJ$18))+(FieldApplications!H10*SUM('Farm and Rotation Setup'!AA$14:AA$18))+(FieldApplications!X10*SUM('Farm and Rotation Setup'!AQ$14:AQ$18))+(FieldApplications!J10*SUM('Farm and Rotation Setup'!AC$14:AC$18))+(FieldApplications!I10*SUM('Farm and Rotation Setup'!AB$14:AB$18))+(FieldApplications!U10*SUM('Farm and Rotation Setup'!AN$14:AN$18))+(FieldApplications!T10*SUM('Farm and Rotation Setup'!AM$14:AM$18))+(FieldApplications!S10*SUM('Farm and Rotation Setup'!AL$14:AL$18))+(FieldApplications!Y10*SUM('Farm and Rotation Setup'!AR$14:AR$18))+(FieldApplications!F10*SUM('Farm and Rotation Setup'!Y$14:Y$18))+(FieldApplications!Z10*SUM('Farm and Rotation Setup'!AS$14:AS$18))+(FieldApplications!K10*SUM('Farm and Rotation Setup'!AD$14:AD$18))+(FieldApplications!L10*SUM('Farm and Rotation Setup'!AE$14:AE$18))+(FieldApplications!M10*SUM('Farm and Rotation Setup'!AF$14:AF$18))</f>
        <v>0</v>
      </c>
      <c r="P32" s="520">
        <v>1</v>
      </c>
      <c r="Q32" s="521">
        <f t="shared" si="18"/>
        <v>0</v>
      </c>
      <c r="R32" s="519">
        <f t="shared" si="19"/>
        <v>0</v>
      </c>
      <c r="S32" s="519">
        <f t="shared" si="19"/>
        <v>0</v>
      </c>
      <c r="T32" s="519">
        <f t="shared" si="20"/>
        <v>0</v>
      </c>
      <c r="U32" s="519">
        <f t="shared" si="21"/>
        <v>0</v>
      </c>
      <c r="V32" s="528">
        <f t="shared" si="17"/>
        <v>0</v>
      </c>
    </row>
    <row r="33" spans="1:52" s="15" customFormat="1" ht="21">
      <c r="D33" s="533" t="s">
        <v>18</v>
      </c>
      <c r="E33" s="534">
        <v>18000</v>
      </c>
      <c r="F33" s="535">
        <v>20</v>
      </c>
      <c r="H33" s="535">
        <v>1.3</v>
      </c>
      <c r="K33" s="8"/>
      <c r="L33" s="519">
        <f t="shared" si="14"/>
        <v>0</v>
      </c>
      <c r="M33" s="519">
        <f t="shared" si="13"/>
        <v>0</v>
      </c>
      <c r="N33" s="523">
        <f t="shared" si="15"/>
        <v>18.545454545454547</v>
      </c>
      <c r="O33" s="524">
        <f>(FieldApplications!O11*SUM('Farm and Rotation Setup'!AH$14:AH$18))+(FieldApplications!N11*SUM('Farm and Rotation Setup'!AG$14:AG$18))+(FieldApplications!C11*SUM('Farm and Rotation Setup'!V$14:V$18))+(FieldApplications!D11*SUM('Farm and Rotation Setup'!W$14:W$18))+(FieldApplications!V11*SUM('Farm and Rotation Setup'!AO$14:AO$18))+(FieldApplications!E11*SUM('Farm and Rotation Setup'!X$14:X$18))+(FieldApplications!G11*SUM('Farm and Rotation Setup'!Z$14:Z$18))+(FieldApplications!W11*SUM('Farm and Rotation Setup'!AP$14:AP$18))+(FieldApplications!R11*SUM('Farm and Rotation Setup'!AK$14:AK$18))+(FieldApplications!P11*SUM('Farm and Rotation Setup'!AI$14:AI$18))+(FieldApplications!Q11*SUM('Farm and Rotation Setup'!AJ$14:AJ$18))+(FieldApplications!H11*SUM('Farm and Rotation Setup'!AA$14:AA$18))+(FieldApplications!X11*SUM('Farm and Rotation Setup'!AQ$14:AQ$18))+(FieldApplications!J11*SUM('Farm and Rotation Setup'!AC$14:AC$18))+(FieldApplications!I11*SUM('Farm and Rotation Setup'!AB$14:AB$18))+(FieldApplications!U11*SUM('Farm and Rotation Setup'!AN$14:AN$18))+(FieldApplications!T11*SUM('Farm and Rotation Setup'!AM$14:AM$18))+(FieldApplications!S11*SUM('Farm and Rotation Setup'!AL$14:AL$18))+(FieldApplications!Y11*SUM('Farm and Rotation Setup'!AR$14:AR$18))+(FieldApplications!F11*SUM('Farm and Rotation Setup'!Y$14:Y$18))+(FieldApplications!Z11*SUM('Farm and Rotation Setup'!AS$14:AS$18))+(FieldApplications!K11*SUM('Farm and Rotation Setup'!AD$14:AD$18))+(FieldApplications!L11*SUM('Farm and Rotation Setup'!AE$14:AE$18))+(FieldApplications!M11*SUM('Farm and Rotation Setup'!AF$14:AF$18))</f>
        <v>0</v>
      </c>
      <c r="P33" s="520">
        <v>1</v>
      </c>
      <c r="Q33" s="521">
        <f t="shared" si="18"/>
        <v>0</v>
      </c>
      <c r="R33" s="519">
        <f t="shared" si="19"/>
        <v>0</v>
      </c>
      <c r="S33" s="519">
        <f t="shared" si="19"/>
        <v>0</v>
      </c>
      <c r="T33" s="519">
        <f t="shared" si="20"/>
        <v>0</v>
      </c>
      <c r="U33" s="519">
        <f t="shared" si="21"/>
        <v>0</v>
      </c>
      <c r="V33" s="528">
        <f t="shared" si="17"/>
        <v>0</v>
      </c>
    </row>
    <row r="34" spans="1:52" ht="22" customHeight="1">
      <c r="A34" s="92"/>
      <c r="B34" s="92"/>
      <c r="C34" s="92"/>
      <c r="D34" s="107" t="s">
        <v>19</v>
      </c>
      <c r="E34" s="78">
        <v>25000</v>
      </c>
      <c r="F34" s="108">
        <v>20</v>
      </c>
      <c r="H34" s="108">
        <v>1.3</v>
      </c>
      <c r="I34" s="1"/>
      <c r="K34" s="36"/>
      <c r="L34" s="245">
        <f t="shared" si="14"/>
        <v>84.39530896272025</v>
      </c>
      <c r="M34" s="94">
        <f t="shared" si="13"/>
        <v>59.458987636363638</v>
      </c>
      <c r="N34" s="99">
        <f t="shared" si="15"/>
        <v>14.967272727272727</v>
      </c>
      <c r="O34" s="207">
        <f>(FieldApplications!O12*SUM('Farm and Rotation Setup'!AH$14:AH$18))+(FieldApplications!N12*SUM('Farm and Rotation Setup'!AG$14:AG$18))+(FieldApplications!C12*SUM('Farm and Rotation Setup'!V$14:V$18))+(FieldApplications!D12*SUM('Farm and Rotation Setup'!W$14:W$18))+(FieldApplications!V12*SUM('Farm and Rotation Setup'!AO$14:AO$18))+(FieldApplications!E12*SUM('Farm and Rotation Setup'!X$14:X$18))+(FieldApplications!G12*SUM('Farm and Rotation Setup'!Z$14:Z$18))+(FieldApplications!W12*SUM('Farm and Rotation Setup'!AP$14:AP$18))+(FieldApplications!R12*SUM('Farm and Rotation Setup'!AK$14:AK$18))+(FieldApplications!P12*SUM('Farm and Rotation Setup'!AI$14:AI$18))+(FieldApplications!Q12*SUM('Farm and Rotation Setup'!AJ$14:AJ$18))+(FieldApplications!H12*SUM('Farm and Rotation Setup'!AA$14:AA$18))+(FieldApplications!X12*SUM('Farm and Rotation Setup'!AQ$14:AQ$18))+(FieldApplications!J12*SUM('Farm and Rotation Setup'!AC$14:AC$18))+(FieldApplications!I12*SUM('Farm and Rotation Setup'!AB$14:AB$18))+(FieldApplications!U12*SUM('Farm and Rotation Setup'!AN$14:AN$18))+(FieldApplications!T12*SUM('Farm and Rotation Setup'!AM$14:AM$18))+(FieldApplications!S12*SUM('Farm and Rotation Setup'!AL$14:AL$18))+(FieldApplications!Y12*SUM('Farm and Rotation Setup'!AR$14:AR$18))+(FieldApplications!F12*SUM('Farm and Rotation Setup'!Y$14:Y$18))+(FieldApplications!Z12*SUM('Farm and Rotation Setup'!AS$14:AS$18))+(FieldApplications!K12*SUM('Farm and Rotation Setup'!AD$14:AD$18))+(FieldApplications!L12*SUM('Farm and Rotation Setup'!AE$14:AE$18))+(FieldApplications!M12*SUM('Farm and Rotation Setup'!AF$14:AF$18))</f>
        <v>2500</v>
      </c>
      <c r="P34" s="95">
        <v>1</v>
      </c>
      <c r="Q34" s="110">
        <f t="shared" si="18"/>
        <v>167.03109815354713</v>
      </c>
      <c r="R34" s="94">
        <f t="shared" si="19"/>
        <v>1.6703109815354713</v>
      </c>
      <c r="S34" s="94">
        <f t="shared" si="19"/>
        <v>6.146744412050535</v>
      </c>
      <c r="T34" s="94">
        <f t="shared" si="20"/>
        <v>5.740409656342587</v>
      </c>
      <c r="U34" s="94">
        <f t="shared" si="21"/>
        <v>7.2419265221735989</v>
      </c>
      <c r="V34" s="397">
        <f t="shared" si="17"/>
        <v>0</v>
      </c>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c r="AW34" s="92"/>
      <c r="AX34" s="92"/>
      <c r="AY34" s="92"/>
      <c r="AZ34" s="92"/>
    </row>
    <row r="35" spans="1:52" ht="20" customHeight="1">
      <c r="A35" s="92"/>
      <c r="B35" s="92"/>
      <c r="C35" s="92"/>
      <c r="D35" s="107" t="s">
        <v>20</v>
      </c>
      <c r="E35" s="78">
        <v>9500</v>
      </c>
      <c r="F35" s="108">
        <v>20</v>
      </c>
      <c r="H35" s="108">
        <v>1.3</v>
      </c>
      <c r="I35" s="1"/>
      <c r="K35" s="36"/>
      <c r="L35" s="245">
        <f t="shared" si="14"/>
        <v>83.839532764862781</v>
      </c>
      <c r="M35" s="94">
        <f t="shared" si="13"/>
        <v>126.60029672727272</v>
      </c>
      <c r="N35" s="99">
        <f t="shared" si="15"/>
        <v>13.047272727272727</v>
      </c>
      <c r="O35" s="207">
        <f>(FieldApplications!O13*SUM('Farm and Rotation Setup'!AH$14:AH$18))+(FieldApplications!N13*SUM('Farm and Rotation Setup'!AG$14:AG$18))+(FieldApplications!C13*SUM('Farm and Rotation Setup'!V$14:V$18))+(FieldApplications!D13*SUM('Farm and Rotation Setup'!W$14:W$18))+(FieldApplications!V13*SUM('Farm and Rotation Setup'!AO$14:AO$18))+(FieldApplications!E13*SUM('Farm and Rotation Setup'!X$14:X$18))+(FieldApplications!G13*SUM('Farm and Rotation Setup'!Z$14:Z$18))+(FieldApplications!W13*SUM('Farm and Rotation Setup'!AP$14:AP$18))+(FieldApplications!R13*SUM('Farm and Rotation Setup'!AK$14:AK$18))+(FieldApplications!P13*SUM('Farm and Rotation Setup'!AI$14:AI$18))+(FieldApplications!Q13*SUM('Farm and Rotation Setup'!AJ$14:AJ$18))+(FieldApplications!H13*SUM('Farm and Rotation Setup'!AA$14:AA$18))+(FieldApplications!X13*SUM('Farm and Rotation Setup'!AQ$14:AQ$18))+(FieldApplications!J13*SUM('Farm and Rotation Setup'!AC$14:AC$18))+(FieldApplications!I13*SUM('Farm and Rotation Setup'!AB$14:AB$18))+(FieldApplications!U13*SUM('Farm and Rotation Setup'!AN$14:AN$18))+(FieldApplications!T13*SUM('Farm and Rotation Setup'!AM$14:AM$18))+(FieldApplications!S13*SUM('Farm and Rotation Setup'!AL$14:AL$18))+(FieldApplications!Y13*SUM('Farm and Rotation Setup'!AR$14:AR$18))+(FieldApplications!F13*SUM('Farm and Rotation Setup'!Y$14:Y$18))+(FieldApplications!Z13*SUM('Farm and Rotation Setup'!AS$14:AS$18))+(FieldApplications!K13*SUM('Farm and Rotation Setup'!AD$14:AD$18))+(FieldApplications!L13*SUM('Farm and Rotation Setup'!AE$14:AE$18))+(FieldApplications!M13*SUM('Farm and Rotation Setup'!AF$14:AF$18))</f>
        <v>2500</v>
      </c>
      <c r="P35" s="95" t="s">
        <v>97</v>
      </c>
      <c r="Q35" s="110">
        <f t="shared" si="18"/>
        <v>191.61092530657749</v>
      </c>
      <c r="R35" s="94">
        <f t="shared" si="19"/>
        <v>1.9161092530657748</v>
      </c>
      <c r="S35" s="94">
        <f t="shared" si="19"/>
        <v>7.0512820512820511</v>
      </c>
      <c r="T35" s="94">
        <f>IF(Q35=0,0,((L35)/N35))</f>
        <v>6.4258281801385913</v>
      </c>
      <c r="U35" s="94">
        <f>IF(Q35=0,0,((M35)/N35))</f>
        <v>9.7031999999999989</v>
      </c>
      <c r="V35" s="397">
        <f t="shared" si="17"/>
        <v>0</v>
      </c>
      <c r="W35" s="92"/>
      <c r="X35" s="92"/>
      <c r="Y35" s="92"/>
      <c r="Z35" s="92"/>
      <c r="AA35" s="92"/>
      <c r="AB35" s="92"/>
      <c r="AC35" s="92"/>
      <c r="AD35" s="92"/>
      <c r="AE35" s="92"/>
      <c r="AF35" s="92"/>
      <c r="AG35" s="92"/>
      <c r="AH35" s="92"/>
      <c r="AI35" s="92"/>
      <c r="AJ35" s="92"/>
      <c r="AK35" s="92"/>
      <c r="AL35" s="92"/>
      <c r="AM35" s="92"/>
      <c r="AN35" s="92"/>
      <c r="AO35" s="92"/>
      <c r="AP35" s="92"/>
      <c r="AQ35" s="92"/>
      <c r="AR35" s="92"/>
      <c r="AS35" s="92"/>
      <c r="AT35" s="92"/>
      <c r="AU35" s="92"/>
      <c r="AV35" s="92"/>
      <c r="AW35" s="92"/>
      <c r="AX35" s="92"/>
      <c r="AY35" s="92"/>
      <c r="AZ35" s="92"/>
    </row>
    <row r="36" spans="1:52" ht="21">
      <c r="A36" s="92"/>
      <c r="B36" s="92"/>
      <c r="C36" s="92"/>
      <c r="D36" s="107" t="s">
        <v>21</v>
      </c>
      <c r="E36" s="78">
        <v>6500</v>
      </c>
      <c r="F36" s="108">
        <v>20</v>
      </c>
      <c r="H36" s="108">
        <v>1.3</v>
      </c>
      <c r="I36" s="1"/>
      <c r="K36" s="36"/>
      <c r="L36" s="245">
        <f>IF(Q36=0,0,(C16*(((E16*(((Q36*D16)/1000))^F16)/D16))/Q36))</f>
        <v>0</v>
      </c>
      <c r="M36" s="94">
        <f>IF(Q36=0,0,((C16-(C16*(G16)))/D16)/Q36)*(1+V36)</f>
        <v>0</v>
      </c>
      <c r="N36" s="99">
        <f>(I16*J16*(K16/100))/8.25</f>
        <v>20.363636363636363</v>
      </c>
      <c r="O36" s="207">
        <f>(FieldApplications!O14*SUM('Farm and Rotation Setup'!AH$14:AH$18))+(FieldApplications!N14*SUM('Farm and Rotation Setup'!AG$14:AG$18))+(FieldApplications!C14*SUM('Farm and Rotation Setup'!V$14:V$18))+(FieldApplications!D14*SUM('Farm and Rotation Setup'!W$14:W$18))+(FieldApplications!V14*SUM('Farm and Rotation Setup'!AO$14:AO$18))+(FieldApplications!E14*SUM('Farm and Rotation Setup'!X$14:X$18))+(FieldApplications!G14*SUM('Farm and Rotation Setup'!Z$14:Z$18))+(FieldApplications!W14*SUM('Farm and Rotation Setup'!AP$14:AP$18))+(FieldApplications!R14*SUM('Farm and Rotation Setup'!AK$14:AK$18))+(FieldApplications!P14*SUM('Farm and Rotation Setup'!AI$14:AI$18))+(FieldApplications!Q14*SUM('Farm and Rotation Setup'!AJ$14:AJ$18))+(FieldApplications!H14*SUM('Farm and Rotation Setup'!AA$14:AA$18))+(FieldApplications!X14*SUM('Farm and Rotation Setup'!AQ$14:AQ$18))+(FieldApplications!J14*SUM('Farm and Rotation Setup'!AC$14:AC$18))+(FieldApplications!I14*SUM('Farm and Rotation Setup'!AB$14:AB$18))+(FieldApplications!U14*SUM('Farm and Rotation Setup'!AN$14:AN$18))+(FieldApplications!T14*SUM('Farm and Rotation Setup'!AM$14:AM$18))+(FieldApplications!S14*SUM('Farm and Rotation Setup'!AL$14:AL$18))+(FieldApplications!Y14*SUM('Farm and Rotation Setup'!AR$14:AR$18))+(FieldApplications!F14*SUM('Farm and Rotation Setup'!Y$14:Y$18))+(FieldApplications!Z14*SUM('Farm and Rotation Setup'!AS$14:AS$18))+(FieldApplications!K14*SUM('Farm and Rotation Setup'!AD$14:AD$18))+(FieldApplications!L14*SUM('Farm and Rotation Setup'!AE$14:AE$18))+(FieldApplications!M14*SUM('Farm and Rotation Setup'!AF$14:AF$18))</f>
        <v>0</v>
      </c>
      <c r="P36" s="95">
        <v>2</v>
      </c>
      <c r="Q36" s="110">
        <f t="shared" si="18"/>
        <v>0</v>
      </c>
      <c r="R36" s="94">
        <f t="shared" ref="R36:S38" si="22">R16</f>
        <v>0</v>
      </c>
      <c r="S36" s="94">
        <f t="shared" si="22"/>
        <v>0</v>
      </c>
      <c r="T36" s="94">
        <f>IF(Q36=0,0,((L36+$L$6)/N36))</f>
        <v>0</v>
      </c>
      <c r="U36" s="94">
        <f>IF(Q36=0,0,((M36+$M$6)/N36))</f>
        <v>0</v>
      </c>
      <c r="V36" s="397">
        <f>IF(Q36=0,0,((Q36-Q16)/Q36))</f>
        <v>0</v>
      </c>
      <c r="W36" s="92"/>
      <c r="X36" s="92"/>
      <c r="Y36" s="92"/>
      <c r="Z36" s="92"/>
      <c r="AA36" s="92"/>
      <c r="AB36" s="92"/>
      <c r="AC36" s="92"/>
      <c r="AD36" s="92"/>
      <c r="AE36" s="92"/>
      <c r="AF36" s="92"/>
      <c r="AG36" s="92"/>
      <c r="AH36" s="92"/>
      <c r="AI36" s="92"/>
      <c r="AJ36" s="92"/>
      <c r="AK36" s="92"/>
      <c r="AL36" s="92"/>
      <c r="AM36" s="92"/>
      <c r="AN36" s="92"/>
      <c r="AO36" s="92"/>
      <c r="AP36" s="92"/>
      <c r="AQ36" s="92"/>
      <c r="AR36" s="92"/>
      <c r="AS36" s="92"/>
      <c r="AT36" s="92"/>
      <c r="AU36" s="92"/>
      <c r="AV36" s="92"/>
      <c r="AW36" s="92"/>
      <c r="AX36" s="92"/>
      <c r="AY36" s="92"/>
      <c r="AZ36" s="92"/>
    </row>
    <row r="37" spans="1:52" ht="21" customHeight="1">
      <c r="A37" s="92"/>
      <c r="B37" s="92"/>
      <c r="C37" s="92"/>
      <c r="D37" s="92"/>
      <c r="E37" s="92"/>
      <c r="F37" s="92"/>
      <c r="H37" s="92"/>
      <c r="I37" s="1"/>
      <c r="K37" s="36"/>
      <c r="L37" s="245">
        <f>IF(Q37=0,0,(C17*(((E17*(((Q37*D17)/1000))^F17)/D17))/Q37))</f>
        <v>0</v>
      </c>
      <c r="M37" s="94">
        <f>IF(Q37=0,0,((C17-(C17*(G17)))/D17)/Q37)*(1+V37)</f>
        <v>5.879999999999999</v>
      </c>
      <c r="N37" s="99">
        <f>(I17*J17*(K17/100))/8.25</f>
        <v>9.7999999999999989</v>
      </c>
      <c r="O37" s="207">
        <f>(FieldApplications!O15*SUM('Farm and Rotation Setup'!AH$14:AH$18))+(FieldApplications!N15*SUM('Farm and Rotation Setup'!AG$14:AG$18))+(FieldApplications!C15*SUM('Farm and Rotation Setup'!V$14:V$18))+(FieldApplications!D15*SUM('Farm and Rotation Setup'!W$14:W$18))+(FieldApplications!V15*SUM('Farm and Rotation Setup'!AO$14:AO$18))+(FieldApplications!E15*SUM('Farm and Rotation Setup'!X$14:X$18))+(FieldApplications!G15*SUM('Farm and Rotation Setup'!Z$14:Z$18))+(FieldApplications!W15*SUM('Farm and Rotation Setup'!AP$14:AP$18))+(FieldApplications!R15*SUM('Farm and Rotation Setup'!AK$14:AK$18))+(FieldApplications!P15*SUM('Farm and Rotation Setup'!AI$14:AI$18))+(FieldApplications!Q15*SUM('Farm and Rotation Setup'!AJ$14:AJ$18))+(FieldApplications!H15*SUM('Farm and Rotation Setup'!AA$14:AA$18))+(FieldApplications!X15*SUM('Farm and Rotation Setup'!AQ$14:AQ$18))+(FieldApplications!J15*SUM('Farm and Rotation Setup'!AC$14:AC$18))+(FieldApplications!I15*SUM('Farm and Rotation Setup'!AB$14:AB$18))+(FieldApplications!U15*SUM('Farm and Rotation Setup'!AN$14:AN$18))+(FieldApplications!T15*SUM('Farm and Rotation Setup'!AM$14:AM$18))+(FieldApplications!S15*SUM('Farm and Rotation Setup'!AL$14:AL$18))+(FieldApplications!Y15*SUM('Farm and Rotation Setup'!AR$14:AR$18))+(FieldApplications!F15*SUM('Farm and Rotation Setup'!Y$14:Y$18))+(FieldApplications!Z15*SUM('Farm and Rotation Setup'!AS$14:AS$18))+(FieldApplications!K15*SUM('Farm and Rotation Setup'!AD$14:AD$18))+(FieldApplications!L15*SUM('Farm and Rotation Setup'!AE$14:AE$18))+(FieldApplications!M15*SUM('Farm and Rotation Setup'!AF$14:AF$18))</f>
        <v>2500</v>
      </c>
      <c r="P37" s="95" t="s">
        <v>97</v>
      </c>
      <c r="Q37" s="110">
        <f t="shared" si="18"/>
        <v>255.10204081632656</v>
      </c>
      <c r="R37" s="94">
        <f t="shared" si="22"/>
        <v>2.2448979591836737</v>
      </c>
      <c r="S37" s="94">
        <f t="shared" si="22"/>
        <v>9.387755102040817</v>
      </c>
      <c r="T37" s="94">
        <f>IF(Q37=0,0,((L37)/N37))</f>
        <v>0</v>
      </c>
      <c r="U37" s="94">
        <f>IF(Q37=0,0,((M37)/N37))</f>
        <v>0.6</v>
      </c>
      <c r="V37" s="397">
        <f>IF(Q37=0,0,((Q37-Q17)/Q37))</f>
        <v>0</v>
      </c>
      <c r="W37" s="92"/>
      <c r="X37" s="92"/>
      <c r="Y37" s="92"/>
      <c r="Z37" s="92"/>
      <c r="AA37" s="92"/>
      <c r="AB37" s="92"/>
      <c r="AC37" s="92"/>
      <c r="AD37" s="92"/>
      <c r="AE37" s="92"/>
      <c r="AF37" s="92"/>
      <c r="AG37" s="92"/>
      <c r="AH37" s="92"/>
      <c r="AI37" s="92"/>
      <c r="AJ37" s="92"/>
      <c r="AK37" s="92"/>
      <c r="AL37" s="92"/>
      <c r="AM37" s="92"/>
      <c r="AN37" s="92"/>
      <c r="AO37" s="92"/>
      <c r="AP37" s="92"/>
      <c r="AQ37" s="92"/>
      <c r="AR37" s="92"/>
      <c r="AS37" s="92"/>
      <c r="AT37" s="92"/>
      <c r="AU37" s="92"/>
      <c r="AV37" s="92"/>
      <c r="AW37" s="92"/>
      <c r="AX37" s="92"/>
      <c r="AY37" s="92"/>
      <c r="AZ37" s="92"/>
    </row>
    <row r="38" spans="1:52" ht="21">
      <c r="A38" s="92"/>
      <c r="B38" s="92"/>
      <c r="C38" s="92"/>
      <c r="D38" s="92"/>
      <c r="E38" s="92"/>
      <c r="F38" s="92"/>
      <c r="H38" s="92"/>
      <c r="I38" s="1"/>
      <c r="K38" s="36"/>
      <c r="L38" s="245">
        <f>IF(Q38=0,0,(C18*(((E18*(((Q38*D18)/1000))^F18)/D18))/Q38))</f>
        <v>23.56320931494573</v>
      </c>
      <c r="M38" s="94">
        <f>IF(Q38=0,0,((C18-(C18*(G18)))/D18)/Q38)*(1+V38)</f>
        <v>5.1933447194897848</v>
      </c>
      <c r="N38" s="99">
        <f>(I18*J18*(K18/100))/8.25</f>
        <v>50.975757575757576</v>
      </c>
      <c r="O38" s="207">
        <f>(FieldApplications!O16*SUM('Farm and Rotation Setup'!AH$14:AH$18))+(FieldApplications!N16*SUM('Farm and Rotation Setup'!AG$14:AG$18))+(FieldApplications!C16*SUM('Farm and Rotation Setup'!V$14:V$18))+(FieldApplications!D16*SUM('Farm and Rotation Setup'!W$14:W$18))+(FieldApplications!V16*SUM('Farm and Rotation Setup'!AO$14:AO$18))+(FieldApplications!E16*SUM('Farm and Rotation Setup'!X$14:X$18))+(FieldApplications!G16*SUM('Farm and Rotation Setup'!Z$14:Z$18))+(FieldApplications!W16*SUM('Farm and Rotation Setup'!AP$14:AP$18))+(FieldApplications!R16*SUM('Farm and Rotation Setup'!AK$14:AK$18))+(FieldApplications!P16*SUM('Farm and Rotation Setup'!AI$14:AI$18))+(FieldApplications!Q16*SUM('Farm and Rotation Setup'!AJ$14:AJ$18))+(FieldApplications!H16*SUM('Farm and Rotation Setup'!AA$14:AA$18))+(FieldApplications!X16*SUM('Farm and Rotation Setup'!AQ$14:AQ$18))+(FieldApplications!J16*SUM('Farm and Rotation Setup'!AC$14:AC$18))+(FieldApplications!I16*SUM('Farm and Rotation Setup'!AB$14:AB$18))+(FieldApplications!U16*SUM('Farm and Rotation Setup'!AN$14:AN$18))+(FieldApplications!T16*SUM('Farm and Rotation Setup'!AM$14:AM$18))+(FieldApplications!S16*SUM('Farm and Rotation Setup'!AL$14:AL$18))+(FieldApplications!Y16*SUM('Farm and Rotation Setup'!AR$14:AR$18))+(FieldApplications!F16*SUM('Farm and Rotation Setup'!Y$14:Y$18))+(FieldApplications!Z16*SUM('Farm and Rotation Setup'!AS$14:AS$18))+(FieldApplications!K16*SUM('Farm and Rotation Setup'!AD$14:AD$18))+(FieldApplications!L16*SUM('Farm and Rotation Setup'!AE$14:AE$18))+(FieldApplications!M16*SUM('Farm and Rotation Setup'!AF$14:AF$18))</f>
        <v>7250</v>
      </c>
      <c r="P38" s="95">
        <v>2</v>
      </c>
      <c r="Q38" s="110">
        <f t="shared" si="18"/>
        <v>142.22446795862561</v>
      </c>
      <c r="R38" s="94">
        <f t="shared" si="22"/>
        <v>0.4708120318630365</v>
      </c>
      <c r="S38" s="94">
        <f t="shared" si="22"/>
        <v>1.8047794554749732</v>
      </c>
      <c r="T38" s="94">
        <f>IF(Q38=0,0,((L38+$L$6)/N38))</f>
        <v>0.50280018563848705</v>
      </c>
      <c r="U38" s="94">
        <f>IF(Q38=0,0,((M38+$M$6)/N38))</f>
        <v>0.8090118780669916</v>
      </c>
      <c r="V38" s="397">
        <f>IF(Q38=0,0,((Q38-Q18)/Q38))</f>
        <v>3.4482758620689571E-2</v>
      </c>
      <c r="W38" s="92"/>
      <c r="X38" s="92"/>
      <c r="Y38" s="92"/>
      <c r="Z38" s="92"/>
      <c r="AA38" s="92"/>
      <c r="AB38" s="92"/>
      <c r="AC38" s="92"/>
      <c r="AD38" s="92"/>
      <c r="AE38" s="92"/>
      <c r="AF38" s="92"/>
      <c r="AG38" s="92"/>
      <c r="AH38" s="92"/>
      <c r="AI38" s="92"/>
      <c r="AJ38" s="92"/>
      <c r="AK38" s="92"/>
      <c r="AL38" s="92"/>
      <c r="AM38" s="92"/>
      <c r="AN38" s="92"/>
      <c r="AO38" s="92"/>
      <c r="AP38" s="92"/>
      <c r="AQ38" s="92"/>
      <c r="AR38" s="92"/>
      <c r="AS38" s="92"/>
      <c r="AT38" s="92"/>
      <c r="AU38" s="92"/>
      <c r="AV38" s="92"/>
      <c r="AW38" s="92"/>
      <c r="AX38" s="92"/>
      <c r="AY38" s="92"/>
      <c r="AZ38" s="92"/>
    </row>
    <row r="39" spans="1:52" ht="21">
      <c r="A39" s="92"/>
      <c r="B39" s="92"/>
      <c r="C39" s="92"/>
      <c r="D39" s="92"/>
      <c r="E39" s="92"/>
      <c r="F39" s="92"/>
      <c r="H39" s="92"/>
      <c r="I39" s="1"/>
      <c r="K39" s="36"/>
      <c r="L39" s="245">
        <f>IF(Q39=0,0,(C15*(((E15*(((Q39*D15)/1000))^F15)/D15))/Q39))</f>
        <v>4.5331132197900024</v>
      </c>
      <c r="M39" s="94">
        <f>IF(Q39=0,0,((C15-(C15*(G15)))/D15)/Q39)*(1+V39)</f>
        <v>2.3924886618998977</v>
      </c>
      <c r="N39" s="99">
        <f>N35</f>
        <v>13.047272727272727</v>
      </c>
      <c r="O39" s="207">
        <f>(FieldApplications!O17*SUM('Farm and Rotation Setup'!AH$14:AH$18))+(FieldApplications!N17*SUM('Farm and Rotation Setup'!AG$14:AG$18))+(FieldApplications!C17*SUM('Farm and Rotation Setup'!V$14:V$18))+(FieldApplications!D17*SUM('Farm and Rotation Setup'!W$14:W$18))+(FieldApplications!V17*SUM('Farm and Rotation Setup'!AO$14:AO$18))+(FieldApplications!E17*SUM('Farm and Rotation Setup'!X$14:X$18))+(FieldApplications!G17*SUM('Farm and Rotation Setup'!Z$14:Z$18))+(FieldApplications!W17*SUM('Farm and Rotation Setup'!AP$14:AP$18))+(FieldApplications!R17*SUM('Farm and Rotation Setup'!AK$14:AK$18))+(FieldApplications!P17*SUM('Farm and Rotation Setup'!AI$14:AI$18))+(FieldApplications!Q17*SUM('Farm and Rotation Setup'!AJ$14:AJ$18))+(FieldApplications!H17*SUM('Farm and Rotation Setup'!AA$14:AA$18))+(FieldApplications!X17*SUM('Farm and Rotation Setup'!AQ$14:AQ$18))+(FieldApplications!J17*SUM('Farm and Rotation Setup'!AC$14:AC$18))+(FieldApplications!I17*SUM('Farm and Rotation Setup'!AB$14:AB$18))+(FieldApplications!U17*SUM('Farm and Rotation Setup'!AN$14:AN$18))+(FieldApplications!T17*SUM('Farm and Rotation Setup'!AM$14:AM$18))+(FieldApplications!S17*SUM('Farm and Rotation Setup'!AL$14:AL$18))+(FieldApplications!Y17*SUM('Farm and Rotation Setup'!AR$14:AR$18))+(FieldApplications!F17*SUM('Farm and Rotation Setup'!Y$14:Y$18))+(FieldApplications!Z17*SUM('Farm and Rotation Setup'!AS$14:AS$18))+(FieldApplications!K17*SUM('Farm and Rotation Setup'!AD$14:AD$18))+(FieldApplications!L17*SUM('Farm and Rotation Setup'!AE$14:AE$18))+(FieldApplications!M17*SUM('Farm and Rotation Setup'!AF$14:AF$18))</f>
        <v>0</v>
      </c>
      <c r="P39" s="95">
        <v>2</v>
      </c>
      <c r="Q39" s="110">
        <f>Q35*0.89</f>
        <v>170.53372352285396</v>
      </c>
      <c r="R39" s="94">
        <f>R15</f>
        <v>1.6861761426978819</v>
      </c>
      <c r="S39" s="94">
        <f>S15</f>
        <v>7.0512820512820511</v>
      </c>
      <c r="T39" s="94">
        <f>IF(Q39=0,0,((L39+$L$6)/N39))</f>
        <v>0.5058930256896228</v>
      </c>
      <c r="U39" s="94">
        <f>IF(Q39=0,0,((M39+$M$6)/N39))</f>
        <v>2.9461434675395459</v>
      </c>
      <c r="V39" s="397">
        <f>IF(Q39=0,0,((Q39-Q15)/Q39))</f>
        <v>0</v>
      </c>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row>
    <row r="40" spans="1:52" ht="21">
      <c r="A40" s="92"/>
      <c r="B40" s="92"/>
      <c r="C40" s="92"/>
      <c r="D40" s="92"/>
      <c r="E40" s="92"/>
      <c r="F40" s="92"/>
      <c r="H40" s="92"/>
      <c r="I40" s="1"/>
      <c r="K40" s="36"/>
      <c r="L40" s="245">
        <f>IF(Q40=0,0,(C19*(((E19*(((Q40*D19)/1000))^F19)/D19))/Q40))</f>
        <v>0</v>
      </c>
      <c r="M40" s="94">
        <f>IF(Q40=0,0,((C19-(C19*(G19/100)))/K40)/Q40)</f>
        <v>0</v>
      </c>
      <c r="N40" s="91"/>
      <c r="O40" s="208">
        <f>O19</f>
        <v>7500</v>
      </c>
      <c r="P40" s="91"/>
      <c r="Q40" s="91"/>
      <c r="R40" s="94">
        <f>R19</f>
        <v>3.6</v>
      </c>
      <c r="S40" s="94">
        <f>S19</f>
        <v>1.1499999999999999</v>
      </c>
      <c r="T40" s="94">
        <v>0.8</v>
      </c>
      <c r="U40" s="94">
        <v>0.64</v>
      </c>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row>
    <row r="41" spans="1:52" ht="21">
      <c r="A41" s="92"/>
      <c r="B41" s="92"/>
      <c r="C41" s="92"/>
      <c r="D41" s="92"/>
      <c r="E41" s="92"/>
      <c r="F41" s="92"/>
      <c r="H41" s="92"/>
      <c r="I41" s="1"/>
      <c r="K41" s="36"/>
      <c r="L41" s="245">
        <f>IF(Q41=0,0,(C20*(((E20*(((Q41*D20)/1000))^F20)/D20))/Q41))</f>
        <v>0</v>
      </c>
      <c r="M41" s="94">
        <f>IF(Q41=0,0,((C20-(C20*(G20/100)))/K41)/Q41)</f>
        <v>0</v>
      </c>
      <c r="N41" s="91"/>
      <c r="O41" s="208">
        <f>O20</f>
        <v>7500</v>
      </c>
      <c r="P41" s="91"/>
      <c r="Q41" s="91"/>
      <c r="R41" s="94">
        <f>R20</f>
        <v>3.6</v>
      </c>
      <c r="S41" s="94">
        <f>S20</f>
        <v>1.72</v>
      </c>
      <c r="T41" s="94">
        <v>0.8</v>
      </c>
      <c r="U41" s="94">
        <v>0.64</v>
      </c>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row>
    <row r="42" spans="1:52" ht="21">
      <c r="A42" s="92"/>
      <c r="B42" s="92"/>
      <c r="C42" s="92"/>
      <c r="D42" s="92"/>
      <c r="E42" s="92"/>
      <c r="F42" s="92"/>
      <c r="H42" s="92"/>
      <c r="I42" s="1"/>
      <c r="K42" s="36"/>
      <c r="L42" s="94"/>
      <c r="M42" s="94"/>
      <c r="N42" s="91"/>
      <c r="O42" s="208"/>
      <c r="P42" s="91"/>
      <c r="Q42" s="91"/>
      <c r="R42" s="94"/>
      <c r="S42" s="135"/>
      <c r="T42" s="94"/>
      <c r="U42" s="94"/>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row>
    <row r="43" spans="1:52" ht="22" customHeight="1">
      <c r="A43" s="92"/>
      <c r="B43" s="92"/>
      <c r="C43" s="92"/>
      <c r="D43" s="92"/>
      <c r="E43" s="92"/>
      <c r="F43" s="92"/>
      <c r="H43" s="92"/>
      <c r="I43" s="1"/>
      <c r="K43" s="36"/>
      <c r="L43" s="244" t="s">
        <v>137</v>
      </c>
      <c r="M43" s="92"/>
      <c r="N43" s="92"/>
      <c r="O43" s="205"/>
      <c r="P43" s="92"/>
      <c r="Q43" s="92"/>
      <c r="R43" s="92"/>
      <c r="S43" s="92"/>
      <c r="T43" s="92"/>
      <c r="U43" s="92"/>
      <c r="V43" s="92"/>
      <c r="W43" s="92"/>
      <c r="X43" s="92"/>
      <c r="Y43" s="92"/>
      <c r="Z43" s="92"/>
      <c r="AA43" s="92"/>
      <c r="AB43" s="92"/>
      <c r="AC43" s="92"/>
      <c r="AD43" s="92"/>
      <c r="AE43" s="92"/>
      <c r="AF43" s="92"/>
      <c r="AG43" s="92"/>
      <c r="AH43" s="92"/>
      <c r="AI43" s="92"/>
      <c r="AJ43" s="92"/>
      <c r="AK43" s="92"/>
      <c r="AL43" s="92"/>
      <c r="AM43" s="92"/>
      <c r="AN43" s="92"/>
      <c r="AO43" s="92"/>
      <c r="AP43" s="92"/>
      <c r="AQ43" s="92"/>
      <c r="AR43" s="92"/>
      <c r="AS43" s="92"/>
      <c r="AT43" s="92"/>
      <c r="AU43" s="92"/>
      <c r="AV43" s="92"/>
      <c r="AW43" s="92"/>
      <c r="AX43" s="92"/>
      <c r="AY43" s="92"/>
      <c r="AZ43" s="92"/>
    </row>
    <row r="44" spans="1:52" ht="22" customHeight="1">
      <c r="A44" s="92"/>
      <c r="B44" s="92"/>
      <c r="C44" s="92"/>
      <c r="D44" s="92"/>
      <c r="E44" s="92"/>
      <c r="F44" s="92"/>
      <c r="H44" s="92"/>
      <c r="I44" s="1"/>
      <c r="K44" s="36"/>
      <c r="L44" s="770" t="s">
        <v>73</v>
      </c>
      <c r="M44" s="770" t="s">
        <v>82</v>
      </c>
      <c r="N44" s="770" t="s">
        <v>74</v>
      </c>
      <c r="O44" s="772" t="s">
        <v>75</v>
      </c>
      <c r="P44" s="774" t="s">
        <v>76</v>
      </c>
      <c r="Q44" s="768" t="s">
        <v>77</v>
      </c>
      <c r="R44" s="770" t="s">
        <v>78</v>
      </c>
      <c r="S44" s="770" t="s">
        <v>79</v>
      </c>
      <c r="T44" s="770" t="s">
        <v>80</v>
      </c>
      <c r="U44" s="770" t="s">
        <v>81</v>
      </c>
      <c r="V44" s="92" t="s">
        <v>281</v>
      </c>
      <c r="W44" s="92"/>
      <c r="X44" s="92"/>
      <c r="Y44" s="92"/>
      <c r="Z44" s="92"/>
      <c r="AA44" s="92"/>
      <c r="AB44" s="92"/>
      <c r="AC44" s="92"/>
      <c r="AD44" s="92"/>
      <c r="AE44" s="92"/>
      <c r="AF44" s="92"/>
      <c r="AG44" s="92"/>
      <c r="AH44" s="92"/>
      <c r="AI44" s="92"/>
      <c r="AJ44" s="92"/>
      <c r="AK44" s="92"/>
      <c r="AL44" s="92"/>
      <c r="AM44" s="92"/>
      <c r="AN44" s="92"/>
      <c r="AO44" s="92"/>
      <c r="AP44" s="92"/>
      <c r="AQ44" s="92"/>
      <c r="AR44" s="92"/>
      <c r="AS44" s="92"/>
      <c r="AT44" s="92"/>
      <c r="AU44" s="92"/>
      <c r="AV44" s="92"/>
      <c r="AW44" s="92"/>
      <c r="AX44" s="92"/>
      <c r="AY44" s="92"/>
      <c r="AZ44" s="92"/>
    </row>
    <row r="45" spans="1:52" ht="22" customHeight="1">
      <c r="A45" s="92"/>
      <c r="B45" s="92"/>
      <c r="C45" s="92"/>
      <c r="D45" s="92"/>
      <c r="E45" s="92"/>
      <c r="F45" s="92"/>
      <c r="H45" s="92"/>
      <c r="I45" s="1"/>
      <c r="K45" s="36"/>
      <c r="L45" s="771"/>
      <c r="M45" s="771"/>
      <c r="N45" s="771"/>
      <c r="O45" s="773"/>
      <c r="P45" s="775"/>
      <c r="Q45" s="769"/>
      <c r="R45" s="771"/>
      <c r="S45" s="771"/>
      <c r="T45" s="771"/>
      <c r="U45" s="771"/>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row>
    <row r="46" spans="1:52" ht="22" customHeight="1">
      <c r="A46" s="92"/>
      <c r="B46" s="92"/>
      <c r="C46" s="92"/>
      <c r="D46" s="92"/>
      <c r="E46" s="92"/>
      <c r="F46" s="92"/>
      <c r="H46" s="92"/>
      <c r="I46" s="1"/>
      <c r="K46" s="36"/>
      <c r="L46" s="94">
        <f t="shared" ref="L46:L55" si="23">IF(Q46=0,0,(C5*(((E5*(((Q46*D5)/1000))^F5)/D5))/Q46))</f>
        <v>1.522967930029155</v>
      </c>
      <c r="M46" s="94">
        <f t="shared" ref="M46:M55" si="24">IF(Q46=0,0,((C5-(C5*(G5)))/D5)/Q46)*(1+V46)</f>
        <v>48.932901691878293</v>
      </c>
      <c r="N46" s="91"/>
      <c r="O46" s="206" t="s">
        <v>8</v>
      </c>
      <c r="P46" s="95">
        <v>1</v>
      </c>
      <c r="Q46" s="110">
        <f>Q48+Q50+Q51+Q52+Q53+Q54</f>
        <v>282.03109815354713</v>
      </c>
      <c r="R46" s="96" t="s">
        <v>8</v>
      </c>
      <c r="S46" s="97"/>
      <c r="T46" s="96" t="s">
        <v>8</v>
      </c>
      <c r="U46" s="96" t="s">
        <v>8</v>
      </c>
      <c r="V46" s="397">
        <f t="shared" ref="V46:V55" si="25">IF(Q5=0,0,((Q46-Q5)/Q5))</f>
        <v>0</v>
      </c>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row>
    <row r="47" spans="1:52" ht="22" customHeight="1">
      <c r="A47" s="92"/>
      <c r="B47" s="92"/>
      <c r="C47" s="92"/>
      <c r="D47" s="92"/>
      <c r="E47" s="92"/>
      <c r="F47" s="92"/>
      <c r="H47" s="92"/>
      <c r="I47" s="1"/>
      <c r="K47" s="36"/>
      <c r="L47" s="94">
        <f t="shared" si="23"/>
        <v>1.6057641875546005</v>
      </c>
      <c r="M47" s="94">
        <f t="shared" si="24"/>
        <v>36.046648652761526</v>
      </c>
      <c r="N47" s="91"/>
      <c r="O47" s="91"/>
      <c r="P47" s="95">
        <v>2</v>
      </c>
      <c r="Q47" s="110">
        <f>Q49+Q56+Q58+Q59</f>
        <v>297.36373843603701</v>
      </c>
      <c r="R47" s="96" t="s">
        <v>8</v>
      </c>
      <c r="S47" s="91"/>
      <c r="T47" s="96" t="s">
        <v>8</v>
      </c>
      <c r="U47" s="91"/>
      <c r="V47" s="397">
        <f t="shared" si="25"/>
        <v>-0.22329708842546672</v>
      </c>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row>
    <row r="48" spans="1:52" ht="22" customHeight="1">
      <c r="A48" s="92"/>
      <c r="B48" s="92"/>
      <c r="C48" s="92"/>
      <c r="D48" s="92"/>
      <c r="E48" s="92"/>
      <c r="F48" s="92"/>
      <c r="H48" s="92"/>
      <c r="I48" s="1"/>
      <c r="K48" s="36"/>
      <c r="L48" s="94">
        <f t="shared" si="23"/>
        <v>5.9550066125879777</v>
      </c>
      <c r="M48" s="94">
        <f t="shared" si="24"/>
        <v>20.410434782608693</v>
      </c>
      <c r="N48" s="99">
        <f t="shared" ref="N48:N55" si="26">(I7*J7*(K7/100))/8.25</f>
        <v>16.003636363636364</v>
      </c>
      <c r="O48" s="207">
        <f>(FieldApplications!O6*SUM('Farm and Rotation Setup'!AH$23:AH$27))+(FieldApplications!N6*SUM('Farm and Rotation Setup'!AG$23:AG$27))+(FieldApplications!C6*SUM('Farm and Rotation Setup'!V$23:V$27))+(FieldApplications!D6*SUM('Farm and Rotation Setup'!W$23:W$27))+(FieldApplications!V6*SUM('Farm and Rotation Setup'!AO$23:AO$27))+(FieldApplications!E6*SUM('Farm and Rotation Setup'!X$23:X$27))+(FieldApplications!G6*SUM('Farm and Rotation Setup'!Z$23:Z$27))+(FieldApplications!W6*SUM('Farm and Rotation Setup'!AP$23:AP$27))+(FieldApplications!R6*SUM('Farm and Rotation Setup'!AK$23:AK$27))+(FieldApplications!P6*SUM('Farm and Rotation Setup'!AI$23:AI$27))+(FieldApplications!Q6*SUM('Farm and Rotation Setup'!AJ$23:AJ$27))+(FieldApplications!H6*SUM('Farm and Rotation Setup'!AA$23:AA$27))+(FieldApplications!X6*SUM('Farm and Rotation Setup'!AQ$23:AQ$27))+(FieldApplications!J6*SUM('Farm and Rotation Setup'!AC$23:AC$27))+(FieldApplications!I6*SUM('Farm and Rotation Setup'!AB$23:AB$27))+(FieldApplications!U6*SUM('Farm and Rotation Setup'!AN$23:AN$27))+(FieldApplications!T6*SUM('Farm and Rotation Setup'!AM$23:AM$27))+(FieldApplications!S6*SUM('Farm and Rotation Setup'!AL$23:AL$27))+(FieldApplications!Y6*SUM('Farm and Rotation Setup'!AR$23:AR$27))+(FieldApplications!F6*SUM('Farm and Rotation Setup'!Y$23:Y$27))+(FieldApplications!Z6*SUM('Farm and Rotation Setup'!AS$23:AS$27))+(FieldApplications!K6*SUM('Farm and Rotation Setup'!AD$23:AD$27))+(FieldApplications!L6*SUM('Farm and Rotation Setup'!AE$23:AE$27))+(FieldApplications!M6*SUM('Farm and Rotation Setup'!AF$23:AF$27))</f>
        <v>0</v>
      </c>
      <c r="P48" s="95">
        <v>1</v>
      </c>
      <c r="Q48" s="110">
        <f>Q28</f>
        <v>115</v>
      </c>
      <c r="R48" s="94">
        <f>R28</f>
        <v>1.4996591683708247</v>
      </c>
      <c r="S48" s="94">
        <f>S28</f>
        <v>5.7486934787548281</v>
      </c>
      <c r="T48" s="94">
        <f>IF(Q48=0,0,((L48+$L$46)/N48))</f>
        <v>0.46726721181997538</v>
      </c>
      <c r="U48" s="94">
        <f>IF(Q48=0,0,((M48+$M$46)/N48))</f>
        <v>4.3329737628911431</v>
      </c>
      <c r="V48" s="397">
        <f t="shared" si="25"/>
        <v>0</v>
      </c>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row>
    <row r="49" spans="1:52" ht="22" customHeight="1">
      <c r="A49" s="92"/>
      <c r="B49" s="92"/>
      <c r="C49" s="92"/>
      <c r="D49" s="92"/>
      <c r="E49" s="92"/>
      <c r="F49" s="92"/>
      <c r="H49" s="92"/>
      <c r="I49" s="1"/>
      <c r="K49" s="36"/>
      <c r="L49" s="94">
        <f t="shared" si="23"/>
        <v>3.396299797229875</v>
      </c>
      <c r="M49" s="94">
        <f t="shared" si="24"/>
        <v>8.3455999999999992</v>
      </c>
      <c r="N49" s="99">
        <f t="shared" si="26"/>
        <v>37.029090909090911</v>
      </c>
      <c r="O49" s="207">
        <f>(FieldApplications!O7*SUM('Farm and Rotation Setup'!AH$23:AH$27))+(FieldApplications!N7*SUM('Farm and Rotation Setup'!AG$23:AG$27))+(FieldApplications!C7*SUM('Farm and Rotation Setup'!V$23:V$27))+(FieldApplications!D7*SUM('Farm and Rotation Setup'!W$23:W$27))+(FieldApplications!V7*SUM('Farm and Rotation Setup'!AO$23:AO$27))+(FieldApplications!E7*SUM('Farm and Rotation Setup'!X$23:X$27))+(FieldApplications!G7*SUM('Farm and Rotation Setup'!Z$23:Z$27))+(FieldApplications!W7*SUM('Farm and Rotation Setup'!AP$23:AP$27))+(FieldApplications!R7*SUM('Farm and Rotation Setup'!AK$23:AK$27))+(FieldApplications!P7*SUM('Farm and Rotation Setup'!AI$23:AI$27))+(FieldApplications!Q7*SUM('Farm and Rotation Setup'!AJ$23:AJ$27))+(FieldApplications!H7*SUM('Farm and Rotation Setup'!AA$23:AA$27))+(FieldApplications!X7*SUM('Farm and Rotation Setup'!AQ$23:AQ$27))+(FieldApplications!J7*SUM('Farm and Rotation Setup'!AC$23:AC$27))+(FieldApplications!I7*SUM('Farm and Rotation Setup'!AB$23:AB$27))+(FieldApplications!U7*SUM('Farm and Rotation Setup'!AN$23:AN$27))+(FieldApplications!T7*SUM('Farm and Rotation Setup'!AM$23:AM$27))+(FieldApplications!S7*SUM('Farm and Rotation Setup'!AL$23:AL$27))+(FieldApplications!Y7*SUM('Farm and Rotation Setup'!AR$23:AR$27))+(FieldApplications!F7*SUM('Farm and Rotation Setup'!Y$23:Y$27))+(FieldApplications!Z7*SUM('Farm and Rotation Setup'!AS$23:AS$27))+(FieldApplications!K7*SUM('Farm and Rotation Setup'!AD$23:AD$27))+(FieldApplications!L7*SUM('Farm and Rotation Setup'!AE$23:AE$27))+(FieldApplications!M7*SUM('Farm and Rotation Setup'!AF$23:AF$27))</f>
        <v>0</v>
      </c>
      <c r="P49" s="95">
        <v>2</v>
      </c>
      <c r="Q49" s="110">
        <f>Q29</f>
        <v>75</v>
      </c>
      <c r="R49" s="94">
        <f t="shared" ref="R49:S61" si="27">R29</f>
        <v>0.59412746734753996</v>
      </c>
      <c r="S49" s="94">
        <f t="shared" si="27"/>
        <v>2.4845330452715308</v>
      </c>
      <c r="T49" s="94">
        <f>IF(Q49=0,0,((L49+$L$47)/N49))</f>
        <v>0.1350847093995611</v>
      </c>
      <c r="U49" s="94">
        <f>IF(Q49=0,0,((M49+$M$47)/N49))</f>
        <v>1.1988479209967022</v>
      </c>
      <c r="V49" s="397">
        <f t="shared" si="25"/>
        <v>0</v>
      </c>
      <c r="W49" s="92"/>
      <c r="X49" s="92"/>
      <c r="Y49" s="92"/>
      <c r="Z49" s="92"/>
      <c r="AA49" s="92"/>
      <c r="AB49" s="92"/>
      <c r="AC49" s="92"/>
      <c r="AD49" s="92"/>
      <c r="AE49" s="92"/>
      <c r="AF49" s="92"/>
      <c r="AG49" s="92"/>
      <c r="AH49" s="92"/>
      <c r="AI49" s="92"/>
      <c r="AJ49" s="92"/>
      <c r="AK49" s="92"/>
      <c r="AL49" s="92"/>
      <c r="AM49" s="92"/>
      <c r="AN49" s="92"/>
      <c r="AO49" s="92"/>
      <c r="AP49" s="92"/>
      <c r="AQ49" s="92"/>
      <c r="AR49" s="92"/>
      <c r="AS49" s="92"/>
      <c r="AT49" s="92"/>
      <c r="AU49" s="92"/>
      <c r="AV49" s="92"/>
      <c r="AW49" s="92"/>
      <c r="AX49" s="92"/>
      <c r="AY49" s="92"/>
      <c r="AZ49" s="92"/>
    </row>
    <row r="50" spans="1:52" ht="22" customHeight="1">
      <c r="A50" s="92"/>
      <c r="B50" s="92"/>
      <c r="C50" s="92"/>
      <c r="D50" s="92"/>
      <c r="E50" s="92"/>
      <c r="F50" s="92"/>
      <c r="H50" s="92"/>
      <c r="I50" s="1"/>
      <c r="K50" s="36"/>
      <c r="L50" s="94">
        <f t="shared" si="23"/>
        <v>0</v>
      </c>
      <c r="M50" s="94">
        <f t="shared" si="24"/>
        <v>0</v>
      </c>
      <c r="N50" s="99">
        <f t="shared" si="26"/>
        <v>21.636363636363637</v>
      </c>
      <c r="O50" s="207">
        <f>(FieldApplications!O8*SUM('Farm and Rotation Setup'!AH$23:AH$27))+(FieldApplications!N8*SUM('Farm and Rotation Setup'!AG$23:AG$27))+(FieldApplications!C8*SUM('Farm and Rotation Setup'!V$23:V$27))+(FieldApplications!D8*SUM('Farm and Rotation Setup'!W$23:W$27))+(FieldApplications!V8*SUM('Farm and Rotation Setup'!AO$23:AO$27))+(FieldApplications!E8*SUM('Farm and Rotation Setup'!X$23:X$27))+(FieldApplications!G8*SUM('Farm and Rotation Setup'!Z$23:Z$27))+(FieldApplications!W8*SUM('Farm and Rotation Setup'!AP$23:AP$27))+(FieldApplications!R8*SUM('Farm and Rotation Setup'!AK$23:AK$27))+(FieldApplications!P8*SUM('Farm and Rotation Setup'!AI$23:AI$27))+(FieldApplications!Q8*SUM('Farm and Rotation Setup'!AJ$23:AJ$27))+(FieldApplications!H8*SUM('Farm and Rotation Setup'!AA$23:AA$27))+(FieldApplications!X8*SUM('Farm and Rotation Setup'!AQ$23:AQ$27))+(FieldApplications!J8*SUM('Farm and Rotation Setup'!AC$23:AC$27))+(FieldApplications!I8*SUM('Farm and Rotation Setup'!AB$23:AB$27))+(FieldApplications!U8*SUM('Farm and Rotation Setup'!AN$23:AN$27))+(FieldApplications!T8*SUM('Farm and Rotation Setup'!AM$23:AM$27))+(FieldApplications!S8*SUM('Farm and Rotation Setup'!AL$23:AL$27))+(FieldApplications!Y8*SUM('Farm and Rotation Setup'!AR$23:AR$27))+(FieldApplications!F8*SUM('Farm and Rotation Setup'!Y$23:Y$27))+(FieldApplications!Z8*SUM('Farm and Rotation Setup'!AS$23:AS$27))+(FieldApplications!K8*SUM('Farm and Rotation Setup'!AD$23:AD$27))+(FieldApplications!L8*SUM('Farm and Rotation Setup'!AE$23:AE$27))+(FieldApplications!M8*SUM('Farm and Rotation Setup'!AF$23:AF$27))</f>
        <v>0</v>
      </c>
      <c r="P50" s="95">
        <v>1</v>
      </c>
      <c r="Q50" s="110">
        <f t="shared" ref="Q50:Q58" si="28">O50/N50</f>
        <v>0</v>
      </c>
      <c r="R50" s="94">
        <f t="shared" si="27"/>
        <v>0</v>
      </c>
      <c r="S50" s="94">
        <f t="shared" si="27"/>
        <v>0</v>
      </c>
      <c r="T50" s="94">
        <f t="shared" ref="T50:T54" si="29">IF(Q50=0,0,((L50+$L$46)/N50))</f>
        <v>0</v>
      </c>
      <c r="U50" s="94">
        <f t="shared" ref="U50:U54" si="30">IF(Q50=0,0,((M50+$M$46)/N50))</f>
        <v>0</v>
      </c>
      <c r="V50" s="397">
        <f t="shared" si="25"/>
        <v>0</v>
      </c>
      <c r="W50" s="92"/>
      <c r="X50" s="92"/>
      <c r="Y50" s="92"/>
      <c r="Z50" s="92"/>
      <c r="AA50" s="92"/>
      <c r="AB50" s="92"/>
      <c r="AC50" s="92"/>
      <c r="AD50" s="92"/>
      <c r="AE50" s="92"/>
      <c r="AF50" s="92"/>
      <c r="AG50" s="92"/>
      <c r="AH50" s="92"/>
      <c r="AI50" s="92"/>
      <c r="AJ50" s="92"/>
      <c r="AK50" s="92"/>
      <c r="AL50" s="92"/>
      <c r="AM50" s="92"/>
      <c r="AN50" s="92"/>
      <c r="AO50" s="92"/>
      <c r="AP50" s="92"/>
      <c r="AQ50" s="92"/>
      <c r="AR50" s="92"/>
      <c r="AS50" s="92"/>
      <c r="AT50" s="92"/>
      <c r="AU50" s="92"/>
      <c r="AV50" s="92"/>
      <c r="AW50" s="92"/>
      <c r="AX50" s="92"/>
      <c r="AY50" s="92"/>
      <c r="AZ50" s="92"/>
    </row>
    <row r="51" spans="1:52" ht="22" customHeight="1">
      <c r="A51" s="92"/>
      <c r="B51" s="92"/>
      <c r="C51" s="92"/>
      <c r="D51" s="92"/>
      <c r="E51" s="92"/>
      <c r="F51" s="92"/>
      <c r="H51" s="92"/>
      <c r="I51" s="1"/>
      <c r="K51" s="36"/>
      <c r="L51" s="94">
        <f t="shared" si="23"/>
        <v>0</v>
      </c>
      <c r="M51" s="94">
        <f t="shared" si="24"/>
        <v>0</v>
      </c>
      <c r="N51" s="99">
        <f t="shared" si="26"/>
        <v>8.7575757575757578</v>
      </c>
      <c r="O51" s="207">
        <f>(FieldApplications!O9*SUM('Farm and Rotation Setup'!AH$23:AH$27))+(FieldApplications!N9*SUM('Farm and Rotation Setup'!AG$23:AG$27))+(FieldApplications!C9*SUM('Farm and Rotation Setup'!V$23:V$27))+(FieldApplications!D9*SUM('Farm and Rotation Setup'!W$23:W$27))+(FieldApplications!V9*SUM('Farm and Rotation Setup'!AO$23:AO$27))+(FieldApplications!E9*SUM('Farm and Rotation Setup'!X$23:X$27))+(FieldApplications!G9*SUM('Farm and Rotation Setup'!Z$23:Z$27))+(FieldApplications!W9*SUM('Farm and Rotation Setup'!AP$23:AP$27))+(FieldApplications!R9*SUM('Farm and Rotation Setup'!AK$23:AK$27))+(FieldApplications!P9*SUM('Farm and Rotation Setup'!AI$23:AI$27))+(FieldApplications!Q9*SUM('Farm and Rotation Setup'!AJ$23:AJ$27))+(FieldApplications!H9*SUM('Farm and Rotation Setup'!AA$23:AA$27))+(FieldApplications!X9*SUM('Farm and Rotation Setup'!AQ$23:AQ$27))+(FieldApplications!J9*SUM('Farm and Rotation Setup'!AC$23:AC$27))+(FieldApplications!I9*SUM('Farm and Rotation Setup'!AB$23:AB$27))+(FieldApplications!U9*SUM('Farm and Rotation Setup'!AN$23:AN$27))+(FieldApplications!T9*SUM('Farm and Rotation Setup'!AM$23:AM$27))+(FieldApplications!S9*SUM('Farm and Rotation Setup'!AL$23:AL$27))+(FieldApplications!Y9*SUM('Farm and Rotation Setup'!AR$23:AR$27))+(FieldApplications!F9*SUM('Farm and Rotation Setup'!Y$23:Y$27))+(FieldApplications!Z9*SUM('Farm and Rotation Setup'!AS$23:AS$27))+(FieldApplications!K9*SUM('Farm and Rotation Setup'!AD$23:AD$27))+(FieldApplications!L9*SUM('Farm and Rotation Setup'!AE$23:AE$27))+(FieldApplications!M9*SUM('Farm and Rotation Setup'!AF$23:AF$27))</f>
        <v>0</v>
      </c>
      <c r="P51" s="95">
        <v>1</v>
      </c>
      <c r="Q51" s="110">
        <f t="shared" si="28"/>
        <v>0</v>
      </c>
      <c r="R51" s="94">
        <f t="shared" si="27"/>
        <v>0</v>
      </c>
      <c r="S51" s="94">
        <f t="shared" si="27"/>
        <v>0</v>
      </c>
      <c r="T51" s="94">
        <f t="shared" si="29"/>
        <v>0</v>
      </c>
      <c r="U51" s="94">
        <f t="shared" si="30"/>
        <v>0</v>
      </c>
      <c r="V51" s="397">
        <f t="shared" si="25"/>
        <v>0</v>
      </c>
      <c r="W51" s="92"/>
      <c r="X51" s="92"/>
      <c r="Y51" s="92"/>
      <c r="Z51" s="92"/>
      <c r="AA51" s="92"/>
      <c r="AB51" s="92"/>
      <c r="AC51" s="92"/>
      <c r="AD51" s="92"/>
      <c r="AE51" s="92"/>
      <c r="AF51" s="92"/>
      <c r="AG51" s="92"/>
      <c r="AH51" s="92"/>
      <c r="AI51" s="92"/>
      <c r="AJ51" s="92"/>
      <c r="AK51" s="92"/>
      <c r="AL51" s="92"/>
      <c r="AM51" s="92"/>
      <c r="AN51" s="92"/>
      <c r="AO51" s="92"/>
      <c r="AP51" s="92"/>
      <c r="AQ51" s="92"/>
      <c r="AR51" s="92"/>
      <c r="AS51" s="92"/>
      <c r="AT51" s="92"/>
      <c r="AU51" s="92"/>
      <c r="AV51" s="92"/>
      <c r="AW51" s="92"/>
      <c r="AX51" s="92"/>
      <c r="AY51" s="92"/>
      <c r="AZ51" s="92"/>
    </row>
    <row r="52" spans="1:52" ht="22" customHeight="1">
      <c r="A52" s="92"/>
      <c r="B52" s="92"/>
      <c r="C52" s="92"/>
      <c r="D52" s="92"/>
      <c r="E52" s="92"/>
      <c r="F52" s="92"/>
      <c r="H52" s="92"/>
      <c r="I52" s="1"/>
      <c r="K52" s="36"/>
      <c r="L52" s="94">
        <f t="shared" si="23"/>
        <v>0</v>
      </c>
      <c r="M52" s="94">
        <f t="shared" si="24"/>
        <v>0</v>
      </c>
      <c r="N52" s="99">
        <f t="shared" si="26"/>
        <v>18.545454545454547</v>
      </c>
      <c r="O52" s="207">
        <f>(FieldApplications!O10*SUM('Farm and Rotation Setup'!AH$23:AH$27))+(FieldApplications!N10*SUM('Farm and Rotation Setup'!AG$23:AG$27))+(FieldApplications!C10*SUM('Farm and Rotation Setup'!V$23:V$27))+(FieldApplications!D10*SUM('Farm and Rotation Setup'!W$23:W$27))+(FieldApplications!V10*SUM('Farm and Rotation Setup'!AO$23:AO$27))+(FieldApplications!E10*SUM('Farm and Rotation Setup'!X$23:X$27))+(FieldApplications!G10*SUM('Farm and Rotation Setup'!Z$23:Z$27))+(FieldApplications!W10*SUM('Farm and Rotation Setup'!AP$23:AP$27))+(FieldApplications!R10*SUM('Farm and Rotation Setup'!AK$23:AK$27))+(FieldApplications!P10*SUM('Farm and Rotation Setup'!AI$23:AI$27))+(FieldApplications!Q10*SUM('Farm and Rotation Setup'!AJ$23:AJ$27))+(FieldApplications!H10*SUM('Farm and Rotation Setup'!AA$23:AA$27))+(FieldApplications!X10*SUM('Farm and Rotation Setup'!AQ$23:AQ$27))+(FieldApplications!J10*SUM('Farm and Rotation Setup'!AC$23:AC$27))+(FieldApplications!I10*SUM('Farm and Rotation Setup'!AB$23:AB$27))+(FieldApplications!U10*SUM('Farm and Rotation Setup'!AN$23:AN$27))+(FieldApplications!T10*SUM('Farm and Rotation Setup'!AM$23:AM$27))+(FieldApplications!S10*SUM('Farm and Rotation Setup'!AL$23:AL$27))+(FieldApplications!Y10*SUM('Farm and Rotation Setup'!AR$23:AR$27))+(FieldApplications!F10*SUM('Farm and Rotation Setup'!Y$23:Y$27))+(FieldApplications!Z10*SUM('Farm and Rotation Setup'!AS$23:AS$27))+(FieldApplications!K10*SUM('Farm and Rotation Setup'!AD$23:AD$27))+(FieldApplications!L10*SUM('Farm and Rotation Setup'!AE$23:AE$27))+(FieldApplications!M10*SUM('Farm and Rotation Setup'!AF$23:AF$27))</f>
        <v>0</v>
      </c>
      <c r="P52" s="95">
        <v>1</v>
      </c>
      <c r="Q52" s="110">
        <f t="shared" si="28"/>
        <v>0</v>
      </c>
      <c r="R52" s="94">
        <f t="shared" si="27"/>
        <v>0</v>
      </c>
      <c r="S52" s="94">
        <f t="shared" si="27"/>
        <v>0</v>
      </c>
      <c r="T52" s="94">
        <f t="shared" si="29"/>
        <v>0</v>
      </c>
      <c r="U52" s="94">
        <f t="shared" si="30"/>
        <v>0</v>
      </c>
      <c r="V52" s="397">
        <f t="shared" si="25"/>
        <v>0</v>
      </c>
      <c r="W52" s="92"/>
      <c r="X52" s="92"/>
      <c r="Y52" s="92"/>
      <c r="Z52" s="92"/>
      <c r="AA52" s="92"/>
      <c r="AB52" s="92"/>
      <c r="AC52" s="92"/>
      <c r="AD52" s="92"/>
      <c r="AE52" s="92"/>
      <c r="AF52" s="92"/>
      <c r="AG52" s="92"/>
      <c r="AH52" s="92"/>
      <c r="AI52" s="92"/>
      <c r="AJ52" s="92"/>
      <c r="AK52" s="92"/>
      <c r="AL52" s="92"/>
      <c r="AM52" s="92"/>
      <c r="AN52" s="92"/>
      <c r="AO52" s="92"/>
      <c r="AP52" s="92"/>
      <c r="AQ52" s="92"/>
      <c r="AR52" s="92"/>
      <c r="AS52" s="92"/>
      <c r="AT52" s="92"/>
      <c r="AU52" s="92"/>
      <c r="AV52" s="92"/>
      <c r="AW52" s="92"/>
      <c r="AX52" s="92"/>
      <c r="AY52" s="92"/>
      <c r="AZ52" s="92"/>
    </row>
    <row r="53" spans="1:52" ht="22" customHeight="1">
      <c r="A53" s="92"/>
      <c r="B53" s="92"/>
      <c r="C53" s="92"/>
      <c r="D53" s="92"/>
      <c r="E53" s="92"/>
      <c r="F53" s="92"/>
      <c r="H53" s="92"/>
      <c r="I53" s="1"/>
      <c r="K53" s="36"/>
      <c r="L53" s="94">
        <f t="shared" si="23"/>
        <v>0</v>
      </c>
      <c r="M53" s="94">
        <f t="shared" si="24"/>
        <v>0</v>
      </c>
      <c r="N53" s="99">
        <f t="shared" si="26"/>
        <v>18.545454545454547</v>
      </c>
      <c r="O53" s="207">
        <f>(FieldApplications!O11*SUM('Farm and Rotation Setup'!AH$23:AH$27))+(FieldApplications!N11*SUM('Farm and Rotation Setup'!AG$23:AG$27))+(FieldApplications!C11*SUM('Farm and Rotation Setup'!V$23:V$27))+(FieldApplications!D11*SUM('Farm and Rotation Setup'!W$23:W$27))+(FieldApplications!V11*SUM('Farm and Rotation Setup'!AO$23:AO$27))+(FieldApplications!E11*SUM('Farm and Rotation Setup'!X$23:X$27))+(FieldApplications!G11*SUM('Farm and Rotation Setup'!Z$23:Z$27))+(FieldApplications!W11*SUM('Farm and Rotation Setup'!AP$23:AP$27))+(FieldApplications!R11*SUM('Farm and Rotation Setup'!AK$23:AK$27))+(FieldApplications!P11*SUM('Farm and Rotation Setup'!AI$23:AI$27))+(FieldApplications!Q11*SUM('Farm and Rotation Setup'!AJ$23:AJ$27))+(FieldApplications!H11*SUM('Farm and Rotation Setup'!AA$23:AA$27))+(FieldApplications!X11*SUM('Farm and Rotation Setup'!AQ$23:AQ$27))+(FieldApplications!J11*SUM('Farm and Rotation Setup'!AC$23:AC$27))+(FieldApplications!I11*SUM('Farm and Rotation Setup'!AB$23:AB$27))+(FieldApplications!U11*SUM('Farm and Rotation Setup'!AN$23:AN$27))+(FieldApplications!T11*SUM('Farm and Rotation Setup'!AM$23:AM$27))+(FieldApplications!S11*SUM('Farm and Rotation Setup'!AL$23:AL$27))+(FieldApplications!Y11*SUM('Farm and Rotation Setup'!AR$23:AR$27))+(FieldApplications!F11*SUM('Farm and Rotation Setup'!Y$23:Y$27))+(FieldApplications!Z11*SUM('Farm and Rotation Setup'!AS$23:AS$27))+(FieldApplications!K11*SUM('Farm and Rotation Setup'!AD$23:AD$27))+(FieldApplications!L11*SUM('Farm and Rotation Setup'!AE$23:AE$27))+(FieldApplications!M11*SUM('Farm and Rotation Setup'!AF$23:AF$27))</f>
        <v>0</v>
      </c>
      <c r="P53" s="95">
        <v>1</v>
      </c>
      <c r="Q53" s="110">
        <f t="shared" si="28"/>
        <v>0</v>
      </c>
      <c r="R53" s="94">
        <f t="shared" si="27"/>
        <v>0</v>
      </c>
      <c r="S53" s="94">
        <f t="shared" si="27"/>
        <v>0</v>
      </c>
      <c r="T53" s="94">
        <f t="shared" si="29"/>
        <v>0</v>
      </c>
      <c r="U53" s="94">
        <f t="shared" si="30"/>
        <v>0</v>
      </c>
      <c r="V53" s="397">
        <f t="shared" si="25"/>
        <v>0</v>
      </c>
      <c r="W53" s="92"/>
      <c r="X53" s="92"/>
      <c r="Y53" s="92"/>
      <c r="Z53" s="92"/>
      <c r="AA53" s="92"/>
      <c r="AB53" s="92"/>
      <c r="AC53" s="92"/>
      <c r="AD53" s="92"/>
      <c r="AE53" s="92"/>
      <c r="AF53" s="92"/>
      <c r="AG53" s="92"/>
      <c r="AH53" s="92"/>
      <c r="AI53" s="92"/>
      <c r="AJ53" s="92"/>
      <c r="AK53" s="92"/>
      <c r="AL53" s="92"/>
      <c r="AM53" s="92"/>
      <c r="AN53" s="92"/>
      <c r="AO53" s="92"/>
      <c r="AP53" s="92"/>
      <c r="AQ53" s="92"/>
      <c r="AR53" s="92"/>
      <c r="AS53" s="92"/>
      <c r="AT53" s="92"/>
      <c r="AU53" s="92"/>
      <c r="AV53" s="92"/>
      <c r="AW53" s="92"/>
      <c r="AX53" s="92"/>
      <c r="AY53" s="92"/>
      <c r="AZ53" s="92"/>
    </row>
    <row r="54" spans="1:52" ht="22" customHeight="1">
      <c r="A54" s="92"/>
      <c r="B54" s="92"/>
      <c r="C54" s="92"/>
      <c r="D54" s="92"/>
      <c r="E54" s="92"/>
      <c r="F54" s="92"/>
      <c r="H54" s="92"/>
      <c r="I54" s="1"/>
      <c r="K54" s="36"/>
      <c r="L54" s="94">
        <f t="shared" si="23"/>
        <v>84.39530896272025</v>
      </c>
      <c r="M54" s="94">
        <f t="shared" si="24"/>
        <v>59.458987636363638</v>
      </c>
      <c r="N54" s="99">
        <f t="shared" si="26"/>
        <v>14.967272727272727</v>
      </c>
      <c r="O54" s="207">
        <f>(FieldApplications!O12*SUM('Farm and Rotation Setup'!AH$23:AH$27))+(FieldApplications!N12*SUM('Farm and Rotation Setup'!AG$23:AG$27))+(FieldApplications!C12*SUM('Farm and Rotation Setup'!V$23:V$27))+(FieldApplications!D12*SUM('Farm and Rotation Setup'!W$23:W$27))+(FieldApplications!V12*SUM('Farm and Rotation Setup'!AO$23:AO$27))+(FieldApplications!E12*SUM('Farm and Rotation Setup'!X$23:X$27))+(FieldApplications!G12*SUM('Farm and Rotation Setup'!Z$23:Z$27))+(FieldApplications!W12*SUM('Farm and Rotation Setup'!AP$23:AP$27))+(FieldApplications!R12*SUM('Farm and Rotation Setup'!AK$23:AK$27))+(FieldApplications!P12*SUM('Farm and Rotation Setup'!AI$23:AI$27))+(FieldApplications!Q12*SUM('Farm and Rotation Setup'!AJ$23:AJ$27))+(FieldApplications!H12*SUM('Farm and Rotation Setup'!AA$23:AA$27))+(FieldApplications!X12*SUM('Farm and Rotation Setup'!AQ$23:AQ$27))+(FieldApplications!J12*SUM('Farm and Rotation Setup'!AC$23:AC$27))+(FieldApplications!I12*SUM('Farm and Rotation Setup'!AB$23:AB$27))+(FieldApplications!U12*SUM('Farm and Rotation Setup'!AN$23:AN$27))+(FieldApplications!T12*SUM('Farm and Rotation Setup'!AM$23:AM$27))+(FieldApplications!S12*SUM('Farm and Rotation Setup'!AL$23:AL$27))+(FieldApplications!Y12*SUM('Farm and Rotation Setup'!AR$23:AR$27))+(FieldApplications!F12*SUM('Farm and Rotation Setup'!Y$23:Y$27))+(FieldApplications!Z12*SUM('Farm and Rotation Setup'!AS$23:AS$27))+(FieldApplications!K12*SUM('Farm and Rotation Setup'!AD$23:AD$27))+(FieldApplications!L12*SUM('Farm and Rotation Setup'!AE$23:AE$27))+(FieldApplications!M12*SUM('Farm and Rotation Setup'!AF$23:AF$27))</f>
        <v>2500</v>
      </c>
      <c r="P54" s="95">
        <v>1</v>
      </c>
      <c r="Q54" s="110">
        <f t="shared" si="28"/>
        <v>167.03109815354713</v>
      </c>
      <c r="R54" s="94">
        <f t="shared" si="27"/>
        <v>1.6703109815354713</v>
      </c>
      <c r="S54" s="94">
        <f t="shared" si="27"/>
        <v>6.146744412050535</v>
      </c>
      <c r="T54" s="94">
        <f t="shared" si="29"/>
        <v>5.740409656342587</v>
      </c>
      <c r="U54" s="94">
        <f t="shared" si="30"/>
        <v>7.2419265221735989</v>
      </c>
      <c r="V54" s="397">
        <f t="shared" si="25"/>
        <v>0</v>
      </c>
      <c r="W54" s="92"/>
      <c r="X54" s="92"/>
      <c r="Y54" s="92"/>
      <c r="Z54" s="92"/>
      <c r="AA54" s="92"/>
      <c r="AB54" s="92"/>
      <c r="AC54" s="92"/>
      <c r="AD54" s="92"/>
      <c r="AE54" s="92"/>
      <c r="AF54" s="92"/>
      <c r="AG54" s="92"/>
      <c r="AH54" s="92"/>
      <c r="AI54" s="92"/>
      <c r="AJ54" s="92"/>
      <c r="AK54" s="92"/>
      <c r="AL54" s="92"/>
      <c r="AM54" s="92"/>
      <c r="AN54" s="92"/>
      <c r="AO54" s="92"/>
      <c r="AP54" s="92"/>
      <c r="AQ54" s="92"/>
      <c r="AR54" s="92"/>
      <c r="AS54" s="92"/>
      <c r="AT54" s="92"/>
      <c r="AU54" s="92"/>
      <c r="AV54" s="92"/>
      <c r="AW54" s="92"/>
      <c r="AX54" s="92"/>
      <c r="AY54" s="92"/>
      <c r="AZ54" s="92"/>
    </row>
    <row r="55" spans="1:52" ht="22" customHeight="1">
      <c r="A55" s="92"/>
      <c r="B55" s="92"/>
      <c r="C55" s="92"/>
      <c r="D55" s="92"/>
      <c r="E55" s="92"/>
      <c r="F55" s="92"/>
      <c r="H55" s="92"/>
      <c r="I55" s="1"/>
      <c r="K55" s="36"/>
      <c r="L55" s="94">
        <f t="shared" si="23"/>
        <v>52.732249876602538</v>
      </c>
      <c r="M55" s="94">
        <f t="shared" si="24"/>
        <v>126.60029672727273</v>
      </c>
      <c r="N55" s="99">
        <f t="shared" si="26"/>
        <v>13.047272727272727</v>
      </c>
      <c r="O55" s="207">
        <f>(FieldApplications!O13*SUM('Farm and Rotation Setup'!AH$23:AH$27))+(FieldApplications!N13*SUM('Farm and Rotation Setup'!AG$23:AG$27))+(FieldApplications!C13*SUM('Farm and Rotation Setup'!V$23:V$27))+(FieldApplications!D13*SUM('Farm and Rotation Setup'!W$23:W$27))+(FieldApplications!V13*SUM('Farm and Rotation Setup'!AO$23:AO$27))+(FieldApplications!E13*SUM('Farm and Rotation Setup'!X$23:X$27))+(FieldApplications!G13*SUM('Farm and Rotation Setup'!Z$23:Z$27))+(FieldApplications!W13*SUM('Farm and Rotation Setup'!AP$23:AP$27))+(FieldApplications!R13*SUM('Farm and Rotation Setup'!AK$23:AK$27))+(FieldApplications!P13*SUM('Farm and Rotation Setup'!AI$23:AI$27))+(FieldApplications!Q13*SUM('Farm and Rotation Setup'!AJ$23:AJ$27))+(FieldApplications!H13*SUM('Farm and Rotation Setup'!AA$23:AA$27))+(FieldApplications!X13*SUM('Farm and Rotation Setup'!AQ$23:AQ$27))+(FieldApplications!J13*SUM('Farm and Rotation Setup'!AC$23:AC$27))+(FieldApplications!I13*SUM('Farm and Rotation Setup'!AB$23:AB$27))+(FieldApplications!U13*SUM('Farm and Rotation Setup'!AN$23:AN$27))+(FieldApplications!T13*SUM('Farm and Rotation Setup'!AM$23:AM$27))+(FieldApplications!S13*SUM('Farm and Rotation Setup'!AL$23:AL$27))+(FieldApplications!Y13*SUM('Farm and Rotation Setup'!AR$23:AR$27))+(FieldApplications!F13*SUM('Farm and Rotation Setup'!Y$23:Y$27))+(FieldApplications!Z13*SUM('Farm and Rotation Setup'!AS$23:AS$27))+(FieldApplications!K13*SUM('Farm and Rotation Setup'!AD$23:AD$27))+(FieldApplications!L13*SUM('Farm and Rotation Setup'!AE$23:AE$27))+(FieldApplications!M13*SUM('Farm and Rotation Setup'!AF$23:AF$27))</f>
        <v>1750</v>
      </c>
      <c r="P55" s="95" t="s">
        <v>97</v>
      </c>
      <c r="Q55" s="110">
        <f t="shared" si="28"/>
        <v>134.12764771460425</v>
      </c>
      <c r="R55" s="94">
        <f t="shared" si="27"/>
        <v>1.9161092530657748</v>
      </c>
      <c r="S55" s="94">
        <f t="shared" si="27"/>
        <v>7.0512820512820511</v>
      </c>
      <c r="T55" s="94">
        <f>IF(Q55=0,0,((L55)/N55))</f>
        <v>4.0416300769413871</v>
      </c>
      <c r="U55" s="94">
        <f>IF(Q55=0,0,((M55)/N55))</f>
        <v>9.7032000000000007</v>
      </c>
      <c r="V55" s="397">
        <f t="shared" si="25"/>
        <v>-0.29999999999999993</v>
      </c>
      <c r="W55" s="92"/>
      <c r="X55" s="92"/>
      <c r="Y55" s="92"/>
      <c r="Z55" s="92"/>
      <c r="AA55" s="92"/>
      <c r="AB55" s="92"/>
      <c r="AC55" s="92"/>
      <c r="AD55" s="92"/>
      <c r="AE55" s="92"/>
      <c r="AF55" s="92"/>
      <c r="AG55" s="92"/>
      <c r="AH55" s="92"/>
      <c r="AI55" s="92"/>
      <c r="AJ55" s="92"/>
      <c r="AK55" s="92"/>
      <c r="AL55" s="92"/>
      <c r="AM55" s="92"/>
      <c r="AN55" s="92"/>
      <c r="AO55" s="92"/>
      <c r="AP55" s="92"/>
      <c r="AQ55" s="92"/>
      <c r="AR55" s="92"/>
      <c r="AS55" s="92"/>
      <c r="AT55" s="92"/>
      <c r="AU55" s="92"/>
      <c r="AV55" s="92"/>
      <c r="AW55" s="92"/>
      <c r="AX55" s="92"/>
      <c r="AY55" s="92"/>
      <c r="AZ55" s="92"/>
    </row>
    <row r="56" spans="1:52" ht="22" customHeight="1">
      <c r="A56" s="92"/>
      <c r="B56" s="92"/>
      <c r="C56" s="92"/>
      <c r="D56" s="92"/>
      <c r="E56" s="92"/>
      <c r="F56" s="92"/>
      <c r="H56" s="92"/>
      <c r="I56" s="1"/>
      <c r="K56" s="36"/>
      <c r="L56" s="94">
        <f>IF(Q56=0,0,(C16*(((E16*(((Q56*D16)/1000))^F16)/D16))/Q56))</f>
        <v>0</v>
      </c>
      <c r="M56" s="94">
        <f>IF(Q56=0,0,((C16-(C16*(G16)))/D16)/Q56)*(1+V56)</f>
        <v>0</v>
      </c>
      <c r="N56" s="99">
        <f>(I16*J16*(K16/100))/8.25</f>
        <v>20.363636363636363</v>
      </c>
      <c r="O56" s="207">
        <f>(FieldApplications!O14*SUM('Farm and Rotation Setup'!AH$23:AH$27))+(FieldApplications!N14*SUM('Farm and Rotation Setup'!AG$23:AG$27))+(FieldApplications!C14*SUM('Farm and Rotation Setup'!V$23:V$27))+(FieldApplications!D14*SUM('Farm and Rotation Setup'!W$23:W$27))+(FieldApplications!V14*SUM('Farm and Rotation Setup'!AO$23:AO$27))+(FieldApplications!E14*SUM('Farm and Rotation Setup'!X$23:X$27))+(FieldApplications!G14*SUM('Farm and Rotation Setup'!Z$23:Z$27))+(FieldApplications!W14*SUM('Farm and Rotation Setup'!AP$23:AP$27))+(FieldApplications!R14*SUM('Farm and Rotation Setup'!AK$23:AK$27))+(FieldApplications!P14*SUM('Farm and Rotation Setup'!AI$23:AI$27))+(FieldApplications!Q14*SUM('Farm and Rotation Setup'!AJ$23:AJ$27))+(FieldApplications!H14*SUM('Farm and Rotation Setup'!AA$23:AA$27))+(FieldApplications!X14*SUM('Farm and Rotation Setup'!AQ$23:AQ$27))+(FieldApplications!J14*SUM('Farm and Rotation Setup'!AC$23:AC$27))+(FieldApplications!I14*SUM('Farm and Rotation Setup'!AB$23:AB$27))+(FieldApplications!U14*SUM('Farm and Rotation Setup'!AN$23:AN$27))+(FieldApplications!T14*SUM('Farm and Rotation Setup'!AM$23:AM$27))+(FieldApplications!S14*SUM('Farm and Rotation Setup'!AL$23:AL$27))+(FieldApplications!Y14*SUM('Farm and Rotation Setup'!AR$23:AR$27))+(FieldApplications!F14*SUM('Farm and Rotation Setup'!Y$23:Y$27))+(FieldApplications!Z14*SUM('Farm and Rotation Setup'!AS$23:AS$27))+(FieldApplications!K14*SUM('Farm and Rotation Setup'!AD$23:AD$27))+(FieldApplications!L14*SUM('Farm and Rotation Setup'!AE$23:AE$27))+(FieldApplications!M14*SUM('Farm and Rotation Setup'!AF$23:AF$27))</f>
        <v>0</v>
      </c>
      <c r="P56" s="95">
        <v>2</v>
      </c>
      <c r="Q56" s="110">
        <f t="shared" si="28"/>
        <v>0</v>
      </c>
      <c r="R56" s="94">
        <f t="shared" si="27"/>
        <v>0</v>
      </c>
      <c r="S56" s="94">
        <f t="shared" si="27"/>
        <v>0</v>
      </c>
      <c r="T56" s="94">
        <f>IF(Q56=0,0,((L56+$L$47)/N56))</f>
        <v>0</v>
      </c>
      <c r="U56" s="94">
        <f>IF(Q56=0,0,((M56+$M$47)/N56))</f>
        <v>0</v>
      </c>
      <c r="V56" s="397">
        <f>IF(Q16=0,0,((Q56-Q16)/Q16))</f>
        <v>0</v>
      </c>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row>
    <row r="57" spans="1:52" ht="22" customHeight="1">
      <c r="A57" s="92"/>
      <c r="B57" s="92"/>
      <c r="C57" s="92"/>
      <c r="D57" s="92"/>
      <c r="E57" s="92"/>
      <c r="F57" s="92"/>
      <c r="H57" s="92"/>
      <c r="I57" s="1"/>
      <c r="K57" s="36"/>
      <c r="L57" s="94">
        <f>IF(Q57=0,0,(C17*(((E17*(((Q57*D17)/1000))^F17)/D17))/Q57))</f>
        <v>0</v>
      </c>
      <c r="M57" s="94">
        <f>IF(Q57=0,0,((C17-(C17*(G17)))/D17)/Q57)*(1+V57)</f>
        <v>5.879999999999999</v>
      </c>
      <c r="N57" s="99">
        <f>(I17*J17*(K17/100))/8.25</f>
        <v>9.7999999999999989</v>
      </c>
      <c r="O57" s="207">
        <f>(FieldApplications!O15*SUM('Farm and Rotation Setup'!AH$23:AH$27))+(FieldApplications!N15*SUM('Farm and Rotation Setup'!AG$23:AG$27))+(FieldApplications!C15*SUM('Farm and Rotation Setup'!V$23:V$27))+(FieldApplications!D15*SUM('Farm and Rotation Setup'!W$23:W$27))+(FieldApplications!V15*SUM('Farm and Rotation Setup'!AO$23:AO$27))+(FieldApplications!E15*SUM('Farm and Rotation Setup'!X$23:X$27))+(FieldApplications!G15*SUM('Farm and Rotation Setup'!Z$23:Z$27))+(FieldApplications!W15*SUM('Farm and Rotation Setup'!AP$23:AP$27))+(FieldApplications!R15*SUM('Farm and Rotation Setup'!AK$23:AK$27))+(FieldApplications!P15*SUM('Farm and Rotation Setup'!AI$23:AI$27))+(FieldApplications!Q15*SUM('Farm and Rotation Setup'!AJ$23:AJ$27))+(FieldApplications!H15*SUM('Farm and Rotation Setup'!AA$23:AA$27))+(FieldApplications!X15*SUM('Farm and Rotation Setup'!AQ$23:AQ$27))+(FieldApplications!J15*SUM('Farm and Rotation Setup'!AC$23:AC$27))+(FieldApplications!I15*SUM('Farm and Rotation Setup'!AB$23:AB$27))+(FieldApplications!U15*SUM('Farm and Rotation Setup'!AN$23:AN$27))+(FieldApplications!T15*SUM('Farm and Rotation Setup'!AM$23:AM$27))+(FieldApplications!S15*SUM('Farm and Rotation Setup'!AL$23:AL$27))+(FieldApplications!Y15*SUM('Farm and Rotation Setup'!AR$23:AR$27))+(FieldApplications!F15*SUM('Farm and Rotation Setup'!Y$23:Y$27))+(FieldApplications!Z15*SUM('Farm and Rotation Setup'!AS$23:AS$27))+(FieldApplications!K15*SUM('Farm and Rotation Setup'!AD$23:AD$27))+(FieldApplications!L15*SUM('Farm and Rotation Setup'!AE$23:AE$27))+(FieldApplications!M15*SUM('Farm and Rotation Setup'!AF$23:AF$27))</f>
        <v>1750</v>
      </c>
      <c r="P57" s="95" t="s">
        <v>97</v>
      </c>
      <c r="Q57" s="110">
        <f t="shared" si="28"/>
        <v>178.57142857142858</v>
      </c>
      <c r="R57" s="94">
        <f t="shared" si="27"/>
        <v>2.2448979591836737</v>
      </c>
      <c r="S57" s="94">
        <f t="shared" si="27"/>
        <v>9.387755102040817</v>
      </c>
      <c r="T57" s="94">
        <f>IF(Q57=0,0,((L57)/N57))</f>
        <v>0</v>
      </c>
      <c r="U57" s="94">
        <f>IF(Q57=0,0,((M57)/N57))</f>
        <v>0.6</v>
      </c>
      <c r="V57" s="397">
        <f>IF(Q17=0,0,((Q57-Q17)/Q17))</f>
        <v>-0.30000000000000004</v>
      </c>
      <c r="W57" s="92"/>
      <c r="X57" s="92"/>
      <c r="Y57" s="92"/>
      <c r="Z57" s="92"/>
      <c r="AA57" s="92"/>
      <c r="AB57" s="92"/>
      <c r="AC57" s="92"/>
      <c r="AD57" s="92"/>
      <c r="AE57" s="92"/>
      <c r="AF57" s="92"/>
      <c r="AG57" s="92"/>
      <c r="AH57" s="92"/>
      <c r="AI57" s="92"/>
      <c r="AJ57" s="92"/>
      <c r="AK57" s="92"/>
      <c r="AL57" s="92"/>
      <c r="AM57" s="92"/>
      <c r="AN57" s="92"/>
      <c r="AO57" s="92"/>
      <c r="AP57" s="92"/>
      <c r="AQ57" s="92"/>
      <c r="AR57" s="92"/>
      <c r="AS57" s="92"/>
      <c r="AT57" s="92"/>
      <c r="AU57" s="92"/>
      <c r="AV57" s="92"/>
      <c r="AW57" s="92"/>
      <c r="AX57" s="92"/>
      <c r="AY57" s="92"/>
      <c r="AZ57" s="92"/>
    </row>
    <row r="58" spans="1:52" ht="22" customHeight="1">
      <c r="A58" s="92"/>
      <c r="B58" s="92"/>
      <c r="C58" s="92"/>
      <c r="D58" s="92"/>
      <c r="E58" s="92"/>
      <c r="F58" s="92"/>
      <c r="H58" s="92"/>
      <c r="I58" s="1"/>
      <c r="K58" s="36"/>
      <c r="L58" s="94">
        <f>IF(Q58=0,0,(C18*(((E18*(((Q58*D18)/1000))^F18)/D18))/Q58))</f>
        <v>21.388524729828728</v>
      </c>
      <c r="M58" s="94">
        <f>IF(Q58=0,0,((C18-(C18*(G18)))/D18)/Q58)*(1+V58)</f>
        <v>5.1995272727272717</v>
      </c>
      <c r="N58" s="99">
        <f>(I18*J18*(K18/100))/8.25</f>
        <v>50.975757575757576</v>
      </c>
      <c r="O58" s="207">
        <f>(FieldApplications!O16*SUM('Farm and Rotation Setup'!AH$23:AH$27))+(FieldApplications!N16*SUM('Farm and Rotation Setup'!AG$23:AG$27))+(FieldApplications!C16*SUM('Farm and Rotation Setup'!V$23:V$27))+(FieldApplications!D16*SUM('Farm and Rotation Setup'!W$23:W$27))+(FieldApplications!V16*SUM('Farm and Rotation Setup'!AO$23:AO$27))+(FieldApplications!E16*SUM('Farm and Rotation Setup'!X$23:X$27))+(FieldApplications!G16*SUM('Farm and Rotation Setup'!Z$23:Z$27))+(FieldApplications!W16*SUM('Farm and Rotation Setup'!AP$23:AP$27))+(FieldApplications!R16*SUM('Farm and Rotation Setup'!AK$23:AK$27))+(FieldApplications!P16*SUM('Farm and Rotation Setup'!AI$23:AI$27))+(FieldApplications!Q16*SUM('Farm and Rotation Setup'!AJ$23:AJ$27))+(FieldApplications!H16*SUM('Farm and Rotation Setup'!AA$23:AA$27))+(FieldApplications!X16*SUM('Farm and Rotation Setup'!AQ$23:AQ$27))+(FieldApplications!J16*SUM('Farm and Rotation Setup'!AC$23:AC$27))+(FieldApplications!I16*SUM('Farm and Rotation Setup'!AB$23:AB$27))+(FieldApplications!U16*SUM('Farm and Rotation Setup'!AN$23:AN$27))+(FieldApplications!T16*SUM('Farm and Rotation Setup'!AM$23:AM$27))+(FieldApplications!S16*SUM('Farm and Rotation Setup'!AL$23:AL$27))+(FieldApplications!Y16*SUM('Farm and Rotation Setup'!AR$23:AR$27))+(FieldApplications!F16*SUM('Farm and Rotation Setup'!Y$23:Y$27))+(FieldApplications!Z16*SUM('Farm and Rotation Setup'!AS$23:AS$27))+(FieldApplications!K16*SUM('Farm and Rotation Setup'!AD$23:AD$27))+(FieldApplications!L16*SUM('Farm and Rotation Setup'!AE$23:AE$27))+(FieldApplications!M16*SUM('Farm and Rotation Setup'!AF$23:AF$27))</f>
        <v>5250</v>
      </c>
      <c r="P58" s="95">
        <v>2</v>
      </c>
      <c r="Q58" s="110">
        <f t="shared" si="28"/>
        <v>102.99013197003923</v>
      </c>
      <c r="R58" s="94">
        <f t="shared" si="27"/>
        <v>0.4708120318630365</v>
      </c>
      <c r="S58" s="94">
        <f t="shared" si="27"/>
        <v>1.8047794554749732</v>
      </c>
      <c r="T58" s="94">
        <f>IF(Q58=0,0,((L58+$L$47)/N58))</f>
        <v>0.4510828286016228</v>
      </c>
      <c r="U58" s="94">
        <f>IF(Q58=0,0,((M58+$M$47)/N58))</f>
        <v>0.80913316225248511</v>
      </c>
      <c r="V58" s="397">
        <f>IF(Q18=0,0,((Q58-Q18)/Q18))</f>
        <v>-0.25000000000000011</v>
      </c>
      <c r="W58" s="92"/>
      <c r="X58" s="92"/>
      <c r="Y58" s="92"/>
      <c r="Z58" s="92"/>
      <c r="AA58" s="92"/>
      <c r="AB58" s="92"/>
      <c r="AC58" s="92"/>
      <c r="AD58" s="92"/>
      <c r="AE58" s="92"/>
      <c r="AF58" s="92"/>
      <c r="AG58" s="92"/>
      <c r="AH58" s="92"/>
      <c r="AI58" s="92"/>
      <c r="AJ58" s="92"/>
      <c r="AK58" s="92"/>
      <c r="AL58" s="92"/>
      <c r="AM58" s="92"/>
      <c r="AN58" s="92"/>
      <c r="AO58" s="92"/>
      <c r="AP58" s="92"/>
      <c r="AQ58" s="92"/>
      <c r="AR58" s="92"/>
      <c r="AS58" s="92"/>
      <c r="AT58" s="92"/>
      <c r="AU58" s="92"/>
      <c r="AV58" s="92"/>
      <c r="AW58" s="92"/>
      <c r="AX58" s="92"/>
      <c r="AY58" s="92"/>
      <c r="AZ58" s="92"/>
    </row>
    <row r="59" spans="1:52" ht="22" customHeight="1">
      <c r="A59" s="92"/>
      <c r="B59" s="92"/>
      <c r="C59" s="92"/>
      <c r="D59" s="92"/>
      <c r="E59" s="92"/>
      <c r="F59" s="92"/>
      <c r="H59" s="92"/>
      <c r="I59" s="1"/>
      <c r="K59" s="36"/>
      <c r="L59" s="94">
        <f>IF(Q59=0,0,(C15*(((E15*(((Q59*D15)/1000))^F15)/D15))/Q59))</f>
        <v>4.0731084922723628</v>
      </c>
      <c r="M59" s="94">
        <f>IF(Q59=0,0,((C15-(C15*(G15)))/D15)/Q59)*(1+V59)</f>
        <v>2.3924886618998977</v>
      </c>
      <c r="N59" s="99">
        <f>N55</f>
        <v>13.047272727272727</v>
      </c>
      <c r="O59" s="207">
        <f>(FieldApplications!O17*SUM('Farm and Rotation Setup'!AH$23:AH$27))+(FieldApplications!N17*SUM('Farm and Rotation Setup'!AG$23:AG$27))+(FieldApplications!C17*SUM('Farm and Rotation Setup'!V$23:V$27))+(FieldApplications!D17*SUM('Farm and Rotation Setup'!W$23:W$27))+(FieldApplications!V17*SUM('Farm and Rotation Setup'!AO$23:AO$27))+(FieldApplications!E17*SUM('Farm and Rotation Setup'!X$23:X$27))+(FieldApplications!G17*SUM('Farm and Rotation Setup'!Z$23:Z$27))+(FieldApplications!W17*SUM('Farm and Rotation Setup'!AP$23:AP$27))+(FieldApplications!R17*SUM('Farm and Rotation Setup'!AK$23:AK$27))+(FieldApplications!P17*SUM('Farm and Rotation Setup'!AI$23:AI$27))+(FieldApplications!Q17*SUM('Farm and Rotation Setup'!AJ$23:AJ$27))+(FieldApplications!H17*SUM('Farm and Rotation Setup'!AA$23:AA$27))+(FieldApplications!X17*SUM('Farm and Rotation Setup'!AQ$23:AQ$27))+(FieldApplications!J17*SUM('Farm and Rotation Setup'!AC$23:AC$27))+(FieldApplications!I17*SUM('Farm and Rotation Setup'!AB$23:AB$27))+(FieldApplications!U17*SUM('Farm and Rotation Setup'!AN$23:AN$27))+(FieldApplications!T17*SUM('Farm and Rotation Setup'!AM$23:AM$27))+(FieldApplications!S17*SUM('Farm and Rotation Setup'!AL$23:AL$27))+(FieldApplications!Y17*SUM('Farm and Rotation Setup'!AR$23:AR$27))+(FieldApplications!F17*SUM('Farm and Rotation Setup'!Y$23:Y$27))+(FieldApplications!Z17*SUM('Farm and Rotation Setup'!AS$23:AS$27))+(FieldApplications!K17*SUM('Farm and Rotation Setup'!AD$23:AD$27))+(FieldApplications!L17*SUM('Farm and Rotation Setup'!AE$23:AE$27))+(FieldApplications!M17*SUM('Farm and Rotation Setup'!AF$23:AF$27))</f>
        <v>0</v>
      </c>
      <c r="P59" s="95">
        <v>2</v>
      </c>
      <c r="Q59" s="110">
        <f>Q55*0.89</f>
        <v>119.37360646599778</v>
      </c>
      <c r="R59" s="94">
        <f t="shared" si="27"/>
        <v>1.6861761426978819</v>
      </c>
      <c r="S59" s="94">
        <f t="shared" si="27"/>
        <v>7.0512820512820511</v>
      </c>
      <c r="T59" s="94">
        <f>IF(Q59=0,0,((L59+$L$47)/N59))</f>
        <v>0.43525361955195507</v>
      </c>
      <c r="U59" s="94">
        <f>IF(Q59=0,0,((M59+$M$47)/N59))</f>
        <v>2.9461434675395459</v>
      </c>
      <c r="V59" s="397">
        <f>IF(Q15=0,0,((Q59-Q15)/Q15))</f>
        <v>-0.29999999999999993</v>
      </c>
      <c r="W59" s="92"/>
      <c r="X59" s="92"/>
      <c r="Y59" s="92"/>
      <c r="Z59" s="92"/>
      <c r="AA59" s="92"/>
      <c r="AB59" s="92"/>
      <c r="AC59" s="92"/>
      <c r="AD59" s="92"/>
      <c r="AE59" s="92"/>
      <c r="AF59" s="92"/>
      <c r="AG59" s="92"/>
      <c r="AH59" s="92"/>
      <c r="AI59" s="92"/>
      <c r="AJ59" s="92"/>
      <c r="AK59" s="92"/>
      <c r="AL59" s="92"/>
      <c r="AM59" s="92"/>
      <c r="AN59" s="92"/>
      <c r="AO59" s="92"/>
      <c r="AP59" s="92"/>
      <c r="AQ59" s="92"/>
      <c r="AR59" s="92"/>
      <c r="AS59" s="92"/>
      <c r="AT59" s="92"/>
      <c r="AU59" s="92"/>
      <c r="AV59" s="92"/>
      <c r="AW59" s="92"/>
      <c r="AX59" s="92"/>
      <c r="AY59" s="92"/>
      <c r="AZ59" s="92"/>
    </row>
    <row r="60" spans="1:52" ht="22" customHeight="1">
      <c r="A60" s="92"/>
      <c r="B60" s="92"/>
      <c r="C60" s="92"/>
      <c r="D60" s="92"/>
      <c r="E60" s="92"/>
      <c r="F60" s="92"/>
      <c r="H60" s="92"/>
      <c r="I60" s="1"/>
      <c r="K60" s="36"/>
      <c r="L60" s="94">
        <f>IF(Q60=0,0,(C19*(((E19*(((Q60*D19)/1000))^F19)/D19))/Q60))</f>
        <v>0</v>
      </c>
      <c r="M60" s="94">
        <f>IF(Q60=0,0,((C19-(C19*(G19/100)))/K60)/Q60)</f>
        <v>0</v>
      </c>
      <c r="N60" s="91"/>
      <c r="O60" s="208">
        <f>O40</f>
        <v>7500</v>
      </c>
      <c r="P60" s="91"/>
      <c r="Q60" s="91"/>
      <c r="R60" s="94">
        <f t="shared" si="27"/>
        <v>3.6</v>
      </c>
      <c r="S60" s="94">
        <f t="shared" si="27"/>
        <v>1.1499999999999999</v>
      </c>
      <c r="T60" s="94">
        <v>0.8</v>
      </c>
      <c r="U60" s="94">
        <v>0.64</v>
      </c>
      <c r="V60" s="92"/>
      <c r="W60" s="92"/>
      <c r="X60" s="92"/>
      <c r="Y60" s="92"/>
      <c r="Z60" s="92"/>
      <c r="AA60" s="92"/>
      <c r="AB60" s="92"/>
      <c r="AC60" s="92"/>
      <c r="AD60" s="92"/>
      <c r="AE60" s="92"/>
      <c r="AF60" s="92"/>
      <c r="AG60" s="92"/>
      <c r="AH60" s="92"/>
      <c r="AI60" s="92"/>
      <c r="AJ60" s="92"/>
      <c r="AK60" s="92"/>
      <c r="AL60" s="92"/>
      <c r="AM60" s="92"/>
      <c r="AN60" s="92"/>
      <c r="AO60" s="92"/>
      <c r="AP60" s="92"/>
      <c r="AQ60" s="92"/>
      <c r="AR60" s="92"/>
      <c r="AS60" s="92"/>
      <c r="AT60" s="92"/>
      <c r="AU60" s="92"/>
      <c r="AV60" s="92"/>
      <c r="AW60" s="92"/>
      <c r="AX60" s="92"/>
      <c r="AY60" s="92"/>
      <c r="AZ60" s="92"/>
    </row>
    <row r="61" spans="1:52" ht="22" customHeight="1">
      <c r="A61" s="92"/>
      <c r="B61" s="92"/>
      <c r="C61" s="92"/>
      <c r="D61" s="92"/>
      <c r="E61" s="92"/>
      <c r="F61" s="92"/>
      <c r="H61" s="92"/>
      <c r="I61" s="1"/>
      <c r="K61" s="36"/>
      <c r="L61" s="94">
        <f>IF(Q61=0,0,(C20*(((E20*(((Q61*D20)/1000))^F20)/D20))/Q61))</f>
        <v>0</v>
      </c>
      <c r="M61" s="94">
        <f>IF(Q61=0,0,((C20-(C20*(G20/100)))/K61)/Q61)</f>
        <v>0</v>
      </c>
      <c r="N61" s="91"/>
      <c r="O61" s="208">
        <f>O41</f>
        <v>7500</v>
      </c>
      <c r="P61" s="91"/>
      <c r="Q61" s="91"/>
      <c r="R61" s="94">
        <f t="shared" si="27"/>
        <v>3.6</v>
      </c>
      <c r="S61" s="94">
        <f t="shared" si="27"/>
        <v>1.72</v>
      </c>
      <c r="T61" s="94">
        <v>0.8</v>
      </c>
      <c r="U61" s="94">
        <v>0.64</v>
      </c>
      <c r="V61" s="92"/>
      <c r="W61" s="92"/>
      <c r="X61" s="92"/>
      <c r="Y61" s="92"/>
      <c r="Z61" s="92"/>
      <c r="AA61" s="92"/>
      <c r="AB61" s="92"/>
      <c r="AC61" s="92"/>
      <c r="AD61" s="92"/>
      <c r="AE61" s="92"/>
      <c r="AF61" s="92"/>
      <c r="AG61" s="92"/>
      <c r="AH61" s="92"/>
      <c r="AI61" s="92"/>
      <c r="AJ61" s="92"/>
      <c r="AK61" s="92"/>
      <c r="AL61" s="92"/>
      <c r="AM61" s="92"/>
      <c r="AN61" s="92"/>
      <c r="AO61" s="92"/>
      <c r="AP61" s="92"/>
      <c r="AQ61" s="92"/>
      <c r="AR61" s="92"/>
      <c r="AS61" s="92"/>
      <c r="AT61" s="92"/>
      <c r="AU61" s="92"/>
      <c r="AV61" s="92"/>
      <c r="AW61" s="92"/>
      <c r="AX61" s="92"/>
      <c r="AY61" s="92"/>
      <c r="AZ61" s="92"/>
    </row>
    <row r="62" spans="1:52" ht="22" customHeight="1">
      <c r="A62" s="92"/>
      <c r="B62" s="92"/>
      <c r="C62" s="92"/>
      <c r="D62" s="92"/>
      <c r="E62" s="92"/>
      <c r="F62" s="92"/>
      <c r="G62" s="92"/>
      <c r="H62" s="92"/>
      <c r="I62" s="92"/>
      <c r="J62" s="92"/>
      <c r="K62" s="36"/>
      <c r="L62" s="92"/>
      <c r="M62" s="92"/>
      <c r="N62" s="92"/>
      <c r="O62" s="205"/>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row>
    <row r="63" spans="1:52" ht="22" customHeight="1">
      <c r="A63" s="92"/>
      <c r="B63" s="92"/>
      <c r="C63" s="92"/>
      <c r="D63" s="92"/>
      <c r="E63" s="92"/>
      <c r="F63" s="92"/>
      <c r="G63" s="92"/>
      <c r="H63" s="92"/>
      <c r="I63" s="92"/>
      <c r="J63" s="92"/>
      <c r="K63" s="36"/>
      <c r="L63" s="92"/>
      <c r="M63" s="92"/>
      <c r="N63" s="92"/>
      <c r="O63" s="205"/>
      <c r="P63" s="92"/>
      <c r="Q63" s="92"/>
      <c r="R63" s="92"/>
      <c r="S63" s="92"/>
      <c r="T63" s="92"/>
      <c r="U63" s="92"/>
      <c r="V63" s="92"/>
      <c r="W63" s="92"/>
      <c r="X63" s="92"/>
      <c r="Y63" s="92"/>
      <c r="Z63" s="92"/>
      <c r="AA63" s="92"/>
      <c r="AB63" s="92"/>
      <c r="AC63" s="92"/>
      <c r="AD63" s="92"/>
      <c r="AE63" s="92"/>
      <c r="AF63" s="92"/>
      <c r="AG63" s="92"/>
      <c r="AH63" s="92"/>
      <c r="AI63" s="92"/>
      <c r="AJ63" s="92"/>
      <c r="AK63" s="92"/>
      <c r="AL63" s="92"/>
      <c r="AM63" s="92"/>
      <c r="AN63" s="92"/>
      <c r="AO63" s="92"/>
      <c r="AP63" s="92"/>
      <c r="AQ63" s="92"/>
      <c r="AR63" s="92"/>
      <c r="AS63" s="92"/>
      <c r="AT63" s="92"/>
      <c r="AU63" s="92"/>
      <c r="AV63" s="92"/>
      <c r="AW63" s="92"/>
      <c r="AX63" s="92"/>
      <c r="AY63" s="92"/>
      <c r="AZ63" s="92"/>
    </row>
    <row r="64" spans="1:52">
      <c r="A64" s="92"/>
      <c r="B64" s="92"/>
      <c r="C64" s="92"/>
      <c r="D64" s="92"/>
      <c r="E64" s="92"/>
      <c r="F64" s="92"/>
      <c r="G64" s="92"/>
      <c r="H64" s="92"/>
      <c r="I64" s="92"/>
      <c r="J64" s="92"/>
      <c r="K64" s="36"/>
      <c r="L64" s="92"/>
      <c r="M64" s="92"/>
      <c r="N64" s="92"/>
      <c r="O64" s="205"/>
      <c r="P64" s="92"/>
      <c r="Q64" s="92"/>
      <c r="R64" s="92"/>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c r="AQ64" s="92"/>
      <c r="AR64" s="92"/>
      <c r="AS64" s="92"/>
      <c r="AT64" s="92"/>
      <c r="AU64" s="92"/>
      <c r="AV64" s="92"/>
      <c r="AW64" s="92"/>
      <c r="AX64" s="92"/>
      <c r="AY64" s="92"/>
      <c r="AZ64" s="92"/>
    </row>
    <row r="65" spans="1:52">
      <c r="A65" s="92"/>
      <c r="B65" s="92"/>
      <c r="C65" s="92"/>
      <c r="D65" s="92"/>
      <c r="E65" s="92"/>
      <c r="F65" s="92"/>
      <c r="G65" s="92"/>
      <c r="H65" s="92"/>
      <c r="I65" s="92"/>
      <c r="J65" s="92"/>
      <c r="K65" s="36"/>
      <c r="L65" s="92"/>
      <c r="M65" s="92"/>
      <c r="N65" s="92"/>
      <c r="O65" s="205"/>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c r="AQ65" s="92"/>
      <c r="AR65" s="92"/>
      <c r="AS65" s="92"/>
      <c r="AT65" s="92"/>
      <c r="AU65" s="92"/>
      <c r="AV65" s="92"/>
      <c r="AW65" s="92"/>
      <c r="AX65" s="92"/>
      <c r="AY65" s="92"/>
      <c r="AZ65" s="92"/>
    </row>
    <row r="66" spans="1:52">
      <c r="A66" s="92"/>
      <c r="B66" s="92"/>
      <c r="C66" s="92"/>
      <c r="D66" s="92"/>
      <c r="E66" s="92"/>
      <c r="F66" s="92"/>
      <c r="G66" s="92"/>
      <c r="H66" s="92"/>
      <c r="I66" s="92"/>
      <c r="J66" s="92"/>
      <c r="K66" s="36"/>
      <c r="L66" s="92"/>
      <c r="M66" s="92"/>
      <c r="N66" s="92"/>
      <c r="O66" s="205"/>
      <c r="P66" s="92"/>
      <c r="Q66" s="92"/>
      <c r="R66" s="92"/>
      <c r="S66" s="92"/>
      <c r="T66" s="92"/>
      <c r="U66" s="92"/>
      <c r="V66" s="92"/>
      <c r="W66" s="92"/>
      <c r="X66" s="92"/>
      <c r="Y66" s="92"/>
      <c r="Z66" s="92"/>
      <c r="AA66" s="92"/>
      <c r="AB66" s="92"/>
      <c r="AC66" s="92"/>
      <c r="AD66" s="92"/>
      <c r="AE66" s="92"/>
      <c r="AF66" s="92"/>
      <c r="AG66" s="92"/>
      <c r="AH66" s="92"/>
      <c r="AI66" s="92"/>
      <c r="AJ66" s="92"/>
      <c r="AK66" s="92"/>
      <c r="AL66" s="92"/>
      <c r="AM66" s="92"/>
      <c r="AN66" s="92"/>
      <c r="AO66" s="92"/>
      <c r="AP66" s="92"/>
      <c r="AQ66" s="92"/>
      <c r="AR66" s="92"/>
      <c r="AS66" s="92"/>
      <c r="AT66" s="92"/>
      <c r="AU66" s="92"/>
      <c r="AV66" s="92"/>
      <c r="AW66" s="92"/>
      <c r="AX66" s="92"/>
      <c r="AY66" s="92"/>
      <c r="AZ66" s="92"/>
    </row>
    <row r="67" spans="1:52">
      <c r="A67" s="92"/>
      <c r="B67" s="92"/>
      <c r="C67" s="92"/>
      <c r="D67" s="92"/>
      <c r="E67" s="92"/>
      <c r="F67" s="92"/>
      <c r="G67" s="92"/>
      <c r="H67" s="92"/>
      <c r="I67" s="92"/>
      <c r="J67" s="92"/>
      <c r="K67" s="36"/>
      <c r="L67" s="92"/>
      <c r="M67" s="92"/>
      <c r="N67" s="92"/>
      <c r="O67" s="205"/>
      <c r="P67" s="92"/>
      <c r="Q67" s="92"/>
      <c r="R67" s="92"/>
      <c r="S67" s="92"/>
      <c r="T67" s="92"/>
      <c r="U67" s="92"/>
      <c r="V67" s="92"/>
      <c r="W67" s="92"/>
      <c r="X67" s="92"/>
      <c r="Y67" s="92"/>
      <c r="Z67" s="92"/>
      <c r="AA67" s="92"/>
      <c r="AB67" s="92"/>
      <c r="AC67" s="92"/>
      <c r="AD67" s="92"/>
      <c r="AE67" s="92"/>
      <c r="AF67" s="92"/>
      <c r="AG67" s="92"/>
      <c r="AH67" s="92"/>
      <c r="AI67" s="92"/>
      <c r="AJ67" s="92"/>
      <c r="AK67" s="92"/>
      <c r="AL67" s="92"/>
      <c r="AM67" s="92"/>
      <c r="AN67" s="92"/>
      <c r="AO67" s="92"/>
      <c r="AP67" s="92"/>
      <c r="AQ67" s="92"/>
      <c r="AR67" s="92"/>
      <c r="AS67" s="92"/>
      <c r="AT67" s="92"/>
      <c r="AU67" s="92"/>
      <c r="AV67" s="92"/>
      <c r="AW67" s="92"/>
      <c r="AX67" s="92"/>
      <c r="AY67" s="92"/>
      <c r="AZ67" s="92"/>
    </row>
    <row r="68" spans="1:52">
      <c r="A68" s="92"/>
      <c r="B68" s="92"/>
      <c r="C68" s="92"/>
      <c r="D68" s="92"/>
      <c r="E68" s="92"/>
      <c r="F68" s="92"/>
      <c r="G68" s="92"/>
      <c r="H68" s="92"/>
      <c r="I68" s="92"/>
      <c r="J68" s="92"/>
      <c r="K68" s="36"/>
      <c r="L68" s="92"/>
      <c r="M68" s="92"/>
      <c r="N68" s="92"/>
      <c r="O68" s="205"/>
      <c r="P68" s="92"/>
      <c r="Q68" s="92"/>
      <c r="R68" s="92"/>
      <c r="S68" s="92"/>
      <c r="T68" s="92"/>
      <c r="U68" s="92"/>
      <c r="V68" s="92"/>
      <c r="W68" s="92"/>
      <c r="X68" s="92"/>
      <c r="Y68" s="92"/>
      <c r="Z68" s="92"/>
      <c r="AA68" s="92"/>
      <c r="AB68" s="92"/>
      <c r="AC68" s="92"/>
      <c r="AD68" s="92"/>
      <c r="AE68" s="92"/>
      <c r="AF68" s="92"/>
      <c r="AG68" s="92"/>
      <c r="AH68" s="92"/>
      <c r="AI68" s="92"/>
      <c r="AJ68" s="92"/>
      <c r="AK68" s="92"/>
      <c r="AL68" s="92"/>
      <c r="AM68" s="92"/>
      <c r="AN68" s="92"/>
      <c r="AO68" s="92"/>
      <c r="AP68" s="92"/>
      <c r="AQ68" s="92"/>
      <c r="AR68" s="92"/>
      <c r="AS68" s="92"/>
      <c r="AT68" s="92"/>
      <c r="AU68" s="92"/>
      <c r="AV68" s="92"/>
      <c r="AW68" s="92"/>
      <c r="AX68" s="92"/>
      <c r="AY68" s="92"/>
      <c r="AZ68" s="92"/>
    </row>
    <row r="69" spans="1:52">
      <c r="A69" s="92"/>
      <c r="B69" s="92"/>
      <c r="C69" s="92"/>
      <c r="D69" s="92"/>
      <c r="E69" s="92"/>
      <c r="F69" s="92"/>
      <c r="G69" s="92"/>
      <c r="H69" s="92"/>
      <c r="I69" s="92"/>
      <c r="J69" s="92"/>
      <c r="K69" s="36"/>
      <c r="L69" s="92"/>
      <c r="M69" s="92"/>
      <c r="N69" s="92"/>
      <c r="O69" s="205"/>
      <c r="P69" s="92"/>
      <c r="Q69" s="92"/>
      <c r="R69" s="92"/>
      <c r="S69" s="92"/>
      <c r="T69" s="92"/>
      <c r="U69" s="92"/>
      <c r="V69" s="92"/>
      <c r="W69" s="92"/>
      <c r="X69" s="92"/>
      <c r="Y69" s="92"/>
      <c r="Z69" s="92"/>
      <c r="AA69" s="92"/>
      <c r="AB69" s="92"/>
      <c r="AC69" s="92"/>
      <c r="AD69" s="92"/>
      <c r="AE69" s="92"/>
      <c r="AF69" s="92"/>
      <c r="AG69" s="92"/>
      <c r="AH69" s="92"/>
      <c r="AI69" s="92"/>
      <c r="AJ69" s="92"/>
      <c r="AK69" s="92"/>
      <c r="AL69" s="92"/>
      <c r="AM69" s="92"/>
      <c r="AN69" s="92"/>
      <c r="AO69" s="92"/>
      <c r="AP69" s="92"/>
      <c r="AQ69" s="92"/>
      <c r="AR69" s="92"/>
      <c r="AS69" s="92"/>
      <c r="AT69" s="92"/>
      <c r="AU69" s="92"/>
      <c r="AV69" s="92"/>
      <c r="AW69" s="92"/>
      <c r="AX69" s="92"/>
      <c r="AY69" s="92"/>
      <c r="AZ69" s="92"/>
    </row>
    <row r="70" spans="1:52">
      <c r="A70" s="92"/>
      <c r="B70" s="92"/>
      <c r="C70" s="92"/>
      <c r="D70" s="92"/>
      <c r="E70" s="92"/>
      <c r="F70" s="92"/>
      <c r="G70" s="92"/>
      <c r="H70" s="92"/>
      <c r="I70" s="92"/>
      <c r="J70" s="92"/>
      <c r="K70" s="36"/>
      <c r="L70" s="92"/>
      <c r="M70" s="92"/>
      <c r="N70" s="92"/>
      <c r="O70" s="205"/>
      <c r="P70" s="92"/>
      <c r="Q70" s="92"/>
      <c r="R70" s="92"/>
      <c r="S70" s="92"/>
      <c r="T70" s="92"/>
      <c r="U70" s="92"/>
      <c r="V70" s="92"/>
      <c r="W70" s="92"/>
      <c r="X70" s="92"/>
      <c r="Y70" s="92"/>
      <c r="Z70" s="92"/>
      <c r="AA70" s="92"/>
      <c r="AB70" s="92"/>
      <c r="AC70" s="92"/>
      <c r="AD70" s="92"/>
      <c r="AE70" s="92"/>
      <c r="AF70" s="92"/>
      <c r="AG70" s="92"/>
      <c r="AH70" s="92"/>
      <c r="AI70" s="92"/>
      <c r="AJ70" s="92"/>
      <c r="AK70" s="92"/>
      <c r="AL70" s="92"/>
      <c r="AM70" s="92"/>
      <c r="AN70" s="92"/>
      <c r="AO70" s="92"/>
      <c r="AP70" s="92"/>
      <c r="AQ70" s="92"/>
      <c r="AR70" s="92"/>
      <c r="AS70" s="92"/>
      <c r="AT70" s="92"/>
      <c r="AU70" s="92"/>
      <c r="AV70" s="92"/>
      <c r="AW70" s="92"/>
      <c r="AX70" s="92"/>
      <c r="AY70" s="92"/>
      <c r="AZ70" s="92"/>
    </row>
    <row r="71" spans="1:52">
      <c r="A71" s="92"/>
      <c r="B71" s="92"/>
      <c r="C71" s="92"/>
      <c r="D71" s="92"/>
      <c r="E71" s="92"/>
      <c r="F71" s="92"/>
      <c r="G71" s="92"/>
      <c r="H71" s="92"/>
      <c r="I71" s="92"/>
      <c r="J71" s="92"/>
      <c r="K71" s="36"/>
      <c r="L71" s="92"/>
      <c r="M71" s="92"/>
      <c r="N71" s="92"/>
      <c r="O71" s="205"/>
      <c r="P71" s="92"/>
      <c r="Q71" s="92"/>
      <c r="R71" s="92"/>
      <c r="S71" s="92"/>
      <c r="T71" s="92"/>
      <c r="U71" s="92"/>
      <c r="V71" s="92"/>
      <c r="W71" s="92"/>
      <c r="X71" s="92"/>
      <c r="Y71" s="92"/>
      <c r="Z71" s="92"/>
      <c r="AA71" s="92"/>
      <c r="AB71" s="92"/>
      <c r="AC71" s="92"/>
      <c r="AD71" s="92"/>
      <c r="AE71" s="92"/>
      <c r="AF71" s="92"/>
      <c r="AG71" s="92"/>
      <c r="AH71" s="92"/>
      <c r="AI71" s="92"/>
      <c r="AJ71" s="92"/>
      <c r="AK71" s="92"/>
      <c r="AL71" s="92"/>
      <c r="AM71" s="92"/>
      <c r="AN71" s="92"/>
      <c r="AO71" s="92"/>
      <c r="AP71" s="92"/>
      <c r="AQ71" s="92"/>
      <c r="AR71" s="92"/>
      <c r="AS71" s="92"/>
      <c r="AT71" s="92"/>
      <c r="AU71" s="92"/>
      <c r="AV71" s="92"/>
      <c r="AW71" s="92"/>
      <c r="AX71" s="92"/>
      <c r="AY71" s="92"/>
      <c r="AZ71" s="92"/>
    </row>
    <row r="72" spans="1:52">
      <c r="A72" s="92"/>
      <c r="B72" s="92"/>
      <c r="C72" s="92"/>
      <c r="D72" s="92"/>
      <c r="E72" s="92"/>
      <c r="F72" s="92"/>
      <c r="G72" s="92"/>
      <c r="H72" s="92"/>
      <c r="I72" s="92"/>
      <c r="J72" s="92"/>
      <c r="K72" s="36"/>
      <c r="L72" s="92"/>
      <c r="M72" s="92"/>
      <c r="N72" s="92"/>
      <c r="O72" s="205"/>
      <c r="P72" s="92"/>
      <c r="Q72" s="92"/>
      <c r="R72" s="92"/>
      <c r="S72" s="92"/>
      <c r="T72" s="92"/>
      <c r="U72" s="92"/>
      <c r="V72" s="92"/>
      <c r="W72" s="92"/>
      <c r="X72" s="92"/>
      <c r="Y72" s="92"/>
      <c r="Z72" s="92"/>
      <c r="AA72" s="92"/>
      <c r="AB72" s="92"/>
      <c r="AC72" s="92"/>
      <c r="AD72" s="92"/>
      <c r="AE72" s="92"/>
      <c r="AF72" s="92"/>
      <c r="AG72" s="92"/>
      <c r="AH72" s="92"/>
      <c r="AI72" s="92"/>
      <c r="AJ72" s="92"/>
      <c r="AK72" s="92"/>
      <c r="AL72" s="92"/>
      <c r="AM72" s="92"/>
      <c r="AN72" s="92"/>
      <c r="AO72" s="92"/>
      <c r="AP72" s="92"/>
      <c r="AQ72" s="92"/>
      <c r="AR72" s="92"/>
      <c r="AS72" s="92"/>
      <c r="AT72" s="92"/>
      <c r="AU72" s="92"/>
      <c r="AV72" s="92"/>
      <c r="AW72" s="92"/>
      <c r="AX72" s="92"/>
      <c r="AY72" s="92"/>
      <c r="AZ72" s="92"/>
    </row>
    <row r="73" spans="1:52">
      <c r="A73" s="92"/>
      <c r="B73" s="92"/>
      <c r="C73" s="92"/>
      <c r="D73" s="92"/>
      <c r="E73" s="92"/>
      <c r="F73" s="92"/>
      <c r="G73" s="92"/>
      <c r="H73" s="92"/>
      <c r="I73" s="92"/>
      <c r="J73" s="92"/>
      <c r="K73" s="36"/>
      <c r="L73" s="92"/>
      <c r="M73" s="92"/>
      <c r="N73" s="92"/>
      <c r="O73" s="205"/>
      <c r="P73" s="92"/>
      <c r="Q73" s="92"/>
      <c r="R73" s="92"/>
      <c r="S73" s="92"/>
      <c r="T73" s="92"/>
      <c r="U73" s="92"/>
      <c r="V73" s="92"/>
      <c r="W73" s="92"/>
      <c r="X73" s="92"/>
      <c r="Y73" s="92"/>
      <c r="Z73" s="92"/>
      <c r="AA73" s="92"/>
      <c r="AB73" s="92"/>
      <c r="AC73" s="92"/>
      <c r="AD73" s="92"/>
      <c r="AE73" s="92"/>
      <c r="AF73" s="92"/>
      <c r="AG73" s="92"/>
      <c r="AH73" s="92"/>
      <c r="AI73" s="92"/>
      <c r="AJ73" s="92"/>
      <c r="AK73" s="92"/>
      <c r="AL73" s="92"/>
      <c r="AM73" s="92"/>
      <c r="AN73" s="92"/>
      <c r="AO73" s="92"/>
      <c r="AP73" s="92"/>
      <c r="AQ73" s="92"/>
      <c r="AR73" s="92"/>
      <c r="AS73" s="92"/>
      <c r="AT73" s="92"/>
      <c r="AU73" s="92"/>
      <c r="AV73" s="92"/>
      <c r="AW73" s="92"/>
      <c r="AX73" s="92"/>
      <c r="AY73" s="92"/>
      <c r="AZ73" s="92"/>
    </row>
    <row r="74" spans="1:52">
      <c r="A74" s="92"/>
      <c r="B74" s="92"/>
      <c r="C74" s="92"/>
      <c r="D74" s="92"/>
      <c r="E74" s="92"/>
      <c r="F74" s="92"/>
      <c r="G74" s="92"/>
      <c r="H74" s="92"/>
      <c r="I74" s="92"/>
      <c r="J74" s="92"/>
      <c r="K74" s="36"/>
      <c r="L74" s="92"/>
      <c r="M74" s="92"/>
      <c r="N74" s="92"/>
      <c r="O74" s="205"/>
      <c r="P74" s="92"/>
      <c r="Q74" s="92"/>
      <c r="R74" s="92"/>
      <c r="S74" s="92"/>
      <c r="T74" s="92"/>
      <c r="U74" s="92"/>
      <c r="V74" s="92"/>
      <c r="W74" s="92"/>
      <c r="X74" s="92"/>
      <c r="Y74" s="92"/>
      <c r="Z74" s="92"/>
      <c r="AA74" s="92"/>
      <c r="AB74" s="92"/>
      <c r="AC74" s="92"/>
      <c r="AD74" s="92"/>
      <c r="AE74" s="92"/>
      <c r="AF74" s="92"/>
      <c r="AG74" s="92"/>
      <c r="AH74" s="92"/>
      <c r="AI74" s="92"/>
      <c r="AJ74" s="92"/>
      <c r="AK74" s="92"/>
      <c r="AL74" s="92"/>
      <c r="AM74" s="92"/>
      <c r="AN74" s="92"/>
      <c r="AO74" s="92"/>
      <c r="AP74" s="92"/>
      <c r="AQ74" s="92"/>
      <c r="AR74" s="92"/>
      <c r="AS74" s="92"/>
      <c r="AT74" s="92"/>
      <c r="AU74" s="92"/>
      <c r="AV74" s="92"/>
      <c r="AW74" s="92"/>
      <c r="AX74" s="92"/>
      <c r="AY74" s="92"/>
      <c r="AZ74" s="92"/>
    </row>
    <row r="75" spans="1:52">
      <c r="A75" s="92"/>
      <c r="B75" s="92"/>
      <c r="C75" s="92"/>
      <c r="D75" s="92"/>
      <c r="E75" s="92"/>
      <c r="F75" s="92"/>
      <c r="G75" s="92"/>
      <c r="H75" s="92"/>
      <c r="I75" s="92"/>
      <c r="J75" s="92"/>
      <c r="K75" s="36"/>
      <c r="L75" s="92"/>
      <c r="M75" s="92"/>
      <c r="N75" s="92"/>
      <c r="O75" s="205"/>
      <c r="P75" s="92"/>
      <c r="Q75" s="92"/>
      <c r="R75" s="92"/>
      <c r="S75" s="92"/>
      <c r="T75" s="92"/>
      <c r="U75" s="92"/>
      <c r="V75" s="92"/>
      <c r="W75" s="92"/>
      <c r="X75" s="92"/>
      <c r="Y75" s="92"/>
      <c r="Z75" s="92"/>
      <c r="AA75" s="92"/>
      <c r="AB75" s="92"/>
      <c r="AC75" s="92"/>
      <c r="AD75" s="92"/>
      <c r="AE75" s="92"/>
      <c r="AF75" s="92"/>
      <c r="AG75" s="92"/>
      <c r="AH75" s="92"/>
      <c r="AI75" s="92"/>
      <c r="AJ75" s="92"/>
      <c r="AK75" s="92"/>
      <c r="AL75" s="92"/>
      <c r="AM75" s="92"/>
      <c r="AN75" s="92"/>
      <c r="AO75" s="92"/>
      <c r="AP75" s="92"/>
      <c r="AQ75" s="92"/>
      <c r="AR75" s="92"/>
      <c r="AS75" s="92"/>
      <c r="AT75" s="92"/>
      <c r="AU75" s="92"/>
      <c r="AV75" s="92"/>
      <c r="AW75" s="92"/>
      <c r="AX75" s="92"/>
      <c r="AY75" s="92"/>
      <c r="AZ75" s="92"/>
    </row>
    <row r="76" spans="1:52">
      <c r="A76" s="92"/>
      <c r="B76" s="92"/>
      <c r="C76" s="92"/>
      <c r="D76" s="92"/>
      <c r="E76" s="92"/>
      <c r="F76" s="92"/>
      <c r="G76" s="92"/>
      <c r="H76" s="92"/>
      <c r="I76" s="92"/>
      <c r="J76" s="92"/>
      <c r="K76" s="36"/>
      <c r="L76" s="92"/>
      <c r="M76" s="92"/>
      <c r="N76" s="92"/>
      <c r="O76" s="205"/>
      <c r="P76" s="92"/>
      <c r="Q76" s="92"/>
      <c r="R76" s="92"/>
      <c r="S76" s="92"/>
      <c r="T76" s="92"/>
      <c r="U76" s="92"/>
      <c r="V76" s="92"/>
      <c r="W76" s="92"/>
      <c r="X76" s="92"/>
      <c r="Y76" s="92"/>
      <c r="Z76" s="92"/>
      <c r="AA76" s="92"/>
      <c r="AB76" s="92"/>
      <c r="AC76" s="92"/>
      <c r="AD76" s="92"/>
      <c r="AE76" s="92"/>
      <c r="AF76" s="92"/>
      <c r="AG76" s="92"/>
      <c r="AH76" s="92"/>
      <c r="AI76" s="92"/>
      <c r="AJ76" s="92"/>
      <c r="AK76" s="92"/>
      <c r="AL76" s="92"/>
      <c r="AM76" s="92"/>
      <c r="AN76" s="92"/>
      <c r="AO76" s="92"/>
      <c r="AP76" s="92"/>
      <c r="AQ76" s="92"/>
      <c r="AR76" s="92"/>
      <c r="AS76" s="92"/>
      <c r="AT76" s="92"/>
      <c r="AU76" s="92"/>
      <c r="AV76" s="92"/>
      <c r="AW76" s="92"/>
      <c r="AX76" s="92"/>
      <c r="AY76" s="92"/>
      <c r="AZ76" s="92"/>
    </row>
    <row r="77" spans="1:52">
      <c r="A77" s="92"/>
      <c r="B77" s="92"/>
      <c r="C77" s="92"/>
      <c r="D77" s="92"/>
      <c r="E77" s="92"/>
      <c r="F77" s="92"/>
      <c r="G77" s="92"/>
      <c r="H77" s="92"/>
      <c r="I77" s="92"/>
      <c r="J77" s="92"/>
      <c r="K77" s="36"/>
      <c r="L77" s="92"/>
      <c r="M77" s="92"/>
      <c r="N77" s="92"/>
      <c r="O77" s="205"/>
      <c r="P77" s="92"/>
      <c r="Q77" s="92"/>
      <c r="R77" s="92"/>
      <c r="S77" s="92"/>
      <c r="T77" s="92"/>
      <c r="U77" s="92"/>
      <c r="V77" s="92"/>
      <c r="W77" s="92"/>
      <c r="X77" s="92"/>
      <c r="Y77" s="92"/>
      <c r="Z77" s="92"/>
      <c r="AA77" s="92"/>
      <c r="AB77" s="92"/>
      <c r="AC77" s="92"/>
      <c r="AD77" s="92"/>
      <c r="AE77" s="92"/>
      <c r="AF77" s="92"/>
      <c r="AG77" s="92"/>
      <c r="AH77" s="92"/>
      <c r="AI77" s="92"/>
      <c r="AJ77" s="92"/>
      <c r="AK77" s="92"/>
      <c r="AL77" s="92"/>
      <c r="AM77" s="92"/>
      <c r="AN77" s="92"/>
      <c r="AO77" s="92"/>
      <c r="AP77" s="92"/>
      <c r="AQ77" s="92"/>
      <c r="AR77" s="92"/>
      <c r="AS77" s="92"/>
      <c r="AT77" s="92"/>
      <c r="AU77" s="92"/>
      <c r="AV77" s="92"/>
      <c r="AW77" s="92"/>
      <c r="AX77" s="92"/>
      <c r="AY77" s="92"/>
      <c r="AZ77" s="92"/>
    </row>
    <row r="78" spans="1:52">
      <c r="A78" s="92"/>
      <c r="B78" s="92"/>
      <c r="C78" s="92"/>
      <c r="D78" s="92"/>
      <c r="E78" s="92"/>
      <c r="F78" s="92"/>
      <c r="G78" s="92"/>
      <c r="H78" s="92"/>
      <c r="I78" s="92"/>
      <c r="J78" s="92"/>
      <c r="K78" s="36"/>
      <c r="L78" s="92"/>
      <c r="M78" s="92"/>
      <c r="N78" s="92"/>
      <c r="O78" s="205"/>
      <c r="P78" s="92"/>
      <c r="Q78" s="92"/>
      <c r="R78" s="92"/>
      <c r="S78" s="92"/>
      <c r="T78" s="92"/>
      <c r="U78" s="92"/>
      <c r="V78" s="92"/>
      <c r="W78" s="92"/>
      <c r="X78" s="92"/>
      <c r="Y78" s="92"/>
      <c r="Z78" s="92"/>
      <c r="AA78" s="92"/>
      <c r="AB78" s="92"/>
      <c r="AC78" s="92"/>
      <c r="AD78" s="92"/>
      <c r="AE78" s="92"/>
      <c r="AF78" s="92"/>
      <c r="AG78" s="92"/>
      <c r="AH78" s="92"/>
      <c r="AI78" s="92"/>
      <c r="AJ78" s="92"/>
      <c r="AK78" s="92"/>
      <c r="AL78" s="92"/>
      <c r="AM78" s="92"/>
      <c r="AN78" s="92"/>
      <c r="AO78" s="92"/>
      <c r="AP78" s="92"/>
      <c r="AQ78" s="92"/>
      <c r="AR78" s="92"/>
      <c r="AS78" s="92"/>
      <c r="AT78" s="92"/>
      <c r="AU78" s="92"/>
      <c r="AV78" s="92"/>
      <c r="AW78" s="92"/>
      <c r="AX78" s="92"/>
      <c r="AY78" s="92"/>
      <c r="AZ78" s="92"/>
    </row>
    <row r="79" spans="1:52">
      <c r="A79" s="92"/>
      <c r="B79" s="92"/>
      <c r="C79" s="92"/>
      <c r="D79" s="92"/>
      <c r="E79" s="92"/>
      <c r="F79" s="92"/>
      <c r="G79" s="92"/>
      <c r="H79" s="92"/>
      <c r="I79" s="92"/>
      <c r="J79" s="92"/>
      <c r="K79" s="36"/>
      <c r="L79" s="92"/>
      <c r="M79" s="92"/>
      <c r="N79" s="92"/>
      <c r="O79" s="205"/>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row>
    <row r="80" spans="1:52">
      <c r="A80" s="92"/>
      <c r="B80" s="92"/>
      <c r="C80" s="92"/>
      <c r="D80" s="92"/>
      <c r="E80" s="92"/>
      <c r="F80" s="92"/>
      <c r="G80" s="92"/>
      <c r="H80" s="92"/>
      <c r="I80" s="92"/>
      <c r="J80" s="92"/>
      <c r="K80" s="36"/>
      <c r="L80" s="92"/>
      <c r="M80" s="92"/>
      <c r="N80" s="92"/>
      <c r="O80" s="205"/>
      <c r="P80" s="92"/>
      <c r="Q80" s="92"/>
      <c r="R80" s="92"/>
      <c r="S80" s="92"/>
      <c r="T80" s="92"/>
      <c r="U80" s="92"/>
      <c r="V80" s="92"/>
      <c r="W80" s="92"/>
      <c r="X80" s="92"/>
      <c r="Y80" s="92"/>
      <c r="Z80" s="92"/>
      <c r="AA80" s="92"/>
      <c r="AB80" s="92"/>
      <c r="AC80" s="92"/>
      <c r="AD80" s="92"/>
      <c r="AE80" s="92"/>
      <c r="AF80" s="92"/>
      <c r="AG80" s="92"/>
      <c r="AH80" s="92"/>
      <c r="AI80" s="92"/>
      <c r="AJ80" s="92"/>
      <c r="AK80" s="92"/>
      <c r="AL80" s="92"/>
      <c r="AM80" s="92"/>
      <c r="AN80" s="92"/>
      <c r="AO80" s="92"/>
      <c r="AP80" s="92"/>
      <c r="AQ80" s="92"/>
      <c r="AR80" s="92"/>
      <c r="AS80" s="92"/>
      <c r="AT80" s="92"/>
      <c r="AU80" s="92"/>
      <c r="AV80" s="92"/>
      <c r="AW80" s="92"/>
      <c r="AX80" s="92"/>
      <c r="AY80" s="92"/>
      <c r="AZ80" s="92"/>
    </row>
    <row r="81" spans="1:52" ht="21" customHeight="1">
      <c r="A81" s="92"/>
      <c r="B81" s="92"/>
      <c r="C81" s="92"/>
      <c r="D81" s="92"/>
      <c r="E81" s="92"/>
      <c r="F81" s="92"/>
      <c r="G81" s="92"/>
      <c r="H81" s="92"/>
      <c r="I81" s="92"/>
      <c r="J81" s="92"/>
      <c r="K81" s="36"/>
      <c r="L81" s="92"/>
      <c r="M81" s="92"/>
      <c r="N81" s="92"/>
      <c r="O81" s="205"/>
      <c r="P81" s="92"/>
      <c r="Q81" s="92"/>
      <c r="R81" s="92"/>
      <c r="S81" s="92"/>
      <c r="T81" s="92"/>
      <c r="U81" s="92"/>
      <c r="V81" s="92"/>
      <c r="W81" s="92"/>
      <c r="X81" s="92"/>
      <c r="Y81" s="92"/>
      <c r="Z81" s="92"/>
      <c r="AA81" s="92"/>
      <c r="AB81" s="92"/>
      <c r="AC81" s="92"/>
      <c r="AD81" s="92"/>
      <c r="AE81" s="92"/>
      <c r="AF81" s="92"/>
      <c r="AG81" s="92"/>
      <c r="AH81" s="92"/>
      <c r="AI81" s="92"/>
      <c r="AJ81" s="92"/>
      <c r="AK81" s="92"/>
      <c r="AL81" s="92"/>
      <c r="AM81" s="92"/>
      <c r="AN81" s="92"/>
      <c r="AO81" s="92"/>
      <c r="AP81" s="92"/>
      <c r="AQ81" s="92"/>
      <c r="AR81" s="92"/>
      <c r="AS81" s="92"/>
      <c r="AT81" s="92"/>
      <c r="AU81" s="92"/>
      <c r="AV81" s="92"/>
      <c r="AW81" s="92"/>
      <c r="AX81" s="92"/>
      <c r="AY81" s="92"/>
      <c r="AZ81" s="92"/>
    </row>
    <row r="82" spans="1:52">
      <c r="A82" s="92"/>
      <c r="B82" s="92"/>
      <c r="C82" s="92"/>
      <c r="D82" s="92"/>
      <c r="E82" s="92"/>
      <c r="F82" s="92"/>
      <c r="G82" s="92"/>
      <c r="H82" s="92"/>
      <c r="I82" s="92"/>
      <c r="J82" s="92"/>
      <c r="K82" s="36"/>
      <c r="L82" s="92"/>
      <c r="M82" s="92"/>
      <c r="N82" s="92"/>
      <c r="O82" s="205"/>
      <c r="P82" s="92"/>
      <c r="Q82" s="92"/>
      <c r="R82" s="92"/>
      <c r="S82" s="92"/>
      <c r="T82" s="92"/>
      <c r="U82" s="92"/>
      <c r="V82" s="92"/>
      <c r="W82" s="92"/>
      <c r="X82" s="92"/>
      <c r="Y82" s="92"/>
      <c r="Z82" s="92"/>
      <c r="AA82" s="92"/>
      <c r="AB82" s="92"/>
      <c r="AC82" s="92"/>
      <c r="AD82" s="92"/>
      <c r="AE82" s="92"/>
      <c r="AF82" s="92"/>
      <c r="AG82" s="92"/>
      <c r="AH82" s="92"/>
      <c r="AI82" s="92"/>
      <c r="AJ82" s="92"/>
      <c r="AK82" s="92"/>
      <c r="AL82" s="92"/>
      <c r="AM82" s="92"/>
      <c r="AN82" s="92"/>
      <c r="AO82" s="92"/>
      <c r="AP82" s="92"/>
      <c r="AQ82" s="92"/>
      <c r="AR82" s="92"/>
      <c r="AS82" s="92"/>
      <c r="AT82" s="92"/>
      <c r="AU82" s="92"/>
      <c r="AV82" s="92"/>
      <c r="AW82" s="92"/>
      <c r="AX82" s="92"/>
      <c r="AY82" s="92"/>
      <c r="AZ82" s="92"/>
    </row>
    <row r="83" spans="1:52">
      <c r="A83" s="92"/>
      <c r="B83" s="92"/>
      <c r="C83" s="92"/>
      <c r="D83" s="92"/>
      <c r="E83" s="92"/>
      <c r="F83" s="92"/>
      <c r="G83" s="92"/>
      <c r="H83" s="92"/>
      <c r="I83" s="92"/>
      <c r="J83" s="92"/>
      <c r="K83" s="36"/>
      <c r="L83" s="92"/>
      <c r="M83" s="92"/>
      <c r="N83" s="92"/>
      <c r="O83" s="205"/>
      <c r="P83" s="92"/>
      <c r="Q83" s="92"/>
      <c r="R83" s="92"/>
      <c r="S83" s="92"/>
      <c r="T83" s="92"/>
      <c r="U83" s="92"/>
      <c r="V83" s="92"/>
      <c r="W83" s="92"/>
      <c r="X83" s="92"/>
      <c r="Y83" s="92"/>
      <c r="Z83" s="92"/>
      <c r="AA83" s="92"/>
      <c r="AB83" s="92"/>
      <c r="AC83" s="92"/>
      <c r="AD83" s="92"/>
      <c r="AE83" s="92"/>
      <c r="AF83" s="92"/>
      <c r="AG83" s="92"/>
      <c r="AH83" s="92"/>
      <c r="AI83" s="92"/>
      <c r="AJ83" s="92"/>
      <c r="AK83" s="92"/>
      <c r="AL83" s="92"/>
      <c r="AM83" s="92"/>
      <c r="AN83" s="92"/>
      <c r="AO83" s="92"/>
      <c r="AP83" s="92"/>
      <c r="AQ83" s="92"/>
      <c r="AR83" s="92"/>
      <c r="AS83" s="92"/>
      <c r="AT83" s="92"/>
      <c r="AU83" s="92"/>
      <c r="AV83" s="92"/>
      <c r="AW83" s="92"/>
      <c r="AX83" s="92"/>
      <c r="AY83" s="92"/>
      <c r="AZ83" s="92"/>
    </row>
    <row r="84" spans="1:52">
      <c r="A84" s="92"/>
      <c r="B84" s="92"/>
      <c r="C84" s="92"/>
      <c r="D84" s="92"/>
      <c r="E84" s="92"/>
      <c r="F84" s="92"/>
      <c r="G84" s="92"/>
      <c r="H84" s="92"/>
      <c r="I84" s="92"/>
      <c r="J84" s="92"/>
      <c r="K84" s="36"/>
      <c r="L84" s="92"/>
      <c r="M84" s="92"/>
      <c r="N84" s="92"/>
      <c r="O84" s="205"/>
      <c r="P84" s="92"/>
      <c r="Q84" s="92"/>
      <c r="R84" s="92"/>
      <c r="S84" s="92"/>
      <c r="T84" s="92"/>
      <c r="U84" s="92"/>
      <c r="V84" s="92"/>
      <c r="W84" s="92"/>
      <c r="X84" s="92"/>
      <c r="Y84" s="92"/>
      <c r="Z84" s="92"/>
      <c r="AA84" s="92"/>
      <c r="AB84" s="92"/>
      <c r="AC84" s="92"/>
      <c r="AD84" s="92"/>
      <c r="AE84" s="92"/>
      <c r="AF84" s="92"/>
      <c r="AG84" s="92"/>
      <c r="AH84" s="92"/>
      <c r="AI84" s="92"/>
      <c r="AJ84" s="92"/>
      <c r="AK84" s="92"/>
      <c r="AL84" s="92"/>
      <c r="AM84" s="92"/>
      <c r="AN84" s="92"/>
      <c r="AO84" s="92"/>
      <c r="AP84" s="92"/>
      <c r="AQ84" s="92"/>
      <c r="AR84" s="92"/>
      <c r="AS84" s="92"/>
      <c r="AT84" s="92"/>
      <c r="AU84" s="92"/>
      <c r="AV84" s="92"/>
      <c r="AW84" s="92"/>
      <c r="AX84" s="92"/>
      <c r="AY84" s="92"/>
      <c r="AZ84" s="92"/>
    </row>
    <row r="85" spans="1:52">
      <c r="A85" s="92"/>
      <c r="B85" s="92"/>
      <c r="C85" s="92"/>
      <c r="D85" s="92"/>
      <c r="E85" s="92"/>
      <c r="F85" s="92"/>
      <c r="G85" s="92"/>
      <c r="H85" s="92"/>
      <c r="I85" s="92"/>
      <c r="J85" s="92"/>
      <c r="K85" s="36"/>
      <c r="L85" s="92"/>
      <c r="M85" s="92"/>
      <c r="N85" s="92"/>
      <c r="O85" s="205"/>
      <c r="P85" s="92"/>
      <c r="Q85" s="92"/>
      <c r="R85" s="92"/>
      <c r="S85" s="92"/>
      <c r="T85" s="92"/>
      <c r="U85" s="92"/>
      <c r="V85" s="92"/>
      <c r="W85" s="92"/>
      <c r="X85" s="92"/>
      <c r="Y85" s="92"/>
      <c r="Z85" s="92"/>
      <c r="AA85" s="92"/>
      <c r="AB85" s="92"/>
      <c r="AC85" s="92"/>
      <c r="AD85" s="92"/>
      <c r="AE85" s="92"/>
      <c r="AF85" s="92"/>
      <c r="AG85" s="92"/>
      <c r="AH85" s="92"/>
      <c r="AI85" s="92"/>
      <c r="AJ85" s="92"/>
      <c r="AK85" s="92"/>
      <c r="AL85" s="92"/>
      <c r="AM85" s="92"/>
      <c r="AN85" s="92"/>
      <c r="AO85" s="92"/>
      <c r="AP85" s="92"/>
      <c r="AQ85" s="92"/>
      <c r="AR85" s="92"/>
      <c r="AS85" s="92"/>
      <c r="AT85" s="92"/>
      <c r="AU85" s="92"/>
      <c r="AV85" s="92"/>
      <c r="AW85" s="92"/>
      <c r="AX85" s="92"/>
      <c r="AY85" s="92"/>
      <c r="AZ85" s="92"/>
    </row>
    <row r="86" spans="1:52">
      <c r="A86" s="92"/>
      <c r="B86" s="92"/>
      <c r="C86" s="92"/>
      <c r="D86" s="92"/>
      <c r="E86" s="92"/>
      <c r="F86" s="92"/>
      <c r="G86" s="92"/>
      <c r="H86" s="92"/>
      <c r="I86" s="92"/>
      <c r="J86" s="92"/>
      <c r="K86" s="36"/>
      <c r="L86" s="92"/>
      <c r="M86" s="92"/>
      <c r="N86" s="92"/>
      <c r="O86" s="205"/>
      <c r="P86" s="92"/>
      <c r="Q86" s="92"/>
      <c r="R86" s="92"/>
      <c r="S86" s="92"/>
      <c r="T86" s="92"/>
      <c r="U86" s="92"/>
      <c r="V86" s="92"/>
      <c r="W86" s="92"/>
      <c r="X86" s="92"/>
      <c r="Y86" s="92"/>
      <c r="Z86" s="92"/>
      <c r="AA86" s="92"/>
      <c r="AB86" s="92"/>
      <c r="AC86" s="92"/>
      <c r="AD86" s="92"/>
      <c r="AE86" s="92"/>
      <c r="AF86" s="92"/>
      <c r="AG86" s="92"/>
      <c r="AH86" s="92"/>
      <c r="AI86" s="92"/>
      <c r="AJ86" s="92"/>
      <c r="AK86" s="92"/>
      <c r="AL86" s="92"/>
      <c r="AM86" s="92"/>
      <c r="AN86" s="92"/>
      <c r="AO86" s="92"/>
      <c r="AP86" s="92"/>
      <c r="AQ86" s="92"/>
      <c r="AR86" s="92"/>
      <c r="AS86" s="92"/>
      <c r="AT86" s="92"/>
      <c r="AU86" s="92"/>
      <c r="AV86" s="92"/>
      <c r="AW86" s="92"/>
      <c r="AX86" s="92"/>
      <c r="AY86" s="92"/>
      <c r="AZ86" s="92"/>
    </row>
    <row r="87" spans="1:52">
      <c r="A87" s="92"/>
      <c r="B87" s="92"/>
      <c r="C87" s="92"/>
      <c r="D87" s="92"/>
      <c r="E87" s="92"/>
      <c r="F87" s="92"/>
      <c r="G87" s="92"/>
      <c r="H87" s="92"/>
      <c r="I87" s="92"/>
      <c r="J87" s="92"/>
      <c r="K87" s="36"/>
      <c r="L87" s="92"/>
      <c r="M87" s="92"/>
      <c r="N87" s="92"/>
      <c r="O87" s="205"/>
      <c r="P87" s="92"/>
      <c r="Q87" s="92"/>
      <c r="R87" s="92"/>
      <c r="S87" s="92"/>
      <c r="T87" s="92"/>
      <c r="U87" s="92"/>
      <c r="V87" s="92"/>
      <c r="W87" s="92"/>
      <c r="X87" s="92"/>
      <c r="Y87" s="92"/>
      <c r="Z87" s="92"/>
      <c r="AA87" s="92"/>
      <c r="AB87" s="92"/>
      <c r="AC87" s="92"/>
      <c r="AD87" s="92"/>
      <c r="AE87" s="92"/>
      <c r="AF87" s="92"/>
      <c r="AG87" s="92"/>
      <c r="AH87" s="92"/>
      <c r="AI87" s="92"/>
      <c r="AJ87" s="92"/>
      <c r="AK87" s="92"/>
      <c r="AL87" s="92"/>
      <c r="AM87" s="92"/>
      <c r="AN87" s="92"/>
      <c r="AO87" s="92"/>
      <c r="AP87" s="92"/>
      <c r="AQ87" s="92"/>
      <c r="AR87" s="92"/>
      <c r="AS87" s="92"/>
      <c r="AT87" s="92"/>
      <c r="AU87" s="92"/>
      <c r="AV87" s="92"/>
      <c r="AW87" s="92"/>
      <c r="AX87" s="92"/>
      <c r="AY87" s="92"/>
      <c r="AZ87" s="92"/>
    </row>
    <row r="88" spans="1:52">
      <c r="A88" s="92"/>
      <c r="B88" s="92"/>
      <c r="C88" s="92"/>
      <c r="D88" s="92"/>
      <c r="E88" s="92"/>
      <c r="F88" s="92"/>
      <c r="G88" s="92"/>
      <c r="H88" s="92"/>
      <c r="I88" s="92"/>
      <c r="J88" s="92"/>
      <c r="K88" s="36"/>
      <c r="L88" s="92"/>
      <c r="M88" s="92"/>
      <c r="N88" s="92"/>
      <c r="O88" s="205"/>
      <c r="P88" s="92"/>
      <c r="Q88" s="92"/>
      <c r="R88" s="92"/>
      <c r="S88" s="92"/>
      <c r="T88" s="92"/>
      <c r="U88" s="92"/>
      <c r="V88" s="92"/>
      <c r="W88" s="92"/>
      <c r="X88" s="92"/>
      <c r="Y88" s="92"/>
      <c r="Z88" s="92"/>
      <c r="AA88" s="92"/>
      <c r="AB88" s="92"/>
      <c r="AC88" s="92"/>
      <c r="AD88" s="92"/>
      <c r="AE88" s="92"/>
      <c r="AF88" s="92"/>
      <c r="AG88" s="92"/>
      <c r="AH88" s="92"/>
      <c r="AI88" s="92"/>
      <c r="AJ88" s="92"/>
      <c r="AK88" s="92"/>
      <c r="AL88" s="92"/>
      <c r="AM88" s="92"/>
      <c r="AN88" s="92"/>
      <c r="AO88" s="92"/>
      <c r="AP88" s="92"/>
      <c r="AQ88" s="92"/>
      <c r="AR88" s="92"/>
      <c r="AS88" s="92"/>
      <c r="AT88" s="92"/>
      <c r="AU88" s="92"/>
      <c r="AV88" s="92"/>
      <c r="AW88" s="92"/>
      <c r="AX88" s="92"/>
      <c r="AY88" s="92"/>
      <c r="AZ88" s="92"/>
    </row>
    <row r="89" spans="1:52">
      <c r="A89" s="92"/>
      <c r="B89" s="92"/>
      <c r="C89" s="92"/>
      <c r="D89" s="92"/>
      <c r="E89" s="92"/>
      <c r="F89" s="92"/>
      <c r="G89" s="92"/>
      <c r="H89" s="92"/>
      <c r="I89" s="92"/>
      <c r="J89" s="92"/>
      <c r="K89" s="36"/>
      <c r="L89" s="92"/>
      <c r="M89" s="92"/>
      <c r="N89" s="92"/>
      <c r="O89" s="205"/>
      <c r="P89" s="92"/>
      <c r="Q89" s="92"/>
      <c r="R89" s="92"/>
      <c r="S89" s="92"/>
      <c r="T89" s="92"/>
      <c r="U89" s="92"/>
      <c r="V89" s="92"/>
      <c r="W89" s="92"/>
      <c r="X89" s="92"/>
      <c r="Y89" s="92"/>
      <c r="Z89" s="92"/>
      <c r="AA89" s="92"/>
      <c r="AB89" s="92"/>
      <c r="AC89" s="92"/>
      <c r="AD89" s="92"/>
      <c r="AE89" s="92"/>
      <c r="AF89" s="92"/>
      <c r="AG89" s="92"/>
      <c r="AH89" s="92"/>
      <c r="AI89" s="92"/>
      <c r="AJ89" s="92"/>
      <c r="AK89" s="92"/>
      <c r="AL89" s="92"/>
      <c r="AM89" s="92"/>
      <c r="AN89" s="92"/>
      <c r="AO89" s="92"/>
      <c r="AP89" s="92"/>
      <c r="AQ89" s="92"/>
      <c r="AR89" s="92"/>
      <c r="AS89" s="92"/>
      <c r="AT89" s="92"/>
      <c r="AU89" s="92"/>
      <c r="AV89" s="92"/>
      <c r="AW89" s="92"/>
      <c r="AX89" s="92"/>
      <c r="AY89" s="92"/>
      <c r="AZ89" s="92"/>
    </row>
    <row r="90" spans="1:52">
      <c r="A90" s="92"/>
      <c r="B90" s="92"/>
      <c r="C90" s="92"/>
      <c r="D90" s="92"/>
      <c r="E90" s="92"/>
      <c r="F90" s="92"/>
      <c r="G90" s="92"/>
      <c r="H90" s="92"/>
      <c r="I90" s="92"/>
      <c r="J90" s="92"/>
      <c r="K90" s="36"/>
      <c r="L90" s="92"/>
      <c r="M90" s="92"/>
      <c r="N90" s="92"/>
      <c r="O90" s="205"/>
      <c r="P90" s="92"/>
      <c r="Q90" s="92"/>
      <c r="R90" s="92"/>
      <c r="S90" s="92"/>
      <c r="T90" s="92"/>
      <c r="U90" s="92"/>
      <c r="V90" s="92"/>
      <c r="W90" s="92"/>
      <c r="X90" s="92"/>
      <c r="Y90" s="92"/>
      <c r="Z90" s="92"/>
      <c r="AA90" s="92"/>
      <c r="AB90" s="92"/>
      <c r="AC90" s="92"/>
      <c r="AD90" s="92"/>
      <c r="AE90" s="92"/>
      <c r="AF90" s="92"/>
      <c r="AG90" s="92"/>
      <c r="AH90" s="92"/>
      <c r="AI90" s="92"/>
      <c r="AJ90" s="92"/>
      <c r="AK90" s="92"/>
      <c r="AL90" s="92"/>
      <c r="AM90" s="92"/>
      <c r="AN90" s="92"/>
      <c r="AO90" s="92"/>
      <c r="AP90" s="92"/>
      <c r="AQ90" s="92"/>
      <c r="AR90" s="92"/>
      <c r="AS90" s="92"/>
      <c r="AT90" s="92"/>
      <c r="AU90" s="92"/>
      <c r="AV90" s="92"/>
      <c r="AW90" s="92"/>
      <c r="AX90" s="92"/>
      <c r="AY90" s="92"/>
      <c r="AZ90" s="92"/>
    </row>
    <row r="91" spans="1:52">
      <c r="A91" s="92"/>
      <c r="B91" s="92"/>
      <c r="C91" s="92"/>
      <c r="D91" s="92"/>
      <c r="E91" s="92"/>
      <c r="F91" s="92"/>
      <c r="G91" s="92"/>
      <c r="H91" s="92"/>
      <c r="I91" s="92"/>
      <c r="J91" s="92"/>
      <c r="K91" s="36"/>
      <c r="L91" s="92"/>
      <c r="M91" s="92"/>
      <c r="N91" s="92"/>
      <c r="O91" s="205"/>
      <c r="P91" s="92"/>
      <c r="Q91" s="92"/>
      <c r="R91" s="92"/>
      <c r="S91" s="92"/>
      <c r="T91" s="92"/>
      <c r="U91" s="92"/>
      <c r="V91" s="92"/>
      <c r="W91" s="92"/>
      <c r="X91" s="92"/>
      <c r="Y91" s="92"/>
      <c r="Z91" s="92"/>
      <c r="AA91" s="92"/>
      <c r="AB91" s="92"/>
      <c r="AC91" s="92"/>
      <c r="AD91" s="92"/>
      <c r="AE91" s="92"/>
      <c r="AF91" s="92"/>
      <c r="AG91" s="92"/>
      <c r="AH91" s="92"/>
      <c r="AI91" s="92"/>
      <c r="AJ91" s="92"/>
      <c r="AK91" s="92"/>
      <c r="AL91" s="92"/>
      <c r="AM91" s="92"/>
      <c r="AN91" s="92"/>
      <c r="AO91" s="92"/>
      <c r="AP91" s="92"/>
      <c r="AQ91" s="92"/>
      <c r="AR91" s="92"/>
      <c r="AS91" s="92"/>
      <c r="AT91" s="92"/>
      <c r="AU91" s="92"/>
      <c r="AV91" s="92"/>
      <c r="AW91" s="92"/>
      <c r="AX91" s="92"/>
      <c r="AY91" s="92"/>
      <c r="AZ91" s="92"/>
    </row>
    <row r="92" spans="1:52">
      <c r="A92" s="92"/>
      <c r="B92" s="92"/>
      <c r="C92" s="92"/>
      <c r="D92" s="92"/>
      <c r="E92" s="92"/>
      <c r="F92" s="92"/>
      <c r="G92" s="92"/>
      <c r="H92" s="92"/>
      <c r="I92" s="92"/>
      <c r="J92" s="92"/>
      <c r="K92" s="36"/>
      <c r="L92" s="92"/>
      <c r="M92" s="92"/>
      <c r="N92" s="92"/>
      <c r="O92" s="205"/>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row>
    <row r="93" spans="1:52">
      <c r="A93" s="92"/>
      <c r="B93" s="92"/>
      <c r="C93" s="92"/>
      <c r="D93" s="92"/>
      <c r="E93" s="92"/>
      <c r="F93" s="92"/>
      <c r="G93" s="92"/>
      <c r="H93" s="92"/>
      <c r="I93" s="92"/>
      <c r="J93" s="92"/>
      <c r="K93" s="36"/>
      <c r="L93" s="92"/>
      <c r="M93" s="92"/>
      <c r="N93" s="92"/>
      <c r="O93" s="205"/>
      <c r="P93" s="92"/>
      <c r="Q93" s="92"/>
      <c r="R93" s="92"/>
      <c r="S93" s="92"/>
      <c r="T93" s="92"/>
      <c r="U93" s="92"/>
      <c r="V93" s="92"/>
      <c r="W93" s="92"/>
      <c r="X93" s="92"/>
      <c r="Y93" s="92"/>
      <c r="Z93" s="92"/>
      <c r="AA93" s="92"/>
      <c r="AB93" s="92"/>
      <c r="AC93" s="92"/>
      <c r="AD93" s="92"/>
      <c r="AE93" s="92"/>
      <c r="AF93" s="92"/>
      <c r="AG93" s="92"/>
      <c r="AH93" s="92"/>
      <c r="AI93" s="92"/>
      <c r="AJ93" s="92"/>
      <c r="AK93" s="92"/>
      <c r="AL93" s="92"/>
      <c r="AM93" s="92"/>
      <c r="AN93" s="92"/>
      <c r="AO93" s="92"/>
      <c r="AP93" s="92"/>
      <c r="AQ93" s="92"/>
      <c r="AR93" s="92"/>
      <c r="AS93" s="92"/>
      <c r="AT93" s="92"/>
      <c r="AU93" s="92"/>
      <c r="AV93" s="92"/>
      <c r="AW93" s="92"/>
      <c r="AX93" s="92"/>
      <c r="AY93" s="92"/>
      <c r="AZ93" s="92"/>
    </row>
    <row r="94" spans="1:52">
      <c r="A94" s="92"/>
      <c r="B94" s="92"/>
      <c r="C94" s="92"/>
      <c r="D94" s="92"/>
      <c r="E94" s="92"/>
      <c r="F94" s="92"/>
      <c r="G94" s="92"/>
      <c r="H94" s="92"/>
      <c r="I94" s="92"/>
      <c r="J94" s="92"/>
      <c r="K94" s="36"/>
      <c r="L94" s="92"/>
      <c r="M94" s="92"/>
      <c r="N94" s="92"/>
      <c r="O94" s="205"/>
      <c r="P94" s="92"/>
      <c r="Q94" s="92"/>
      <c r="R94" s="92"/>
      <c r="S94" s="92"/>
      <c r="T94" s="92"/>
      <c r="U94" s="92"/>
      <c r="V94" s="92"/>
      <c r="W94" s="92"/>
      <c r="X94" s="92"/>
      <c r="Y94" s="92"/>
      <c r="Z94" s="92"/>
      <c r="AA94" s="92"/>
      <c r="AB94" s="92"/>
      <c r="AC94" s="92"/>
      <c r="AD94" s="92"/>
      <c r="AE94" s="92"/>
      <c r="AF94" s="92"/>
      <c r="AG94" s="92"/>
      <c r="AH94" s="92"/>
      <c r="AI94" s="92"/>
      <c r="AJ94" s="92"/>
      <c r="AK94" s="92"/>
      <c r="AL94" s="92"/>
      <c r="AM94" s="92"/>
      <c r="AN94" s="92"/>
      <c r="AO94" s="92"/>
      <c r="AP94" s="92"/>
      <c r="AQ94" s="92"/>
      <c r="AR94" s="92"/>
      <c r="AS94" s="92"/>
      <c r="AT94" s="92"/>
      <c r="AU94" s="92"/>
      <c r="AV94" s="92"/>
      <c r="AW94" s="92"/>
      <c r="AX94" s="92"/>
      <c r="AY94" s="92"/>
      <c r="AZ94" s="92"/>
    </row>
    <row r="95" spans="1:52">
      <c r="A95" s="92"/>
      <c r="B95" s="92"/>
      <c r="C95" s="92"/>
      <c r="D95" s="92"/>
      <c r="E95" s="92"/>
      <c r="F95" s="92"/>
      <c r="G95" s="92"/>
      <c r="H95" s="92"/>
      <c r="I95" s="92"/>
      <c r="J95" s="92"/>
      <c r="K95" s="36"/>
      <c r="L95" s="92"/>
      <c r="M95" s="92"/>
      <c r="N95" s="92"/>
      <c r="O95" s="205"/>
      <c r="P95" s="92"/>
      <c r="Q95" s="92"/>
      <c r="R95" s="92"/>
      <c r="S95" s="92"/>
      <c r="T95" s="92"/>
      <c r="U95" s="92"/>
      <c r="V95" s="92"/>
      <c r="W95" s="92"/>
      <c r="X95" s="92"/>
      <c r="Y95" s="92"/>
      <c r="Z95" s="92"/>
      <c r="AA95" s="92"/>
      <c r="AB95" s="92"/>
      <c r="AC95" s="92"/>
      <c r="AD95" s="92"/>
      <c r="AE95" s="92"/>
      <c r="AF95" s="92"/>
      <c r="AG95" s="92"/>
      <c r="AH95" s="92"/>
      <c r="AI95" s="92"/>
      <c r="AJ95" s="92"/>
      <c r="AK95" s="92"/>
      <c r="AL95" s="92"/>
      <c r="AM95" s="92"/>
      <c r="AN95" s="92"/>
      <c r="AO95" s="92"/>
      <c r="AP95" s="92"/>
      <c r="AQ95" s="92"/>
      <c r="AR95" s="92"/>
      <c r="AS95" s="92"/>
      <c r="AT95" s="92"/>
      <c r="AU95" s="92"/>
      <c r="AV95" s="92"/>
      <c r="AW95" s="92"/>
      <c r="AX95" s="92"/>
      <c r="AY95" s="92"/>
      <c r="AZ95" s="92"/>
    </row>
    <row r="96" spans="1:52">
      <c r="A96" s="92"/>
      <c r="B96" s="92"/>
      <c r="C96" s="92"/>
      <c r="D96" s="92"/>
      <c r="E96" s="92"/>
      <c r="F96" s="92"/>
      <c r="G96" s="92"/>
      <c r="H96" s="92"/>
      <c r="I96" s="92"/>
      <c r="J96" s="92"/>
      <c r="K96" s="36"/>
      <c r="L96" s="92"/>
      <c r="M96" s="92"/>
      <c r="N96" s="92"/>
      <c r="O96" s="205"/>
      <c r="P96" s="92"/>
      <c r="Q96" s="92"/>
      <c r="R96" s="92"/>
      <c r="S96" s="92"/>
      <c r="T96" s="92"/>
      <c r="U96" s="92"/>
      <c r="V96" s="92"/>
      <c r="W96" s="92"/>
      <c r="X96" s="92"/>
      <c r="Y96" s="92"/>
      <c r="Z96" s="92"/>
      <c r="AA96" s="92"/>
      <c r="AB96" s="92"/>
      <c r="AC96" s="92"/>
      <c r="AD96" s="92"/>
      <c r="AE96" s="92"/>
      <c r="AF96" s="92"/>
      <c r="AG96" s="92"/>
      <c r="AH96" s="92"/>
      <c r="AI96" s="92"/>
      <c r="AJ96" s="92"/>
      <c r="AK96" s="92"/>
      <c r="AL96" s="92"/>
      <c r="AM96" s="92"/>
      <c r="AN96" s="92"/>
      <c r="AO96" s="92"/>
      <c r="AP96" s="92"/>
      <c r="AQ96" s="92"/>
      <c r="AR96" s="92"/>
      <c r="AS96" s="92"/>
      <c r="AT96" s="92"/>
      <c r="AU96" s="92"/>
      <c r="AV96" s="92"/>
      <c r="AW96" s="92"/>
      <c r="AX96" s="92"/>
      <c r="AY96" s="92"/>
      <c r="AZ96" s="92"/>
    </row>
    <row r="97" spans="1:52">
      <c r="A97" s="92"/>
      <c r="B97" s="92"/>
      <c r="C97" s="92"/>
      <c r="D97" s="92"/>
      <c r="E97" s="92"/>
      <c r="F97" s="92"/>
      <c r="G97" s="92"/>
      <c r="H97" s="92"/>
      <c r="I97" s="92"/>
      <c r="J97" s="92"/>
      <c r="K97" s="36"/>
      <c r="L97" s="92"/>
      <c r="M97" s="92"/>
      <c r="N97" s="92"/>
      <c r="O97" s="205"/>
      <c r="P97" s="92"/>
      <c r="Q97" s="92"/>
      <c r="R97" s="92"/>
      <c r="S97" s="92"/>
      <c r="T97" s="92"/>
      <c r="U97" s="92"/>
      <c r="V97" s="92"/>
      <c r="W97" s="92"/>
      <c r="X97" s="92"/>
      <c r="Y97" s="92"/>
      <c r="Z97" s="92"/>
      <c r="AA97" s="92"/>
      <c r="AB97" s="92"/>
      <c r="AC97" s="92"/>
      <c r="AD97" s="92"/>
      <c r="AE97" s="92"/>
      <c r="AF97" s="92"/>
      <c r="AG97" s="92"/>
      <c r="AH97" s="92"/>
      <c r="AI97" s="92"/>
      <c r="AJ97" s="92"/>
      <c r="AK97" s="92"/>
      <c r="AL97" s="92"/>
      <c r="AM97" s="92"/>
      <c r="AN97" s="92"/>
      <c r="AO97" s="92"/>
      <c r="AP97" s="92"/>
      <c r="AQ97" s="92"/>
      <c r="AR97" s="92"/>
      <c r="AS97" s="92"/>
      <c r="AT97" s="92"/>
      <c r="AU97" s="92"/>
      <c r="AV97" s="92"/>
      <c r="AW97" s="92"/>
      <c r="AX97" s="92"/>
      <c r="AY97" s="92"/>
      <c r="AZ97" s="92"/>
    </row>
    <row r="98" spans="1:52">
      <c r="A98" s="92"/>
      <c r="B98" s="92"/>
      <c r="C98" s="92"/>
      <c r="D98" s="92"/>
      <c r="E98" s="92"/>
      <c r="F98" s="92"/>
      <c r="G98" s="92"/>
      <c r="H98" s="92"/>
      <c r="I98" s="92"/>
      <c r="J98" s="92"/>
      <c r="K98" s="36"/>
      <c r="L98" s="92"/>
      <c r="M98" s="92"/>
      <c r="N98" s="92"/>
      <c r="O98" s="205"/>
      <c r="P98" s="92"/>
      <c r="Q98" s="92"/>
      <c r="R98" s="92"/>
      <c r="S98" s="92"/>
      <c r="T98" s="92"/>
      <c r="U98" s="92"/>
      <c r="V98" s="92"/>
      <c r="W98" s="92"/>
      <c r="X98" s="92"/>
      <c r="Y98" s="92"/>
      <c r="Z98" s="92"/>
      <c r="AA98" s="92"/>
      <c r="AB98" s="92"/>
      <c r="AC98" s="92"/>
      <c r="AD98" s="92"/>
      <c r="AE98" s="92"/>
      <c r="AF98" s="92"/>
      <c r="AG98" s="92"/>
      <c r="AH98" s="92"/>
      <c r="AI98" s="92"/>
      <c r="AJ98" s="92"/>
      <c r="AK98" s="92"/>
      <c r="AL98" s="92"/>
      <c r="AM98" s="92"/>
      <c r="AN98" s="92"/>
      <c r="AO98" s="92"/>
      <c r="AP98" s="92"/>
      <c r="AQ98" s="92"/>
      <c r="AR98" s="92"/>
      <c r="AS98" s="92"/>
      <c r="AT98" s="92"/>
      <c r="AU98" s="92"/>
      <c r="AV98" s="92"/>
      <c r="AW98" s="92"/>
      <c r="AX98" s="92"/>
      <c r="AY98" s="92"/>
      <c r="AZ98" s="92"/>
    </row>
    <row r="99" spans="1:52">
      <c r="A99" s="92"/>
      <c r="B99" s="92"/>
      <c r="C99" s="92"/>
      <c r="D99" s="92"/>
      <c r="E99" s="92"/>
      <c r="F99" s="92"/>
      <c r="G99" s="92"/>
      <c r="H99" s="92"/>
      <c r="I99" s="92"/>
      <c r="J99" s="92"/>
      <c r="K99" s="36"/>
      <c r="L99" s="92"/>
      <c r="M99" s="92"/>
      <c r="N99" s="92"/>
      <c r="O99" s="205"/>
      <c r="P99" s="92"/>
      <c r="Q99" s="92"/>
      <c r="R99" s="92"/>
      <c r="S99" s="92"/>
      <c r="T99" s="92"/>
      <c r="U99" s="92"/>
      <c r="V99" s="92"/>
      <c r="W99" s="92"/>
      <c r="X99" s="92"/>
      <c r="Y99" s="92"/>
      <c r="Z99" s="92"/>
      <c r="AA99" s="92"/>
      <c r="AB99" s="92"/>
      <c r="AC99" s="92"/>
      <c r="AD99" s="92"/>
      <c r="AE99" s="92"/>
      <c r="AF99" s="92"/>
      <c r="AG99" s="92"/>
      <c r="AH99" s="92"/>
      <c r="AI99" s="92"/>
      <c r="AJ99" s="92"/>
      <c r="AK99" s="92"/>
      <c r="AL99" s="92"/>
      <c r="AM99" s="92"/>
      <c r="AN99" s="92"/>
      <c r="AO99" s="92"/>
      <c r="AP99" s="92"/>
      <c r="AQ99" s="92"/>
      <c r="AR99" s="92"/>
      <c r="AS99" s="92"/>
      <c r="AT99" s="92"/>
      <c r="AU99" s="92"/>
      <c r="AV99" s="92"/>
      <c r="AW99" s="92"/>
      <c r="AX99" s="92"/>
      <c r="AY99" s="92"/>
      <c r="AZ99" s="92"/>
    </row>
    <row r="100" spans="1:52">
      <c r="A100" s="92"/>
      <c r="B100" s="92"/>
      <c r="C100" s="92"/>
      <c r="D100" s="92"/>
      <c r="E100" s="92"/>
      <c r="F100" s="92"/>
      <c r="G100" s="92"/>
      <c r="H100" s="92"/>
      <c r="I100" s="92"/>
      <c r="J100" s="92"/>
      <c r="K100" s="36"/>
      <c r="L100" s="92"/>
      <c r="M100" s="92"/>
      <c r="N100" s="92"/>
      <c r="O100" s="205"/>
      <c r="P100" s="92"/>
      <c r="Q100" s="92"/>
      <c r="R100" s="92"/>
      <c r="S100" s="92"/>
      <c r="T100" s="92"/>
      <c r="U100" s="92"/>
      <c r="V100" s="92"/>
      <c r="W100" s="92"/>
      <c r="X100" s="92"/>
      <c r="Y100" s="92"/>
      <c r="Z100" s="92"/>
      <c r="AA100" s="92"/>
      <c r="AB100" s="92"/>
      <c r="AC100" s="92"/>
      <c r="AD100" s="92"/>
      <c r="AE100" s="92"/>
      <c r="AF100" s="92"/>
      <c r="AG100" s="92"/>
      <c r="AH100" s="92"/>
      <c r="AI100" s="92"/>
      <c r="AJ100" s="92"/>
      <c r="AK100" s="92"/>
      <c r="AL100" s="92"/>
      <c r="AM100" s="92"/>
      <c r="AN100" s="92"/>
      <c r="AO100" s="92"/>
      <c r="AP100" s="92"/>
      <c r="AQ100" s="92"/>
      <c r="AR100" s="92"/>
      <c r="AS100" s="92"/>
      <c r="AT100" s="92"/>
      <c r="AU100" s="92"/>
      <c r="AV100" s="92"/>
      <c r="AW100" s="92"/>
      <c r="AX100" s="92"/>
      <c r="AY100" s="92"/>
      <c r="AZ100" s="92"/>
    </row>
    <row r="101" spans="1:52">
      <c r="A101" s="92"/>
      <c r="B101" s="92"/>
      <c r="C101" s="92"/>
      <c r="D101" s="92"/>
      <c r="E101" s="92"/>
      <c r="F101" s="92"/>
      <c r="G101" s="92"/>
      <c r="H101" s="92"/>
      <c r="I101" s="92"/>
      <c r="J101" s="92"/>
      <c r="K101" s="36"/>
      <c r="L101" s="92"/>
      <c r="M101" s="92"/>
      <c r="N101" s="92"/>
      <c r="O101" s="205"/>
      <c r="P101" s="92"/>
      <c r="Q101" s="92"/>
      <c r="R101" s="92"/>
      <c r="S101" s="92"/>
      <c r="T101" s="92"/>
      <c r="U101" s="92"/>
      <c r="V101" s="92"/>
      <c r="W101" s="92"/>
      <c r="X101" s="92"/>
      <c r="Y101" s="92"/>
      <c r="Z101" s="92"/>
      <c r="AA101" s="92"/>
      <c r="AB101" s="92"/>
      <c r="AC101" s="92"/>
      <c r="AD101" s="92"/>
      <c r="AE101" s="92"/>
      <c r="AF101" s="92"/>
      <c r="AG101" s="92"/>
      <c r="AH101" s="92"/>
      <c r="AI101" s="92"/>
      <c r="AJ101" s="92"/>
      <c r="AK101" s="92"/>
      <c r="AL101" s="92"/>
      <c r="AM101" s="92"/>
      <c r="AN101" s="92"/>
      <c r="AO101" s="92"/>
      <c r="AP101" s="92"/>
      <c r="AQ101" s="92"/>
      <c r="AR101" s="92"/>
      <c r="AS101" s="92"/>
      <c r="AT101" s="92"/>
      <c r="AU101" s="92"/>
      <c r="AV101" s="92"/>
      <c r="AW101" s="92"/>
      <c r="AX101" s="92"/>
      <c r="AY101" s="92"/>
      <c r="AZ101" s="92"/>
    </row>
    <row r="102" spans="1:52">
      <c r="A102" s="92"/>
      <c r="B102" s="92"/>
      <c r="C102" s="92"/>
      <c r="D102" s="92"/>
      <c r="E102" s="92"/>
      <c r="F102" s="92"/>
      <c r="G102" s="92"/>
      <c r="H102" s="92"/>
      <c r="I102" s="92"/>
      <c r="J102" s="92"/>
      <c r="K102" s="36"/>
      <c r="L102" s="92"/>
      <c r="M102" s="92"/>
      <c r="N102" s="92"/>
      <c r="O102" s="205"/>
      <c r="P102" s="92"/>
      <c r="Q102" s="92"/>
      <c r="R102" s="92"/>
      <c r="S102" s="92"/>
      <c r="T102" s="92"/>
      <c r="U102" s="92"/>
      <c r="V102" s="92"/>
      <c r="W102" s="92"/>
      <c r="X102" s="92"/>
      <c r="Y102" s="92"/>
      <c r="Z102" s="92"/>
      <c r="AA102" s="92"/>
      <c r="AB102" s="92"/>
      <c r="AC102" s="92"/>
      <c r="AD102" s="92"/>
      <c r="AE102" s="92"/>
      <c r="AF102" s="92"/>
      <c r="AG102" s="92"/>
      <c r="AH102" s="92"/>
      <c r="AI102" s="92"/>
      <c r="AJ102" s="92"/>
      <c r="AK102" s="92"/>
      <c r="AL102" s="92"/>
      <c r="AM102" s="92"/>
      <c r="AN102" s="92"/>
      <c r="AO102" s="92"/>
      <c r="AP102" s="92"/>
      <c r="AQ102" s="92"/>
      <c r="AR102" s="92"/>
      <c r="AS102" s="92"/>
      <c r="AT102" s="92"/>
      <c r="AU102" s="92"/>
      <c r="AV102" s="92"/>
      <c r="AW102" s="92"/>
      <c r="AX102" s="92"/>
      <c r="AY102" s="92"/>
      <c r="AZ102" s="92"/>
    </row>
    <row r="103" spans="1:52">
      <c r="A103" s="92"/>
      <c r="B103" s="92"/>
      <c r="C103" s="92"/>
      <c r="D103" s="92"/>
      <c r="E103" s="92"/>
      <c r="F103" s="92"/>
      <c r="G103" s="92"/>
      <c r="H103" s="92"/>
      <c r="I103" s="92"/>
      <c r="J103" s="92"/>
      <c r="K103" s="36"/>
      <c r="L103" s="92"/>
      <c r="M103" s="92"/>
      <c r="N103" s="92"/>
      <c r="O103" s="205"/>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row>
    <row r="104" spans="1:52">
      <c r="A104" s="92"/>
      <c r="B104" s="92"/>
      <c r="C104" s="92"/>
      <c r="D104" s="92"/>
      <c r="E104" s="92"/>
      <c r="F104" s="92"/>
      <c r="G104" s="92"/>
      <c r="H104" s="92"/>
      <c r="I104" s="92"/>
      <c r="J104" s="92"/>
      <c r="K104" s="36"/>
      <c r="L104" s="92"/>
      <c r="M104" s="92"/>
      <c r="N104" s="92"/>
      <c r="O104" s="205"/>
      <c r="P104" s="92"/>
      <c r="Q104" s="92"/>
      <c r="R104" s="92"/>
      <c r="S104" s="92"/>
      <c r="T104" s="92"/>
      <c r="U104" s="92"/>
      <c r="V104" s="92"/>
      <c r="W104" s="92"/>
      <c r="X104" s="92"/>
      <c r="Y104" s="92"/>
      <c r="Z104" s="92"/>
      <c r="AA104" s="92"/>
      <c r="AB104" s="92"/>
      <c r="AC104" s="92"/>
      <c r="AD104" s="92"/>
      <c r="AE104" s="92"/>
      <c r="AF104" s="92"/>
      <c r="AG104" s="92"/>
      <c r="AH104" s="92"/>
      <c r="AI104" s="92"/>
      <c r="AJ104" s="92"/>
      <c r="AK104" s="92"/>
      <c r="AL104" s="92"/>
      <c r="AM104" s="92"/>
      <c r="AN104" s="92"/>
      <c r="AO104" s="92"/>
      <c r="AP104" s="92"/>
      <c r="AQ104" s="92"/>
      <c r="AR104" s="92"/>
      <c r="AS104" s="92"/>
      <c r="AT104" s="92"/>
      <c r="AU104" s="92"/>
      <c r="AV104" s="92"/>
      <c r="AW104" s="92"/>
      <c r="AX104" s="92"/>
      <c r="AY104" s="92"/>
      <c r="AZ104" s="92"/>
    </row>
    <row r="105" spans="1:52">
      <c r="A105" s="92"/>
      <c r="B105" s="92"/>
      <c r="C105" s="92"/>
      <c r="D105" s="92"/>
      <c r="E105" s="92"/>
      <c r="F105" s="92"/>
      <c r="G105" s="92"/>
      <c r="H105" s="92"/>
      <c r="I105" s="92"/>
      <c r="J105" s="92"/>
      <c r="K105" s="36"/>
      <c r="L105" s="92"/>
      <c r="M105" s="92"/>
      <c r="N105" s="92"/>
      <c r="O105" s="205"/>
      <c r="P105" s="92"/>
      <c r="Q105" s="92"/>
      <c r="R105" s="92"/>
      <c r="S105" s="92"/>
      <c r="T105" s="92"/>
      <c r="U105" s="92"/>
      <c r="V105" s="92"/>
      <c r="W105" s="92"/>
      <c r="X105" s="92"/>
      <c r="Y105" s="92"/>
      <c r="Z105" s="92"/>
      <c r="AA105" s="92"/>
      <c r="AB105" s="92"/>
      <c r="AC105" s="92"/>
      <c r="AD105" s="92"/>
      <c r="AE105" s="92"/>
      <c r="AF105" s="92"/>
      <c r="AG105" s="92"/>
      <c r="AH105" s="92"/>
      <c r="AI105" s="92"/>
      <c r="AJ105" s="92"/>
      <c r="AK105" s="92"/>
      <c r="AL105" s="92"/>
      <c r="AM105" s="92"/>
      <c r="AN105" s="92"/>
      <c r="AO105" s="92"/>
      <c r="AP105" s="92"/>
      <c r="AQ105" s="92"/>
      <c r="AR105" s="92"/>
      <c r="AS105" s="92"/>
      <c r="AT105" s="92"/>
      <c r="AU105" s="92"/>
      <c r="AV105" s="92"/>
      <c r="AW105" s="92"/>
      <c r="AX105" s="92"/>
      <c r="AY105" s="92"/>
      <c r="AZ105" s="92"/>
    </row>
    <row r="106" spans="1:52">
      <c r="A106" s="92"/>
      <c r="B106" s="92"/>
      <c r="C106" s="92"/>
      <c r="D106" s="92"/>
      <c r="E106" s="92"/>
      <c r="F106" s="92"/>
      <c r="G106" s="92"/>
      <c r="H106" s="92"/>
      <c r="I106" s="92"/>
      <c r="J106" s="92"/>
      <c r="K106" s="36"/>
      <c r="L106" s="92"/>
      <c r="M106" s="92"/>
      <c r="N106" s="92"/>
      <c r="O106" s="205"/>
      <c r="P106" s="92"/>
      <c r="Q106" s="92"/>
      <c r="R106" s="92"/>
      <c r="S106" s="92"/>
      <c r="T106" s="92"/>
      <c r="U106" s="92"/>
      <c r="V106" s="92"/>
      <c r="W106" s="92"/>
      <c r="X106" s="92"/>
      <c r="Y106" s="92"/>
      <c r="Z106" s="92"/>
      <c r="AA106" s="92"/>
      <c r="AB106" s="92"/>
      <c r="AC106" s="92"/>
      <c r="AD106" s="92"/>
      <c r="AE106" s="92"/>
      <c r="AF106" s="92"/>
      <c r="AG106" s="92"/>
      <c r="AH106" s="92"/>
      <c r="AI106" s="92"/>
      <c r="AJ106" s="92"/>
      <c r="AK106" s="92"/>
      <c r="AL106" s="92"/>
      <c r="AM106" s="92"/>
      <c r="AN106" s="92"/>
      <c r="AO106" s="92"/>
      <c r="AP106" s="92"/>
      <c r="AQ106" s="92"/>
      <c r="AR106" s="92"/>
      <c r="AS106" s="92"/>
      <c r="AT106" s="92"/>
      <c r="AU106" s="92"/>
      <c r="AV106" s="92"/>
      <c r="AW106" s="92"/>
      <c r="AX106" s="92"/>
      <c r="AY106" s="92"/>
      <c r="AZ106" s="92"/>
    </row>
    <row r="107" spans="1:52">
      <c r="A107" s="92"/>
      <c r="B107" s="92"/>
      <c r="C107" s="92"/>
      <c r="D107" s="92"/>
      <c r="E107" s="92"/>
      <c r="F107" s="92"/>
      <c r="G107" s="92"/>
      <c r="H107" s="92"/>
      <c r="I107" s="92"/>
      <c r="J107" s="92"/>
      <c r="K107" s="36"/>
      <c r="L107" s="92"/>
      <c r="M107" s="92"/>
      <c r="N107" s="92"/>
      <c r="O107" s="205"/>
      <c r="P107" s="92"/>
      <c r="Q107" s="92"/>
      <c r="R107" s="92"/>
      <c r="S107" s="92"/>
      <c r="T107" s="92"/>
      <c r="U107" s="92"/>
      <c r="V107" s="92"/>
      <c r="W107" s="92"/>
      <c r="X107" s="92"/>
      <c r="Y107" s="92"/>
      <c r="Z107" s="92"/>
      <c r="AA107" s="92"/>
      <c r="AB107" s="92"/>
      <c r="AC107" s="92"/>
      <c r="AD107" s="92"/>
      <c r="AE107" s="92"/>
      <c r="AF107" s="92"/>
      <c r="AG107" s="92"/>
      <c r="AH107" s="92"/>
      <c r="AI107" s="92"/>
      <c r="AJ107" s="92"/>
      <c r="AK107" s="92"/>
      <c r="AL107" s="92"/>
      <c r="AM107" s="92"/>
      <c r="AN107" s="92"/>
      <c r="AO107" s="92"/>
      <c r="AP107" s="92"/>
      <c r="AQ107" s="92"/>
      <c r="AR107" s="92"/>
      <c r="AS107" s="92"/>
      <c r="AT107" s="92"/>
      <c r="AU107" s="92"/>
      <c r="AV107" s="92"/>
      <c r="AW107" s="92"/>
      <c r="AX107" s="92"/>
      <c r="AY107" s="92"/>
      <c r="AZ107" s="92"/>
    </row>
    <row r="108" spans="1:52">
      <c r="A108" s="92"/>
      <c r="B108" s="92"/>
      <c r="C108" s="92"/>
      <c r="D108" s="92"/>
      <c r="E108" s="92"/>
      <c r="F108" s="92"/>
      <c r="G108" s="92"/>
      <c r="H108" s="92"/>
      <c r="I108" s="92"/>
      <c r="J108" s="92"/>
      <c r="K108" s="36"/>
      <c r="L108" s="92"/>
      <c r="M108" s="92"/>
      <c r="N108" s="92"/>
      <c r="O108" s="205"/>
      <c r="P108" s="92"/>
      <c r="Q108" s="92"/>
      <c r="R108" s="92"/>
      <c r="S108" s="92"/>
      <c r="T108" s="92"/>
      <c r="U108" s="92"/>
      <c r="V108" s="92"/>
      <c r="W108" s="92"/>
      <c r="X108" s="92"/>
      <c r="Y108" s="92"/>
      <c r="Z108" s="92"/>
      <c r="AA108" s="92"/>
      <c r="AB108" s="92"/>
      <c r="AC108" s="92"/>
      <c r="AD108" s="92"/>
      <c r="AE108" s="92"/>
      <c r="AF108" s="92"/>
      <c r="AG108" s="92"/>
      <c r="AH108" s="92"/>
      <c r="AI108" s="92"/>
      <c r="AJ108" s="92"/>
      <c r="AK108" s="92"/>
      <c r="AL108" s="92"/>
      <c r="AM108" s="92"/>
      <c r="AN108" s="92"/>
      <c r="AO108" s="92"/>
      <c r="AP108" s="92"/>
      <c r="AQ108" s="92"/>
      <c r="AR108" s="92"/>
      <c r="AS108" s="92"/>
      <c r="AT108" s="92"/>
      <c r="AU108" s="92"/>
      <c r="AV108" s="92"/>
      <c r="AW108" s="92"/>
      <c r="AX108" s="92"/>
      <c r="AY108" s="92"/>
      <c r="AZ108" s="92"/>
    </row>
    <row r="109" spans="1:52">
      <c r="A109" s="92"/>
      <c r="B109" s="92"/>
      <c r="C109" s="92"/>
      <c r="D109" s="92"/>
      <c r="E109" s="92"/>
      <c r="F109" s="92"/>
      <c r="G109" s="92"/>
      <c r="H109" s="92"/>
      <c r="I109" s="92"/>
      <c r="J109" s="92"/>
      <c r="K109" s="36"/>
      <c r="L109" s="92"/>
      <c r="M109" s="92"/>
      <c r="N109" s="92"/>
      <c r="O109" s="205"/>
      <c r="P109" s="92"/>
      <c r="Q109" s="92"/>
      <c r="R109" s="92"/>
      <c r="S109" s="92"/>
      <c r="T109" s="92"/>
      <c r="U109" s="92"/>
      <c r="V109" s="92"/>
      <c r="W109" s="92"/>
      <c r="X109" s="92"/>
      <c r="Y109" s="92"/>
      <c r="Z109" s="92"/>
      <c r="AA109" s="92"/>
      <c r="AB109" s="92"/>
      <c r="AC109" s="92"/>
      <c r="AD109" s="92"/>
      <c r="AE109" s="92"/>
      <c r="AF109" s="92"/>
      <c r="AG109" s="92"/>
      <c r="AH109" s="92"/>
      <c r="AI109" s="92"/>
      <c r="AJ109" s="92"/>
      <c r="AK109" s="92"/>
      <c r="AL109" s="92"/>
      <c r="AM109" s="92"/>
      <c r="AN109" s="92"/>
      <c r="AO109" s="92"/>
      <c r="AP109" s="92"/>
      <c r="AQ109" s="92"/>
      <c r="AR109" s="92"/>
      <c r="AS109" s="92"/>
      <c r="AT109" s="92"/>
      <c r="AU109" s="92"/>
      <c r="AV109" s="92"/>
      <c r="AW109" s="92"/>
      <c r="AX109" s="92"/>
      <c r="AY109" s="92"/>
      <c r="AZ109" s="92"/>
    </row>
    <row r="110" spans="1:52">
      <c r="A110" s="92"/>
      <c r="B110" s="92"/>
      <c r="C110" s="92"/>
      <c r="D110" s="92"/>
      <c r="E110" s="92"/>
      <c r="F110" s="92"/>
      <c r="G110" s="92"/>
      <c r="H110" s="92"/>
      <c r="I110" s="92"/>
      <c r="J110" s="92"/>
      <c r="K110" s="36"/>
      <c r="L110" s="92"/>
      <c r="M110" s="92"/>
      <c r="N110" s="92"/>
      <c r="O110" s="205"/>
      <c r="P110" s="92"/>
      <c r="Q110" s="92"/>
      <c r="R110" s="92"/>
      <c r="S110" s="92"/>
      <c r="T110" s="92"/>
      <c r="U110" s="92"/>
      <c r="V110" s="92"/>
      <c r="W110" s="92"/>
      <c r="X110" s="92"/>
      <c r="Y110" s="92"/>
      <c r="Z110" s="92"/>
      <c r="AA110" s="92"/>
      <c r="AB110" s="92"/>
      <c r="AC110" s="92"/>
      <c r="AD110" s="92"/>
      <c r="AE110" s="92"/>
      <c r="AF110" s="92"/>
      <c r="AG110" s="92"/>
      <c r="AH110" s="92"/>
      <c r="AI110" s="92"/>
      <c r="AJ110" s="92"/>
      <c r="AK110" s="92"/>
      <c r="AL110" s="92"/>
      <c r="AM110" s="92"/>
      <c r="AN110" s="92"/>
      <c r="AO110" s="92"/>
      <c r="AP110" s="92"/>
      <c r="AQ110" s="92"/>
      <c r="AR110" s="92"/>
      <c r="AS110" s="92"/>
      <c r="AT110" s="92"/>
      <c r="AU110" s="92"/>
      <c r="AV110" s="92"/>
      <c r="AW110" s="92"/>
      <c r="AX110" s="92"/>
      <c r="AY110" s="92"/>
      <c r="AZ110" s="92"/>
    </row>
    <row r="111" spans="1:52">
      <c r="A111" s="92"/>
      <c r="B111" s="92"/>
      <c r="C111" s="92"/>
      <c r="D111" s="92"/>
      <c r="E111" s="92"/>
      <c r="F111" s="92"/>
      <c r="G111" s="92"/>
      <c r="H111" s="92"/>
      <c r="I111" s="92"/>
      <c r="J111" s="92"/>
      <c r="K111" s="36"/>
      <c r="L111" s="92"/>
      <c r="M111" s="92"/>
      <c r="N111" s="92"/>
      <c r="O111" s="205"/>
      <c r="P111" s="92"/>
      <c r="Q111" s="92"/>
      <c r="R111" s="92"/>
      <c r="S111" s="92"/>
      <c r="T111" s="92"/>
      <c r="U111" s="92"/>
      <c r="V111" s="92"/>
      <c r="W111" s="92"/>
      <c r="X111" s="92"/>
      <c r="Y111" s="92"/>
      <c r="Z111" s="92"/>
      <c r="AA111" s="92"/>
      <c r="AB111" s="92"/>
      <c r="AC111" s="92"/>
      <c r="AD111" s="92"/>
      <c r="AE111" s="92"/>
      <c r="AF111" s="92"/>
      <c r="AG111" s="92"/>
      <c r="AH111" s="92"/>
      <c r="AI111" s="92"/>
      <c r="AJ111" s="92"/>
      <c r="AK111" s="92"/>
      <c r="AL111" s="92"/>
      <c r="AM111" s="92"/>
      <c r="AN111" s="92"/>
      <c r="AO111" s="92"/>
      <c r="AP111" s="92"/>
      <c r="AQ111" s="92"/>
      <c r="AR111" s="92"/>
      <c r="AS111" s="92"/>
      <c r="AT111" s="92"/>
      <c r="AU111" s="92"/>
      <c r="AV111" s="92"/>
      <c r="AW111" s="92"/>
      <c r="AX111" s="92"/>
      <c r="AY111" s="92"/>
      <c r="AZ111" s="92"/>
    </row>
    <row r="112" spans="1:52">
      <c r="A112" s="92"/>
      <c r="B112" s="92"/>
      <c r="C112" s="92"/>
      <c r="D112" s="92"/>
      <c r="E112" s="92"/>
      <c r="F112" s="92"/>
      <c r="G112" s="92"/>
      <c r="H112" s="92"/>
      <c r="I112" s="92"/>
      <c r="J112" s="92"/>
      <c r="K112" s="36"/>
      <c r="L112" s="92"/>
      <c r="M112" s="92"/>
      <c r="N112" s="92"/>
      <c r="O112" s="205"/>
      <c r="P112" s="92"/>
      <c r="Q112" s="92"/>
      <c r="R112" s="92"/>
      <c r="S112" s="92"/>
      <c r="T112" s="92"/>
      <c r="U112" s="92"/>
      <c r="V112" s="92"/>
      <c r="W112" s="92"/>
      <c r="X112" s="92"/>
      <c r="Y112" s="92"/>
      <c r="Z112" s="92"/>
      <c r="AA112" s="92"/>
      <c r="AB112" s="92"/>
      <c r="AC112" s="92"/>
      <c r="AD112" s="92"/>
      <c r="AE112" s="92"/>
      <c r="AF112" s="92"/>
      <c r="AG112" s="92"/>
      <c r="AH112" s="92"/>
      <c r="AI112" s="92"/>
      <c r="AJ112" s="92"/>
      <c r="AK112" s="92"/>
      <c r="AL112" s="92"/>
      <c r="AM112" s="92"/>
      <c r="AN112" s="92"/>
      <c r="AO112" s="92"/>
      <c r="AP112" s="92"/>
      <c r="AQ112" s="92"/>
      <c r="AR112" s="92"/>
      <c r="AS112" s="92"/>
      <c r="AT112" s="92"/>
      <c r="AU112" s="92"/>
      <c r="AV112" s="92"/>
      <c r="AW112" s="92"/>
      <c r="AX112" s="92"/>
      <c r="AY112" s="92"/>
      <c r="AZ112" s="92"/>
    </row>
    <row r="113" spans="1:52">
      <c r="A113" s="92"/>
      <c r="B113" s="92"/>
      <c r="C113" s="92"/>
      <c r="D113" s="92"/>
      <c r="E113" s="92"/>
      <c r="F113" s="92"/>
      <c r="G113" s="92"/>
      <c r="H113" s="92"/>
      <c r="I113" s="92"/>
      <c r="J113" s="92"/>
      <c r="K113" s="36"/>
      <c r="L113" s="92"/>
      <c r="M113" s="92"/>
      <c r="N113" s="92"/>
      <c r="O113" s="205"/>
      <c r="P113" s="92"/>
      <c r="Q113" s="92"/>
      <c r="R113" s="92"/>
      <c r="S113" s="92"/>
      <c r="T113" s="92"/>
      <c r="U113" s="92"/>
      <c r="V113" s="92"/>
      <c r="W113" s="92"/>
      <c r="X113" s="92"/>
      <c r="Y113" s="92"/>
      <c r="Z113" s="92"/>
      <c r="AA113" s="92"/>
      <c r="AB113" s="92"/>
      <c r="AC113" s="92"/>
      <c r="AD113" s="92"/>
      <c r="AE113" s="92"/>
      <c r="AF113" s="92"/>
      <c r="AG113" s="92"/>
      <c r="AH113" s="92"/>
      <c r="AI113" s="92"/>
      <c r="AJ113" s="92"/>
      <c r="AK113" s="92"/>
      <c r="AL113" s="92"/>
      <c r="AM113" s="92"/>
      <c r="AN113" s="92"/>
      <c r="AO113" s="92"/>
      <c r="AP113" s="92"/>
      <c r="AQ113" s="92"/>
      <c r="AR113" s="92"/>
      <c r="AS113" s="92"/>
      <c r="AT113" s="92"/>
      <c r="AU113" s="92"/>
      <c r="AV113" s="92"/>
      <c r="AW113" s="92"/>
      <c r="AX113" s="92"/>
      <c r="AY113" s="92"/>
      <c r="AZ113" s="92"/>
    </row>
    <row r="114" spans="1:52">
      <c r="A114" s="92"/>
      <c r="B114" s="92"/>
      <c r="C114" s="92"/>
      <c r="D114" s="92"/>
      <c r="E114" s="92"/>
      <c r="F114" s="92"/>
      <c r="G114" s="92"/>
      <c r="H114" s="92"/>
      <c r="I114" s="92"/>
      <c r="J114" s="92"/>
      <c r="K114" s="36"/>
      <c r="L114" s="92"/>
      <c r="M114" s="92"/>
      <c r="N114" s="92"/>
      <c r="O114" s="205"/>
      <c r="P114" s="92"/>
      <c r="Q114" s="92"/>
      <c r="R114" s="92"/>
      <c r="S114" s="92"/>
      <c r="T114" s="92"/>
      <c r="U114" s="92"/>
      <c r="V114" s="92"/>
      <c r="W114" s="92"/>
      <c r="X114" s="92"/>
      <c r="Y114" s="92"/>
      <c r="Z114" s="92"/>
      <c r="AA114" s="92"/>
      <c r="AB114" s="92"/>
      <c r="AC114" s="92"/>
      <c r="AD114" s="92"/>
      <c r="AE114" s="92"/>
      <c r="AF114" s="92"/>
      <c r="AG114" s="92"/>
      <c r="AH114" s="92"/>
      <c r="AI114" s="92"/>
      <c r="AJ114" s="92"/>
      <c r="AK114" s="92"/>
      <c r="AL114" s="92"/>
      <c r="AM114" s="92"/>
      <c r="AN114" s="92"/>
      <c r="AO114" s="92"/>
      <c r="AP114" s="92"/>
      <c r="AQ114" s="92"/>
      <c r="AR114" s="92"/>
      <c r="AS114" s="92"/>
      <c r="AT114" s="92"/>
      <c r="AU114" s="92"/>
      <c r="AV114" s="92"/>
      <c r="AW114" s="92"/>
      <c r="AX114" s="92"/>
      <c r="AY114" s="92"/>
      <c r="AZ114" s="92"/>
    </row>
    <row r="115" spans="1:52">
      <c r="A115" s="92"/>
      <c r="B115" s="92"/>
      <c r="C115" s="92"/>
      <c r="D115" s="92"/>
      <c r="E115" s="92"/>
      <c r="F115" s="92"/>
      <c r="G115" s="92"/>
      <c r="H115" s="92"/>
      <c r="I115" s="92"/>
      <c r="J115" s="92"/>
      <c r="K115" s="36"/>
      <c r="L115" s="92"/>
      <c r="M115" s="92"/>
      <c r="N115" s="92"/>
      <c r="O115" s="205"/>
      <c r="P115" s="92"/>
      <c r="Q115" s="92"/>
      <c r="R115" s="92"/>
      <c r="S115" s="92"/>
      <c r="T115" s="92"/>
      <c r="U115" s="92"/>
      <c r="V115" s="92"/>
      <c r="W115" s="92"/>
      <c r="X115" s="92"/>
      <c r="Y115" s="92"/>
      <c r="Z115" s="92"/>
      <c r="AA115" s="92"/>
      <c r="AB115" s="92"/>
      <c r="AC115" s="92"/>
      <c r="AD115" s="92"/>
      <c r="AE115" s="92"/>
      <c r="AF115" s="92"/>
      <c r="AG115" s="92"/>
      <c r="AH115" s="92"/>
      <c r="AI115" s="92"/>
      <c r="AJ115" s="92"/>
      <c r="AK115" s="92"/>
      <c r="AL115" s="92"/>
      <c r="AM115" s="92"/>
      <c r="AN115" s="92"/>
      <c r="AO115" s="92"/>
      <c r="AP115" s="92"/>
      <c r="AQ115" s="92"/>
      <c r="AR115" s="92"/>
      <c r="AS115" s="92"/>
      <c r="AT115" s="92"/>
      <c r="AU115" s="92"/>
      <c r="AV115" s="92"/>
      <c r="AW115" s="92"/>
      <c r="AX115" s="92"/>
      <c r="AY115" s="92"/>
      <c r="AZ115" s="92"/>
    </row>
    <row r="116" spans="1:52">
      <c r="A116" s="92"/>
      <c r="B116" s="92"/>
      <c r="C116" s="92"/>
      <c r="D116" s="92"/>
      <c r="E116" s="92"/>
      <c r="F116" s="92"/>
      <c r="G116" s="92"/>
      <c r="H116" s="92"/>
      <c r="I116" s="92"/>
      <c r="J116" s="92"/>
      <c r="K116" s="36"/>
      <c r="L116" s="92"/>
      <c r="M116" s="92"/>
      <c r="N116" s="92"/>
      <c r="O116" s="205"/>
      <c r="P116" s="92"/>
      <c r="Q116" s="92"/>
      <c r="R116" s="92"/>
      <c r="S116" s="92"/>
      <c r="T116" s="92"/>
      <c r="U116" s="92"/>
      <c r="V116" s="92"/>
      <c r="W116" s="92"/>
      <c r="X116" s="92"/>
      <c r="Y116" s="92"/>
      <c r="Z116" s="92"/>
      <c r="AA116" s="92"/>
      <c r="AB116" s="92"/>
      <c r="AC116" s="92"/>
      <c r="AD116" s="92"/>
      <c r="AE116" s="92"/>
      <c r="AF116" s="92"/>
      <c r="AG116" s="92"/>
      <c r="AH116" s="92"/>
      <c r="AI116" s="92"/>
      <c r="AJ116" s="92"/>
      <c r="AK116" s="92"/>
      <c r="AL116" s="92"/>
      <c r="AM116" s="92"/>
      <c r="AN116" s="92"/>
      <c r="AO116" s="92"/>
      <c r="AP116" s="92"/>
      <c r="AQ116" s="92"/>
      <c r="AR116" s="92"/>
      <c r="AS116" s="92"/>
      <c r="AT116" s="92"/>
      <c r="AU116" s="92"/>
      <c r="AV116" s="92"/>
      <c r="AW116" s="92"/>
      <c r="AX116" s="92"/>
      <c r="AY116" s="92"/>
      <c r="AZ116" s="92"/>
    </row>
    <row r="117" spans="1:52">
      <c r="A117" s="92"/>
      <c r="B117" s="92"/>
      <c r="C117" s="92"/>
      <c r="D117" s="92"/>
      <c r="E117" s="92"/>
      <c r="F117" s="92"/>
      <c r="G117" s="92"/>
      <c r="H117" s="92"/>
      <c r="I117" s="92"/>
      <c r="J117" s="92"/>
      <c r="K117" s="36"/>
      <c r="L117" s="92"/>
      <c r="M117" s="92"/>
      <c r="N117" s="92"/>
      <c r="O117" s="205"/>
      <c r="P117" s="92"/>
      <c r="Q117" s="92"/>
      <c r="R117" s="92"/>
      <c r="S117" s="92"/>
      <c r="T117" s="92"/>
      <c r="U117" s="92"/>
      <c r="V117" s="92"/>
      <c r="W117" s="92"/>
      <c r="X117" s="92"/>
      <c r="Y117" s="92"/>
      <c r="Z117" s="92"/>
      <c r="AA117" s="92"/>
      <c r="AB117" s="92"/>
      <c r="AC117" s="92"/>
      <c r="AD117" s="92"/>
      <c r="AE117" s="92"/>
      <c r="AF117" s="92"/>
      <c r="AG117" s="92"/>
      <c r="AH117" s="92"/>
      <c r="AI117" s="92"/>
      <c r="AJ117" s="92"/>
      <c r="AK117" s="92"/>
      <c r="AL117" s="92"/>
      <c r="AM117" s="92"/>
      <c r="AN117" s="92"/>
      <c r="AO117" s="92"/>
      <c r="AP117" s="92"/>
      <c r="AQ117" s="92"/>
      <c r="AR117" s="92"/>
      <c r="AS117" s="92"/>
      <c r="AT117" s="92"/>
      <c r="AU117" s="92"/>
      <c r="AV117" s="92"/>
      <c r="AW117" s="92"/>
      <c r="AX117" s="92"/>
      <c r="AY117" s="92"/>
      <c r="AZ117" s="92"/>
    </row>
    <row r="118" spans="1:52">
      <c r="A118" s="92"/>
      <c r="B118" s="92"/>
      <c r="C118" s="92"/>
      <c r="D118" s="92"/>
      <c r="E118" s="92"/>
      <c r="F118" s="92"/>
      <c r="G118" s="92"/>
      <c r="H118" s="92"/>
      <c r="I118" s="92"/>
      <c r="J118" s="92"/>
      <c r="K118" s="36"/>
      <c r="L118" s="92"/>
      <c r="M118" s="92"/>
      <c r="N118" s="92"/>
      <c r="O118" s="205"/>
      <c r="P118" s="92"/>
      <c r="Q118" s="92"/>
      <c r="R118" s="92"/>
      <c r="S118" s="92"/>
      <c r="T118" s="92"/>
      <c r="U118" s="92"/>
      <c r="V118" s="92"/>
      <c r="W118" s="92"/>
      <c r="X118" s="92"/>
      <c r="Y118" s="92"/>
      <c r="Z118" s="92"/>
      <c r="AA118" s="92"/>
      <c r="AB118" s="92"/>
      <c r="AC118" s="92"/>
      <c r="AD118" s="92"/>
      <c r="AE118" s="92"/>
      <c r="AF118" s="92"/>
      <c r="AG118" s="92"/>
      <c r="AH118" s="92"/>
      <c r="AI118" s="92"/>
      <c r="AJ118" s="92"/>
      <c r="AK118" s="92"/>
      <c r="AL118" s="92"/>
      <c r="AM118" s="92"/>
      <c r="AN118" s="92"/>
      <c r="AO118" s="92"/>
      <c r="AP118" s="92"/>
      <c r="AQ118" s="92"/>
      <c r="AR118" s="92"/>
      <c r="AS118" s="92"/>
      <c r="AT118" s="92"/>
      <c r="AU118" s="92"/>
      <c r="AV118" s="92"/>
      <c r="AW118" s="92"/>
      <c r="AX118" s="92"/>
      <c r="AY118" s="92"/>
      <c r="AZ118" s="92"/>
    </row>
    <row r="119" spans="1:52">
      <c r="A119" s="92"/>
      <c r="B119" s="92"/>
      <c r="C119" s="92"/>
      <c r="D119" s="92"/>
      <c r="E119" s="92"/>
      <c r="F119" s="92"/>
      <c r="G119" s="92"/>
      <c r="H119" s="92"/>
      <c r="I119" s="92"/>
      <c r="J119" s="92"/>
      <c r="K119" s="36"/>
      <c r="L119" s="92"/>
      <c r="M119" s="92"/>
      <c r="N119" s="92"/>
      <c r="O119" s="205"/>
      <c r="P119" s="92"/>
      <c r="Q119" s="92"/>
      <c r="R119" s="92"/>
      <c r="S119" s="92"/>
      <c r="T119" s="92"/>
      <c r="U119" s="92"/>
      <c r="V119" s="92"/>
      <c r="W119" s="92"/>
      <c r="X119" s="92"/>
      <c r="Y119" s="92"/>
      <c r="Z119" s="92"/>
      <c r="AA119" s="92"/>
      <c r="AB119" s="92"/>
      <c r="AC119" s="92"/>
      <c r="AD119" s="92"/>
      <c r="AE119" s="92"/>
      <c r="AF119" s="92"/>
      <c r="AG119" s="92"/>
      <c r="AH119" s="92"/>
      <c r="AI119" s="92"/>
      <c r="AJ119" s="92"/>
      <c r="AK119" s="92"/>
      <c r="AL119" s="92"/>
      <c r="AM119" s="92"/>
      <c r="AN119" s="92"/>
      <c r="AO119" s="92"/>
      <c r="AP119" s="92"/>
      <c r="AQ119" s="92"/>
      <c r="AR119" s="92"/>
      <c r="AS119" s="92"/>
      <c r="AT119" s="92"/>
      <c r="AU119" s="92"/>
      <c r="AV119" s="92"/>
      <c r="AW119" s="92"/>
      <c r="AX119" s="92"/>
      <c r="AY119" s="92"/>
      <c r="AZ119" s="92"/>
    </row>
    <row r="120" spans="1:52">
      <c r="A120" s="92"/>
      <c r="B120" s="92"/>
      <c r="C120" s="92"/>
      <c r="D120" s="92"/>
      <c r="E120" s="92"/>
      <c r="F120" s="92"/>
      <c r="G120" s="92"/>
      <c r="H120" s="92"/>
      <c r="I120" s="92"/>
      <c r="J120" s="92"/>
      <c r="K120" s="36"/>
      <c r="L120" s="92"/>
      <c r="M120" s="92"/>
      <c r="N120" s="92"/>
      <c r="O120" s="205"/>
      <c r="P120" s="92"/>
      <c r="Q120" s="92"/>
      <c r="R120" s="92"/>
      <c r="S120" s="92"/>
      <c r="T120" s="92"/>
      <c r="U120" s="92"/>
      <c r="V120" s="92"/>
      <c r="W120" s="92"/>
      <c r="X120" s="92"/>
      <c r="Y120" s="92"/>
      <c r="Z120" s="92"/>
      <c r="AA120" s="92"/>
      <c r="AB120" s="92"/>
      <c r="AC120" s="92"/>
      <c r="AD120" s="92"/>
      <c r="AE120" s="92"/>
      <c r="AF120" s="92"/>
      <c r="AG120" s="92"/>
      <c r="AH120" s="92"/>
      <c r="AI120" s="92"/>
      <c r="AJ120" s="92"/>
      <c r="AK120" s="92"/>
      <c r="AL120" s="92"/>
      <c r="AM120" s="92"/>
      <c r="AN120" s="92"/>
      <c r="AO120" s="92"/>
      <c r="AP120" s="92"/>
      <c r="AQ120" s="92"/>
      <c r="AR120" s="92"/>
      <c r="AS120" s="92"/>
      <c r="AT120" s="92"/>
      <c r="AU120" s="92"/>
      <c r="AV120" s="92"/>
      <c r="AW120" s="92"/>
      <c r="AX120" s="92"/>
      <c r="AY120" s="92"/>
      <c r="AZ120" s="92"/>
    </row>
    <row r="121" spans="1:52">
      <c r="A121" s="92"/>
      <c r="B121" s="92"/>
      <c r="C121" s="92"/>
      <c r="D121" s="92"/>
      <c r="E121" s="92"/>
      <c r="F121" s="92"/>
      <c r="G121" s="92"/>
      <c r="H121" s="92"/>
      <c r="I121" s="92"/>
      <c r="J121" s="92"/>
      <c r="K121" s="36"/>
      <c r="L121" s="92"/>
      <c r="M121" s="92"/>
      <c r="N121" s="92"/>
      <c r="O121" s="205"/>
      <c r="P121" s="92"/>
      <c r="Q121" s="92"/>
      <c r="R121" s="92"/>
      <c r="S121" s="92"/>
      <c r="T121" s="92"/>
      <c r="U121" s="92"/>
      <c r="V121" s="92"/>
      <c r="W121" s="92"/>
      <c r="X121" s="92"/>
      <c r="Y121" s="92"/>
      <c r="Z121" s="92"/>
      <c r="AA121" s="92"/>
      <c r="AB121" s="92"/>
      <c r="AC121" s="92"/>
      <c r="AD121" s="92"/>
      <c r="AE121" s="92"/>
      <c r="AF121" s="92"/>
      <c r="AG121" s="92"/>
      <c r="AH121" s="92"/>
      <c r="AI121" s="92"/>
      <c r="AJ121" s="92"/>
      <c r="AK121" s="92"/>
      <c r="AL121" s="92"/>
      <c r="AM121" s="92"/>
      <c r="AN121" s="92"/>
      <c r="AO121" s="92"/>
      <c r="AP121" s="92"/>
      <c r="AQ121" s="92"/>
      <c r="AR121" s="92"/>
      <c r="AS121" s="92"/>
      <c r="AT121" s="92"/>
      <c r="AU121" s="92"/>
      <c r="AV121" s="92"/>
      <c r="AW121" s="92"/>
      <c r="AX121" s="92"/>
      <c r="AY121" s="92"/>
      <c r="AZ121" s="92"/>
    </row>
    <row r="122" spans="1:52">
      <c r="A122" s="92"/>
      <c r="B122" s="92"/>
      <c r="C122" s="92"/>
      <c r="D122" s="92"/>
      <c r="E122" s="92"/>
      <c r="F122" s="92"/>
      <c r="G122" s="92"/>
      <c r="H122" s="92"/>
      <c r="I122" s="92"/>
      <c r="J122" s="92"/>
      <c r="K122" s="36"/>
      <c r="L122" s="92"/>
      <c r="M122" s="92"/>
      <c r="N122" s="92"/>
      <c r="O122" s="205"/>
      <c r="P122" s="92"/>
      <c r="Q122" s="92"/>
      <c r="R122" s="92"/>
      <c r="S122" s="92"/>
      <c r="T122" s="92"/>
      <c r="U122" s="92"/>
      <c r="V122" s="92"/>
      <c r="W122" s="92"/>
      <c r="X122" s="92"/>
      <c r="Y122" s="92"/>
      <c r="Z122" s="92"/>
      <c r="AA122" s="92"/>
      <c r="AB122" s="92"/>
      <c r="AC122" s="92"/>
      <c r="AD122" s="92"/>
      <c r="AE122" s="92"/>
      <c r="AF122" s="92"/>
      <c r="AG122" s="92"/>
      <c r="AH122" s="92"/>
      <c r="AI122" s="92"/>
      <c r="AJ122" s="92"/>
      <c r="AK122" s="92"/>
      <c r="AL122" s="92"/>
      <c r="AM122" s="92"/>
      <c r="AN122" s="92"/>
      <c r="AO122" s="92"/>
      <c r="AP122" s="92"/>
      <c r="AQ122" s="92"/>
      <c r="AR122" s="92"/>
      <c r="AS122" s="92"/>
      <c r="AT122" s="92"/>
      <c r="AU122" s="92"/>
      <c r="AV122" s="92"/>
      <c r="AW122" s="92"/>
      <c r="AX122" s="92"/>
      <c r="AY122" s="92"/>
      <c r="AZ122" s="92"/>
    </row>
    <row r="123" spans="1:52">
      <c r="A123" s="92"/>
      <c r="B123" s="92"/>
      <c r="C123" s="92"/>
      <c r="D123" s="92"/>
      <c r="E123" s="92"/>
      <c r="F123" s="92"/>
      <c r="G123" s="92"/>
      <c r="H123" s="92"/>
      <c r="I123" s="92"/>
      <c r="J123" s="92"/>
      <c r="K123" s="36"/>
      <c r="L123" s="92"/>
      <c r="M123" s="92"/>
      <c r="N123" s="92"/>
      <c r="O123" s="205"/>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row>
    <row r="124" spans="1:52">
      <c r="A124" s="92"/>
      <c r="B124" s="92"/>
      <c r="C124" s="92"/>
      <c r="D124" s="92"/>
      <c r="E124" s="92"/>
      <c r="F124" s="92"/>
      <c r="G124" s="92"/>
      <c r="H124" s="92"/>
      <c r="I124" s="92"/>
      <c r="J124" s="92"/>
      <c r="K124" s="36"/>
      <c r="L124" s="92"/>
      <c r="M124" s="92"/>
      <c r="N124" s="92"/>
      <c r="O124" s="205"/>
      <c r="P124" s="92"/>
      <c r="Q124" s="92"/>
      <c r="R124" s="92"/>
      <c r="S124" s="92"/>
      <c r="T124" s="92"/>
      <c r="U124" s="92"/>
      <c r="V124" s="92"/>
      <c r="W124" s="92"/>
      <c r="X124" s="92"/>
      <c r="Y124" s="92"/>
      <c r="Z124" s="92"/>
      <c r="AA124" s="92"/>
      <c r="AB124" s="92"/>
      <c r="AC124" s="92"/>
      <c r="AD124" s="92"/>
      <c r="AE124" s="92"/>
      <c r="AF124" s="92"/>
      <c r="AG124" s="92"/>
      <c r="AH124" s="92"/>
      <c r="AI124" s="92"/>
      <c r="AJ124" s="92"/>
      <c r="AK124" s="92"/>
      <c r="AL124" s="92"/>
      <c r="AM124" s="92"/>
      <c r="AN124" s="92"/>
      <c r="AO124" s="92"/>
      <c r="AP124" s="92"/>
      <c r="AQ124" s="92"/>
      <c r="AR124" s="92"/>
      <c r="AS124" s="92"/>
      <c r="AT124" s="92"/>
      <c r="AU124" s="92"/>
      <c r="AV124" s="92"/>
      <c r="AW124" s="92"/>
      <c r="AX124" s="92"/>
      <c r="AY124" s="92"/>
      <c r="AZ124" s="92"/>
    </row>
    <row r="125" spans="1:52">
      <c r="A125" s="92"/>
      <c r="B125" s="92"/>
      <c r="C125" s="92"/>
      <c r="D125" s="92"/>
      <c r="E125" s="92"/>
      <c r="F125" s="92"/>
      <c r="G125" s="92"/>
      <c r="H125" s="92"/>
      <c r="I125" s="92"/>
      <c r="J125" s="92"/>
      <c r="K125" s="36"/>
      <c r="L125" s="92"/>
      <c r="M125" s="92"/>
      <c r="N125" s="92"/>
      <c r="O125" s="205"/>
      <c r="P125" s="92"/>
      <c r="Q125" s="92"/>
      <c r="R125" s="92"/>
      <c r="S125" s="92"/>
      <c r="T125" s="92"/>
      <c r="U125" s="92"/>
      <c r="V125" s="92"/>
      <c r="W125" s="92"/>
      <c r="X125" s="92"/>
      <c r="Y125" s="92"/>
      <c r="Z125" s="92"/>
      <c r="AA125" s="92"/>
      <c r="AB125" s="92"/>
      <c r="AC125" s="92"/>
      <c r="AD125" s="92"/>
      <c r="AE125" s="92"/>
      <c r="AF125" s="92"/>
      <c r="AG125" s="92"/>
      <c r="AH125" s="92"/>
      <c r="AI125" s="92"/>
      <c r="AJ125" s="92"/>
      <c r="AK125" s="92"/>
      <c r="AL125" s="92"/>
      <c r="AM125" s="92"/>
      <c r="AN125" s="92"/>
      <c r="AO125" s="92"/>
      <c r="AP125" s="92"/>
      <c r="AQ125" s="92"/>
      <c r="AR125" s="92"/>
      <c r="AS125" s="92"/>
      <c r="AT125" s="92"/>
      <c r="AU125" s="92"/>
      <c r="AV125" s="92"/>
      <c r="AW125" s="92"/>
      <c r="AX125" s="92"/>
      <c r="AY125" s="92"/>
      <c r="AZ125" s="92"/>
    </row>
    <row r="126" spans="1:52">
      <c r="A126" s="92"/>
      <c r="B126" s="92"/>
      <c r="C126" s="92"/>
      <c r="D126" s="92"/>
      <c r="E126" s="92"/>
      <c r="F126" s="92"/>
      <c r="G126" s="92"/>
      <c r="H126" s="92"/>
      <c r="I126" s="92"/>
      <c r="J126" s="92"/>
      <c r="K126" s="36"/>
      <c r="L126" s="92"/>
      <c r="M126" s="92"/>
      <c r="N126" s="92"/>
      <c r="O126" s="205"/>
      <c r="P126" s="92"/>
      <c r="Q126" s="92"/>
      <c r="R126" s="92"/>
      <c r="S126" s="92"/>
      <c r="T126" s="92"/>
      <c r="U126" s="92"/>
      <c r="V126" s="92"/>
      <c r="W126" s="92"/>
      <c r="X126" s="92"/>
      <c r="Y126" s="92"/>
      <c r="Z126" s="92"/>
      <c r="AA126" s="92"/>
      <c r="AB126" s="92"/>
      <c r="AC126" s="92"/>
      <c r="AD126" s="92"/>
      <c r="AE126" s="92"/>
      <c r="AF126" s="92"/>
      <c r="AG126" s="92"/>
      <c r="AH126" s="92"/>
      <c r="AI126" s="92"/>
      <c r="AJ126" s="92"/>
      <c r="AK126" s="92"/>
      <c r="AL126" s="92"/>
      <c r="AM126" s="92"/>
      <c r="AN126" s="92"/>
      <c r="AO126" s="92"/>
      <c r="AP126" s="92"/>
      <c r="AQ126" s="92"/>
      <c r="AR126" s="92"/>
      <c r="AS126" s="92"/>
      <c r="AT126" s="92"/>
      <c r="AU126" s="92"/>
      <c r="AV126" s="92"/>
      <c r="AW126" s="92"/>
      <c r="AX126" s="92"/>
      <c r="AY126" s="92"/>
      <c r="AZ126" s="92"/>
    </row>
    <row r="127" spans="1:52">
      <c r="A127" s="92"/>
      <c r="B127" s="92"/>
      <c r="C127" s="92"/>
      <c r="D127" s="92"/>
      <c r="E127" s="92"/>
      <c r="F127" s="92"/>
      <c r="G127" s="92"/>
      <c r="H127" s="92"/>
      <c r="I127" s="92"/>
      <c r="J127" s="92"/>
      <c r="K127" s="36"/>
      <c r="L127" s="92"/>
      <c r="M127" s="92"/>
      <c r="N127" s="92"/>
      <c r="O127" s="205"/>
      <c r="P127" s="92"/>
      <c r="Q127" s="92"/>
      <c r="R127" s="92"/>
      <c r="S127" s="92"/>
      <c r="T127" s="92"/>
      <c r="U127" s="92"/>
      <c r="V127" s="92"/>
      <c r="W127" s="92"/>
      <c r="X127" s="92"/>
      <c r="Y127" s="92"/>
      <c r="Z127" s="92"/>
      <c r="AA127" s="92"/>
      <c r="AB127" s="92"/>
      <c r="AC127" s="92"/>
      <c r="AD127" s="92"/>
      <c r="AE127" s="92"/>
      <c r="AF127" s="92"/>
      <c r="AG127" s="92"/>
      <c r="AH127" s="92"/>
      <c r="AI127" s="92"/>
      <c r="AJ127" s="92"/>
      <c r="AK127" s="92"/>
      <c r="AL127" s="92"/>
      <c r="AM127" s="92"/>
      <c r="AN127" s="92"/>
      <c r="AO127" s="92"/>
      <c r="AP127" s="92"/>
      <c r="AQ127" s="92"/>
      <c r="AR127" s="92"/>
      <c r="AS127" s="92"/>
      <c r="AT127" s="92"/>
      <c r="AU127" s="92"/>
      <c r="AV127" s="92"/>
      <c r="AW127" s="92"/>
      <c r="AX127" s="92"/>
      <c r="AY127" s="92"/>
      <c r="AZ127" s="92"/>
    </row>
    <row r="128" spans="1:52">
      <c r="A128" s="92"/>
      <c r="B128" s="92"/>
      <c r="C128" s="92"/>
      <c r="D128" s="92"/>
      <c r="E128" s="92"/>
      <c r="F128" s="92"/>
      <c r="G128" s="92"/>
      <c r="H128" s="92"/>
      <c r="I128" s="92"/>
      <c r="J128" s="92"/>
      <c r="K128" s="36"/>
      <c r="L128" s="92"/>
      <c r="M128" s="92"/>
      <c r="N128" s="92"/>
      <c r="O128" s="205"/>
      <c r="P128" s="92"/>
      <c r="Q128" s="92"/>
      <c r="R128" s="92"/>
      <c r="S128" s="92"/>
      <c r="T128" s="92"/>
      <c r="U128" s="92"/>
      <c r="V128" s="92"/>
      <c r="W128" s="92"/>
      <c r="X128" s="92"/>
      <c r="Y128" s="92"/>
      <c r="Z128" s="92"/>
      <c r="AA128" s="92"/>
      <c r="AB128" s="92"/>
      <c r="AC128" s="92"/>
      <c r="AD128" s="92"/>
      <c r="AE128" s="92"/>
      <c r="AF128" s="92"/>
      <c r="AG128" s="92"/>
      <c r="AH128" s="92"/>
      <c r="AI128" s="92"/>
      <c r="AJ128" s="92"/>
      <c r="AK128" s="92"/>
      <c r="AL128" s="92"/>
      <c r="AM128" s="92"/>
      <c r="AN128" s="92"/>
      <c r="AO128" s="92"/>
      <c r="AP128" s="92"/>
      <c r="AQ128" s="92"/>
      <c r="AR128" s="92"/>
      <c r="AS128" s="92"/>
      <c r="AT128" s="92"/>
      <c r="AU128" s="92"/>
      <c r="AV128" s="92"/>
      <c r="AW128" s="92"/>
      <c r="AX128" s="92"/>
      <c r="AY128" s="92"/>
      <c r="AZ128" s="92"/>
    </row>
    <row r="129" spans="1:52">
      <c r="A129" s="92"/>
      <c r="B129" s="92"/>
      <c r="C129" s="92"/>
      <c r="D129" s="92"/>
      <c r="E129" s="92"/>
      <c r="F129" s="92"/>
      <c r="G129" s="92"/>
      <c r="H129" s="92"/>
      <c r="I129" s="92"/>
      <c r="J129" s="92"/>
      <c r="K129" s="36"/>
      <c r="L129" s="92"/>
      <c r="M129" s="92"/>
      <c r="N129" s="92"/>
      <c r="O129" s="205"/>
      <c r="P129" s="92"/>
      <c r="Q129" s="92"/>
      <c r="R129" s="92"/>
      <c r="S129" s="92"/>
      <c r="T129" s="92"/>
      <c r="U129" s="92"/>
      <c r="V129" s="92"/>
      <c r="W129" s="92"/>
      <c r="X129" s="92"/>
      <c r="Y129" s="92"/>
      <c r="Z129" s="92"/>
      <c r="AA129" s="92"/>
      <c r="AB129" s="92"/>
      <c r="AC129" s="92"/>
      <c r="AD129" s="92"/>
      <c r="AE129" s="92"/>
      <c r="AF129" s="92"/>
      <c r="AG129" s="92"/>
      <c r="AH129" s="92"/>
      <c r="AI129" s="92"/>
      <c r="AJ129" s="92"/>
      <c r="AK129" s="92"/>
      <c r="AL129" s="92"/>
      <c r="AM129" s="92"/>
      <c r="AN129" s="92"/>
      <c r="AO129" s="92"/>
      <c r="AP129" s="92"/>
      <c r="AQ129" s="92"/>
      <c r="AR129" s="92"/>
      <c r="AS129" s="92"/>
      <c r="AT129" s="92"/>
      <c r="AU129" s="92"/>
      <c r="AV129" s="92"/>
      <c r="AW129" s="92"/>
      <c r="AX129" s="92"/>
      <c r="AY129" s="92"/>
      <c r="AZ129" s="92"/>
    </row>
    <row r="130" spans="1:52">
      <c r="A130" s="92"/>
      <c r="B130" s="92"/>
      <c r="C130" s="92"/>
      <c r="D130" s="92"/>
      <c r="E130" s="92"/>
      <c r="F130" s="92"/>
      <c r="G130" s="92"/>
      <c r="H130" s="92"/>
      <c r="I130" s="92"/>
      <c r="J130" s="92"/>
      <c r="K130" s="36"/>
      <c r="L130" s="92"/>
      <c r="M130" s="92"/>
      <c r="N130" s="92"/>
      <c r="O130" s="205"/>
      <c r="P130" s="92"/>
      <c r="Q130" s="92"/>
      <c r="R130" s="92"/>
      <c r="S130" s="92"/>
      <c r="T130" s="92"/>
      <c r="U130" s="92"/>
      <c r="V130" s="92"/>
      <c r="W130" s="92"/>
      <c r="X130" s="92"/>
      <c r="Y130" s="92"/>
      <c r="Z130" s="92"/>
      <c r="AA130" s="92"/>
      <c r="AB130" s="92"/>
      <c r="AC130" s="92"/>
      <c r="AD130" s="92"/>
      <c r="AE130" s="92"/>
      <c r="AF130" s="92"/>
      <c r="AG130" s="92"/>
      <c r="AH130" s="92"/>
      <c r="AI130" s="92"/>
      <c r="AJ130" s="92"/>
      <c r="AK130" s="92"/>
      <c r="AL130" s="92"/>
      <c r="AM130" s="92"/>
      <c r="AN130" s="92"/>
      <c r="AO130" s="92"/>
      <c r="AP130" s="92"/>
      <c r="AQ130" s="92"/>
      <c r="AR130" s="92"/>
      <c r="AS130" s="92"/>
      <c r="AT130" s="92"/>
      <c r="AU130" s="92"/>
      <c r="AV130" s="92"/>
      <c r="AW130" s="92"/>
      <c r="AX130" s="92"/>
      <c r="AY130" s="92"/>
      <c r="AZ130" s="92"/>
    </row>
    <row r="131" spans="1:52">
      <c r="A131" s="92"/>
      <c r="B131" s="92"/>
      <c r="C131" s="92"/>
      <c r="D131" s="92"/>
      <c r="E131" s="92"/>
      <c r="F131" s="92"/>
      <c r="G131" s="92"/>
      <c r="H131" s="92"/>
      <c r="I131" s="92"/>
      <c r="J131" s="92"/>
      <c r="K131" s="92"/>
      <c r="L131" s="92"/>
      <c r="M131" s="92"/>
      <c r="N131" s="92"/>
      <c r="O131" s="205"/>
      <c r="P131" s="92"/>
      <c r="Q131" s="92"/>
      <c r="R131" s="92"/>
      <c r="S131" s="92"/>
      <c r="T131" s="92"/>
      <c r="U131" s="92"/>
      <c r="V131" s="92"/>
      <c r="W131" s="92"/>
      <c r="X131" s="92"/>
      <c r="Y131" s="92"/>
      <c r="Z131" s="92"/>
      <c r="AA131" s="92"/>
      <c r="AB131" s="92"/>
      <c r="AC131" s="92"/>
      <c r="AD131" s="92"/>
      <c r="AE131" s="92"/>
      <c r="AF131" s="92"/>
      <c r="AG131" s="92"/>
      <c r="AH131" s="92"/>
      <c r="AI131" s="92"/>
      <c r="AJ131" s="92"/>
      <c r="AK131" s="92"/>
      <c r="AL131" s="92"/>
      <c r="AM131" s="92"/>
      <c r="AN131" s="92"/>
      <c r="AO131" s="92"/>
      <c r="AP131" s="92"/>
      <c r="AQ131" s="92"/>
      <c r="AR131" s="92"/>
      <c r="AS131" s="92"/>
      <c r="AT131" s="92"/>
      <c r="AU131" s="92"/>
      <c r="AV131" s="92"/>
      <c r="AW131" s="92"/>
      <c r="AX131" s="92"/>
      <c r="AY131" s="92"/>
      <c r="AZ131" s="92"/>
    </row>
    <row r="132" spans="1:52">
      <c r="A132" s="92"/>
      <c r="B132" s="92"/>
      <c r="C132" s="92"/>
      <c r="D132" s="92"/>
      <c r="E132" s="92"/>
      <c r="F132" s="92"/>
      <c r="G132" s="92"/>
      <c r="H132" s="92"/>
      <c r="I132" s="92"/>
      <c r="J132" s="92"/>
      <c r="K132" s="92"/>
      <c r="L132" s="92"/>
      <c r="M132" s="92"/>
      <c r="N132" s="92"/>
      <c r="O132" s="205"/>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row>
    <row r="133" spans="1:52">
      <c r="A133" s="92"/>
      <c r="B133" s="92"/>
      <c r="C133" s="92"/>
      <c r="D133" s="92"/>
      <c r="E133" s="92"/>
      <c r="F133" s="92"/>
      <c r="G133" s="92"/>
      <c r="H133" s="92"/>
      <c r="I133" s="92"/>
      <c r="J133" s="92"/>
      <c r="K133" s="92"/>
      <c r="L133" s="92"/>
      <c r="M133" s="92"/>
      <c r="N133" s="92"/>
      <c r="O133" s="205"/>
      <c r="P133" s="92"/>
      <c r="Q133" s="92"/>
      <c r="R133" s="92"/>
      <c r="S133" s="92"/>
      <c r="T133" s="92"/>
      <c r="U133" s="92"/>
      <c r="V133" s="92"/>
      <c r="W133" s="92"/>
      <c r="X133" s="92"/>
      <c r="Y133" s="92"/>
      <c r="Z133" s="92"/>
      <c r="AA133" s="92"/>
      <c r="AB133" s="92"/>
      <c r="AC133" s="92"/>
      <c r="AD133" s="92"/>
      <c r="AE133" s="92"/>
      <c r="AF133" s="92"/>
      <c r="AG133" s="92"/>
      <c r="AH133" s="92"/>
      <c r="AI133" s="92"/>
      <c r="AJ133" s="92"/>
      <c r="AK133" s="92"/>
      <c r="AL133" s="92"/>
      <c r="AM133" s="92"/>
      <c r="AN133" s="92"/>
      <c r="AO133" s="92"/>
      <c r="AP133" s="92"/>
      <c r="AQ133" s="92"/>
      <c r="AR133" s="92"/>
      <c r="AS133" s="92"/>
      <c r="AT133" s="92"/>
      <c r="AU133" s="92"/>
      <c r="AV133" s="92"/>
      <c r="AW133" s="92"/>
      <c r="AX133" s="92"/>
      <c r="AY133" s="92"/>
      <c r="AZ133" s="92"/>
    </row>
    <row r="134" spans="1:52">
      <c r="A134" s="92"/>
      <c r="B134" s="92"/>
      <c r="C134" s="92"/>
      <c r="D134" s="92"/>
      <c r="E134" s="92"/>
      <c r="F134" s="92"/>
      <c r="G134" s="92"/>
      <c r="H134" s="92"/>
      <c r="I134" s="92"/>
      <c r="J134" s="92"/>
      <c r="K134" s="92"/>
      <c r="L134" s="92"/>
      <c r="M134" s="92"/>
      <c r="N134" s="92"/>
      <c r="O134" s="205"/>
      <c r="P134" s="92"/>
      <c r="Q134" s="92"/>
      <c r="R134" s="92"/>
      <c r="S134" s="92"/>
      <c r="T134" s="92"/>
      <c r="U134" s="92"/>
      <c r="V134" s="92"/>
      <c r="W134" s="92"/>
      <c r="X134" s="92"/>
      <c r="Y134" s="92"/>
      <c r="Z134" s="92"/>
      <c r="AA134" s="92"/>
      <c r="AB134" s="92"/>
      <c r="AC134" s="92"/>
      <c r="AD134" s="92"/>
      <c r="AE134" s="92"/>
      <c r="AF134" s="92"/>
      <c r="AG134" s="92"/>
      <c r="AH134" s="92"/>
      <c r="AI134" s="92"/>
      <c r="AJ134" s="92"/>
      <c r="AK134" s="92"/>
      <c r="AL134" s="92"/>
      <c r="AM134" s="92"/>
      <c r="AN134" s="92"/>
      <c r="AO134" s="92"/>
      <c r="AP134" s="92"/>
      <c r="AQ134" s="92"/>
      <c r="AR134" s="92"/>
      <c r="AS134" s="92"/>
      <c r="AT134" s="92"/>
      <c r="AU134" s="92"/>
      <c r="AV134" s="92"/>
      <c r="AW134" s="92"/>
      <c r="AX134" s="92"/>
      <c r="AY134" s="92"/>
      <c r="AZ134" s="92"/>
    </row>
    <row r="135" spans="1:52">
      <c r="A135" s="92"/>
      <c r="B135" s="92"/>
      <c r="C135" s="92"/>
      <c r="D135" s="92"/>
      <c r="E135" s="92"/>
      <c r="F135" s="92"/>
      <c r="G135" s="92"/>
      <c r="H135" s="92"/>
      <c r="I135" s="92"/>
      <c r="J135" s="92"/>
      <c r="K135" s="92"/>
      <c r="L135" s="92"/>
      <c r="M135" s="92"/>
      <c r="N135" s="92"/>
      <c r="O135" s="205"/>
      <c r="P135" s="92"/>
      <c r="Q135" s="92"/>
      <c r="R135" s="92"/>
      <c r="S135" s="92"/>
      <c r="T135" s="92"/>
      <c r="U135" s="92"/>
      <c r="V135" s="92"/>
      <c r="W135" s="92"/>
      <c r="X135" s="92"/>
      <c r="Y135" s="92"/>
      <c r="Z135" s="92"/>
      <c r="AA135" s="92"/>
      <c r="AB135" s="92"/>
      <c r="AC135" s="92"/>
      <c r="AD135" s="92"/>
      <c r="AE135" s="92"/>
      <c r="AF135" s="92"/>
      <c r="AG135" s="92"/>
      <c r="AH135" s="92"/>
      <c r="AI135" s="92"/>
      <c r="AJ135" s="92"/>
      <c r="AK135" s="92"/>
      <c r="AL135" s="92"/>
      <c r="AM135" s="92"/>
      <c r="AN135" s="92"/>
      <c r="AO135" s="92"/>
      <c r="AP135" s="92"/>
      <c r="AQ135" s="92"/>
      <c r="AR135" s="92"/>
      <c r="AS135" s="92"/>
      <c r="AT135" s="92"/>
      <c r="AU135" s="92"/>
      <c r="AV135" s="92"/>
      <c r="AW135" s="92"/>
      <c r="AX135" s="92"/>
      <c r="AY135" s="92"/>
      <c r="AZ135" s="92"/>
    </row>
    <row r="136" spans="1:52">
      <c r="A136" s="92"/>
      <c r="B136" s="92"/>
      <c r="C136" s="92"/>
      <c r="D136" s="92"/>
      <c r="E136" s="92"/>
      <c r="F136" s="92"/>
      <c r="G136" s="92"/>
      <c r="H136" s="92"/>
      <c r="I136" s="92"/>
      <c r="J136" s="92"/>
      <c r="K136" s="92"/>
      <c r="L136" s="92"/>
      <c r="M136" s="92"/>
      <c r="N136" s="92"/>
      <c r="O136" s="205"/>
      <c r="P136" s="92"/>
      <c r="Q136" s="92"/>
      <c r="R136" s="92"/>
      <c r="S136" s="92"/>
      <c r="T136" s="92"/>
      <c r="U136" s="92"/>
      <c r="V136" s="92"/>
      <c r="W136" s="92"/>
      <c r="X136" s="92"/>
      <c r="Y136" s="92"/>
      <c r="Z136" s="92"/>
      <c r="AA136" s="92"/>
      <c r="AB136" s="92"/>
      <c r="AC136" s="92"/>
      <c r="AD136" s="92"/>
      <c r="AE136" s="92"/>
      <c r="AF136" s="92"/>
      <c r="AG136" s="92"/>
      <c r="AH136" s="92"/>
      <c r="AI136" s="92"/>
      <c r="AJ136" s="92"/>
      <c r="AK136" s="92"/>
      <c r="AL136" s="92"/>
      <c r="AM136" s="92"/>
      <c r="AN136" s="92"/>
      <c r="AO136" s="92"/>
      <c r="AP136" s="92"/>
      <c r="AQ136" s="92"/>
      <c r="AR136" s="92"/>
      <c r="AS136" s="92"/>
      <c r="AT136" s="92"/>
      <c r="AU136" s="92"/>
      <c r="AV136" s="92"/>
      <c r="AW136" s="92"/>
      <c r="AX136" s="92"/>
      <c r="AY136" s="92"/>
      <c r="AZ136" s="92"/>
    </row>
    <row r="137" spans="1:52">
      <c r="A137" s="92"/>
      <c r="B137" s="92"/>
      <c r="C137" s="92"/>
      <c r="D137" s="92"/>
      <c r="E137" s="92"/>
      <c r="F137" s="92"/>
      <c r="G137" s="92"/>
      <c r="H137" s="92"/>
      <c r="I137" s="92"/>
      <c r="J137" s="92"/>
      <c r="K137" s="92"/>
      <c r="L137" s="92"/>
      <c r="M137" s="92"/>
      <c r="N137" s="92"/>
      <c r="O137" s="205"/>
      <c r="P137" s="92"/>
      <c r="Q137" s="92"/>
      <c r="R137" s="92"/>
      <c r="S137" s="92"/>
      <c r="T137" s="92"/>
      <c r="U137" s="92"/>
      <c r="V137" s="92"/>
      <c r="W137" s="92"/>
      <c r="X137" s="92"/>
      <c r="Y137" s="92"/>
      <c r="Z137" s="92"/>
      <c r="AA137" s="92"/>
      <c r="AB137" s="92"/>
      <c r="AC137" s="92"/>
      <c r="AD137" s="92"/>
      <c r="AE137" s="92"/>
      <c r="AF137" s="92"/>
      <c r="AG137" s="92"/>
      <c r="AH137" s="92"/>
      <c r="AI137" s="92"/>
      <c r="AJ137" s="92"/>
      <c r="AK137" s="92"/>
      <c r="AL137" s="92"/>
      <c r="AM137" s="92"/>
      <c r="AN137" s="92"/>
      <c r="AO137" s="92"/>
      <c r="AP137" s="92"/>
      <c r="AQ137" s="92"/>
      <c r="AR137" s="92"/>
      <c r="AS137" s="92"/>
      <c r="AT137" s="92"/>
      <c r="AU137" s="92"/>
      <c r="AV137" s="92"/>
      <c r="AW137" s="92"/>
      <c r="AX137" s="92"/>
      <c r="AY137" s="92"/>
      <c r="AZ137" s="92"/>
    </row>
    <row r="138" spans="1:52">
      <c r="A138" s="92"/>
      <c r="B138" s="92"/>
      <c r="C138" s="92"/>
      <c r="D138" s="92"/>
      <c r="E138" s="92"/>
      <c r="F138" s="92"/>
      <c r="G138" s="92"/>
      <c r="H138" s="92"/>
      <c r="I138" s="92"/>
      <c r="J138" s="92"/>
      <c r="K138" s="92"/>
      <c r="L138" s="92"/>
      <c r="M138" s="92"/>
      <c r="N138" s="92"/>
      <c r="O138" s="205"/>
      <c r="P138" s="92"/>
      <c r="Q138" s="92"/>
      <c r="R138" s="92"/>
      <c r="S138" s="92"/>
      <c r="T138" s="92"/>
      <c r="U138" s="92"/>
      <c r="V138" s="92"/>
      <c r="W138" s="92"/>
      <c r="X138" s="92"/>
      <c r="Y138" s="92"/>
      <c r="Z138" s="92"/>
      <c r="AA138" s="92"/>
      <c r="AB138" s="92"/>
      <c r="AC138" s="92"/>
      <c r="AD138" s="92"/>
      <c r="AE138" s="92"/>
      <c r="AF138" s="92"/>
      <c r="AG138" s="92"/>
      <c r="AH138" s="92"/>
      <c r="AI138" s="92"/>
      <c r="AJ138" s="92"/>
      <c r="AK138" s="92"/>
      <c r="AL138" s="92"/>
      <c r="AM138" s="92"/>
      <c r="AN138" s="92"/>
      <c r="AO138" s="92"/>
      <c r="AP138" s="92"/>
      <c r="AQ138" s="92"/>
      <c r="AR138" s="92"/>
      <c r="AS138" s="92"/>
      <c r="AT138" s="92"/>
      <c r="AU138" s="92"/>
      <c r="AV138" s="92"/>
      <c r="AW138" s="92"/>
      <c r="AX138" s="92"/>
      <c r="AY138" s="92"/>
      <c r="AZ138" s="92"/>
    </row>
    <row r="139" spans="1:52">
      <c r="A139" s="92"/>
      <c r="B139" s="92"/>
      <c r="C139" s="92"/>
      <c r="D139" s="92"/>
      <c r="E139" s="92"/>
      <c r="F139" s="92"/>
      <c r="G139" s="92"/>
      <c r="H139" s="92"/>
      <c r="I139" s="92"/>
      <c r="J139" s="92"/>
      <c r="K139" s="92"/>
      <c r="L139" s="92"/>
      <c r="M139" s="92"/>
      <c r="N139" s="92"/>
      <c r="O139" s="205"/>
      <c r="P139" s="92"/>
      <c r="Q139" s="92"/>
      <c r="R139" s="92"/>
      <c r="S139" s="92"/>
      <c r="T139" s="92"/>
      <c r="U139" s="92"/>
      <c r="V139" s="92"/>
      <c r="W139" s="92"/>
      <c r="X139" s="92"/>
      <c r="Y139" s="92"/>
      <c r="Z139" s="92"/>
      <c r="AA139" s="92"/>
      <c r="AB139" s="92"/>
      <c r="AC139" s="92"/>
      <c r="AD139" s="92"/>
      <c r="AE139" s="92"/>
      <c r="AF139" s="92"/>
      <c r="AG139" s="92"/>
      <c r="AH139" s="92"/>
      <c r="AI139" s="92"/>
      <c r="AJ139" s="92"/>
      <c r="AK139" s="92"/>
      <c r="AL139" s="92"/>
      <c r="AM139" s="92"/>
      <c r="AN139" s="92"/>
      <c r="AO139" s="92"/>
      <c r="AP139" s="92"/>
      <c r="AQ139" s="92"/>
      <c r="AR139" s="92"/>
      <c r="AS139" s="92"/>
      <c r="AT139" s="92"/>
      <c r="AU139" s="92"/>
      <c r="AV139" s="92"/>
      <c r="AW139" s="92"/>
      <c r="AX139" s="92"/>
      <c r="AY139" s="92"/>
      <c r="AZ139" s="92"/>
    </row>
    <row r="140" spans="1:52">
      <c r="A140" s="92"/>
      <c r="B140" s="92"/>
      <c r="C140" s="92"/>
      <c r="D140" s="92"/>
      <c r="E140" s="92"/>
      <c r="F140" s="92"/>
      <c r="G140" s="92"/>
      <c r="H140" s="92"/>
      <c r="I140" s="92"/>
      <c r="J140" s="92"/>
      <c r="K140" s="92"/>
      <c r="L140" s="92"/>
      <c r="M140" s="92"/>
      <c r="N140" s="92"/>
      <c r="O140" s="205"/>
      <c r="P140" s="92"/>
      <c r="Q140" s="92"/>
      <c r="R140" s="92"/>
      <c r="S140" s="92"/>
      <c r="T140" s="92"/>
      <c r="U140" s="92"/>
      <c r="V140" s="92"/>
      <c r="W140" s="92"/>
      <c r="X140" s="92"/>
      <c r="Y140" s="92"/>
      <c r="Z140" s="92"/>
      <c r="AA140" s="92"/>
      <c r="AB140" s="92"/>
      <c r="AC140" s="92"/>
      <c r="AD140" s="92"/>
      <c r="AE140" s="92"/>
      <c r="AF140" s="92"/>
      <c r="AG140" s="92"/>
      <c r="AH140" s="92"/>
      <c r="AI140" s="92"/>
      <c r="AJ140" s="92"/>
      <c r="AK140" s="92"/>
      <c r="AL140" s="92"/>
      <c r="AM140" s="92"/>
      <c r="AN140" s="92"/>
      <c r="AO140" s="92"/>
      <c r="AP140" s="92"/>
      <c r="AQ140" s="92"/>
      <c r="AR140" s="92"/>
      <c r="AS140" s="92"/>
      <c r="AT140" s="92"/>
      <c r="AU140" s="92"/>
      <c r="AV140" s="92"/>
      <c r="AW140" s="92"/>
      <c r="AX140" s="92"/>
      <c r="AY140" s="92"/>
      <c r="AZ140" s="92"/>
    </row>
    <row r="141" spans="1:52">
      <c r="A141" s="92"/>
      <c r="B141" s="92"/>
      <c r="C141" s="92"/>
      <c r="D141" s="92"/>
      <c r="E141" s="92"/>
      <c r="F141" s="92"/>
      <c r="G141" s="92"/>
      <c r="H141" s="92"/>
      <c r="I141" s="92"/>
      <c r="J141" s="92"/>
      <c r="K141" s="92"/>
      <c r="L141" s="92"/>
      <c r="M141" s="92"/>
      <c r="N141" s="92"/>
      <c r="O141" s="205"/>
      <c r="P141" s="92"/>
      <c r="Q141" s="92"/>
      <c r="R141" s="92"/>
      <c r="S141" s="92"/>
      <c r="T141" s="92"/>
      <c r="U141" s="92"/>
      <c r="V141" s="92"/>
      <c r="W141" s="92"/>
      <c r="X141" s="92"/>
      <c r="Y141" s="92"/>
      <c r="Z141" s="92"/>
      <c r="AA141" s="92"/>
      <c r="AB141" s="92"/>
      <c r="AC141" s="92"/>
      <c r="AD141" s="92"/>
      <c r="AE141" s="92"/>
      <c r="AF141" s="92"/>
      <c r="AG141" s="92"/>
      <c r="AH141" s="92"/>
      <c r="AI141" s="92"/>
      <c r="AJ141" s="92"/>
      <c r="AK141" s="92"/>
      <c r="AL141" s="92"/>
      <c r="AM141" s="92"/>
      <c r="AN141" s="92"/>
      <c r="AO141" s="92"/>
      <c r="AP141" s="92"/>
      <c r="AQ141" s="92"/>
      <c r="AR141" s="92"/>
      <c r="AS141" s="92"/>
      <c r="AT141" s="92"/>
      <c r="AU141" s="92"/>
      <c r="AV141" s="92"/>
      <c r="AW141" s="92"/>
      <c r="AX141" s="92"/>
      <c r="AY141" s="92"/>
      <c r="AZ141" s="92"/>
    </row>
    <row r="142" spans="1:52">
      <c r="A142" s="92"/>
      <c r="B142" s="92"/>
      <c r="C142" s="92"/>
      <c r="D142" s="92"/>
      <c r="E142" s="92"/>
      <c r="F142" s="92"/>
      <c r="G142" s="92"/>
      <c r="H142" s="92"/>
      <c r="I142" s="92"/>
      <c r="J142" s="92"/>
      <c r="K142" s="92"/>
      <c r="L142" s="92"/>
      <c r="M142" s="92"/>
      <c r="N142" s="92"/>
      <c r="O142" s="205"/>
      <c r="P142" s="92"/>
      <c r="Q142" s="92"/>
      <c r="R142" s="92"/>
      <c r="S142" s="92"/>
      <c r="T142" s="92"/>
      <c r="U142" s="92"/>
      <c r="V142" s="92"/>
      <c r="W142" s="92"/>
      <c r="X142" s="92"/>
      <c r="Y142" s="92"/>
      <c r="Z142" s="92"/>
      <c r="AA142" s="92"/>
      <c r="AB142" s="92"/>
      <c r="AC142" s="92"/>
      <c r="AD142" s="92"/>
      <c r="AE142" s="92"/>
      <c r="AF142" s="92"/>
      <c r="AG142" s="92"/>
      <c r="AH142" s="92"/>
      <c r="AI142" s="92"/>
      <c r="AJ142" s="92"/>
      <c r="AK142" s="92"/>
      <c r="AL142" s="92"/>
      <c r="AM142" s="92"/>
      <c r="AN142" s="92"/>
      <c r="AO142" s="92"/>
      <c r="AP142" s="92"/>
      <c r="AQ142" s="92"/>
      <c r="AR142" s="92"/>
      <c r="AS142" s="92"/>
      <c r="AT142" s="92"/>
      <c r="AU142" s="92"/>
      <c r="AV142" s="92"/>
      <c r="AW142" s="92"/>
      <c r="AX142" s="92"/>
      <c r="AY142" s="92"/>
      <c r="AZ142" s="92"/>
    </row>
    <row r="143" spans="1:52">
      <c r="A143" s="92"/>
      <c r="B143" s="92"/>
      <c r="C143" s="92"/>
      <c r="D143" s="92"/>
      <c r="E143" s="92"/>
      <c r="F143" s="92"/>
      <c r="G143" s="92"/>
      <c r="H143" s="92"/>
      <c r="I143" s="92"/>
      <c r="J143" s="92"/>
      <c r="K143" s="92"/>
      <c r="L143" s="92"/>
      <c r="M143" s="92"/>
      <c r="N143" s="92"/>
      <c r="O143" s="205"/>
      <c r="P143" s="92"/>
      <c r="Q143" s="92"/>
      <c r="R143" s="92"/>
      <c r="S143" s="92"/>
      <c r="T143" s="92"/>
      <c r="U143" s="92"/>
      <c r="V143" s="92"/>
      <c r="W143" s="92"/>
      <c r="X143" s="92"/>
      <c r="Y143" s="92"/>
      <c r="Z143" s="92"/>
      <c r="AA143" s="92"/>
      <c r="AB143" s="92"/>
      <c r="AC143" s="92"/>
      <c r="AD143" s="92"/>
      <c r="AE143" s="92"/>
      <c r="AF143" s="92"/>
      <c r="AG143" s="92"/>
      <c r="AH143" s="92"/>
      <c r="AI143" s="92"/>
      <c r="AJ143" s="92"/>
      <c r="AK143" s="92"/>
      <c r="AL143" s="92"/>
      <c r="AM143" s="92"/>
      <c r="AN143" s="92"/>
      <c r="AO143" s="92"/>
      <c r="AP143" s="92"/>
      <c r="AQ143" s="92"/>
      <c r="AR143" s="92"/>
      <c r="AS143" s="92"/>
      <c r="AT143" s="92"/>
      <c r="AU143" s="92"/>
      <c r="AV143" s="92"/>
      <c r="AW143" s="92"/>
      <c r="AX143" s="92"/>
      <c r="AY143" s="92"/>
      <c r="AZ143" s="92"/>
    </row>
    <row r="144" spans="1:52">
      <c r="A144" s="92"/>
      <c r="B144" s="92"/>
      <c r="C144" s="92"/>
      <c r="D144" s="92"/>
      <c r="E144" s="92"/>
      <c r="F144" s="92"/>
      <c r="G144" s="92"/>
      <c r="H144" s="92"/>
      <c r="I144" s="92"/>
      <c r="J144" s="92"/>
      <c r="K144" s="92"/>
      <c r="L144" s="92"/>
      <c r="M144" s="92"/>
      <c r="N144" s="92"/>
      <c r="O144" s="205"/>
      <c r="P144" s="92"/>
      <c r="Q144" s="92"/>
      <c r="R144" s="92"/>
      <c r="S144" s="92"/>
      <c r="T144" s="92"/>
      <c r="U144" s="92"/>
      <c r="V144" s="92"/>
      <c r="W144" s="92"/>
      <c r="X144" s="92"/>
      <c r="Y144" s="92"/>
      <c r="Z144" s="92"/>
      <c r="AA144" s="92"/>
      <c r="AB144" s="92"/>
      <c r="AC144" s="92"/>
      <c r="AD144" s="92"/>
      <c r="AE144" s="92"/>
      <c r="AF144" s="92"/>
      <c r="AG144" s="92"/>
      <c r="AH144" s="92"/>
      <c r="AI144" s="92"/>
      <c r="AJ144" s="92"/>
      <c r="AK144" s="92"/>
      <c r="AL144" s="92"/>
      <c r="AM144" s="92"/>
      <c r="AN144" s="92"/>
      <c r="AO144" s="92"/>
      <c r="AP144" s="92"/>
      <c r="AQ144" s="92"/>
      <c r="AR144" s="92"/>
      <c r="AS144" s="92"/>
      <c r="AT144" s="92"/>
      <c r="AU144" s="92"/>
      <c r="AV144" s="92"/>
      <c r="AW144" s="92"/>
      <c r="AX144" s="92"/>
      <c r="AY144" s="92"/>
      <c r="AZ144" s="92"/>
    </row>
    <row r="145" spans="1:52">
      <c r="A145" s="92"/>
      <c r="B145" s="92"/>
      <c r="C145" s="92"/>
      <c r="D145" s="92"/>
      <c r="E145" s="92"/>
      <c r="F145" s="92"/>
      <c r="G145" s="92"/>
      <c r="H145" s="92"/>
      <c r="I145" s="92"/>
      <c r="J145" s="92"/>
      <c r="K145" s="92"/>
      <c r="L145" s="92"/>
      <c r="M145" s="92"/>
      <c r="N145" s="92"/>
      <c r="O145" s="205"/>
      <c r="P145" s="92"/>
      <c r="Q145" s="92"/>
      <c r="R145" s="92"/>
      <c r="S145" s="92"/>
      <c r="T145" s="92"/>
      <c r="U145" s="92"/>
      <c r="V145" s="92"/>
      <c r="W145" s="92"/>
      <c r="X145" s="92"/>
      <c r="Y145" s="92"/>
      <c r="Z145" s="92"/>
      <c r="AA145" s="92"/>
      <c r="AB145" s="92"/>
      <c r="AC145" s="92"/>
      <c r="AD145" s="92"/>
      <c r="AE145" s="92"/>
      <c r="AF145" s="92"/>
      <c r="AG145" s="92"/>
      <c r="AH145" s="92"/>
      <c r="AI145" s="92"/>
      <c r="AJ145" s="92"/>
      <c r="AK145" s="92"/>
      <c r="AL145" s="92"/>
      <c r="AM145" s="92"/>
      <c r="AN145" s="92"/>
      <c r="AO145" s="92"/>
      <c r="AP145" s="92"/>
      <c r="AQ145" s="92"/>
      <c r="AR145" s="92"/>
      <c r="AS145" s="92"/>
      <c r="AT145" s="92"/>
      <c r="AU145" s="92"/>
      <c r="AV145" s="92"/>
      <c r="AW145" s="92"/>
      <c r="AX145" s="92"/>
      <c r="AY145" s="92"/>
      <c r="AZ145" s="92"/>
    </row>
    <row r="146" spans="1:52">
      <c r="A146" s="92"/>
      <c r="B146" s="92"/>
      <c r="C146" s="92"/>
      <c r="D146" s="92"/>
      <c r="E146" s="92"/>
      <c r="F146" s="92"/>
      <c r="G146" s="92"/>
      <c r="H146" s="92"/>
      <c r="I146" s="92"/>
      <c r="J146" s="92"/>
      <c r="K146" s="92"/>
      <c r="L146" s="92"/>
      <c r="M146" s="92"/>
      <c r="N146" s="92"/>
      <c r="O146" s="205"/>
      <c r="P146" s="92"/>
      <c r="Q146" s="92"/>
      <c r="R146" s="92"/>
      <c r="S146" s="92"/>
      <c r="T146" s="92"/>
      <c r="U146" s="92"/>
      <c r="V146" s="92"/>
      <c r="W146" s="92"/>
      <c r="X146" s="92"/>
      <c r="Y146" s="92"/>
      <c r="Z146" s="92"/>
      <c r="AA146" s="92"/>
      <c r="AB146" s="92"/>
      <c r="AC146" s="92"/>
      <c r="AD146" s="92"/>
      <c r="AE146" s="92"/>
      <c r="AF146" s="92"/>
      <c r="AG146" s="92"/>
      <c r="AH146" s="92"/>
      <c r="AI146" s="92"/>
      <c r="AJ146" s="92"/>
      <c r="AK146" s="92"/>
      <c r="AL146" s="92"/>
      <c r="AM146" s="92"/>
      <c r="AN146" s="92"/>
      <c r="AO146" s="92"/>
      <c r="AP146" s="92"/>
      <c r="AQ146" s="92"/>
      <c r="AR146" s="92"/>
      <c r="AS146" s="92"/>
      <c r="AT146" s="92"/>
      <c r="AU146" s="92"/>
      <c r="AV146" s="92"/>
      <c r="AW146" s="92"/>
      <c r="AX146" s="92"/>
      <c r="AY146" s="92"/>
      <c r="AZ146" s="92"/>
    </row>
    <row r="147" spans="1:52">
      <c r="A147" s="92"/>
      <c r="B147" s="92"/>
      <c r="C147" s="92"/>
      <c r="D147" s="92"/>
      <c r="E147" s="92"/>
      <c r="F147" s="92"/>
      <c r="G147" s="92"/>
      <c r="H147" s="92"/>
      <c r="I147" s="92"/>
      <c r="J147" s="92"/>
      <c r="K147" s="92"/>
      <c r="L147" s="92"/>
      <c r="M147" s="92"/>
      <c r="N147" s="92"/>
      <c r="O147" s="205"/>
      <c r="P147" s="92"/>
      <c r="Q147" s="92"/>
      <c r="R147" s="92"/>
      <c r="S147" s="92"/>
      <c r="T147" s="92"/>
      <c r="U147" s="92"/>
      <c r="V147" s="92"/>
      <c r="W147" s="92"/>
      <c r="X147" s="92"/>
      <c r="Y147" s="92"/>
      <c r="Z147" s="92"/>
      <c r="AA147" s="92"/>
      <c r="AB147" s="92"/>
      <c r="AC147" s="92"/>
      <c r="AD147" s="92"/>
      <c r="AE147" s="92"/>
      <c r="AF147" s="92"/>
      <c r="AG147" s="92"/>
      <c r="AH147" s="92"/>
      <c r="AI147" s="92"/>
      <c r="AJ147" s="92"/>
      <c r="AK147" s="92"/>
      <c r="AL147" s="92"/>
      <c r="AM147" s="92"/>
      <c r="AN147" s="92"/>
      <c r="AO147" s="92"/>
      <c r="AP147" s="92"/>
      <c r="AQ147" s="92"/>
      <c r="AR147" s="92"/>
      <c r="AS147" s="92"/>
      <c r="AT147" s="92"/>
      <c r="AU147" s="92"/>
      <c r="AV147" s="92"/>
      <c r="AW147" s="92"/>
      <c r="AX147" s="92"/>
      <c r="AY147" s="92"/>
      <c r="AZ147" s="92"/>
    </row>
    <row r="148" spans="1:52">
      <c r="A148" s="92"/>
      <c r="B148" s="92"/>
      <c r="C148" s="92"/>
      <c r="D148" s="92"/>
      <c r="E148" s="92"/>
      <c r="F148" s="92"/>
      <c r="G148" s="92"/>
      <c r="H148" s="92"/>
      <c r="I148" s="92"/>
      <c r="J148" s="92"/>
      <c r="K148" s="92"/>
      <c r="L148" s="92"/>
      <c r="M148" s="92"/>
      <c r="N148" s="92"/>
      <c r="O148" s="205"/>
      <c r="P148" s="92"/>
      <c r="Q148" s="92"/>
      <c r="R148" s="92"/>
      <c r="S148" s="92"/>
      <c r="T148" s="92"/>
      <c r="U148" s="92"/>
      <c r="V148" s="92"/>
      <c r="W148" s="92"/>
      <c r="X148" s="92"/>
      <c r="Y148" s="92"/>
      <c r="Z148" s="92"/>
      <c r="AA148" s="92"/>
      <c r="AB148" s="92"/>
      <c r="AC148" s="92"/>
      <c r="AD148" s="92"/>
      <c r="AE148" s="92"/>
      <c r="AF148" s="92"/>
      <c r="AG148" s="92"/>
      <c r="AH148" s="92"/>
      <c r="AI148" s="92"/>
      <c r="AJ148" s="92"/>
      <c r="AK148" s="92"/>
      <c r="AL148" s="92"/>
      <c r="AM148" s="92"/>
      <c r="AN148" s="92"/>
      <c r="AO148" s="92"/>
      <c r="AP148" s="92"/>
      <c r="AQ148" s="92"/>
      <c r="AR148" s="92"/>
      <c r="AS148" s="92"/>
      <c r="AT148" s="92"/>
      <c r="AU148" s="92"/>
      <c r="AV148" s="92"/>
      <c r="AW148" s="92"/>
      <c r="AX148" s="92"/>
      <c r="AY148" s="92"/>
      <c r="AZ148" s="92"/>
    </row>
    <row r="149" spans="1:52">
      <c r="A149" s="92"/>
      <c r="B149" s="92"/>
      <c r="C149" s="92"/>
      <c r="D149" s="92"/>
      <c r="E149" s="92"/>
      <c r="F149" s="92"/>
      <c r="G149" s="92"/>
      <c r="H149" s="92"/>
      <c r="I149" s="92"/>
      <c r="J149" s="92"/>
      <c r="K149" s="92"/>
      <c r="L149" s="92"/>
      <c r="M149" s="92"/>
      <c r="N149" s="92"/>
      <c r="O149" s="205"/>
      <c r="P149" s="92"/>
      <c r="Q149" s="92"/>
      <c r="R149" s="92"/>
      <c r="S149" s="92"/>
      <c r="T149" s="92"/>
      <c r="U149" s="92"/>
      <c r="V149" s="92"/>
      <c r="W149" s="92"/>
      <c r="X149" s="92"/>
      <c r="Y149" s="92"/>
      <c r="Z149" s="92"/>
      <c r="AA149" s="92"/>
      <c r="AB149" s="92"/>
      <c r="AC149" s="92"/>
      <c r="AD149" s="92"/>
      <c r="AE149" s="92"/>
      <c r="AF149" s="92"/>
      <c r="AG149" s="92"/>
      <c r="AH149" s="92"/>
      <c r="AI149" s="92"/>
      <c r="AJ149" s="92"/>
      <c r="AK149" s="92"/>
      <c r="AL149" s="92"/>
      <c r="AM149" s="92"/>
      <c r="AN149" s="92"/>
      <c r="AO149" s="92"/>
      <c r="AP149" s="92"/>
      <c r="AQ149" s="92"/>
      <c r="AR149" s="92"/>
      <c r="AS149" s="92"/>
      <c r="AT149" s="92"/>
      <c r="AU149" s="92"/>
      <c r="AV149" s="92"/>
      <c r="AW149" s="92"/>
      <c r="AX149" s="92"/>
      <c r="AY149" s="92"/>
      <c r="AZ149" s="92"/>
    </row>
    <row r="150" spans="1:52">
      <c r="A150" s="92"/>
      <c r="B150" s="92"/>
      <c r="C150" s="92"/>
      <c r="D150" s="92"/>
      <c r="E150" s="92"/>
      <c r="F150" s="92"/>
      <c r="G150" s="92"/>
      <c r="H150" s="92"/>
      <c r="I150" s="92"/>
      <c r="J150" s="92"/>
      <c r="K150" s="92"/>
      <c r="L150" s="92"/>
      <c r="M150" s="92"/>
      <c r="N150" s="92"/>
      <c r="O150" s="205"/>
      <c r="P150" s="92"/>
      <c r="Q150" s="92"/>
      <c r="R150" s="92"/>
      <c r="S150" s="92"/>
      <c r="T150" s="92"/>
      <c r="U150" s="92"/>
      <c r="V150" s="92"/>
      <c r="W150" s="92"/>
      <c r="X150" s="92"/>
      <c r="Y150" s="92"/>
      <c r="Z150" s="92"/>
      <c r="AA150" s="92"/>
      <c r="AB150" s="92"/>
      <c r="AC150" s="92"/>
      <c r="AD150" s="92"/>
      <c r="AE150" s="92"/>
      <c r="AF150" s="92"/>
      <c r="AG150" s="92"/>
      <c r="AH150" s="92"/>
      <c r="AI150" s="92"/>
      <c r="AJ150" s="92"/>
      <c r="AK150" s="92"/>
      <c r="AL150" s="92"/>
      <c r="AM150" s="92"/>
      <c r="AN150" s="92"/>
      <c r="AO150" s="92"/>
      <c r="AP150" s="92"/>
      <c r="AQ150" s="92"/>
      <c r="AR150" s="92"/>
      <c r="AS150" s="92"/>
      <c r="AT150" s="92"/>
      <c r="AU150" s="92"/>
      <c r="AV150" s="92"/>
      <c r="AW150" s="92"/>
      <c r="AX150" s="92"/>
      <c r="AY150" s="92"/>
      <c r="AZ150" s="92"/>
    </row>
    <row r="151" spans="1:52">
      <c r="A151" s="92"/>
      <c r="B151" s="92"/>
      <c r="C151" s="92"/>
      <c r="D151" s="92"/>
      <c r="E151" s="92"/>
      <c r="F151" s="92"/>
      <c r="G151" s="92"/>
      <c r="H151" s="92"/>
      <c r="I151" s="92"/>
      <c r="J151" s="92"/>
      <c r="K151" s="92"/>
      <c r="L151" s="92"/>
      <c r="M151" s="92"/>
      <c r="N151" s="92"/>
      <c r="O151" s="205"/>
      <c r="P151" s="92"/>
      <c r="Q151" s="92"/>
      <c r="R151" s="92"/>
      <c r="S151" s="92"/>
      <c r="T151" s="92"/>
      <c r="U151" s="92"/>
      <c r="V151" s="92"/>
      <c r="W151" s="92"/>
      <c r="X151" s="92"/>
      <c r="Y151" s="92"/>
      <c r="Z151" s="92"/>
      <c r="AA151" s="92"/>
      <c r="AB151" s="92"/>
      <c r="AC151" s="92"/>
      <c r="AD151" s="92"/>
      <c r="AE151" s="92"/>
      <c r="AF151" s="92"/>
      <c r="AG151" s="92"/>
      <c r="AH151" s="92"/>
      <c r="AI151" s="92"/>
      <c r="AJ151" s="92"/>
      <c r="AK151" s="92"/>
      <c r="AL151" s="92"/>
      <c r="AM151" s="92"/>
      <c r="AN151" s="92"/>
      <c r="AO151" s="92"/>
      <c r="AP151" s="92"/>
      <c r="AQ151" s="92"/>
      <c r="AR151" s="92"/>
      <c r="AS151" s="92"/>
      <c r="AT151" s="92"/>
      <c r="AU151" s="92"/>
      <c r="AV151" s="92"/>
      <c r="AW151" s="92"/>
      <c r="AX151" s="92"/>
      <c r="AY151" s="92"/>
      <c r="AZ151" s="92"/>
    </row>
    <row r="152" spans="1:52">
      <c r="A152" s="92"/>
      <c r="B152" s="92"/>
      <c r="C152" s="92"/>
      <c r="D152" s="92"/>
      <c r="E152" s="92"/>
      <c r="F152" s="92"/>
      <c r="G152" s="92"/>
      <c r="H152" s="92"/>
      <c r="I152" s="92"/>
      <c r="J152" s="92"/>
      <c r="K152" s="92"/>
      <c r="L152" s="92"/>
      <c r="M152" s="92"/>
      <c r="N152" s="92"/>
      <c r="O152" s="205"/>
      <c r="P152" s="92"/>
      <c r="Q152" s="92"/>
      <c r="R152" s="92"/>
      <c r="S152" s="92"/>
      <c r="T152" s="92"/>
      <c r="U152" s="92"/>
      <c r="V152" s="92"/>
      <c r="W152" s="92"/>
      <c r="X152" s="92"/>
      <c r="Y152" s="92"/>
      <c r="Z152" s="92"/>
      <c r="AA152" s="92"/>
      <c r="AB152" s="92"/>
      <c r="AC152" s="92"/>
      <c r="AD152" s="92"/>
      <c r="AE152" s="92"/>
      <c r="AF152" s="92"/>
      <c r="AG152" s="92"/>
      <c r="AH152" s="92"/>
      <c r="AI152" s="92"/>
      <c r="AJ152" s="92"/>
      <c r="AK152" s="92"/>
      <c r="AL152" s="92"/>
      <c r="AM152" s="92"/>
      <c r="AN152" s="92"/>
      <c r="AO152" s="92"/>
      <c r="AP152" s="92"/>
      <c r="AQ152" s="92"/>
      <c r="AR152" s="92"/>
      <c r="AS152" s="92"/>
      <c r="AT152" s="92"/>
      <c r="AU152" s="92"/>
      <c r="AV152" s="92"/>
      <c r="AW152" s="92"/>
      <c r="AX152" s="92"/>
      <c r="AY152" s="92"/>
      <c r="AZ152" s="92"/>
    </row>
    <row r="153" spans="1:52">
      <c r="A153" s="92"/>
      <c r="B153" s="92"/>
      <c r="C153" s="92"/>
      <c r="D153" s="92"/>
      <c r="E153" s="92"/>
      <c r="F153" s="92"/>
      <c r="G153" s="92"/>
      <c r="H153" s="92"/>
      <c r="I153" s="92"/>
      <c r="J153" s="92"/>
      <c r="K153" s="92"/>
      <c r="L153" s="92"/>
      <c r="M153" s="92"/>
      <c r="N153" s="92"/>
      <c r="O153" s="205"/>
      <c r="P153" s="92"/>
      <c r="Q153" s="92"/>
      <c r="R153" s="92"/>
      <c r="S153" s="92"/>
      <c r="T153" s="92"/>
      <c r="U153" s="92"/>
      <c r="V153" s="92"/>
      <c r="W153" s="92"/>
      <c r="X153" s="92"/>
      <c r="Y153" s="92"/>
      <c r="Z153" s="92"/>
      <c r="AA153" s="92"/>
      <c r="AB153" s="92"/>
      <c r="AC153" s="92"/>
      <c r="AD153" s="92"/>
      <c r="AE153" s="92"/>
      <c r="AF153" s="92"/>
      <c r="AG153" s="92"/>
      <c r="AH153" s="92"/>
      <c r="AI153" s="92"/>
      <c r="AJ153" s="92"/>
      <c r="AK153" s="92"/>
      <c r="AL153" s="92"/>
      <c r="AM153" s="92"/>
      <c r="AN153" s="92"/>
      <c r="AO153" s="92"/>
      <c r="AP153" s="92"/>
      <c r="AQ153" s="92"/>
      <c r="AR153" s="92"/>
      <c r="AS153" s="92"/>
      <c r="AT153" s="92"/>
      <c r="AU153" s="92"/>
      <c r="AV153" s="92"/>
      <c r="AW153" s="92"/>
      <c r="AX153" s="92"/>
      <c r="AY153" s="92"/>
      <c r="AZ153" s="92"/>
    </row>
    <row r="154" spans="1:52">
      <c r="A154" s="92"/>
      <c r="B154" s="92"/>
      <c r="C154" s="92"/>
      <c r="D154" s="92"/>
      <c r="E154" s="92"/>
      <c r="F154" s="92"/>
      <c r="G154" s="92"/>
      <c r="H154" s="92"/>
      <c r="I154" s="92"/>
      <c r="J154" s="92"/>
      <c r="K154" s="92"/>
      <c r="L154" s="92"/>
      <c r="M154" s="92"/>
      <c r="N154" s="92"/>
      <c r="O154" s="205"/>
      <c r="P154" s="92"/>
      <c r="Q154" s="92"/>
      <c r="R154" s="92"/>
      <c r="S154" s="92"/>
      <c r="T154" s="92"/>
      <c r="U154" s="92"/>
      <c r="V154" s="92"/>
      <c r="W154" s="92"/>
      <c r="X154" s="92"/>
      <c r="Y154" s="92"/>
      <c r="Z154" s="92"/>
      <c r="AA154" s="92"/>
      <c r="AB154" s="92"/>
      <c r="AC154" s="92"/>
      <c r="AD154" s="92"/>
      <c r="AE154" s="92"/>
      <c r="AF154" s="92"/>
      <c r="AG154" s="92"/>
      <c r="AH154" s="92"/>
      <c r="AI154" s="92"/>
      <c r="AJ154" s="92"/>
      <c r="AK154" s="92"/>
      <c r="AL154" s="92"/>
      <c r="AM154" s="92"/>
      <c r="AN154" s="92"/>
      <c r="AO154" s="92"/>
      <c r="AP154" s="92"/>
      <c r="AQ154" s="92"/>
      <c r="AR154" s="92"/>
      <c r="AS154" s="92"/>
      <c r="AT154" s="92"/>
      <c r="AU154" s="92"/>
      <c r="AV154" s="92"/>
      <c r="AW154" s="92"/>
      <c r="AX154" s="92"/>
      <c r="AY154" s="92"/>
      <c r="AZ154" s="92"/>
    </row>
    <row r="155" spans="1:52">
      <c r="A155" s="92"/>
      <c r="B155" s="92"/>
      <c r="C155" s="92"/>
      <c r="D155" s="92"/>
      <c r="E155" s="92"/>
      <c r="F155" s="92"/>
      <c r="G155" s="92"/>
      <c r="H155" s="92"/>
      <c r="I155" s="92"/>
      <c r="J155" s="92"/>
      <c r="K155" s="92"/>
      <c r="L155" s="92"/>
      <c r="M155" s="92"/>
      <c r="N155" s="92"/>
      <c r="O155" s="205"/>
      <c r="P155" s="92"/>
      <c r="Q155" s="92"/>
      <c r="R155" s="92"/>
      <c r="S155" s="92"/>
      <c r="T155" s="92"/>
      <c r="U155" s="92"/>
      <c r="V155" s="92"/>
      <c r="W155" s="92"/>
      <c r="X155" s="92"/>
      <c r="Y155" s="92"/>
      <c r="Z155" s="92"/>
      <c r="AA155" s="92"/>
      <c r="AB155" s="92"/>
      <c r="AC155" s="92"/>
      <c r="AD155" s="92"/>
      <c r="AE155" s="92"/>
      <c r="AF155" s="92"/>
      <c r="AG155" s="92"/>
      <c r="AH155" s="92"/>
      <c r="AI155" s="92"/>
      <c r="AJ155" s="92"/>
      <c r="AK155" s="92"/>
      <c r="AL155" s="92"/>
      <c r="AM155" s="92"/>
      <c r="AN155" s="92"/>
      <c r="AO155" s="92"/>
      <c r="AP155" s="92"/>
      <c r="AQ155" s="92"/>
      <c r="AR155" s="92"/>
      <c r="AS155" s="92"/>
      <c r="AT155" s="92"/>
      <c r="AU155" s="92"/>
      <c r="AV155" s="92"/>
      <c r="AW155" s="92"/>
      <c r="AX155" s="92"/>
      <c r="AY155" s="92"/>
      <c r="AZ155" s="92"/>
    </row>
    <row r="156" spans="1:52">
      <c r="A156" s="92"/>
      <c r="B156" s="92"/>
      <c r="C156" s="92"/>
      <c r="D156" s="92"/>
      <c r="E156" s="92"/>
      <c r="F156" s="92"/>
      <c r="G156" s="92"/>
      <c r="H156" s="92"/>
      <c r="I156" s="92"/>
      <c r="J156" s="92"/>
      <c r="K156" s="92"/>
      <c r="L156" s="92"/>
      <c r="M156" s="92"/>
      <c r="N156" s="92"/>
      <c r="O156" s="205"/>
      <c r="P156" s="92"/>
      <c r="Q156" s="92"/>
      <c r="R156" s="92"/>
      <c r="S156" s="92"/>
      <c r="T156" s="92"/>
      <c r="U156" s="92"/>
      <c r="V156" s="92"/>
      <c r="W156" s="92"/>
      <c r="X156" s="92"/>
      <c r="Y156" s="92"/>
      <c r="Z156" s="92"/>
      <c r="AA156" s="92"/>
      <c r="AB156" s="92"/>
      <c r="AC156" s="92"/>
      <c r="AD156" s="92"/>
      <c r="AE156" s="92"/>
      <c r="AF156" s="92"/>
      <c r="AG156" s="92"/>
      <c r="AH156" s="92"/>
      <c r="AI156" s="92"/>
      <c r="AJ156" s="92"/>
      <c r="AK156" s="92"/>
      <c r="AL156" s="92"/>
      <c r="AM156" s="92"/>
      <c r="AN156" s="92"/>
      <c r="AO156" s="92"/>
      <c r="AP156" s="92"/>
      <c r="AQ156" s="92"/>
      <c r="AR156" s="92"/>
      <c r="AS156" s="92"/>
      <c r="AT156" s="92"/>
      <c r="AU156" s="92"/>
      <c r="AV156" s="92"/>
      <c r="AW156" s="92"/>
      <c r="AX156" s="92"/>
      <c r="AY156" s="92"/>
      <c r="AZ156" s="92"/>
    </row>
    <row r="157" spans="1:52">
      <c r="A157" s="92"/>
      <c r="B157" s="92"/>
      <c r="C157" s="92"/>
      <c r="D157" s="92"/>
      <c r="E157" s="92"/>
      <c r="F157" s="92"/>
      <c r="G157" s="92"/>
      <c r="H157" s="92"/>
      <c r="I157" s="92"/>
      <c r="J157" s="92"/>
      <c r="K157" s="92"/>
      <c r="L157" s="92"/>
      <c r="M157" s="92"/>
      <c r="N157" s="92"/>
      <c r="O157" s="205"/>
      <c r="P157" s="92"/>
      <c r="Q157" s="92"/>
      <c r="R157" s="92"/>
      <c r="S157" s="92"/>
      <c r="T157" s="92"/>
      <c r="U157" s="92"/>
      <c r="V157" s="92"/>
      <c r="W157" s="92"/>
      <c r="X157" s="92"/>
      <c r="Y157" s="92"/>
      <c r="Z157" s="92"/>
      <c r="AA157" s="92"/>
      <c r="AB157" s="92"/>
      <c r="AC157" s="92"/>
      <c r="AD157" s="92"/>
      <c r="AE157" s="92"/>
      <c r="AF157" s="92"/>
      <c r="AG157" s="92"/>
      <c r="AH157" s="92"/>
      <c r="AI157" s="92"/>
      <c r="AJ157" s="92"/>
      <c r="AK157" s="92"/>
      <c r="AL157" s="92"/>
      <c r="AM157" s="92"/>
      <c r="AN157" s="92"/>
      <c r="AO157" s="92"/>
      <c r="AP157" s="92"/>
      <c r="AQ157" s="92"/>
      <c r="AR157" s="92"/>
      <c r="AS157" s="92"/>
      <c r="AT157" s="92"/>
      <c r="AU157" s="92"/>
      <c r="AV157" s="92"/>
      <c r="AW157" s="92"/>
      <c r="AX157" s="92"/>
      <c r="AY157" s="92"/>
      <c r="AZ157" s="92"/>
    </row>
    <row r="158" spans="1:52">
      <c r="A158" s="92"/>
      <c r="B158" s="92"/>
      <c r="C158" s="92"/>
      <c r="D158" s="92"/>
      <c r="E158" s="92"/>
      <c r="F158" s="92"/>
      <c r="G158" s="92"/>
      <c r="H158" s="92"/>
      <c r="I158" s="92"/>
      <c r="J158" s="92"/>
      <c r="K158" s="92"/>
      <c r="L158" s="92"/>
      <c r="M158" s="92"/>
      <c r="N158" s="92"/>
      <c r="O158" s="205"/>
      <c r="P158" s="92"/>
      <c r="Q158" s="92"/>
      <c r="R158" s="92"/>
      <c r="S158" s="92"/>
      <c r="T158" s="92"/>
      <c r="U158" s="92"/>
      <c r="V158" s="92"/>
      <c r="W158" s="92"/>
      <c r="X158" s="92"/>
      <c r="Y158" s="92"/>
      <c r="Z158" s="92"/>
      <c r="AA158" s="92"/>
      <c r="AB158" s="92"/>
      <c r="AC158" s="92"/>
      <c r="AD158" s="92"/>
      <c r="AE158" s="92"/>
      <c r="AF158" s="92"/>
      <c r="AG158" s="92"/>
      <c r="AH158" s="92"/>
      <c r="AI158" s="92"/>
      <c r="AJ158" s="92"/>
      <c r="AK158" s="92"/>
      <c r="AL158" s="92"/>
      <c r="AM158" s="92"/>
      <c r="AN158" s="92"/>
      <c r="AO158" s="92"/>
      <c r="AP158" s="92"/>
      <c r="AQ158" s="92"/>
      <c r="AR158" s="92"/>
      <c r="AS158" s="92"/>
      <c r="AT158" s="92"/>
      <c r="AU158" s="92"/>
      <c r="AV158" s="92"/>
      <c r="AW158" s="92"/>
      <c r="AX158" s="92"/>
      <c r="AY158" s="92"/>
      <c r="AZ158" s="92"/>
    </row>
    <row r="159" spans="1:52">
      <c r="A159" s="92"/>
      <c r="B159" s="92"/>
      <c r="C159" s="92"/>
      <c r="D159" s="92"/>
      <c r="E159" s="92"/>
      <c r="F159" s="92"/>
      <c r="G159" s="92"/>
      <c r="H159" s="92"/>
      <c r="I159" s="92"/>
      <c r="J159" s="92"/>
      <c r="K159" s="92"/>
      <c r="L159" s="92"/>
      <c r="M159" s="92"/>
      <c r="N159" s="92"/>
      <c r="O159" s="205"/>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row>
    <row r="160" spans="1:52">
      <c r="A160" s="92"/>
      <c r="B160" s="92"/>
      <c r="C160" s="92"/>
      <c r="D160" s="92"/>
      <c r="E160" s="92"/>
      <c r="F160" s="92"/>
      <c r="G160" s="92"/>
      <c r="H160" s="92"/>
      <c r="I160" s="92"/>
      <c r="J160" s="92"/>
      <c r="K160" s="92"/>
      <c r="L160" s="92"/>
      <c r="M160" s="92"/>
      <c r="N160" s="92"/>
      <c r="O160" s="205"/>
      <c r="P160" s="92"/>
      <c r="Q160" s="92"/>
      <c r="R160" s="92"/>
      <c r="S160" s="92"/>
      <c r="T160" s="92"/>
      <c r="U160" s="92"/>
      <c r="V160" s="92"/>
      <c r="W160" s="92"/>
      <c r="X160" s="92"/>
      <c r="Y160" s="92"/>
      <c r="Z160" s="92"/>
      <c r="AA160" s="92"/>
      <c r="AB160" s="92"/>
      <c r="AC160" s="92"/>
      <c r="AD160" s="92"/>
      <c r="AE160" s="92"/>
      <c r="AF160" s="92"/>
      <c r="AG160" s="92"/>
      <c r="AH160" s="92"/>
      <c r="AI160" s="92"/>
      <c r="AJ160" s="92"/>
      <c r="AK160" s="92"/>
      <c r="AL160" s="92"/>
      <c r="AM160" s="92"/>
      <c r="AN160" s="92"/>
      <c r="AO160" s="92"/>
      <c r="AP160" s="92"/>
      <c r="AQ160" s="92"/>
      <c r="AR160" s="92"/>
      <c r="AS160" s="92"/>
      <c r="AT160" s="92"/>
      <c r="AU160" s="92"/>
      <c r="AV160" s="92"/>
      <c r="AW160" s="92"/>
      <c r="AX160" s="92"/>
      <c r="AY160" s="92"/>
      <c r="AZ160" s="92"/>
    </row>
    <row r="161" spans="1:52">
      <c r="A161" s="92"/>
      <c r="B161" s="92"/>
      <c r="C161" s="92"/>
      <c r="D161" s="92"/>
      <c r="E161" s="92"/>
      <c r="F161" s="92"/>
      <c r="G161" s="92"/>
      <c r="H161" s="92"/>
      <c r="I161" s="92"/>
      <c r="J161" s="92"/>
      <c r="K161" s="92"/>
      <c r="L161" s="92"/>
      <c r="M161" s="92"/>
      <c r="N161" s="92"/>
      <c r="O161" s="205"/>
      <c r="P161" s="92"/>
      <c r="Q161" s="92"/>
      <c r="R161" s="92"/>
      <c r="S161" s="92"/>
      <c r="T161" s="92"/>
      <c r="U161" s="92"/>
      <c r="V161" s="92"/>
      <c r="W161" s="92"/>
      <c r="X161" s="92"/>
      <c r="Y161" s="92"/>
      <c r="Z161" s="92"/>
      <c r="AA161" s="92"/>
      <c r="AB161" s="92"/>
      <c r="AC161" s="92"/>
      <c r="AD161" s="92"/>
      <c r="AE161" s="92"/>
      <c r="AF161" s="92"/>
      <c r="AG161" s="92"/>
      <c r="AH161" s="92"/>
      <c r="AI161" s="92"/>
      <c r="AJ161" s="92"/>
      <c r="AK161" s="92"/>
      <c r="AL161" s="92"/>
      <c r="AM161" s="92"/>
      <c r="AN161" s="92"/>
      <c r="AO161" s="92"/>
      <c r="AP161" s="92"/>
      <c r="AQ161" s="92"/>
      <c r="AR161" s="92"/>
      <c r="AS161" s="92"/>
      <c r="AT161" s="92"/>
      <c r="AU161" s="92"/>
      <c r="AV161" s="92"/>
      <c r="AW161" s="92"/>
      <c r="AX161" s="92"/>
      <c r="AY161" s="92"/>
      <c r="AZ161" s="92"/>
    </row>
    <row r="162" spans="1:52">
      <c r="A162" s="92"/>
      <c r="B162" s="92"/>
      <c r="C162" s="92"/>
      <c r="D162" s="92"/>
      <c r="E162" s="92"/>
      <c r="F162" s="92"/>
      <c r="G162" s="92"/>
      <c r="H162" s="92"/>
      <c r="I162" s="92"/>
      <c r="J162" s="92"/>
      <c r="K162" s="92"/>
      <c r="L162" s="92"/>
      <c r="M162" s="92"/>
      <c r="N162" s="92"/>
      <c r="O162" s="205"/>
      <c r="P162" s="92"/>
      <c r="Q162" s="92"/>
      <c r="R162" s="92"/>
      <c r="S162" s="92"/>
      <c r="T162" s="92"/>
      <c r="U162" s="92"/>
      <c r="V162" s="92"/>
      <c r="W162" s="92"/>
      <c r="X162" s="92"/>
      <c r="Y162" s="92"/>
      <c r="Z162" s="92"/>
      <c r="AA162" s="92"/>
      <c r="AB162" s="92"/>
      <c r="AC162" s="92"/>
      <c r="AD162" s="92"/>
      <c r="AE162" s="92"/>
      <c r="AF162" s="92"/>
      <c r="AG162" s="92"/>
      <c r="AH162" s="92"/>
      <c r="AI162" s="92"/>
      <c r="AJ162" s="92"/>
      <c r="AK162" s="92"/>
      <c r="AL162" s="92"/>
      <c r="AM162" s="92"/>
      <c r="AN162" s="92"/>
      <c r="AO162" s="92"/>
      <c r="AP162" s="92"/>
      <c r="AQ162" s="92"/>
      <c r="AR162" s="92"/>
      <c r="AS162" s="92"/>
      <c r="AT162" s="92"/>
      <c r="AU162" s="92"/>
      <c r="AV162" s="92"/>
      <c r="AW162" s="92"/>
      <c r="AX162" s="92"/>
      <c r="AY162" s="92"/>
      <c r="AZ162" s="92"/>
    </row>
    <row r="163" spans="1:52">
      <c r="A163" s="92"/>
      <c r="B163" s="92"/>
      <c r="C163" s="92"/>
      <c r="D163" s="92"/>
      <c r="E163" s="92"/>
      <c r="F163" s="92"/>
      <c r="G163" s="92"/>
      <c r="H163" s="92"/>
      <c r="I163" s="92"/>
      <c r="J163" s="92"/>
      <c r="K163" s="92"/>
      <c r="L163" s="92"/>
      <c r="M163" s="92"/>
      <c r="N163" s="92"/>
      <c r="O163" s="205"/>
      <c r="P163" s="92"/>
      <c r="Q163" s="92"/>
      <c r="R163" s="92"/>
      <c r="S163" s="92"/>
      <c r="T163" s="92"/>
      <c r="U163" s="92"/>
      <c r="V163" s="92"/>
      <c r="W163" s="92"/>
      <c r="X163" s="92"/>
      <c r="Y163" s="92"/>
      <c r="Z163" s="92"/>
      <c r="AA163" s="92"/>
      <c r="AB163" s="92"/>
      <c r="AC163" s="92"/>
      <c r="AD163" s="92"/>
      <c r="AE163" s="92"/>
      <c r="AF163" s="92"/>
      <c r="AG163" s="92"/>
      <c r="AH163" s="92"/>
      <c r="AI163" s="92"/>
      <c r="AJ163" s="92"/>
      <c r="AK163" s="92"/>
      <c r="AL163" s="92"/>
      <c r="AM163" s="92"/>
      <c r="AN163" s="92"/>
      <c r="AO163" s="92"/>
      <c r="AP163" s="92"/>
      <c r="AQ163" s="92"/>
      <c r="AR163" s="92"/>
      <c r="AS163" s="92"/>
      <c r="AT163" s="92"/>
      <c r="AU163" s="92"/>
      <c r="AV163" s="92"/>
      <c r="AW163" s="92"/>
      <c r="AX163" s="92"/>
      <c r="AY163" s="92"/>
      <c r="AZ163" s="92"/>
    </row>
    <row r="164" spans="1:52">
      <c r="A164" s="92"/>
      <c r="B164" s="92"/>
      <c r="C164" s="92"/>
      <c r="D164" s="92"/>
      <c r="E164" s="92"/>
      <c r="F164" s="92"/>
      <c r="G164" s="92"/>
      <c r="H164" s="92"/>
      <c r="I164" s="92"/>
      <c r="J164" s="92"/>
      <c r="K164" s="92"/>
      <c r="L164" s="92"/>
      <c r="M164" s="92"/>
      <c r="N164" s="92"/>
      <c r="O164" s="205"/>
      <c r="P164" s="92"/>
      <c r="Q164" s="92"/>
      <c r="R164" s="92"/>
      <c r="S164" s="92"/>
      <c r="T164" s="92"/>
      <c r="U164" s="92"/>
      <c r="V164" s="92"/>
      <c r="W164" s="92"/>
      <c r="X164" s="92"/>
      <c r="Y164" s="92"/>
      <c r="Z164" s="92"/>
      <c r="AA164" s="92"/>
      <c r="AB164" s="92"/>
      <c r="AC164" s="92"/>
      <c r="AD164" s="92"/>
      <c r="AE164" s="92"/>
      <c r="AF164" s="92"/>
      <c r="AG164" s="92"/>
      <c r="AH164" s="92"/>
      <c r="AI164" s="92"/>
      <c r="AJ164" s="92"/>
      <c r="AK164" s="92"/>
      <c r="AL164" s="92"/>
      <c r="AM164" s="92"/>
      <c r="AN164" s="92"/>
      <c r="AO164" s="92"/>
      <c r="AP164" s="92"/>
      <c r="AQ164" s="92"/>
      <c r="AR164" s="92"/>
      <c r="AS164" s="92"/>
      <c r="AT164" s="92"/>
      <c r="AU164" s="92"/>
      <c r="AV164" s="92"/>
      <c r="AW164" s="92"/>
      <c r="AX164" s="92"/>
      <c r="AY164" s="92"/>
      <c r="AZ164" s="92"/>
    </row>
    <row r="165" spans="1:52">
      <c r="A165" s="92"/>
      <c r="B165" s="92"/>
      <c r="C165" s="92"/>
      <c r="D165" s="92"/>
      <c r="E165" s="92"/>
      <c r="F165" s="92"/>
      <c r="G165" s="92"/>
      <c r="H165" s="92"/>
      <c r="I165" s="92"/>
      <c r="J165" s="92"/>
      <c r="K165" s="92"/>
      <c r="L165" s="92"/>
      <c r="M165" s="92"/>
      <c r="N165" s="92"/>
      <c r="O165" s="205"/>
      <c r="P165" s="92"/>
      <c r="Q165" s="92"/>
      <c r="R165" s="92"/>
      <c r="S165" s="92"/>
      <c r="T165" s="92"/>
      <c r="U165" s="92"/>
      <c r="V165" s="92"/>
      <c r="W165" s="92"/>
      <c r="X165" s="92"/>
      <c r="Y165" s="92"/>
      <c r="Z165" s="92"/>
      <c r="AA165" s="92"/>
      <c r="AB165" s="92"/>
      <c r="AC165" s="92"/>
      <c r="AD165" s="92"/>
      <c r="AE165" s="92"/>
      <c r="AF165" s="92"/>
      <c r="AG165" s="92"/>
      <c r="AH165" s="92"/>
      <c r="AI165" s="92"/>
      <c r="AJ165" s="92"/>
      <c r="AK165" s="92"/>
      <c r="AL165" s="92"/>
      <c r="AM165" s="92"/>
      <c r="AN165" s="92"/>
      <c r="AO165" s="92"/>
      <c r="AP165" s="92"/>
      <c r="AQ165" s="92"/>
      <c r="AR165" s="92"/>
      <c r="AS165" s="92"/>
      <c r="AT165" s="92"/>
      <c r="AU165" s="92"/>
      <c r="AV165" s="92"/>
      <c r="AW165" s="92"/>
      <c r="AX165" s="92"/>
      <c r="AY165" s="92"/>
      <c r="AZ165" s="92"/>
    </row>
    <row r="166" spans="1:52">
      <c r="A166" s="92"/>
      <c r="B166" s="92"/>
      <c r="C166" s="92"/>
      <c r="D166" s="92"/>
      <c r="E166" s="92"/>
      <c r="F166" s="92"/>
      <c r="G166" s="92"/>
      <c r="H166" s="92"/>
      <c r="I166" s="92"/>
      <c r="J166" s="92"/>
      <c r="K166" s="92"/>
      <c r="L166" s="92"/>
      <c r="M166" s="92"/>
      <c r="N166" s="92"/>
      <c r="O166" s="205"/>
      <c r="P166" s="92"/>
      <c r="Q166" s="92"/>
      <c r="R166" s="92"/>
      <c r="S166" s="92"/>
      <c r="T166" s="92"/>
      <c r="U166" s="92"/>
      <c r="V166" s="92"/>
      <c r="W166" s="92"/>
      <c r="X166" s="92"/>
      <c r="Y166" s="92"/>
      <c r="Z166" s="92"/>
      <c r="AA166" s="92"/>
      <c r="AB166" s="92"/>
      <c r="AC166" s="92"/>
      <c r="AD166" s="92"/>
      <c r="AE166" s="92"/>
      <c r="AF166" s="92"/>
      <c r="AG166" s="92"/>
      <c r="AH166" s="92"/>
      <c r="AI166" s="92"/>
      <c r="AJ166" s="92"/>
      <c r="AK166" s="92"/>
      <c r="AL166" s="92"/>
      <c r="AM166" s="92"/>
      <c r="AN166" s="92"/>
      <c r="AO166" s="92"/>
      <c r="AP166" s="92"/>
      <c r="AQ166" s="92"/>
      <c r="AR166" s="92"/>
      <c r="AS166" s="92"/>
      <c r="AT166" s="92"/>
      <c r="AU166" s="92"/>
      <c r="AV166" s="92"/>
      <c r="AW166" s="92"/>
      <c r="AX166" s="92"/>
      <c r="AY166" s="92"/>
      <c r="AZ166" s="92"/>
    </row>
    <row r="167" spans="1:52">
      <c r="A167" s="92"/>
      <c r="B167" s="92"/>
      <c r="C167" s="92"/>
      <c r="D167" s="92"/>
      <c r="E167" s="92"/>
      <c r="F167" s="92"/>
      <c r="G167" s="92"/>
      <c r="H167" s="92"/>
      <c r="I167" s="92"/>
      <c r="J167" s="92"/>
      <c r="K167" s="92"/>
      <c r="L167" s="92"/>
      <c r="M167" s="92"/>
      <c r="N167" s="92"/>
      <c r="O167" s="205"/>
      <c r="P167" s="92"/>
      <c r="Q167" s="92"/>
      <c r="R167" s="92"/>
      <c r="S167" s="92"/>
      <c r="T167" s="92"/>
      <c r="U167" s="92"/>
      <c r="V167" s="92"/>
      <c r="W167" s="92"/>
      <c r="X167" s="92"/>
      <c r="Y167" s="92"/>
      <c r="Z167" s="92"/>
      <c r="AA167" s="92"/>
      <c r="AB167" s="92"/>
      <c r="AC167" s="92"/>
      <c r="AD167" s="92"/>
      <c r="AE167" s="92"/>
      <c r="AF167" s="92"/>
      <c r="AG167" s="92"/>
      <c r="AH167" s="92"/>
      <c r="AI167" s="92"/>
      <c r="AJ167" s="92"/>
      <c r="AK167" s="92"/>
      <c r="AL167" s="92"/>
      <c r="AM167" s="92"/>
      <c r="AN167" s="92"/>
      <c r="AO167" s="92"/>
      <c r="AP167" s="92"/>
      <c r="AQ167" s="92"/>
      <c r="AR167" s="92"/>
      <c r="AS167" s="92"/>
      <c r="AT167" s="92"/>
      <c r="AU167" s="92"/>
      <c r="AV167" s="92"/>
      <c r="AW167" s="92"/>
      <c r="AX167" s="92"/>
      <c r="AY167" s="92"/>
      <c r="AZ167" s="92"/>
    </row>
    <row r="168" spans="1:52">
      <c r="A168" s="92"/>
      <c r="B168" s="92"/>
      <c r="C168" s="92"/>
      <c r="D168" s="92"/>
      <c r="E168" s="92"/>
      <c r="F168" s="92"/>
      <c r="G168" s="92"/>
      <c r="H168" s="92"/>
      <c r="I168" s="92"/>
      <c r="J168" s="92"/>
      <c r="K168" s="92"/>
      <c r="L168" s="92"/>
      <c r="M168" s="92"/>
      <c r="N168" s="92"/>
      <c r="O168" s="205"/>
      <c r="P168" s="92"/>
      <c r="Q168" s="92"/>
      <c r="R168" s="92"/>
      <c r="S168" s="92"/>
      <c r="T168" s="92"/>
      <c r="U168" s="92"/>
      <c r="V168" s="92"/>
      <c r="W168" s="92"/>
      <c r="X168" s="92"/>
      <c r="Y168" s="92"/>
      <c r="Z168" s="92"/>
      <c r="AA168" s="92"/>
      <c r="AB168" s="92"/>
      <c r="AC168" s="92"/>
      <c r="AD168" s="92"/>
      <c r="AE168" s="92"/>
      <c r="AF168" s="92"/>
      <c r="AG168" s="92"/>
      <c r="AH168" s="92"/>
      <c r="AI168" s="92"/>
      <c r="AJ168" s="92"/>
      <c r="AK168" s="92"/>
      <c r="AL168" s="92"/>
      <c r="AM168" s="92"/>
      <c r="AN168" s="92"/>
      <c r="AO168" s="92"/>
      <c r="AP168" s="92"/>
      <c r="AQ168" s="92"/>
      <c r="AR168" s="92"/>
      <c r="AS168" s="92"/>
      <c r="AT168" s="92"/>
      <c r="AU168" s="92"/>
      <c r="AV168" s="92"/>
      <c r="AW168" s="92"/>
      <c r="AX168" s="92"/>
      <c r="AY168" s="92"/>
      <c r="AZ168" s="92"/>
    </row>
    <row r="169" spans="1:52">
      <c r="A169" s="92"/>
      <c r="B169" s="92"/>
      <c r="C169" s="92"/>
      <c r="D169" s="92"/>
      <c r="E169" s="92"/>
      <c r="F169" s="92"/>
      <c r="G169" s="92"/>
      <c r="H169" s="92"/>
      <c r="I169" s="92"/>
      <c r="J169" s="92"/>
      <c r="K169" s="92"/>
      <c r="L169" s="92"/>
      <c r="M169" s="92"/>
      <c r="N169" s="92"/>
      <c r="O169" s="205"/>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row>
    <row r="170" spans="1:52">
      <c r="A170" s="92"/>
      <c r="B170" s="92"/>
      <c r="C170" s="92"/>
      <c r="D170" s="92"/>
      <c r="E170" s="92"/>
      <c r="F170" s="92"/>
      <c r="G170" s="92"/>
      <c r="H170" s="92"/>
      <c r="I170" s="92"/>
      <c r="J170" s="92"/>
      <c r="K170" s="92"/>
      <c r="L170" s="92"/>
      <c r="M170" s="92"/>
      <c r="N170" s="92"/>
      <c r="O170" s="205"/>
      <c r="P170" s="92"/>
      <c r="Q170" s="92"/>
      <c r="R170" s="92"/>
      <c r="S170" s="92"/>
      <c r="T170" s="92"/>
      <c r="U170" s="92"/>
      <c r="V170" s="92"/>
      <c r="W170" s="92"/>
      <c r="X170" s="92"/>
      <c r="Y170" s="92"/>
      <c r="Z170" s="92"/>
      <c r="AA170" s="92"/>
      <c r="AB170" s="92"/>
      <c r="AC170" s="92"/>
      <c r="AD170" s="92"/>
      <c r="AE170" s="92"/>
      <c r="AF170" s="92"/>
      <c r="AG170" s="92"/>
      <c r="AH170" s="92"/>
      <c r="AI170" s="92"/>
      <c r="AJ170" s="92"/>
      <c r="AK170" s="92"/>
      <c r="AL170" s="92"/>
      <c r="AM170" s="92"/>
      <c r="AN170" s="92"/>
      <c r="AO170" s="92"/>
      <c r="AP170" s="92"/>
      <c r="AQ170" s="92"/>
      <c r="AR170" s="92"/>
      <c r="AS170" s="92"/>
      <c r="AT170" s="92"/>
      <c r="AU170" s="92"/>
      <c r="AV170" s="92"/>
      <c r="AW170" s="92"/>
      <c r="AX170" s="92"/>
      <c r="AY170" s="92"/>
      <c r="AZ170" s="92"/>
    </row>
    <row r="171" spans="1:52">
      <c r="A171" s="92"/>
      <c r="B171" s="92"/>
      <c r="C171" s="92"/>
      <c r="D171" s="92"/>
      <c r="E171" s="92"/>
      <c r="F171" s="92"/>
      <c r="G171" s="92"/>
      <c r="H171" s="92"/>
      <c r="I171" s="92"/>
      <c r="J171" s="92"/>
      <c r="K171" s="92"/>
      <c r="L171" s="92"/>
      <c r="M171" s="92"/>
      <c r="N171" s="92"/>
      <c r="O171" s="205"/>
      <c r="P171" s="92"/>
      <c r="Q171" s="92"/>
      <c r="R171" s="92"/>
      <c r="S171" s="92"/>
      <c r="T171" s="92"/>
      <c r="U171" s="92"/>
      <c r="V171" s="92"/>
      <c r="W171" s="92"/>
      <c r="X171" s="92"/>
      <c r="Y171" s="92"/>
      <c r="Z171" s="92"/>
      <c r="AA171" s="92"/>
      <c r="AB171" s="92"/>
      <c r="AC171" s="92"/>
      <c r="AD171" s="92"/>
      <c r="AE171" s="92"/>
      <c r="AF171" s="92"/>
      <c r="AG171" s="92"/>
      <c r="AH171" s="92"/>
      <c r="AI171" s="92"/>
      <c r="AJ171" s="92"/>
      <c r="AK171" s="92"/>
      <c r="AL171" s="92"/>
      <c r="AM171" s="92"/>
      <c r="AN171" s="92"/>
      <c r="AO171" s="92"/>
      <c r="AP171" s="92"/>
      <c r="AQ171" s="92"/>
      <c r="AR171" s="92"/>
      <c r="AS171" s="92"/>
      <c r="AT171" s="92"/>
      <c r="AU171" s="92"/>
      <c r="AV171" s="92"/>
      <c r="AW171" s="92"/>
      <c r="AX171" s="92"/>
      <c r="AY171" s="92"/>
      <c r="AZ171" s="92"/>
    </row>
    <row r="172" spans="1:52">
      <c r="A172" s="92"/>
      <c r="B172" s="92"/>
      <c r="C172" s="92"/>
      <c r="D172" s="92"/>
      <c r="E172" s="92"/>
      <c r="F172" s="92"/>
      <c r="G172" s="92"/>
      <c r="H172" s="92"/>
      <c r="I172" s="92"/>
      <c r="J172" s="92"/>
      <c r="K172" s="92"/>
      <c r="L172" s="92"/>
      <c r="M172" s="92"/>
      <c r="N172" s="92"/>
      <c r="O172" s="205"/>
      <c r="P172" s="92"/>
      <c r="Q172" s="92"/>
      <c r="R172" s="92"/>
      <c r="S172" s="92"/>
      <c r="T172" s="92"/>
      <c r="U172" s="92"/>
      <c r="V172" s="92"/>
      <c r="W172" s="92"/>
      <c r="X172" s="92"/>
      <c r="Y172" s="92"/>
      <c r="Z172" s="92"/>
      <c r="AA172" s="92"/>
      <c r="AB172" s="92"/>
      <c r="AC172" s="92"/>
      <c r="AD172" s="92"/>
      <c r="AE172" s="92"/>
      <c r="AF172" s="92"/>
      <c r="AG172" s="92"/>
      <c r="AH172" s="92"/>
      <c r="AI172" s="92"/>
      <c r="AJ172" s="92"/>
      <c r="AK172" s="92"/>
      <c r="AL172" s="92"/>
      <c r="AM172" s="92"/>
      <c r="AN172" s="92"/>
      <c r="AO172" s="92"/>
      <c r="AP172" s="92"/>
      <c r="AQ172" s="92"/>
      <c r="AR172" s="92"/>
      <c r="AS172" s="92"/>
      <c r="AT172" s="92"/>
      <c r="AU172" s="92"/>
      <c r="AV172" s="92"/>
      <c r="AW172" s="92"/>
      <c r="AX172" s="92"/>
      <c r="AY172" s="92"/>
      <c r="AZ172" s="92"/>
    </row>
    <row r="173" spans="1:52">
      <c r="A173" s="92"/>
      <c r="B173" s="92"/>
      <c r="C173" s="92"/>
      <c r="D173" s="92"/>
      <c r="E173" s="92"/>
      <c r="F173" s="92"/>
      <c r="G173" s="92"/>
      <c r="H173" s="92"/>
      <c r="I173" s="92"/>
      <c r="J173" s="92"/>
      <c r="K173" s="92"/>
      <c r="L173" s="92"/>
      <c r="M173" s="92"/>
      <c r="N173" s="92"/>
      <c r="O173" s="205"/>
      <c r="P173" s="92"/>
      <c r="Q173" s="92"/>
      <c r="R173" s="92"/>
      <c r="S173" s="92"/>
      <c r="T173" s="92"/>
      <c r="U173" s="92"/>
      <c r="V173" s="92"/>
      <c r="W173" s="92"/>
      <c r="X173" s="92"/>
      <c r="Y173" s="92"/>
      <c r="Z173" s="92"/>
      <c r="AA173" s="92"/>
      <c r="AB173" s="92"/>
      <c r="AC173" s="92"/>
      <c r="AD173" s="92"/>
      <c r="AE173" s="92"/>
      <c r="AF173" s="92"/>
      <c r="AG173" s="92"/>
      <c r="AH173" s="92"/>
      <c r="AI173" s="92"/>
      <c r="AJ173" s="92"/>
      <c r="AK173" s="92"/>
      <c r="AL173" s="92"/>
      <c r="AM173" s="92"/>
      <c r="AN173" s="92"/>
      <c r="AO173" s="92"/>
      <c r="AP173" s="92"/>
      <c r="AQ173" s="92"/>
      <c r="AR173" s="92"/>
      <c r="AS173" s="92"/>
      <c r="AT173" s="92"/>
      <c r="AU173" s="92"/>
      <c r="AV173" s="92"/>
      <c r="AW173" s="92"/>
      <c r="AX173" s="92"/>
      <c r="AY173" s="92"/>
      <c r="AZ173" s="92"/>
    </row>
    <row r="174" spans="1:52">
      <c r="A174" s="92"/>
      <c r="B174" s="92"/>
      <c r="C174" s="92"/>
      <c r="D174" s="92"/>
      <c r="E174" s="92"/>
      <c r="F174" s="92"/>
      <c r="G174" s="92"/>
      <c r="H174" s="92"/>
      <c r="I174" s="92"/>
      <c r="J174" s="92"/>
      <c r="K174" s="92"/>
      <c r="L174" s="92"/>
      <c r="M174" s="92"/>
      <c r="N174" s="92"/>
      <c r="O174" s="205"/>
      <c r="P174" s="92"/>
      <c r="Q174" s="92"/>
      <c r="R174" s="92"/>
      <c r="S174" s="92"/>
      <c r="T174" s="92"/>
      <c r="U174" s="92"/>
      <c r="V174" s="92"/>
      <c r="W174" s="92"/>
      <c r="X174" s="92"/>
      <c r="Y174" s="92"/>
      <c r="Z174" s="92"/>
      <c r="AA174" s="92"/>
      <c r="AB174" s="92"/>
      <c r="AC174" s="92"/>
      <c r="AD174" s="92"/>
      <c r="AE174" s="92"/>
      <c r="AF174" s="92"/>
      <c r="AG174" s="92"/>
      <c r="AH174" s="92"/>
      <c r="AI174" s="92"/>
      <c r="AJ174" s="92"/>
      <c r="AK174" s="92"/>
      <c r="AL174" s="92"/>
      <c r="AM174" s="92"/>
      <c r="AN174" s="92"/>
      <c r="AO174" s="92"/>
      <c r="AP174" s="92"/>
      <c r="AQ174" s="92"/>
      <c r="AR174" s="92"/>
      <c r="AS174" s="92"/>
      <c r="AT174" s="92"/>
      <c r="AU174" s="92"/>
      <c r="AV174" s="92"/>
      <c r="AW174" s="92"/>
      <c r="AX174" s="92"/>
      <c r="AY174" s="92"/>
      <c r="AZ174" s="92"/>
    </row>
    <row r="175" spans="1:52">
      <c r="A175" s="92"/>
      <c r="B175" s="92"/>
      <c r="C175" s="92"/>
      <c r="D175" s="92"/>
      <c r="E175" s="92"/>
      <c r="F175" s="92"/>
      <c r="G175" s="92"/>
      <c r="H175" s="92"/>
      <c r="I175" s="92"/>
      <c r="J175" s="92"/>
      <c r="K175" s="92"/>
      <c r="L175" s="92"/>
      <c r="M175" s="92"/>
      <c r="N175" s="92"/>
      <c r="O175" s="205"/>
      <c r="P175" s="92"/>
      <c r="Q175" s="92"/>
      <c r="R175" s="92"/>
      <c r="S175" s="92"/>
      <c r="T175" s="92"/>
      <c r="U175" s="92"/>
      <c r="V175" s="92"/>
      <c r="W175" s="92"/>
      <c r="X175" s="92"/>
      <c r="Y175" s="92"/>
      <c r="Z175" s="92"/>
      <c r="AA175" s="92"/>
      <c r="AB175" s="92"/>
      <c r="AC175" s="92"/>
      <c r="AD175" s="92"/>
      <c r="AE175" s="92"/>
      <c r="AF175" s="92"/>
      <c r="AG175" s="92"/>
      <c r="AH175" s="92"/>
      <c r="AI175" s="92"/>
      <c r="AJ175" s="92"/>
      <c r="AK175" s="92"/>
      <c r="AL175" s="92"/>
      <c r="AM175" s="92"/>
      <c r="AN175" s="92"/>
      <c r="AO175" s="92"/>
      <c r="AP175" s="92"/>
      <c r="AQ175" s="92"/>
      <c r="AR175" s="92"/>
      <c r="AS175" s="92"/>
      <c r="AT175" s="92"/>
      <c r="AU175" s="92"/>
      <c r="AV175" s="92"/>
      <c r="AW175" s="92"/>
      <c r="AX175" s="92"/>
      <c r="AY175" s="92"/>
      <c r="AZ175" s="92"/>
    </row>
    <row r="176" spans="1:52">
      <c r="A176" s="92"/>
      <c r="B176" s="92"/>
      <c r="C176" s="92"/>
      <c r="D176" s="92"/>
      <c r="E176" s="92"/>
      <c r="F176" s="92"/>
      <c r="G176" s="92"/>
      <c r="H176" s="92"/>
      <c r="I176" s="92"/>
      <c r="J176" s="92"/>
      <c r="K176" s="92"/>
      <c r="L176" s="92"/>
      <c r="M176" s="92"/>
      <c r="N176" s="92"/>
      <c r="O176" s="205"/>
      <c r="P176" s="92"/>
      <c r="Q176" s="92"/>
      <c r="R176" s="92"/>
      <c r="S176" s="92"/>
      <c r="T176" s="92"/>
      <c r="U176" s="92"/>
      <c r="V176" s="92"/>
      <c r="W176" s="92"/>
      <c r="X176" s="92"/>
      <c r="Y176" s="92"/>
      <c r="Z176" s="92"/>
      <c r="AA176" s="92"/>
      <c r="AB176" s="92"/>
      <c r="AC176" s="92"/>
      <c r="AD176" s="92"/>
      <c r="AE176" s="92"/>
      <c r="AF176" s="92"/>
      <c r="AG176" s="92"/>
      <c r="AH176" s="92"/>
      <c r="AI176" s="92"/>
      <c r="AJ176" s="92"/>
      <c r="AK176" s="92"/>
      <c r="AL176" s="92"/>
      <c r="AM176" s="92"/>
      <c r="AN176" s="92"/>
      <c r="AO176" s="92"/>
      <c r="AP176" s="92"/>
      <c r="AQ176" s="92"/>
      <c r="AR176" s="92"/>
      <c r="AS176" s="92"/>
      <c r="AT176" s="92"/>
      <c r="AU176" s="92"/>
      <c r="AV176" s="92"/>
      <c r="AW176" s="92"/>
      <c r="AX176" s="92"/>
      <c r="AY176" s="92"/>
      <c r="AZ176" s="92"/>
    </row>
    <row r="177" spans="1:52">
      <c r="A177" s="92"/>
      <c r="B177" s="92"/>
      <c r="C177" s="92"/>
      <c r="D177" s="92"/>
      <c r="E177" s="92"/>
      <c r="F177" s="92"/>
      <c r="G177" s="92"/>
      <c r="H177" s="92"/>
      <c r="I177" s="92"/>
      <c r="J177" s="92"/>
      <c r="K177" s="92"/>
      <c r="L177" s="92"/>
      <c r="M177" s="92"/>
      <c r="N177" s="92"/>
      <c r="O177" s="205"/>
      <c r="P177" s="92"/>
      <c r="Q177" s="92"/>
      <c r="R177" s="92"/>
      <c r="S177" s="92"/>
      <c r="T177" s="92"/>
      <c r="U177" s="92"/>
      <c r="V177" s="92"/>
      <c r="W177" s="92"/>
      <c r="X177" s="92"/>
      <c r="Y177" s="92"/>
      <c r="Z177" s="92"/>
      <c r="AA177" s="92"/>
      <c r="AB177" s="92"/>
      <c r="AC177" s="92"/>
      <c r="AD177" s="92"/>
      <c r="AE177" s="92"/>
      <c r="AF177" s="92"/>
      <c r="AG177" s="92"/>
      <c r="AH177" s="92"/>
      <c r="AI177" s="92"/>
      <c r="AJ177" s="92"/>
      <c r="AK177" s="92"/>
      <c r="AL177" s="92"/>
      <c r="AM177" s="92"/>
      <c r="AN177" s="92"/>
      <c r="AO177" s="92"/>
      <c r="AP177" s="92"/>
      <c r="AQ177" s="92"/>
      <c r="AR177" s="92"/>
      <c r="AS177" s="92"/>
      <c r="AT177" s="92"/>
      <c r="AU177" s="92"/>
      <c r="AV177" s="92"/>
      <c r="AW177" s="92"/>
      <c r="AX177" s="92"/>
      <c r="AY177" s="92"/>
      <c r="AZ177" s="92"/>
    </row>
    <row r="178" spans="1:52">
      <c r="A178" s="92"/>
      <c r="B178" s="92"/>
      <c r="C178" s="92"/>
      <c r="D178" s="92"/>
      <c r="E178" s="92"/>
      <c r="F178" s="92"/>
      <c r="G178" s="92"/>
      <c r="H178" s="92"/>
      <c r="I178" s="92"/>
      <c r="J178" s="92"/>
      <c r="K178" s="92"/>
      <c r="L178" s="92"/>
      <c r="M178" s="92"/>
      <c r="N178" s="92"/>
      <c r="O178" s="205"/>
      <c r="P178" s="92"/>
      <c r="Q178" s="92"/>
      <c r="R178" s="92"/>
      <c r="S178" s="92"/>
      <c r="T178" s="92"/>
      <c r="U178" s="92"/>
      <c r="V178" s="92"/>
      <c r="W178" s="92"/>
      <c r="X178" s="92"/>
      <c r="Y178" s="92"/>
      <c r="Z178" s="92"/>
      <c r="AA178" s="92"/>
      <c r="AB178" s="92"/>
      <c r="AC178" s="92"/>
      <c r="AD178" s="92"/>
      <c r="AE178" s="92"/>
      <c r="AF178" s="92"/>
      <c r="AG178" s="92"/>
      <c r="AH178" s="92"/>
      <c r="AI178" s="92"/>
      <c r="AJ178" s="92"/>
      <c r="AK178" s="92"/>
      <c r="AL178" s="92"/>
      <c r="AM178" s="92"/>
      <c r="AN178" s="92"/>
      <c r="AO178" s="92"/>
      <c r="AP178" s="92"/>
      <c r="AQ178" s="92"/>
      <c r="AR178" s="92"/>
      <c r="AS178" s="92"/>
      <c r="AT178" s="92"/>
      <c r="AU178" s="92"/>
      <c r="AV178" s="92"/>
      <c r="AW178" s="92"/>
      <c r="AX178" s="92"/>
      <c r="AY178" s="92"/>
      <c r="AZ178" s="92"/>
    </row>
    <row r="179" spans="1:52">
      <c r="A179" s="92"/>
      <c r="B179" s="92"/>
      <c r="C179" s="92"/>
      <c r="D179" s="92"/>
      <c r="E179" s="92"/>
      <c r="F179" s="92"/>
      <c r="G179" s="92"/>
      <c r="H179" s="92"/>
      <c r="I179" s="92"/>
      <c r="J179" s="92"/>
      <c r="K179" s="92"/>
      <c r="L179" s="92"/>
      <c r="M179" s="92"/>
      <c r="N179" s="92"/>
      <c r="O179" s="205"/>
      <c r="P179" s="92"/>
      <c r="Q179" s="92"/>
      <c r="R179" s="92"/>
      <c r="S179" s="92"/>
      <c r="T179" s="92"/>
      <c r="U179" s="92"/>
      <c r="V179" s="92"/>
      <c r="W179" s="92"/>
      <c r="X179" s="92"/>
      <c r="Y179" s="92"/>
      <c r="Z179" s="92"/>
      <c r="AA179" s="92"/>
      <c r="AB179" s="92"/>
      <c r="AC179" s="92"/>
      <c r="AD179" s="92"/>
      <c r="AE179" s="92"/>
      <c r="AF179" s="92"/>
      <c r="AG179" s="92"/>
      <c r="AH179" s="92"/>
      <c r="AI179" s="92"/>
      <c r="AJ179" s="92"/>
      <c r="AK179" s="92"/>
      <c r="AL179" s="92"/>
      <c r="AM179" s="92"/>
      <c r="AN179" s="92"/>
      <c r="AO179" s="92"/>
      <c r="AP179" s="92"/>
      <c r="AQ179" s="92"/>
      <c r="AR179" s="92"/>
      <c r="AS179" s="92"/>
      <c r="AT179" s="92"/>
      <c r="AU179" s="92"/>
      <c r="AV179" s="92"/>
      <c r="AW179" s="92"/>
      <c r="AX179" s="92"/>
      <c r="AY179" s="92"/>
      <c r="AZ179" s="92"/>
    </row>
    <row r="180" spans="1:52">
      <c r="A180" s="92"/>
      <c r="B180" s="92"/>
      <c r="C180" s="92"/>
      <c r="D180" s="92"/>
      <c r="E180" s="92"/>
      <c r="F180" s="92"/>
      <c r="G180" s="92"/>
      <c r="H180" s="92"/>
      <c r="I180" s="92"/>
      <c r="J180" s="92"/>
      <c r="K180" s="92"/>
      <c r="L180" s="92"/>
      <c r="M180" s="92"/>
      <c r="N180" s="92"/>
      <c r="O180" s="205"/>
      <c r="P180" s="92"/>
      <c r="Q180" s="92"/>
      <c r="R180" s="92"/>
      <c r="S180" s="92"/>
      <c r="T180" s="92"/>
      <c r="U180" s="92"/>
      <c r="V180" s="92"/>
      <c r="W180" s="92"/>
      <c r="X180" s="92"/>
      <c r="Y180" s="92"/>
      <c r="Z180" s="92"/>
      <c r="AA180" s="92"/>
      <c r="AB180" s="92"/>
      <c r="AC180" s="92"/>
      <c r="AD180" s="92"/>
      <c r="AE180" s="92"/>
      <c r="AF180" s="92"/>
      <c r="AG180" s="92"/>
      <c r="AH180" s="92"/>
      <c r="AI180" s="92"/>
      <c r="AJ180" s="92"/>
      <c r="AK180" s="92"/>
      <c r="AL180" s="92"/>
      <c r="AM180" s="92"/>
      <c r="AN180" s="92"/>
      <c r="AO180" s="92"/>
      <c r="AP180" s="92"/>
      <c r="AQ180" s="92"/>
      <c r="AR180" s="92"/>
      <c r="AS180" s="92"/>
      <c r="AT180" s="92"/>
      <c r="AU180" s="92"/>
      <c r="AV180" s="92"/>
      <c r="AW180" s="92"/>
      <c r="AX180" s="92"/>
      <c r="AY180" s="92"/>
      <c r="AZ180" s="92"/>
    </row>
    <row r="181" spans="1:52">
      <c r="A181" s="92"/>
      <c r="B181" s="92"/>
      <c r="C181" s="92"/>
      <c r="D181" s="92"/>
      <c r="E181" s="92"/>
      <c r="F181" s="92"/>
      <c r="G181" s="92"/>
      <c r="H181" s="92"/>
      <c r="I181" s="92"/>
      <c r="J181" s="92"/>
      <c r="K181" s="92"/>
      <c r="L181" s="92"/>
      <c r="M181" s="92"/>
      <c r="N181" s="92"/>
      <c r="O181" s="205"/>
      <c r="P181" s="92"/>
      <c r="Q181" s="92"/>
      <c r="R181" s="92"/>
      <c r="S181" s="92"/>
      <c r="T181" s="92"/>
      <c r="U181" s="92"/>
      <c r="V181" s="92"/>
      <c r="W181" s="92"/>
      <c r="X181" s="92"/>
      <c r="Y181" s="92"/>
      <c r="Z181" s="92"/>
      <c r="AA181" s="92"/>
      <c r="AB181" s="92"/>
      <c r="AC181" s="92"/>
      <c r="AD181" s="92"/>
      <c r="AE181" s="92"/>
      <c r="AF181" s="92"/>
      <c r="AG181" s="92"/>
      <c r="AH181" s="92"/>
      <c r="AI181" s="92"/>
      <c r="AJ181" s="92"/>
      <c r="AK181" s="92"/>
      <c r="AL181" s="92"/>
      <c r="AM181" s="92"/>
      <c r="AN181" s="92"/>
      <c r="AO181" s="92"/>
      <c r="AP181" s="92"/>
      <c r="AQ181" s="92"/>
      <c r="AR181" s="92"/>
      <c r="AS181" s="92"/>
      <c r="AT181" s="92"/>
      <c r="AU181" s="92"/>
      <c r="AV181" s="92"/>
      <c r="AW181" s="92"/>
      <c r="AX181" s="92"/>
      <c r="AY181" s="92"/>
      <c r="AZ181" s="92"/>
    </row>
    <row r="182" spans="1:52">
      <c r="A182" s="92"/>
      <c r="B182" s="92"/>
      <c r="C182" s="92"/>
      <c r="D182" s="92"/>
      <c r="E182" s="92"/>
      <c r="F182" s="92"/>
      <c r="G182" s="92"/>
      <c r="H182" s="92"/>
      <c r="I182" s="92"/>
      <c r="J182" s="92"/>
      <c r="K182" s="92"/>
      <c r="L182" s="92"/>
      <c r="M182" s="92"/>
      <c r="N182" s="92"/>
      <c r="O182" s="205"/>
      <c r="P182" s="92"/>
      <c r="Q182" s="92"/>
      <c r="R182" s="92"/>
      <c r="S182" s="92"/>
      <c r="T182" s="92"/>
      <c r="U182" s="92"/>
      <c r="V182" s="92"/>
      <c r="W182" s="92"/>
      <c r="X182" s="92"/>
      <c r="Y182" s="92"/>
      <c r="Z182" s="92"/>
      <c r="AA182" s="92"/>
      <c r="AB182" s="92"/>
      <c r="AC182" s="92"/>
      <c r="AD182" s="92"/>
      <c r="AE182" s="92"/>
      <c r="AF182" s="92"/>
      <c r="AG182" s="92"/>
      <c r="AH182" s="92"/>
      <c r="AI182" s="92"/>
      <c r="AJ182" s="92"/>
      <c r="AK182" s="92"/>
      <c r="AL182" s="92"/>
      <c r="AM182" s="92"/>
      <c r="AN182" s="92"/>
      <c r="AO182" s="92"/>
      <c r="AP182" s="92"/>
      <c r="AQ182" s="92"/>
      <c r="AR182" s="92"/>
      <c r="AS182" s="92"/>
      <c r="AT182" s="92"/>
      <c r="AU182" s="92"/>
      <c r="AV182" s="92"/>
      <c r="AW182" s="92"/>
      <c r="AX182" s="92"/>
      <c r="AY182" s="92"/>
      <c r="AZ182" s="92"/>
    </row>
    <row r="183" spans="1:52">
      <c r="A183" s="92"/>
      <c r="B183" s="92"/>
      <c r="C183" s="92"/>
      <c r="D183" s="92"/>
      <c r="E183" s="92"/>
      <c r="F183" s="92"/>
      <c r="G183" s="92"/>
      <c r="H183" s="92"/>
      <c r="I183" s="92"/>
      <c r="J183" s="92"/>
      <c r="K183" s="92"/>
      <c r="L183" s="92"/>
      <c r="M183" s="92"/>
      <c r="N183" s="92"/>
      <c r="O183" s="205"/>
      <c r="P183" s="92"/>
      <c r="Q183" s="92"/>
      <c r="R183" s="92"/>
      <c r="S183" s="92"/>
      <c r="T183" s="92"/>
      <c r="U183" s="92"/>
      <c r="V183" s="92"/>
      <c r="W183" s="92"/>
      <c r="X183" s="92"/>
      <c r="Y183" s="92"/>
      <c r="Z183" s="92"/>
      <c r="AA183" s="92"/>
      <c r="AB183" s="92"/>
      <c r="AC183" s="92"/>
      <c r="AD183" s="92"/>
      <c r="AE183" s="92"/>
      <c r="AF183" s="92"/>
      <c r="AG183" s="92"/>
      <c r="AH183" s="92"/>
      <c r="AI183" s="92"/>
      <c r="AJ183" s="92"/>
      <c r="AK183" s="92"/>
      <c r="AL183" s="92"/>
      <c r="AM183" s="92"/>
      <c r="AN183" s="92"/>
      <c r="AO183" s="92"/>
      <c r="AP183" s="92"/>
      <c r="AQ183" s="92"/>
      <c r="AR183" s="92"/>
      <c r="AS183" s="92"/>
      <c r="AT183" s="92"/>
      <c r="AU183" s="92"/>
      <c r="AV183" s="92"/>
      <c r="AW183" s="92"/>
      <c r="AX183" s="92"/>
      <c r="AY183" s="92"/>
      <c r="AZ183" s="92"/>
    </row>
    <row r="184" spans="1:52">
      <c r="A184" s="92"/>
      <c r="B184" s="92"/>
      <c r="C184" s="92"/>
      <c r="D184" s="92"/>
      <c r="E184" s="92"/>
      <c r="F184" s="92"/>
      <c r="G184" s="92"/>
      <c r="H184" s="92"/>
      <c r="I184" s="92"/>
      <c r="J184" s="92"/>
      <c r="K184" s="92"/>
      <c r="L184" s="92"/>
      <c r="M184" s="92"/>
      <c r="N184" s="92"/>
      <c r="O184" s="205"/>
      <c r="P184" s="92"/>
      <c r="Q184" s="92"/>
      <c r="R184" s="92"/>
      <c r="S184" s="92"/>
      <c r="T184" s="92"/>
      <c r="U184" s="92"/>
      <c r="V184" s="92"/>
      <c r="W184" s="92"/>
      <c r="X184" s="92"/>
      <c r="Y184" s="92"/>
      <c r="Z184" s="92"/>
      <c r="AA184" s="92"/>
      <c r="AB184" s="92"/>
      <c r="AC184" s="92"/>
      <c r="AD184" s="92"/>
      <c r="AE184" s="92"/>
      <c r="AF184" s="92"/>
      <c r="AG184" s="92"/>
      <c r="AH184" s="92"/>
      <c r="AI184" s="92"/>
      <c r="AJ184" s="92"/>
      <c r="AK184" s="92"/>
      <c r="AL184" s="92"/>
      <c r="AM184" s="92"/>
      <c r="AN184" s="92"/>
      <c r="AO184" s="92"/>
      <c r="AP184" s="92"/>
      <c r="AQ184" s="92"/>
      <c r="AR184" s="92"/>
      <c r="AS184" s="92"/>
      <c r="AT184" s="92"/>
      <c r="AU184" s="92"/>
      <c r="AV184" s="92"/>
      <c r="AW184" s="92"/>
      <c r="AX184" s="92"/>
      <c r="AY184" s="92"/>
      <c r="AZ184" s="92"/>
    </row>
    <row r="185" spans="1:52">
      <c r="A185" s="92"/>
      <c r="B185" s="92"/>
      <c r="C185" s="92"/>
      <c r="D185" s="92"/>
      <c r="E185" s="92"/>
      <c r="F185" s="92"/>
      <c r="G185" s="92"/>
      <c r="H185" s="92"/>
      <c r="I185" s="92"/>
      <c r="J185" s="92"/>
      <c r="K185" s="92"/>
      <c r="L185" s="92"/>
      <c r="M185" s="92"/>
      <c r="N185" s="92"/>
      <c r="O185" s="205"/>
      <c r="P185" s="92"/>
      <c r="Q185" s="92"/>
      <c r="R185" s="92"/>
      <c r="S185" s="92"/>
      <c r="T185" s="92"/>
      <c r="U185" s="92"/>
      <c r="V185" s="92"/>
      <c r="W185" s="92"/>
      <c r="X185" s="92"/>
      <c r="Y185" s="92"/>
      <c r="Z185" s="92"/>
      <c r="AA185" s="92"/>
      <c r="AB185" s="92"/>
      <c r="AC185" s="92"/>
      <c r="AD185" s="92"/>
      <c r="AE185" s="92"/>
      <c r="AF185" s="92"/>
      <c r="AG185" s="92"/>
      <c r="AH185" s="92"/>
      <c r="AI185" s="92"/>
      <c r="AJ185" s="92"/>
      <c r="AK185" s="92"/>
      <c r="AL185" s="92"/>
      <c r="AM185" s="92"/>
      <c r="AN185" s="92"/>
      <c r="AO185" s="92"/>
      <c r="AP185" s="92"/>
      <c r="AQ185" s="92"/>
      <c r="AR185" s="92"/>
      <c r="AS185" s="92"/>
      <c r="AT185" s="92"/>
      <c r="AU185" s="92"/>
      <c r="AV185" s="92"/>
      <c r="AW185" s="92"/>
      <c r="AX185" s="92"/>
      <c r="AY185" s="92"/>
      <c r="AZ185" s="92"/>
    </row>
    <row r="186" spans="1:52">
      <c r="A186" s="92"/>
      <c r="B186" s="92"/>
      <c r="C186" s="92"/>
      <c r="D186" s="92"/>
      <c r="E186" s="92"/>
      <c r="F186" s="92"/>
      <c r="G186" s="92"/>
      <c r="H186" s="92"/>
      <c r="I186" s="92"/>
      <c r="J186" s="92"/>
      <c r="K186" s="92"/>
      <c r="L186" s="92"/>
      <c r="M186" s="92"/>
      <c r="N186" s="92"/>
      <c r="O186" s="205"/>
      <c r="P186" s="92"/>
      <c r="Q186" s="92"/>
      <c r="R186" s="92"/>
      <c r="S186" s="92"/>
      <c r="T186" s="92"/>
      <c r="U186" s="92"/>
      <c r="V186" s="92"/>
      <c r="W186" s="92"/>
      <c r="X186" s="92"/>
      <c r="Y186" s="92"/>
      <c r="Z186" s="92"/>
      <c r="AA186" s="92"/>
      <c r="AB186" s="92"/>
      <c r="AC186" s="92"/>
      <c r="AD186" s="92"/>
      <c r="AE186" s="92"/>
      <c r="AF186" s="92"/>
      <c r="AG186" s="92"/>
      <c r="AH186" s="92"/>
      <c r="AI186" s="92"/>
      <c r="AJ186" s="92"/>
      <c r="AK186" s="92"/>
      <c r="AL186" s="92"/>
      <c r="AM186" s="92"/>
      <c r="AN186" s="92"/>
      <c r="AO186" s="92"/>
      <c r="AP186" s="92"/>
      <c r="AQ186" s="92"/>
      <c r="AR186" s="92"/>
      <c r="AS186" s="92"/>
      <c r="AT186" s="92"/>
      <c r="AU186" s="92"/>
      <c r="AV186" s="92"/>
      <c r="AW186" s="92"/>
      <c r="AX186" s="92"/>
      <c r="AY186" s="92"/>
      <c r="AZ186" s="92"/>
    </row>
    <row r="187" spans="1:52">
      <c r="A187" s="92"/>
      <c r="B187" s="92"/>
      <c r="C187" s="92"/>
      <c r="D187" s="92"/>
      <c r="E187" s="92"/>
      <c r="F187" s="92"/>
      <c r="G187" s="92"/>
      <c r="H187" s="92"/>
      <c r="I187" s="92"/>
      <c r="J187" s="92"/>
      <c r="K187" s="92"/>
      <c r="L187" s="92"/>
      <c r="M187" s="92"/>
      <c r="N187" s="92"/>
      <c r="O187" s="205"/>
      <c r="P187" s="92"/>
      <c r="Q187" s="92"/>
      <c r="R187" s="92"/>
      <c r="S187" s="92"/>
      <c r="T187" s="92"/>
      <c r="U187" s="92"/>
      <c r="V187" s="92"/>
      <c r="W187" s="92"/>
      <c r="X187" s="92"/>
      <c r="Y187" s="92"/>
      <c r="Z187" s="92"/>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c r="AW187" s="92"/>
      <c r="AX187" s="92"/>
      <c r="AY187" s="92"/>
      <c r="AZ187" s="92"/>
    </row>
    <row r="188" spans="1:52">
      <c r="A188" s="92"/>
      <c r="B188" s="92"/>
      <c r="C188" s="92"/>
      <c r="D188" s="92"/>
      <c r="E188" s="92"/>
      <c r="F188" s="92"/>
      <c r="G188" s="92"/>
      <c r="H188" s="92"/>
      <c r="I188" s="92"/>
      <c r="J188" s="92"/>
      <c r="K188" s="92"/>
      <c r="L188" s="92"/>
      <c r="M188" s="92"/>
      <c r="N188" s="92"/>
      <c r="O188" s="205"/>
      <c r="P188" s="92"/>
      <c r="Q188" s="92"/>
      <c r="R188" s="92"/>
      <c r="S188" s="92"/>
      <c r="T188" s="92"/>
      <c r="U188" s="92"/>
      <c r="V188" s="92"/>
      <c r="W188" s="92"/>
      <c r="X188" s="92"/>
      <c r="Y188" s="92"/>
      <c r="Z188" s="92"/>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c r="AW188" s="92"/>
      <c r="AX188" s="92"/>
      <c r="AY188" s="92"/>
      <c r="AZ188" s="92"/>
    </row>
    <row r="189" spans="1:52">
      <c r="A189" s="92"/>
      <c r="B189" s="92"/>
      <c r="C189" s="92"/>
      <c r="D189" s="92"/>
      <c r="E189" s="92"/>
      <c r="F189" s="92"/>
      <c r="G189" s="92"/>
      <c r="H189" s="92"/>
      <c r="I189" s="92"/>
      <c r="J189" s="92"/>
      <c r="K189" s="92"/>
      <c r="L189" s="92"/>
      <c r="M189" s="92"/>
      <c r="N189" s="92"/>
      <c r="O189" s="205"/>
      <c r="P189" s="92"/>
      <c r="Q189" s="92"/>
      <c r="R189" s="92"/>
      <c r="S189" s="92"/>
      <c r="T189" s="92"/>
      <c r="U189" s="92"/>
      <c r="V189" s="92"/>
      <c r="W189" s="92"/>
      <c r="X189" s="92"/>
      <c r="Y189" s="92"/>
      <c r="Z189" s="92"/>
      <c r="AA189" s="92"/>
      <c r="AB189" s="92"/>
      <c r="AC189" s="92"/>
      <c r="AD189" s="92"/>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row>
    <row r="190" spans="1:52">
      <c r="A190" s="92"/>
      <c r="B190" s="92"/>
      <c r="C190" s="92"/>
      <c r="D190" s="92"/>
      <c r="E190" s="92"/>
      <c r="F190" s="92"/>
      <c r="G190" s="92"/>
      <c r="H190" s="92"/>
      <c r="I190" s="92"/>
      <c r="J190" s="92"/>
      <c r="K190" s="92"/>
      <c r="L190" s="92"/>
      <c r="M190" s="92"/>
      <c r="N190" s="92"/>
      <c r="O190" s="205"/>
      <c r="P190" s="92"/>
      <c r="Q190" s="92"/>
      <c r="R190" s="92"/>
      <c r="S190" s="92"/>
      <c r="T190" s="92"/>
      <c r="U190" s="92"/>
      <c r="V190" s="92"/>
      <c r="W190" s="92"/>
      <c r="X190" s="92"/>
      <c r="Y190" s="92"/>
      <c r="Z190" s="92"/>
      <c r="AA190" s="92"/>
      <c r="AB190" s="92"/>
      <c r="AC190" s="92"/>
      <c r="AD190" s="92"/>
      <c r="AE190" s="92"/>
      <c r="AF190" s="92"/>
      <c r="AG190" s="92"/>
      <c r="AH190" s="92"/>
      <c r="AI190" s="92"/>
      <c r="AJ190" s="92"/>
      <c r="AK190" s="92"/>
      <c r="AL190" s="92"/>
      <c r="AM190" s="92"/>
      <c r="AN190" s="92"/>
      <c r="AO190" s="92"/>
      <c r="AP190" s="92"/>
      <c r="AQ190" s="92"/>
      <c r="AR190" s="92"/>
      <c r="AS190" s="92"/>
      <c r="AT190" s="92"/>
      <c r="AU190" s="92"/>
      <c r="AV190" s="92"/>
      <c r="AW190" s="92"/>
      <c r="AX190" s="92"/>
      <c r="AY190" s="92"/>
      <c r="AZ190" s="92"/>
    </row>
    <row r="191" spans="1:52">
      <c r="A191" s="92"/>
      <c r="B191" s="92"/>
      <c r="C191" s="92"/>
      <c r="D191" s="92"/>
      <c r="E191" s="92"/>
      <c r="F191" s="92"/>
      <c r="G191" s="92"/>
      <c r="H191" s="92"/>
      <c r="I191" s="92"/>
      <c r="J191" s="92"/>
      <c r="K191" s="92"/>
      <c r="L191" s="92"/>
      <c r="M191" s="92"/>
      <c r="N191" s="92"/>
      <c r="O191" s="205"/>
      <c r="P191" s="92"/>
      <c r="Q191" s="92"/>
      <c r="R191" s="92"/>
      <c r="S191" s="92"/>
      <c r="T191" s="92"/>
      <c r="U191" s="92"/>
      <c r="V191" s="92"/>
      <c r="W191" s="92"/>
      <c r="X191" s="92"/>
      <c r="Y191" s="92"/>
      <c r="Z191" s="92"/>
      <c r="AA191" s="92"/>
      <c r="AB191" s="92"/>
      <c r="AC191" s="92"/>
      <c r="AD191" s="92"/>
      <c r="AE191" s="92"/>
      <c r="AF191" s="92"/>
      <c r="AG191" s="92"/>
      <c r="AH191" s="92"/>
      <c r="AI191" s="92"/>
      <c r="AJ191" s="92"/>
      <c r="AK191" s="92"/>
      <c r="AL191" s="92"/>
      <c r="AM191" s="92"/>
      <c r="AN191" s="92"/>
      <c r="AO191" s="92"/>
      <c r="AP191" s="92"/>
      <c r="AQ191" s="92"/>
      <c r="AR191" s="92"/>
      <c r="AS191" s="92"/>
      <c r="AT191" s="92"/>
      <c r="AU191" s="92"/>
      <c r="AV191" s="92"/>
      <c r="AW191" s="92"/>
      <c r="AX191" s="92"/>
      <c r="AY191" s="92"/>
      <c r="AZ191" s="92"/>
    </row>
    <row r="192" spans="1:52">
      <c r="A192" s="92"/>
      <c r="B192" s="92"/>
      <c r="C192" s="92"/>
      <c r="D192" s="92"/>
      <c r="E192" s="92"/>
      <c r="F192" s="92"/>
      <c r="G192" s="92"/>
      <c r="H192" s="92"/>
      <c r="I192" s="92"/>
      <c r="J192" s="92"/>
      <c r="K192" s="92"/>
      <c r="L192" s="92"/>
      <c r="M192" s="92"/>
      <c r="N192" s="92"/>
      <c r="O192" s="205"/>
      <c r="P192" s="92"/>
      <c r="Q192" s="92"/>
      <c r="R192" s="92"/>
      <c r="S192" s="92"/>
      <c r="T192" s="92"/>
      <c r="U192" s="92"/>
      <c r="V192" s="92"/>
      <c r="W192" s="92"/>
      <c r="X192" s="92"/>
      <c r="Y192" s="92"/>
      <c r="Z192" s="92"/>
      <c r="AA192" s="92"/>
      <c r="AB192" s="92"/>
      <c r="AC192" s="92"/>
      <c r="AD192" s="92"/>
      <c r="AE192" s="92"/>
      <c r="AF192" s="92"/>
      <c r="AG192" s="92"/>
      <c r="AH192" s="92"/>
      <c r="AI192" s="92"/>
      <c r="AJ192" s="92"/>
      <c r="AK192" s="92"/>
      <c r="AL192" s="92"/>
      <c r="AM192" s="92"/>
      <c r="AN192" s="92"/>
      <c r="AO192" s="92"/>
      <c r="AP192" s="92"/>
      <c r="AQ192" s="92"/>
      <c r="AR192" s="92"/>
      <c r="AS192" s="92"/>
      <c r="AT192" s="92"/>
      <c r="AU192" s="92"/>
      <c r="AV192" s="92"/>
      <c r="AW192" s="92"/>
      <c r="AX192" s="92"/>
      <c r="AY192" s="92"/>
      <c r="AZ192" s="92"/>
    </row>
    <row r="193" spans="1:52">
      <c r="A193" s="92"/>
      <c r="B193" s="92"/>
      <c r="C193" s="92"/>
      <c r="D193" s="92"/>
      <c r="E193" s="92"/>
      <c r="F193" s="92"/>
      <c r="G193" s="92"/>
      <c r="H193" s="92"/>
      <c r="I193" s="92"/>
      <c r="J193" s="92"/>
      <c r="K193" s="92"/>
      <c r="L193" s="92"/>
      <c r="M193" s="92"/>
      <c r="N193" s="92"/>
      <c r="O193" s="205"/>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row>
    <row r="194" spans="1:52">
      <c r="A194" s="92"/>
      <c r="B194" s="92"/>
      <c r="C194" s="92"/>
      <c r="D194" s="92"/>
      <c r="E194" s="92"/>
      <c r="F194" s="92"/>
      <c r="G194" s="92"/>
      <c r="H194" s="92"/>
      <c r="I194" s="92"/>
      <c r="J194" s="92"/>
      <c r="K194" s="92"/>
      <c r="L194" s="92"/>
      <c r="M194" s="92"/>
      <c r="N194" s="92"/>
      <c r="O194" s="205"/>
      <c r="P194" s="92"/>
      <c r="Q194" s="92"/>
      <c r="R194" s="92"/>
      <c r="S194" s="92"/>
      <c r="T194" s="92"/>
      <c r="U194" s="92"/>
      <c r="V194" s="92"/>
      <c r="W194" s="92"/>
      <c r="X194" s="92"/>
      <c r="Y194" s="92"/>
      <c r="Z194" s="92"/>
      <c r="AA194" s="92"/>
      <c r="AB194" s="92"/>
      <c r="AC194" s="92"/>
      <c r="AD194" s="92"/>
      <c r="AE194" s="92"/>
      <c r="AF194" s="92"/>
      <c r="AG194" s="92"/>
      <c r="AH194" s="92"/>
      <c r="AI194" s="92"/>
      <c r="AJ194" s="92"/>
      <c r="AK194" s="92"/>
      <c r="AL194" s="92"/>
      <c r="AM194" s="92"/>
      <c r="AN194" s="92"/>
      <c r="AO194" s="92"/>
      <c r="AP194" s="92"/>
      <c r="AQ194" s="92"/>
      <c r="AR194" s="92"/>
      <c r="AS194" s="92"/>
      <c r="AT194" s="92"/>
      <c r="AU194" s="92"/>
      <c r="AV194" s="92"/>
      <c r="AW194" s="92"/>
      <c r="AX194" s="92"/>
      <c r="AY194" s="92"/>
      <c r="AZ194" s="92"/>
    </row>
    <row r="195" spans="1:52">
      <c r="A195" s="92"/>
      <c r="B195" s="92"/>
      <c r="C195" s="92"/>
      <c r="D195" s="92"/>
      <c r="E195" s="92"/>
      <c r="F195" s="92"/>
      <c r="G195" s="92"/>
      <c r="H195" s="92"/>
      <c r="I195" s="92"/>
      <c r="J195" s="92"/>
      <c r="K195" s="92"/>
      <c r="L195" s="92"/>
      <c r="M195" s="92"/>
      <c r="N195" s="92"/>
      <c r="O195" s="205"/>
      <c r="P195" s="92"/>
      <c r="Q195" s="92"/>
      <c r="R195" s="92"/>
      <c r="S195" s="92"/>
      <c r="T195" s="92"/>
      <c r="U195" s="92"/>
      <c r="V195" s="92"/>
      <c r="W195" s="92"/>
      <c r="X195" s="92"/>
      <c r="Y195" s="92"/>
      <c r="Z195" s="92"/>
      <c r="AA195" s="92"/>
      <c r="AB195" s="92"/>
      <c r="AC195" s="92"/>
      <c r="AD195" s="92"/>
      <c r="AE195" s="92"/>
      <c r="AF195" s="92"/>
      <c r="AG195" s="92"/>
      <c r="AH195" s="92"/>
      <c r="AI195" s="92"/>
      <c r="AJ195" s="92"/>
      <c r="AK195" s="92"/>
      <c r="AL195" s="92"/>
      <c r="AM195" s="92"/>
      <c r="AN195" s="92"/>
      <c r="AO195" s="92"/>
      <c r="AP195" s="92"/>
      <c r="AQ195" s="92"/>
      <c r="AR195" s="92"/>
      <c r="AS195" s="92"/>
      <c r="AT195" s="92"/>
      <c r="AU195" s="92"/>
      <c r="AV195" s="92"/>
      <c r="AW195" s="92"/>
      <c r="AX195" s="92"/>
      <c r="AY195" s="92"/>
      <c r="AZ195" s="92"/>
    </row>
    <row r="196" spans="1:52">
      <c r="A196" s="92"/>
      <c r="B196" s="92"/>
      <c r="C196" s="92"/>
      <c r="D196" s="92"/>
      <c r="E196" s="92"/>
      <c r="F196" s="92"/>
      <c r="G196" s="92"/>
      <c r="H196" s="92"/>
      <c r="I196" s="92"/>
      <c r="J196" s="92"/>
      <c r="K196" s="92"/>
      <c r="L196" s="92"/>
      <c r="M196" s="92"/>
      <c r="N196" s="92"/>
      <c r="O196" s="205"/>
      <c r="P196" s="92"/>
      <c r="Q196" s="92"/>
      <c r="R196" s="92"/>
      <c r="S196" s="92"/>
      <c r="T196" s="92"/>
      <c r="U196" s="92"/>
      <c r="V196" s="92"/>
      <c r="W196" s="92"/>
      <c r="X196" s="92"/>
      <c r="Y196" s="92"/>
      <c r="Z196" s="92"/>
      <c r="AA196" s="92"/>
      <c r="AB196" s="92"/>
      <c r="AC196" s="92"/>
      <c r="AD196" s="92"/>
      <c r="AE196" s="92"/>
      <c r="AF196" s="92"/>
      <c r="AG196" s="92"/>
      <c r="AH196" s="92"/>
      <c r="AI196" s="92"/>
      <c r="AJ196" s="92"/>
      <c r="AK196" s="92"/>
      <c r="AL196" s="92"/>
      <c r="AM196" s="92"/>
      <c r="AN196" s="92"/>
      <c r="AO196" s="92"/>
      <c r="AP196" s="92"/>
      <c r="AQ196" s="92"/>
      <c r="AR196" s="92"/>
      <c r="AS196" s="92"/>
      <c r="AT196" s="92"/>
      <c r="AU196" s="92"/>
      <c r="AV196" s="92"/>
      <c r="AW196" s="92"/>
      <c r="AX196" s="92"/>
      <c r="AY196" s="92"/>
      <c r="AZ196" s="92"/>
    </row>
    <row r="197" spans="1:52">
      <c r="A197" s="92"/>
      <c r="B197" s="92"/>
      <c r="C197" s="92"/>
      <c r="D197" s="92"/>
      <c r="E197" s="92"/>
      <c r="F197" s="92"/>
      <c r="G197" s="92"/>
      <c r="H197" s="92"/>
      <c r="I197" s="92"/>
      <c r="J197" s="92"/>
      <c r="K197" s="92"/>
      <c r="L197" s="92"/>
      <c r="M197" s="92"/>
      <c r="N197" s="92"/>
      <c r="O197" s="205"/>
      <c r="P197" s="92"/>
      <c r="Q197" s="92"/>
      <c r="R197" s="92"/>
      <c r="S197" s="92"/>
      <c r="T197" s="92"/>
      <c r="U197" s="92"/>
      <c r="V197" s="92"/>
      <c r="W197" s="92"/>
      <c r="X197" s="92"/>
      <c r="Y197" s="92"/>
      <c r="Z197" s="92"/>
      <c r="AA197" s="92"/>
      <c r="AB197" s="92"/>
      <c r="AC197" s="92"/>
      <c r="AD197" s="92"/>
      <c r="AE197" s="92"/>
      <c r="AF197" s="92"/>
      <c r="AG197" s="92"/>
      <c r="AH197" s="92"/>
      <c r="AI197" s="92"/>
      <c r="AJ197" s="92"/>
      <c r="AK197" s="92"/>
      <c r="AL197" s="92"/>
      <c r="AM197" s="92"/>
      <c r="AN197" s="92"/>
      <c r="AO197" s="92"/>
      <c r="AP197" s="92"/>
      <c r="AQ197" s="92"/>
      <c r="AR197" s="92"/>
      <c r="AS197" s="92"/>
      <c r="AT197" s="92"/>
      <c r="AU197" s="92"/>
      <c r="AV197" s="92"/>
      <c r="AW197" s="92"/>
      <c r="AX197" s="92"/>
      <c r="AY197" s="92"/>
      <c r="AZ197" s="92"/>
    </row>
    <row r="198" spans="1:52">
      <c r="A198" s="92"/>
      <c r="B198" s="92"/>
      <c r="C198" s="92"/>
      <c r="D198" s="92"/>
      <c r="E198" s="92"/>
      <c r="F198" s="92"/>
      <c r="G198" s="92"/>
      <c r="H198" s="92"/>
      <c r="I198" s="92"/>
      <c r="J198" s="92"/>
      <c r="K198" s="92"/>
      <c r="L198" s="92"/>
      <c r="M198" s="92"/>
      <c r="N198" s="92"/>
      <c r="O198" s="205"/>
      <c r="P198" s="92"/>
      <c r="Q198" s="92"/>
      <c r="R198" s="92"/>
      <c r="S198" s="92"/>
      <c r="T198" s="92"/>
      <c r="U198" s="92"/>
      <c r="V198" s="92"/>
      <c r="W198" s="92"/>
      <c r="X198" s="92"/>
      <c r="Y198" s="92"/>
      <c r="Z198" s="92"/>
      <c r="AA198" s="92"/>
      <c r="AB198" s="92"/>
      <c r="AC198" s="92"/>
      <c r="AD198" s="92"/>
      <c r="AE198" s="92"/>
      <c r="AF198" s="92"/>
      <c r="AG198" s="92"/>
      <c r="AH198" s="92"/>
      <c r="AI198" s="92"/>
      <c r="AJ198" s="92"/>
      <c r="AK198" s="92"/>
      <c r="AL198" s="92"/>
      <c r="AM198" s="92"/>
      <c r="AN198" s="92"/>
      <c r="AO198" s="92"/>
      <c r="AP198" s="92"/>
      <c r="AQ198" s="92"/>
      <c r="AR198" s="92"/>
      <c r="AS198" s="92"/>
      <c r="AT198" s="92"/>
      <c r="AU198" s="92"/>
      <c r="AV198" s="92"/>
      <c r="AW198" s="92"/>
      <c r="AX198" s="92"/>
      <c r="AY198" s="92"/>
      <c r="AZ198" s="92"/>
    </row>
    <row r="199" spans="1:52">
      <c r="A199" s="92"/>
      <c r="B199" s="92"/>
      <c r="C199" s="92"/>
      <c r="D199" s="92"/>
      <c r="E199" s="92"/>
      <c r="F199" s="92"/>
      <c r="G199" s="92"/>
      <c r="H199" s="92"/>
      <c r="I199" s="92"/>
      <c r="J199" s="92"/>
      <c r="K199" s="92"/>
      <c r="L199" s="92"/>
      <c r="M199" s="92"/>
      <c r="N199" s="92"/>
      <c r="O199" s="205"/>
      <c r="P199" s="92"/>
      <c r="Q199" s="92"/>
      <c r="R199" s="92"/>
      <c r="S199" s="92"/>
      <c r="T199" s="92"/>
      <c r="U199" s="92"/>
      <c r="V199" s="92"/>
      <c r="W199" s="92"/>
      <c r="X199" s="92"/>
      <c r="Y199" s="92"/>
      <c r="Z199" s="92"/>
      <c r="AA199" s="92"/>
      <c r="AB199" s="92"/>
      <c r="AC199" s="92"/>
      <c r="AD199" s="92"/>
      <c r="AE199" s="92"/>
      <c r="AF199" s="92"/>
      <c r="AG199" s="92"/>
      <c r="AH199" s="92"/>
      <c r="AI199" s="92"/>
      <c r="AJ199" s="92"/>
      <c r="AK199" s="92"/>
      <c r="AL199" s="92"/>
      <c r="AM199" s="92"/>
      <c r="AN199" s="92"/>
      <c r="AO199" s="92"/>
      <c r="AP199" s="92"/>
      <c r="AQ199" s="92"/>
      <c r="AR199" s="92"/>
      <c r="AS199" s="92"/>
      <c r="AT199" s="92"/>
      <c r="AU199" s="92"/>
      <c r="AV199" s="92"/>
      <c r="AW199" s="92"/>
      <c r="AX199" s="92"/>
      <c r="AY199" s="92"/>
      <c r="AZ199" s="92"/>
    </row>
    <row r="200" spans="1:52">
      <c r="A200" s="92"/>
      <c r="B200" s="92"/>
      <c r="C200" s="92"/>
      <c r="D200" s="92"/>
      <c r="E200" s="92"/>
      <c r="F200" s="92"/>
      <c r="G200" s="92"/>
      <c r="H200" s="92"/>
      <c r="I200" s="92"/>
      <c r="J200" s="92"/>
      <c r="K200" s="92"/>
      <c r="L200" s="92"/>
      <c r="M200" s="92"/>
      <c r="N200" s="92"/>
      <c r="O200" s="205"/>
      <c r="P200" s="92"/>
      <c r="Q200" s="92"/>
      <c r="R200" s="92"/>
      <c r="S200" s="92"/>
      <c r="T200" s="92"/>
      <c r="U200" s="92"/>
      <c r="V200" s="92"/>
      <c r="W200" s="92"/>
      <c r="X200" s="92"/>
      <c r="Y200" s="92"/>
      <c r="Z200" s="92"/>
      <c r="AA200" s="92"/>
      <c r="AB200" s="92"/>
      <c r="AC200" s="92"/>
      <c r="AD200" s="92"/>
      <c r="AE200" s="92"/>
      <c r="AF200" s="92"/>
      <c r="AG200" s="92"/>
      <c r="AH200" s="92"/>
      <c r="AI200" s="92"/>
      <c r="AJ200" s="92"/>
      <c r="AK200" s="92"/>
      <c r="AL200" s="92"/>
      <c r="AM200" s="92"/>
      <c r="AN200" s="92"/>
      <c r="AO200" s="92"/>
      <c r="AP200" s="92"/>
      <c r="AQ200" s="92"/>
      <c r="AR200" s="92"/>
      <c r="AS200" s="92"/>
      <c r="AT200" s="92"/>
      <c r="AU200" s="92"/>
      <c r="AV200" s="92"/>
      <c r="AW200" s="92"/>
      <c r="AX200" s="92"/>
      <c r="AY200" s="92"/>
      <c r="AZ200" s="92"/>
    </row>
    <row r="201" spans="1:52">
      <c r="A201" s="92"/>
      <c r="B201" s="92"/>
      <c r="C201" s="92"/>
      <c r="D201" s="92"/>
      <c r="E201" s="92"/>
      <c r="F201" s="92"/>
      <c r="G201" s="92"/>
      <c r="H201" s="92"/>
      <c r="I201" s="92"/>
      <c r="J201" s="92"/>
      <c r="K201" s="92"/>
      <c r="L201" s="92"/>
      <c r="M201" s="92"/>
      <c r="N201" s="92"/>
      <c r="O201" s="205"/>
      <c r="P201" s="92"/>
      <c r="Q201" s="92"/>
      <c r="R201" s="92"/>
      <c r="S201" s="92"/>
      <c r="T201" s="92"/>
      <c r="U201" s="92"/>
      <c r="V201" s="92"/>
      <c r="W201" s="92"/>
      <c r="X201" s="92"/>
      <c r="Y201" s="92"/>
      <c r="Z201" s="92"/>
      <c r="AA201" s="92"/>
      <c r="AB201" s="92"/>
      <c r="AC201" s="92"/>
      <c r="AD201" s="92"/>
      <c r="AE201" s="92"/>
      <c r="AF201" s="92"/>
      <c r="AG201" s="92"/>
      <c r="AH201" s="92"/>
      <c r="AI201" s="92"/>
      <c r="AJ201" s="92"/>
      <c r="AK201" s="92"/>
      <c r="AL201" s="92"/>
      <c r="AM201" s="92"/>
      <c r="AN201" s="92"/>
      <c r="AO201" s="92"/>
      <c r="AP201" s="92"/>
      <c r="AQ201" s="92"/>
      <c r="AR201" s="92"/>
      <c r="AS201" s="92"/>
      <c r="AT201" s="92"/>
      <c r="AU201" s="92"/>
      <c r="AV201" s="92"/>
      <c r="AW201" s="92"/>
      <c r="AX201" s="92"/>
      <c r="AY201" s="92"/>
      <c r="AZ201" s="92"/>
    </row>
    <row r="202" spans="1:52">
      <c r="A202" s="92"/>
      <c r="B202" s="92"/>
      <c r="C202" s="92"/>
      <c r="D202" s="92"/>
      <c r="E202" s="92"/>
      <c r="F202" s="92"/>
      <c r="G202" s="92"/>
      <c r="H202" s="92"/>
      <c r="I202" s="92"/>
      <c r="J202" s="92"/>
      <c r="K202" s="92"/>
      <c r="L202" s="92"/>
      <c r="M202" s="92"/>
      <c r="N202" s="92"/>
      <c r="O202" s="205"/>
      <c r="P202" s="92"/>
      <c r="Q202" s="92"/>
      <c r="R202" s="92"/>
      <c r="S202" s="92"/>
      <c r="T202" s="92"/>
      <c r="U202" s="92"/>
      <c r="V202" s="92"/>
      <c r="W202" s="92"/>
      <c r="X202" s="92"/>
      <c r="Y202" s="92"/>
      <c r="Z202" s="92"/>
      <c r="AA202" s="92"/>
      <c r="AB202" s="92"/>
      <c r="AC202" s="92"/>
      <c r="AD202" s="92"/>
      <c r="AE202" s="92"/>
      <c r="AF202" s="92"/>
      <c r="AG202" s="92"/>
      <c r="AH202" s="92"/>
      <c r="AI202" s="92"/>
      <c r="AJ202" s="92"/>
      <c r="AK202" s="92"/>
      <c r="AL202" s="92"/>
      <c r="AM202" s="92"/>
      <c r="AN202" s="92"/>
      <c r="AO202" s="92"/>
      <c r="AP202" s="92"/>
      <c r="AQ202" s="92"/>
      <c r="AR202" s="92"/>
      <c r="AS202" s="92"/>
      <c r="AT202" s="92"/>
      <c r="AU202" s="92"/>
      <c r="AV202" s="92"/>
      <c r="AW202" s="92"/>
      <c r="AX202" s="92"/>
      <c r="AY202" s="92"/>
      <c r="AZ202" s="92"/>
    </row>
    <row r="203" spans="1:52">
      <c r="A203" s="92"/>
      <c r="B203" s="92"/>
      <c r="C203" s="92"/>
      <c r="D203" s="92"/>
      <c r="E203" s="92"/>
      <c r="F203" s="92"/>
      <c r="G203" s="92"/>
      <c r="H203" s="92"/>
      <c r="I203" s="92"/>
      <c r="J203" s="92"/>
      <c r="K203" s="92"/>
      <c r="L203" s="92"/>
      <c r="M203" s="92"/>
      <c r="N203" s="92"/>
      <c r="O203" s="205"/>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row>
    <row r="204" spans="1:52">
      <c r="A204" s="92"/>
      <c r="B204" s="92"/>
      <c r="C204" s="92"/>
      <c r="D204" s="92"/>
      <c r="E204" s="92"/>
      <c r="F204" s="92"/>
      <c r="G204" s="92"/>
      <c r="H204" s="92"/>
      <c r="I204" s="92"/>
      <c r="J204" s="92"/>
      <c r="K204" s="92"/>
      <c r="L204" s="92"/>
      <c r="M204" s="92"/>
      <c r="N204" s="92"/>
      <c r="O204" s="205"/>
      <c r="P204" s="92"/>
      <c r="Q204" s="92"/>
      <c r="R204" s="92"/>
      <c r="S204" s="92"/>
      <c r="T204" s="92"/>
      <c r="U204" s="92"/>
      <c r="V204" s="92"/>
      <c r="W204" s="92"/>
      <c r="X204" s="92"/>
      <c r="Y204" s="92"/>
      <c r="Z204" s="92"/>
      <c r="AA204" s="92"/>
      <c r="AB204" s="92"/>
      <c r="AC204" s="92"/>
      <c r="AD204" s="92"/>
      <c r="AE204" s="92"/>
      <c r="AF204" s="92"/>
      <c r="AG204" s="92"/>
      <c r="AH204" s="92"/>
      <c r="AI204" s="92"/>
      <c r="AJ204" s="92"/>
      <c r="AK204" s="92"/>
      <c r="AL204" s="92"/>
      <c r="AM204" s="92"/>
      <c r="AN204" s="92"/>
      <c r="AO204" s="92"/>
      <c r="AP204" s="92"/>
      <c r="AQ204" s="92"/>
      <c r="AR204" s="92"/>
      <c r="AS204" s="92"/>
      <c r="AT204" s="92"/>
      <c r="AU204" s="92"/>
      <c r="AV204" s="92"/>
      <c r="AW204" s="92"/>
      <c r="AX204" s="92"/>
      <c r="AY204" s="92"/>
      <c r="AZ204" s="92"/>
    </row>
  </sheetData>
  <sheetProtection algorithmName="SHA-512" hashValue="xGPaRq8ke1s1Q4NQOQU2Zd9p+Uh10xr3+9izSzUOEcwGrpAqGYb4+DEIpaIcz9yxlBEq7eDxfdEX52zM3iol6Q==" saltValue="KFsrRnsIHlcstw0L1MaZNw==" spinCount="100000" sheet="1" objects="1" scenarios="1"/>
  <mergeCells count="41">
    <mergeCell ref="B2:AK2"/>
    <mergeCell ref="V3:V4"/>
    <mergeCell ref="Q3:Q4"/>
    <mergeCell ref="R3:R4"/>
    <mergeCell ref="S3:S4"/>
    <mergeCell ref="T3:T4"/>
    <mergeCell ref="U3:U4"/>
    <mergeCell ref="P3:P4"/>
    <mergeCell ref="B3:B4"/>
    <mergeCell ref="C3:C4"/>
    <mergeCell ref="D3:D4"/>
    <mergeCell ref="E3:F4"/>
    <mergeCell ref="G3:G4"/>
    <mergeCell ref="H3:H4"/>
    <mergeCell ref="I3:I4"/>
    <mergeCell ref="J3:J4"/>
    <mergeCell ref="K3:K4"/>
    <mergeCell ref="L3:L4"/>
    <mergeCell ref="M3:M4"/>
    <mergeCell ref="N3:N4"/>
    <mergeCell ref="O3:O4"/>
    <mergeCell ref="L23:L25"/>
    <mergeCell ref="M23:M25"/>
    <mergeCell ref="N23:N25"/>
    <mergeCell ref="O23:O25"/>
    <mergeCell ref="P23:P25"/>
    <mergeCell ref="Q23:Q25"/>
    <mergeCell ref="R23:R25"/>
    <mergeCell ref="S23:S25"/>
    <mergeCell ref="T23:T25"/>
    <mergeCell ref="U23:U25"/>
    <mergeCell ref="L44:L45"/>
    <mergeCell ref="M44:M45"/>
    <mergeCell ref="N44:N45"/>
    <mergeCell ref="O44:O45"/>
    <mergeCell ref="P44:P45"/>
    <mergeCell ref="Q44:Q45"/>
    <mergeCell ref="R44:R45"/>
    <mergeCell ref="S44:S45"/>
    <mergeCell ref="T44:T45"/>
    <mergeCell ref="U44:U45"/>
  </mergeCells>
  <pageMargins left="0.7" right="0.7" top="0.75" bottom="0.75" header="0.3" footer="0.3"/>
  <pageSetup scale="69" orientation="portrait" horizontalDpi="360" verticalDpi="360"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80372-2C87-004E-844A-273B04B6DCF2}">
  <sheetPr codeName="Sheet36">
    <pageSetUpPr fitToPage="1"/>
  </sheetPr>
  <dimension ref="A1:AT187"/>
  <sheetViews>
    <sheetView topLeftCell="B1" zoomScale="110" zoomScaleNormal="110" workbookViewId="0">
      <pane xSplit="1" topLeftCell="C1" activePane="topRight" state="frozen"/>
      <selection activeCell="B1" sqref="B1"/>
      <selection pane="topRight" activeCell="B2" sqref="B2:Z2"/>
    </sheetView>
  </sheetViews>
  <sheetFormatPr baseColWidth="10" defaultColWidth="11.5" defaultRowHeight="20"/>
  <cols>
    <col min="1" max="1" width="5.6640625" style="1" customWidth="1"/>
    <col min="2" max="2" width="32" style="1" customWidth="1"/>
    <col min="3" max="5" width="25.83203125" style="1" customWidth="1"/>
    <col min="6" max="6" width="25.83203125" style="3" customWidth="1"/>
    <col min="7" max="7" width="25.83203125" style="1" customWidth="1"/>
    <col min="8" max="8" width="25.83203125" style="6" customWidth="1"/>
    <col min="9" max="9" width="25.83203125" style="198" customWidth="1"/>
    <col min="10" max="10" width="25.83203125" style="6" customWidth="1"/>
    <col min="11" max="13" width="25.83203125" customWidth="1"/>
    <col min="14" max="18" width="25.83203125" style="1" customWidth="1"/>
    <col min="19" max="21" width="25.83203125" style="6" customWidth="1"/>
    <col min="22" max="22" width="25.83203125" style="1" customWidth="1"/>
    <col min="23" max="23" width="25.83203125" style="184" customWidth="1"/>
    <col min="24" max="25" width="25.83203125" style="6" customWidth="1"/>
    <col min="26" max="26" width="25.83203125" customWidth="1"/>
    <col min="27" max="27" width="5.33203125" style="1" customWidth="1"/>
    <col min="28" max="16384" width="11.5" style="1"/>
  </cols>
  <sheetData>
    <row r="1" spans="1:46" s="15" customFormat="1" ht="15">
      <c r="A1" s="8"/>
      <c r="B1" s="8"/>
      <c r="C1" s="8"/>
      <c r="D1" s="8"/>
      <c r="E1" s="8"/>
      <c r="F1" s="537"/>
      <c r="G1" s="8"/>
      <c r="H1" s="8"/>
      <c r="I1" s="536"/>
      <c r="J1" s="8"/>
      <c r="K1" s="537"/>
      <c r="L1" s="537"/>
      <c r="M1" s="537"/>
      <c r="N1" s="8"/>
      <c r="O1" s="8"/>
      <c r="P1" s="8"/>
      <c r="Q1" s="8"/>
      <c r="R1" s="8"/>
      <c r="S1" s="8"/>
      <c r="T1" s="8"/>
      <c r="U1" s="8"/>
      <c r="V1" s="8"/>
      <c r="W1" s="536"/>
      <c r="X1" s="8"/>
      <c r="Y1" s="8"/>
      <c r="Z1" s="537"/>
      <c r="AA1" s="8"/>
    </row>
    <row r="2" spans="1:46" ht="21" customHeight="1">
      <c r="A2" s="92"/>
      <c r="B2" s="797" t="s">
        <v>388</v>
      </c>
      <c r="C2" s="797"/>
      <c r="D2" s="797"/>
      <c r="E2" s="797"/>
      <c r="F2" s="797"/>
      <c r="G2" s="797"/>
      <c r="H2" s="797"/>
      <c r="I2" s="797"/>
      <c r="J2" s="797"/>
      <c r="K2" s="797"/>
      <c r="L2" s="797"/>
      <c r="M2" s="797"/>
      <c r="N2" s="797"/>
      <c r="O2" s="797"/>
      <c r="P2" s="797"/>
      <c r="Q2" s="797"/>
      <c r="R2" s="797"/>
      <c r="S2" s="797"/>
      <c r="T2" s="797"/>
      <c r="U2" s="797"/>
      <c r="V2" s="797"/>
      <c r="W2" s="797"/>
      <c r="X2" s="797"/>
      <c r="Y2" s="797"/>
      <c r="Z2" s="797"/>
      <c r="AA2" s="92"/>
      <c r="AB2" s="92"/>
      <c r="AC2" s="92"/>
      <c r="AD2" s="92"/>
      <c r="AE2" s="92"/>
      <c r="AF2" s="92"/>
      <c r="AG2" s="92"/>
      <c r="AH2" s="92"/>
      <c r="AI2" s="92"/>
      <c r="AJ2" s="92"/>
      <c r="AK2" s="92"/>
      <c r="AL2" s="92"/>
      <c r="AM2" s="92"/>
      <c r="AN2" s="92"/>
      <c r="AO2" s="92"/>
      <c r="AP2" s="92"/>
      <c r="AQ2" s="92"/>
      <c r="AR2" s="92"/>
      <c r="AS2" s="92"/>
      <c r="AT2" s="92"/>
    </row>
    <row r="3" spans="1:46" ht="21" customHeight="1">
      <c r="A3" s="36"/>
      <c r="B3" s="798" t="s">
        <v>8</v>
      </c>
      <c r="C3" s="795" t="str">
        <f>'Prices_Yields&amp;SeedInputs'!B5</f>
        <v>SW Winter Wheat after Spring Legume</v>
      </c>
      <c r="D3" s="795" t="str">
        <f>'Prices_Yields&amp;SeedInputs'!B6</f>
        <v>SW Winter Wheat after Forage Crop</v>
      </c>
      <c r="E3" s="795" t="str">
        <f>'Prices_Yields&amp;SeedInputs'!B7</f>
        <v>DN Spring Wheat after Spring Legume</v>
      </c>
      <c r="F3" s="795" t="str">
        <f>'Prices_Yields&amp;SeedInputs'!B8</f>
        <v>DN Spring Wheat after Forage Crop</v>
      </c>
      <c r="G3" s="795" t="str">
        <f>'Prices_Yields&amp;SeedInputs'!B9</f>
        <v>DN Spring Wheat after Winter Crop</v>
      </c>
      <c r="H3" s="795" t="str">
        <f>'Prices_Yields&amp;SeedInputs'!B10</f>
        <v>Chickpea after Forage Crop</v>
      </c>
      <c r="I3" s="795" t="str">
        <f>'Prices_Yields&amp;SeedInputs'!B11</f>
        <v>Chickpea after Cereal</v>
      </c>
      <c r="J3" s="795" t="str">
        <f>'Prices_Yields&amp;SeedInputs'!B12</f>
        <v>Spring Pea after Cereal</v>
      </c>
      <c r="K3" s="795" t="str">
        <f>'Prices_Yields&amp;SeedInputs'!B13</f>
        <v>Forage Crop-St. John Area</v>
      </c>
      <c r="L3" s="795" t="str">
        <f>'Prices_Yields&amp;SeedInputs'!B14</f>
        <v>Forage Crop-Genesee Area</v>
      </c>
      <c r="M3" s="800" t="str">
        <f>'Prices_Yields&amp;SeedInputs'!B15</f>
        <v>Livestock Grazing</v>
      </c>
      <c r="N3" s="795" t="str">
        <f>'Prices_Yields&amp;SeedInputs'!B16</f>
        <v>SW Winter Wheat after Cereal</v>
      </c>
      <c r="O3" s="795" t="str">
        <f>'Prices_Yields&amp;SeedInputs'!B17</f>
        <v>SW Winter Wheat after Fallow</v>
      </c>
      <c r="P3" s="795" t="str">
        <f>'Prices_Yields&amp;SeedInputs'!B18</f>
        <v>Chem-Fallow</v>
      </c>
      <c r="Q3" s="795" t="str">
        <f>'Prices_Yields&amp;SeedInputs'!B19</f>
        <v>Flex-Fallow</v>
      </c>
      <c r="R3" s="795" t="str">
        <f>'Prices_Yields&amp;SeedInputs'!B20</f>
        <v>Spring Barley</v>
      </c>
      <c r="S3" s="795" t="str">
        <f>'Prices_Yields&amp;SeedInputs'!B21</f>
        <v>Roundup Ready Spring Canola</v>
      </c>
      <c r="T3" s="795" t="str">
        <f>'Prices_Yields&amp;SeedInputs'!B22</f>
        <v>Spring Canola</v>
      </c>
      <c r="U3" s="795" t="str">
        <f>'Prices_Yields&amp;SeedInputs'!B23</f>
        <v>Spring Lentils</v>
      </c>
      <c r="V3" s="795" t="str">
        <f>'Prices_Yields&amp;SeedInputs'!B24</f>
        <v>SW Spring Wheat</v>
      </c>
      <c r="W3" s="795" t="str">
        <f>'Prices_Yields&amp;SeedInputs'!B25</f>
        <v>HR Winter Wheat</v>
      </c>
      <c r="X3" s="795" t="str">
        <f>'Prices_Yields&amp;SeedInputs'!B26</f>
        <v>Winter Pea</v>
      </c>
      <c r="Y3" s="795" t="str">
        <f>'Prices_Yields&amp;SeedInputs'!B27</f>
        <v>Winter Canola</v>
      </c>
      <c r="Z3" s="795" t="str">
        <f>'Prices_Yields&amp;SeedInputs'!B28</f>
        <v>Forage Crop-Soil Builder Blend</v>
      </c>
      <c r="AA3" s="92"/>
      <c r="AB3" s="92"/>
      <c r="AC3" s="92"/>
      <c r="AD3" s="92"/>
      <c r="AE3" s="92"/>
      <c r="AF3" s="92"/>
      <c r="AG3" s="92"/>
      <c r="AH3" s="92"/>
      <c r="AI3" s="92"/>
      <c r="AJ3" s="92"/>
      <c r="AK3" s="92"/>
      <c r="AL3" s="92"/>
      <c r="AM3" s="92"/>
      <c r="AN3" s="92"/>
      <c r="AO3" s="92"/>
      <c r="AP3" s="92"/>
      <c r="AQ3" s="92"/>
      <c r="AR3" s="92"/>
      <c r="AS3" s="92"/>
      <c r="AT3" s="92"/>
    </row>
    <row r="4" spans="1:46" ht="21" customHeight="1">
      <c r="A4" s="36"/>
      <c r="B4" s="799"/>
      <c r="C4" s="796"/>
      <c r="D4" s="796"/>
      <c r="E4" s="796"/>
      <c r="F4" s="796"/>
      <c r="G4" s="796"/>
      <c r="H4" s="796"/>
      <c r="I4" s="796"/>
      <c r="J4" s="796"/>
      <c r="K4" s="796"/>
      <c r="L4" s="796"/>
      <c r="M4" s="796"/>
      <c r="N4" s="796"/>
      <c r="O4" s="796"/>
      <c r="P4" s="796"/>
      <c r="Q4" s="796"/>
      <c r="R4" s="796"/>
      <c r="S4" s="796"/>
      <c r="T4" s="796"/>
      <c r="U4" s="796"/>
      <c r="V4" s="796"/>
      <c r="W4" s="796"/>
      <c r="X4" s="796"/>
      <c r="Y4" s="796"/>
      <c r="Z4" s="796"/>
      <c r="AA4" s="92"/>
      <c r="AB4" s="92"/>
      <c r="AC4" s="92"/>
      <c r="AD4" s="92"/>
      <c r="AE4" s="92"/>
      <c r="AF4" s="92"/>
      <c r="AG4" s="92"/>
      <c r="AH4" s="92"/>
      <c r="AI4" s="92"/>
      <c r="AJ4" s="92"/>
      <c r="AK4" s="92"/>
      <c r="AL4" s="92"/>
      <c r="AM4" s="92"/>
      <c r="AN4" s="92"/>
      <c r="AO4" s="92"/>
      <c r="AP4" s="92"/>
      <c r="AQ4" s="92"/>
      <c r="AR4" s="92"/>
      <c r="AS4" s="92"/>
      <c r="AT4" s="92"/>
    </row>
    <row r="5" spans="1:46" ht="21" customHeight="1">
      <c r="A5" s="36"/>
      <c r="B5" s="252" t="s">
        <v>7</v>
      </c>
      <c r="C5" s="313" t="s">
        <v>9</v>
      </c>
      <c r="D5" s="313" t="s">
        <v>9</v>
      </c>
      <c r="E5" s="313" t="s">
        <v>9</v>
      </c>
      <c r="F5" s="313" t="s">
        <v>9</v>
      </c>
      <c r="G5" s="313" t="s">
        <v>9</v>
      </c>
      <c r="H5" s="313" t="s">
        <v>9</v>
      </c>
      <c r="I5" s="313" t="s">
        <v>9</v>
      </c>
      <c r="J5" s="313" t="s">
        <v>9</v>
      </c>
      <c r="K5" s="313" t="s">
        <v>9</v>
      </c>
      <c r="L5" s="313" t="s">
        <v>9</v>
      </c>
      <c r="M5" s="313" t="s">
        <v>9</v>
      </c>
      <c r="N5" s="313" t="s">
        <v>9</v>
      </c>
      <c r="O5" s="313" t="s">
        <v>9</v>
      </c>
      <c r="P5" s="313" t="s">
        <v>9</v>
      </c>
      <c r="Q5" s="313" t="s">
        <v>9</v>
      </c>
      <c r="R5" s="313" t="s">
        <v>9</v>
      </c>
      <c r="S5" s="313" t="s">
        <v>9</v>
      </c>
      <c r="T5" s="313" t="s">
        <v>9</v>
      </c>
      <c r="U5" s="313" t="s">
        <v>9</v>
      </c>
      <c r="V5" s="313" t="s">
        <v>9</v>
      </c>
      <c r="W5" s="313" t="s">
        <v>9</v>
      </c>
      <c r="X5" s="313" t="s">
        <v>9</v>
      </c>
      <c r="Y5" s="313" t="s">
        <v>9</v>
      </c>
      <c r="Z5" s="313" t="s">
        <v>9</v>
      </c>
      <c r="AA5" s="92"/>
      <c r="AB5" s="92"/>
      <c r="AC5" s="92"/>
      <c r="AD5" s="92"/>
      <c r="AE5" s="92"/>
      <c r="AF5" s="92"/>
      <c r="AG5" s="92"/>
      <c r="AH5" s="92"/>
      <c r="AI5" s="92"/>
      <c r="AJ5" s="92"/>
      <c r="AK5" s="92"/>
      <c r="AL5" s="92"/>
      <c r="AM5" s="92"/>
      <c r="AN5" s="92"/>
      <c r="AO5" s="92"/>
      <c r="AP5" s="92"/>
      <c r="AQ5" s="92"/>
      <c r="AR5" s="92"/>
      <c r="AS5" s="92"/>
      <c r="AT5" s="92"/>
    </row>
    <row r="6" spans="1:46" ht="21" customHeight="1">
      <c r="A6" s="36"/>
      <c r="B6" s="124" t="str">
        <f>MachineAssumptions!B7</f>
        <v>Shredder</v>
      </c>
      <c r="C6" s="122">
        <v>0</v>
      </c>
      <c r="D6" s="122">
        <v>0</v>
      </c>
      <c r="E6" s="122">
        <v>0</v>
      </c>
      <c r="F6" s="122">
        <v>0</v>
      </c>
      <c r="G6" s="122">
        <v>0</v>
      </c>
      <c r="H6" s="122">
        <v>0</v>
      </c>
      <c r="I6" s="122">
        <v>0</v>
      </c>
      <c r="J6" s="122">
        <v>0</v>
      </c>
      <c r="K6" s="122">
        <v>0</v>
      </c>
      <c r="L6" s="122">
        <v>0</v>
      </c>
      <c r="M6" s="122">
        <v>0</v>
      </c>
      <c r="N6" s="122">
        <v>0</v>
      </c>
      <c r="O6" s="122">
        <v>0</v>
      </c>
      <c r="P6" s="122">
        <v>0</v>
      </c>
      <c r="Q6" s="122">
        <v>0</v>
      </c>
      <c r="R6" s="122">
        <v>0</v>
      </c>
      <c r="S6" s="122">
        <v>0</v>
      </c>
      <c r="T6" s="122">
        <v>0</v>
      </c>
      <c r="U6" s="122">
        <v>0</v>
      </c>
      <c r="V6" s="122">
        <v>0</v>
      </c>
      <c r="W6" s="122">
        <v>0</v>
      </c>
      <c r="X6" s="122">
        <v>0</v>
      </c>
      <c r="Y6" s="122">
        <v>0</v>
      </c>
      <c r="Z6" s="122">
        <v>0</v>
      </c>
      <c r="AA6" s="92"/>
      <c r="AB6" s="92"/>
      <c r="AC6" s="92"/>
      <c r="AD6" s="92"/>
      <c r="AE6" s="92"/>
      <c r="AF6" s="92"/>
      <c r="AG6" s="92"/>
      <c r="AH6" s="92"/>
      <c r="AI6" s="92"/>
      <c r="AJ6" s="92"/>
      <c r="AK6" s="92"/>
      <c r="AL6" s="92"/>
      <c r="AM6" s="92"/>
      <c r="AN6" s="92"/>
      <c r="AO6" s="92"/>
      <c r="AP6" s="92"/>
      <c r="AQ6" s="92"/>
      <c r="AR6" s="92"/>
      <c r="AS6" s="92"/>
      <c r="AT6" s="92"/>
    </row>
    <row r="7" spans="1:46" ht="21">
      <c r="A7" s="36"/>
      <c r="B7" s="124" t="str">
        <f>MachineAssumptions!B8</f>
        <v>Harrow</v>
      </c>
      <c r="C7" s="122">
        <v>0</v>
      </c>
      <c r="D7" s="122">
        <v>0</v>
      </c>
      <c r="E7" s="122">
        <v>0</v>
      </c>
      <c r="F7" s="122">
        <v>0</v>
      </c>
      <c r="G7" s="122">
        <v>0</v>
      </c>
      <c r="H7" s="122">
        <v>0</v>
      </c>
      <c r="I7" s="122">
        <v>0</v>
      </c>
      <c r="J7" s="122">
        <v>0</v>
      </c>
      <c r="K7" s="122">
        <v>0</v>
      </c>
      <c r="L7" s="122">
        <v>0</v>
      </c>
      <c r="M7" s="122">
        <v>0</v>
      </c>
      <c r="N7" s="122">
        <v>0</v>
      </c>
      <c r="O7" s="122">
        <v>0</v>
      </c>
      <c r="P7" s="122">
        <v>0</v>
      </c>
      <c r="Q7" s="122">
        <v>0</v>
      </c>
      <c r="R7" s="122">
        <v>0</v>
      </c>
      <c r="S7" s="122">
        <v>0</v>
      </c>
      <c r="T7" s="122">
        <v>0</v>
      </c>
      <c r="U7" s="122">
        <v>0</v>
      </c>
      <c r="V7" s="122">
        <v>0</v>
      </c>
      <c r="W7" s="122">
        <v>0</v>
      </c>
      <c r="X7" s="122">
        <v>0</v>
      </c>
      <c r="Y7" s="122">
        <v>0</v>
      </c>
      <c r="Z7" s="122">
        <v>1</v>
      </c>
      <c r="AA7" s="98" t="s">
        <v>8</v>
      </c>
      <c r="AB7" s="92"/>
      <c r="AC7" s="92"/>
      <c r="AD7" s="92"/>
      <c r="AE7" s="92"/>
      <c r="AF7" s="92"/>
      <c r="AG7" s="92"/>
      <c r="AH7" s="92"/>
      <c r="AI7" s="92"/>
      <c r="AJ7" s="92"/>
      <c r="AK7" s="92"/>
      <c r="AL7" s="92"/>
      <c r="AM7" s="92"/>
      <c r="AN7" s="92"/>
      <c r="AO7" s="92"/>
      <c r="AP7" s="92"/>
      <c r="AQ7" s="92"/>
      <c r="AR7" s="92"/>
      <c r="AS7" s="92"/>
      <c r="AT7" s="92"/>
    </row>
    <row r="8" spans="1:46" ht="21">
      <c r="A8" s="36"/>
      <c r="B8" s="124" t="str">
        <f>MachineAssumptions!B9</f>
        <v>Chisel plow</v>
      </c>
      <c r="C8" s="122">
        <v>0</v>
      </c>
      <c r="D8" s="122">
        <v>0</v>
      </c>
      <c r="E8" s="122">
        <v>0</v>
      </c>
      <c r="F8" s="122">
        <v>0</v>
      </c>
      <c r="G8" s="122">
        <v>0</v>
      </c>
      <c r="H8" s="122">
        <v>0</v>
      </c>
      <c r="I8" s="122">
        <v>0</v>
      </c>
      <c r="J8" s="122">
        <v>0</v>
      </c>
      <c r="K8" s="122">
        <v>0</v>
      </c>
      <c r="L8" s="122">
        <v>0</v>
      </c>
      <c r="M8" s="122">
        <v>0</v>
      </c>
      <c r="N8" s="122">
        <v>0</v>
      </c>
      <c r="O8" s="122">
        <v>0</v>
      </c>
      <c r="P8" s="122">
        <v>0</v>
      </c>
      <c r="Q8" s="122">
        <v>0</v>
      </c>
      <c r="R8" s="122">
        <v>0</v>
      </c>
      <c r="S8" s="122">
        <v>0</v>
      </c>
      <c r="T8" s="122">
        <v>0</v>
      </c>
      <c r="U8" s="122">
        <v>0</v>
      </c>
      <c r="V8" s="122">
        <v>0</v>
      </c>
      <c r="W8" s="122">
        <v>0</v>
      </c>
      <c r="X8" s="122">
        <v>0</v>
      </c>
      <c r="Y8" s="122">
        <v>0</v>
      </c>
      <c r="Z8" s="122">
        <v>0</v>
      </c>
      <c r="AA8" s="92"/>
      <c r="AB8" s="92"/>
      <c r="AC8" s="92"/>
      <c r="AD8" s="92"/>
      <c r="AE8" s="92"/>
      <c r="AF8" s="92"/>
      <c r="AG8" s="92"/>
      <c r="AH8" s="92"/>
      <c r="AI8" s="92"/>
      <c r="AJ8" s="92"/>
      <c r="AK8" s="92"/>
      <c r="AL8" s="92"/>
      <c r="AM8" s="92"/>
      <c r="AN8" s="92"/>
      <c r="AO8" s="92"/>
      <c r="AP8" s="92"/>
      <c r="AQ8" s="92"/>
      <c r="AR8" s="92"/>
      <c r="AS8" s="92"/>
      <c r="AT8" s="92"/>
    </row>
    <row r="9" spans="1:46" ht="21">
      <c r="A9" s="36"/>
      <c r="B9" s="124" t="str">
        <f>MachineAssumptions!B10</f>
        <v>Moldboard plow</v>
      </c>
      <c r="C9" s="122">
        <v>0</v>
      </c>
      <c r="D9" s="122">
        <v>0</v>
      </c>
      <c r="E9" s="122">
        <v>0</v>
      </c>
      <c r="F9" s="122">
        <v>0</v>
      </c>
      <c r="G9" s="122">
        <v>0</v>
      </c>
      <c r="H9" s="122">
        <v>0</v>
      </c>
      <c r="I9" s="122">
        <v>0</v>
      </c>
      <c r="J9" s="122">
        <v>0</v>
      </c>
      <c r="K9" s="122">
        <v>0</v>
      </c>
      <c r="L9" s="122">
        <v>0</v>
      </c>
      <c r="M9" s="122">
        <v>0</v>
      </c>
      <c r="N9" s="122">
        <v>0</v>
      </c>
      <c r="O9" s="122">
        <v>0</v>
      </c>
      <c r="P9" s="122">
        <v>0</v>
      </c>
      <c r="Q9" s="122">
        <v>0</v>
      </c>
      <c r="R9" s="122">
        <v>0</v>
      </c>
      <c r="S9" s="122">
        <v>0</v>
      </c>
      <c r="T9" s="122">
        <v>0</v>
      </c>
      <c r="U9" s="122">
        <v>0</v>
      </c>
      <c r="V9" s="122">
        <v>0</v>
      </c>
      <c r="W9" s="122">
        <v>0</v>
      </c>
      <c r="X9" s="122">
        <v>0</v>
      </c>
      <c r="Y9" s="122">
        <v>0</v>
      </c>
      <c r="Z9" s="122">
        <v>0</v>
      </c>
      <c r="AA9" s="92"/>
      <c r="AB9" s="92"/>
      <c r="AC9" s="92"/>
      <c r="AD9" s="92"/>
      <c r="AE9" s="92"/>
      <c r="AF9" s="92"/>
      <c r="AG9" s="92"/>
      <c r="AH9" s="92"/>
      <c r="AI9" s="92"/>
      <c r="AJ9" s="92"/>
      <c r="AK9" s="92"/>
      <c r="AL9" s="92"/>
      <c r="AM9" s="92"/>
      <c r="AN9" s="92"/>
      <c r="AO9" s="92"/>
      <c r="AP9" s="92"/>
      <c r="AQ9" s="92"/>
      <c r="AR9" s="92"/>
      <c r="AS9" s="92"/>
      <c r="AT9" s="92"/>
    </row>
    <row r="10" spans="1:46" ht="21">
      <c r="A10" s="36"/>
      <c r="B10" s="124" t="str">
        <f>MachineAssumptions!B11</f>
        <v>Cultivator</v>
      </c>
      <c r="C10" s="122">
        <v>0</v>
      </c>
      <c r="D10" s="122">
        <v>0</v>
      </c>
      <c r="E10" s="122">
        <v>0</v>
      </c>
      <c r="F10" s="122">
        <v>0</v>
      </c>
      <c r="G10" s="122">
        <v>0</v>
      </c>
      <c r="H10" s="122">
        <v>0</v>
      </c>
      <c r="I10" s="122">
        <v>0</v>
      </c>
      <c r="J10" s="122">
        <v>0</v>
      </c>
      <c r="K10" s="122">
        <v>0</v>
      </c>
      <c r="L10" s="122">
        <v>0</v>
      </c>
      <c r="M10" s="122">
        <v>0</v>
      </c>
      <c r="N10" s="122">
        <v>0</v>
      </c>
      <c r="O10" s="122">
        <v>0</v>
      </c>
      <c r="P10" s="122">
        <v>0</v>
      </c>
      <c r="Q10" s="122">
        <v>0</v>
      </c>
      <c r="R10" s="122">
        <v>0</v>
      </c>
      <c r="S10" s="122">
        <v>0</v>
      </c>
      <c r="T10" s="122">
        <v>0</v>
      </c>
      <c r="U10" s="122">
        <v>0</v>
      </c>
      <c r="V10" s="122">
        <v>0</v>
      </c>
      <c r="W10" s="122">
        <v>0</v>
      </c>
      <c r="X10" s="122">
        <v>0</v>
      </c>
      <c r="Y10" s="122">
        <v>0</v>
      </c>
      <c r="Z10" s="122">
        <v>0</v>
      </c>
      <c r="AA10" s="92"/>
      <c r="AB10" s="92"/>
      <c r="AC10" s="92"/>
      <c r="AD10" s="92"/>
      <c r="AE10" s="92"/>
      <c r="AF10" s="92"/>
      <c r="AG10" s="92"/>
      <c r="AH10" s="92"/>
      <c r="AI10" s="92"/>
      <c r="AJ10" s="92"/>
      <c r="AK10" s="92"/>
      <c r="AL10" s="92"/>
      <c r="AM10" s="92"/>
      <c r="AN10" s="92"/>
      <c r="AO10" s="92"/>
      <c r="AP10" s="92"/>
      <c r="AQ10" s="92"/>
      <c r="AR10" s="92"/>
      <c r="AS10" s="92"/>
      <c r="AT10" s="92"/>
    </row>
    <row r="11" spans="1:46" ht="21">
      <c r="A11" s="36"/>
      <c r="B11" s="124" t="str">
        <f>MachineAssumptions!B12</f>
        <v>Cultiweeder</v>
      </c>
      <c r="C11" s="122">
        <v>0</v>
      </c>
      <c r="D11" s="122">
        <v>0</v>
      </c>
      <c r="E11" s="122">
        <v>0</v>
      </c>
      <c r="F11" s="122">
        <v>0</v>
      </c>
      <c r="G11" s="122">
        <v>0</v>
      </c>
      <c r="H11" s="122">
        <v>0</v>
      </c>
      <c r="I11" s="122">
        <v>0</v>
      </c>
      <c r="J11" s="122">
        <v>0</v>
      </c>
      <c r="K11" s="122">
        <v>0</v>
      </c>
      <c r="L11" s="122">
        <v>0</v>
      </c>
      <c r="M11" s="122">
        <v>0</v>
      </c>
      <c r="N11" s="122">
        <v>0</v>
      </c>
      <c r="O11" s="122">
        <v>0</v>
      </c>
      <c r="P11" s="122">
        <v>0</v>
      </c>
      <c r="Q11" s="122">
        <v>0</v>
      </c>
      <c r="R11" s="122">
        <v>0</v>
      </c>
      <c r="S11" s="122">
        <v>0</v>
      </c>
      <c r="T11" s="122">
        <v>0</v>
      </c>
      <c r="U11" s="122">
        <v>0</v>
      </c>
      <c r="V11" s="122">
        <v>0</v>
      </c>
      <c r="W11" s="122">
        <v>0</v>
      </c>
      <c r="X11" s="122">
        <v>0</v>
      </c>
      <c r="Y11" s="122">
        <v>0</v>
      </c>
      <c r="Z11" s="122">
        <v>0</v>
      </c>
      <c r="AA11" s="92"/>
      <c r="AB11" s="92"/>
      <c r="AC11" s="92"/>
      <c r="AD11" s="92"/>
      <c r="AE11" s="92"/>
      <c r="AF11" s="92"/>
      <c r="AG11" s="92"/>
      <c r="AH11" s="92"/>
      <c r="AI11" s="92"/>
      <c r="AJ11" s="92"/>
      <c r="AK11" s="92"/>
      <c r="AL11" s="92"/>
      <c r="AM11" s="92"/>
      <c r="AN11" s="92"/>
      <c r="AO11" s="92"/>
      <c r="AP11" s="92"/>
      <c r="AQ11" s="92"/>
      <c r="AR11" s="92"/>
      <c r="AS11" s="92"/>
      <c r="AT11" s="92"/>
    </row>
    <row r="12" spans="1:46" ht="21">
      <c r="A12" s="36"/>
      <c r="B12" s="124" t="str">
        <f>MachineAssumptions!B13</f>
        <v>Drill</v>
      </c>
      <c r="C12" s="122">
        <v>1</v>
      </c>
      <c r="D12" s="122">
        <v>1</v>
      </c>
      <c r="E12" s="122">
        <v>1</v>
      </c>
      <c r="F12" s="122">
        <v>1</v>
      </c>
      <c r="G12" s="122">
        <v>1</v>
      </c>
      <c r="H12" s="122">
        <v>1</v>
      </c>
      <c r="I12" s="122">
        <v>1</v>
      </c>
      <c r="J12" s="122">
        <v>1</v>
      </c>
      <c r="K12" s="122">
        <v>1</v>
      </c>
      <c r="L12" s="122">
        <v>1</v>
      </c>
      <c r="M12" s="122">
        <v>0</v>
      </c>
      <c r="N12" s="122">
        <v>1</v>
      </c>
      <c r="O12" s="122">
        <v>1</v>
      </c>
      <c r="P12" s="122">
        <v>0</v>
      </c>
      <c r="Q12" s="122">
        <v>0</v>
      </c>
      <c r="R12" s="122">
        <v>1</v>
      </c>
      <c r="S12" s="122">
        <v>1</v>
      </c>
      <c r="T12" s="122">
        <v>1</v>
      </c>
      <c r="U12" s="122">
        <v>1</v>
      </c>
      <c r="V12" s="122">
        <v>1</v>
      </c>
      <c r="W12" s="122">
        <v>1</v>
      </c>
      <c r="X12" s="122">
        <v>1</v>
      </c>
      <c r="Y12" s="122">
        <v>1</v>
      </c>
      <c r="Z12" s="122">
        <v>1</v>
      </c>
      <c r="AA12" s="92"/>
      <c r="AB12" s="92"/>
      <c r="AC12" s="92"/>
      <c r="AD12" s="92"/>
      <c r="AE12" s="92"/>
      <c r="AF12" s="92"/>
      <c r="AG12" s="92"/>
      <c r="AH12" s="92"/>
      <c r="AI12" s="92"/>
      <c r="AJ12" s="92"/>
      <c r="AK12" s="92"/>
      <c r="AL12" s="92"/>
      <c r="AM12" s="92"/>
      <c r="AN12" s="92"/>
      <c r="AO12" s="92"/>
      <c r="AP12" s="92"/>
      <c r="AQ12" s="92"/>
      <c r="AR12" s="92"/>
      <c r="AS12" s="92"/>
      <c r="AT12" s="92"/>
    </row>
    <row r="13" spans="1:46" ht="21">
      <c r="A13" s="36"/>
      <c r="B13" s="124" t="str">
        <f>MachineAssumptions!B14</f>
        <v>Combine w/ 36' header</v>
      </c>
      <c r="C13" s="122">
        <v>1</v>
      </c>
      <c r="D13" s="122">
        <v>1</v>
      </c>
      <c r="E13" s="122">
        <v>1</v>
      </c>
      <c r="F13" s="122">
        <v>1</v>
      </c>
      <c r="G13" s="122">
        <v>1</v>
      </c>
      <c r="H13" s="122">
        <v>1</v>
      </c>
      <c r="I13" s="122">
        <v>1</v>
      </c>
      <c r="J13" s="122">
        <v>1</v>
      </c>
      <c r="K13" s="122">
        <v>0</v>
      </c>
      <c r="L13" s="122">
        <v>0</v>
      </c>
      <c r="M13" s="122">
        <v>0</v>
      </c>
      <c r="N13" s="122">
        <v>1</v>
      </c>
      <c r="O13" s="122">
        <v>1</v>
      </c>
      <c r="P13" s="122">
        <v>0</v>
      </c>
      <c r="Q13" s="122">
        <v>0</v>
      </c>
      <c r="R13" s="122">
        <v>1</v>
      </c>
      <c r="S13" s="122">
        <v>1</v>
      </c>
      <c r="T13" s="122">
        <v>1</v>
      </c>
      <c r="U13" s="122">
        <v>1</v>
      </c>
      <c r="V13" s="122">
        <v>1</v>
      </c>
      <c r="W13" s="122">
        <v>1</v>
      </c>
      <c r="X13" s="122">
        <v>1</v>
      </c>
      <c r="Y13" s="122">
        <v>1</v>
      </c>
      <c r="Z13" s="122">
        <v>0</v>
      </c>
      <c r="AA13" s="92"/>
      <c r="AB13" s="92"/>
      <c r="AC13" s="92"/>
      <c r="AD13" s="92"/>
      <c r="AE13" s="92"/>
      <c r="AF13" s="92"/>
      <c r="AG13" s="92"/>
      <c r="AH13" s="92"/>
      <c r="AI13" s="92"/>
      <c r="AJ13" s="92"/>
      <c r="AK13" s="92"/>
      <c r="AL13" s="92"/>
      <c r="AM13" s="92"/>
      <c r="AN13" s="92"/>
      <c r="AO13" s="92"/>
      <c r="AP13" s="92"/>
      <c r="AQ13" s="92"/>
      <c r="AR13" s="92"/>
      <c r="AS13" s="92"/>
      <c r="AT13" s="92"/>
    </row>
    <row r="14" spans="1:46" ht="21">
      <c r="A14" s="36"/>
      <c r="B14" s="124" t="str">
        <f>MachineAssumptions!B16</f>
        <v>Fertilizer Spreader</v>
      </c>
      <c r="C14" s="122">
        <v>0</v>
      </c>
      <c r="D14" s="122">
        <v>0</v>
      </c>
      <c r="E14" s="122">
        <v>0</v>
      </c>
      <c r="F14" s="122">
        <v>0</v>
      </c>
      <c r="G14" s="122">
        <v>0</v>
      </c>
      <c r="H14" s="122">
        <v>0</v>
      </c>
      <c r="I14" s="122">
        <v>0</v>
      </c>
      <c r="J14" s="122">
        <v>0</v>
      </c>
      <c r="K14" s="122">
        <v>0</v>
      </c>
      <c r="L14" s="122">
        <v>0</v>
      </c>
      <c r="M14" s="122">
        <v>0</v>
      </c>
      <c r="N14" s="122">
        <v>0</v>
      </c>
      <c r="O14" s="122">
        <v>0</v>
      </c>
      <c r="P14" s="122">
        <v>0</v>
      </c>
      <c r="Q14" s="122">
        <v>0</v>
      </c>
      <c r="R14" s="122">
        <v>0</v>
      </c>
      <c r="S14" s="122">
        <v>0</v>
      </c>
      <c r="T14" s="122">
        <v>0</v>
      </c>
      <c r="U14" s="122">
        <v>0</v>
      </c>
      <c r="V14" s="122">
        <v>0</v>
      </c>
      <c r="W14" s="122">
        <v>0</v>
      </c>
      <c r="X14" s="122">
        <v>0</v>
      </c>
      <c r="Y14" s="122">
        <v>0</v>
      </c>
      <c r="Z14" s="122">
        <v>0</v>
      </c>
      <c r="AA14" s="92"/>
      <c r="AB14" s="92"/>
      <c r="AC14" s="92"/>
      <c r="AD14" s="92"/>
      <c r="AE14" s="92"/>
      <c r="AF14" s="92"/>
      <c r="AG14" s="92"/>
      <c r="AH14" s="92"/>
      <c r="AI14" s="92"/>
      <c r="AJ14" s="92"/>
      <c r="AK14" s="92"/>
      <c r="AL14" s="92"/>
      <c r="AM14" s="92"/>
      <c r="AN14" s="92"/>
      <c r="AO14" s="92"/>
      <c r="AP14" s="92"/>
      <c r="AQ14" s="92"/>
      <c r="AR14" s="92"/>
      <c r="AS14" s="92"/>
      <c r="AT14" s="92"/>
    </row>
    <row r="15" spans="1:46" ht="21">
      <c r="B15" s="124" t="str">
        <f>MachineAssumptions!B17</f>
        <v>Fertilizer tanks and pump</v>
      </c>
      <c r="C15" s="122">
        <v>1</v>
      </c>
      <c r="D15" s="122">
        <v>1</v>
      </c>
      <c r="E15" s="122">
        <v>1</v>
      </c>
      <c r="F15" s="122">
        <v>1</v>
      </c>
      <c r="G15" s="122">
        <v>1</v>
      </c>
      <c r="H15" s="122">
        <v>1</v>
      </c>
      <c r="I15" s="122">
        <v>1</v>
      </c>
      <c r="J15" s="122">
        <v>1</v>
      </c>
      <c r="K15" s="122">
        <v>0</v>
      </c>
      <c r="L15" s="122">
        <v>0</v>
      </c>
      <c r="M15" s="122">
        <v>0</v>
      </c>
      <c r="N15" s="122">
        <v>1</v>
      </c>
      <c r="O15" s="122">
        <v>1</v>
      </c>
      <c r="P15" s="122">
        <v>0</v>
      </c>
      <c r="Q15" s="122">
        <v>0</v>
      </c>
      <c r="R15" s="122">
        <v>1</v>
      </c>
      <c r="S15" s="122">
        <v>1</v>
      </c>
      <c r="T15" s="122">
        <v>1</v>
      </c>
      <c r="U15" s="122">
        <v>1</v>
      </c>
      <c r="V15" s="122">
        <v>1</v>
      </c>
      <c r="W15" s="122">
        <v>1</v>
      </c>
      <c r="X15" s="122">
        <v>1</v>
      </c>
      <c r="Y15" s="122">
        <v>1</v>
      </c>
      <c r="Z15" s="122">
        <v>0</v>
      </c>
      <c r="AA15" s="92"/>
      <c r="AB15" s="92"/>
      <c r="AC15" s="92"/>
      <c r="AD15" s="92"/>
      <c r="AE15" s="92"/>
      <c r="AF15" s="92"/>
      <c r="AG15" s="92"/>
      <c r="AH15" s="92"/>
      <c r="AI15" s="92"/>
      <c r="AJ15" s="92"/>
      <c r="AK15" s="92"/>
      <c r="AL15" s="92"/>
      <c r="AM15" s="92"/>
      <c r="AN15" s="92"/>
      <c r="AO15" s="92"/>
      <c r="AP15" s="92"/>
      <c r="AQ15" s="92"/>
      <c r="AR15" s="92"/>
      <c r="AS15" s="92"/>
      <c r="AT15" s="92"/>
    </row>
    <row r="16" spans="1:46" ht="21">
      <c r="B16" s="518" t="str">
        <f>MachineAssumptions!B18</f>
        <v>Boom sprayer</v>
      </c>
      <c r="C16" s="123">
        <v>3</v>
      </c>
      <c r="D16" s="123">
        <v>3</v>
      </c>
      <c r="E16" s="123">
        <v>3</v>
      </c>
      <c r="F16" s="123">
        <v>3</v>
      </c>
      <c r="G16" s="123">
        <v>3</v>
      </c>
      <c r="H16" s="123">
        <v>2</v>
      </c>
      <c r="I16" s="123">
        <v>2</v>
      </c>
      <c r="J16" s="123">
        <v>2</v>
      </c>
      <c r="K16" s="123">
        <v>1</v>
      </c>
      <c r="L16" s="123">
        <v>1</v>
      </c>
      <c r="M16" s="123">
        <v>0</v>
      </c>
      <c r="N16" s="123">
        <v>3</v>
      </c>
      <c r="O16" s="123">
        <v>3</v>
      </c>
      <c r="P16" s="123">
        <v>1</v>
      </c>
      <c r="Q16" s="123">
        <v>1</v>
      </c>
      <c r="R16" s="123">
        <v>3</v>
      </c>
      <c r="S16" s="123">
        <v>3</v>
      </c>
      <c r="T16" s="123">
        <v>2</v>
      </c>
      <c r="U16" s="123">
        <v>2</v>
      </c>
      <c r="V16" s="123">
        <v>3</v>
      </c>
      <c r="W16" s="123">
        <v>3</v>
      </c>
      <c r="X16" s="123">
        <v>2</v>
      </c>
      <c r="Y16" s="123">
        <v>3</v>
      </c>
      <c r="Z16" s="123">
        <v>1</v>
      </c>
      <c r="AA16" s="92"/>
      <c r="AB16" s="92"/>
      <c r="AC16" s="92"/>
      <c r="AD16" s="92"/>
      <c r="AE16" s="92"/>
      <c r="AF16" s="92"/>
      <c r="AG16" s="92"/>
      <c r="AH16" s="92"/>
      <c r="AI16" s="92"/>
      <c r="AJ16" s="92"/>
      <c r="AK16" s="92"/>
      <c r="AL16" s="92"/>
      <c r="AM16" s="92"/>
      <c r="AN16" s="92"/>
      <c r="AO16" s="92"/>
      <c r="AP16" s="92"/>
      <c r="AQ16" s="92"/>
      <c r="AR16" s="92"/>
      <c r="AS16" s="92"/>
      <c r="AT16" s="92"/>
    </row>
    <row r="17" spans="1:23" s="15" customFormat="1" ht="15">
      <c r="A17" s="8"/>
      <c r="E17" s="8"/>
      <c r="F17" s="403"/>
      <c r="G17" s="8"/>
      <c r="I17" s="499"/>
      <c r="R17" s="8"/>
      <c r="V17" s="8"/>
      <c r="W17" s="536"/>
    </row>
    <row r="18" spans="1:23" s="15" customFormat="1" ht="22" customHeight="1">
      <c r="A18" s="8"/>
      <c r="E18" s="8"/>
      <c r="F18" s="403"/>
      <c r="G18" s="8"/>
      <c r="I18" s="499"/>
      <c r="R18" s="8"/>
      <c r="V18" s="8"/>
      <c r="W18" s="536"/>
    </row>
    <row r="19" spans="1:23" s="15" customFormat="1" ht="20" customHeight="1">
      <c r="A19" s="8"/>
      <c r="E19" s="8"/>
      <c r="F19" s="403"/>
      <c r="G19" s="8"/>
      <c r="I19" s="499"/>
      <c r="R19" s="8"/>
      <c r="V19" s="8"/>
      <c r="W19" s="536"/>
    </row>
    <row r="20" spans="1:23" s="15" customFormat="1" ht="15">
      <c r="A20" s="8"/>
      <c r="E20" s="8"/>
      <c r="F20" s="403"/>
      <c r="G20" s="8"/>
      <c r="I20" s="499"/>
      <c r="R20" s="8"/>
      <c r="V20" s="8"/>
      <c r="W20" s="536"/>
    </row>
    <row r="21" spans="1:23" s="15" customFormat="1" ht="21" customHeight="1">
      <c r="A21" s="8"/>
      <c r="E21" s="8"/>
      <c r="F21" s="403"/>
      <c r="G21" s="8"/>
      <c r="I21" s="499"/>
      <c r="R21" s="8"/>
      <c r="V21" s="8"/>
      <c r="W21" s="536"/>
    </row>
    <row r="22" spans="1:23" s="15" customFormat="1" ht="15">
      <c r="A22" s="8"/>
      <c r="E22" s="8"/>
      <c r="F22" s="403"/>
      <c r="G22" s="8"/>
      <c r="I22" s="499"/>
      <c r="R22" s="8"/>
      <c r="V22" s="8"/>
      <c r="W22" s="536"/>
    </row>
    <row r="23" spans="1:23" s="15" customFormat="1" ht="15">
      <c r="A23" s="8"/>
      <c r="E23" s="8"/>
      <c r="F23" s="403"/>
      <c r="G23" s="8"/>
      <c r="I23" s="499"/>
      <c r="R23" s="8"/>
      <c r="V23" s="8"/>
      <c r="W23" s="536"/>
    </row>
    <row r="24" spans="1:23" s="15" customFormat="1" ht="15">
      <c r="A24" s="8"/>
      <c r="E24" s="8"/>
      <c r="F24" s="403"/>
      <c r="G24" s="8"/>
      <c r="I24" s="499"/>
      <c r="R24" s="8"/>
      <c r="V24" s="8"/>
      <c r="W24" s="536"/>
    </row>
    <row r="25" spans="1:23" s="15" customFormat="1" ht="15">
      <c r="A25" s="8"/>
      <c r="E25" s="8"/>
      <c r="F25" s="403"/>
      <c r="G25" s="8"/>
      <c r="I25" s="499"/>
      <c r="R25" s="8"/>
      <c r="V25" s="8"/>
      <c r="W25" s="536"/>
    </row>
    <row r="26" spans="1:23" s="15" customFormat="1" ht="15">
      <c r="A26" s="8"/>
      <c r="E26" s="8"/>
      <c r="F26" s="403"/>
      <c r="G26" s="8"/>
      <c r="I26" s="499"/>
      <c r="R26" s="8"/>
      <c r="V26" s="8"/>
      <c r="W26" s="536"/>
    </row>
    <row r="27" spans="1:23" s="15" customFormat="1" ht="15">
      <c r="A27" s="8"/>
      <c r="E27" s="8"/>
      <c r="F27" s="403"/>
      <c r="G27" s="8"/>
      <c r="I27" s="499"/>
      <c r="R27" s="8"/>
      <c r="V27" s="8"/>
      <c r="W27" s="536"/>
    </row>
    <row r="28" spans="1:23" s="15" customFormat="1" ht="15">
      <c r="A28" s="8"/>
      <c r="E28" s="8"/>
      <c r="F28" s="403"/>
      <c r="G28" s="8"/>
      <c r="I28" s="499"/>
      <c r="R28" s="8"/>
      <c r="V28" s="8"/>
      <c r="W28" s="536"/>
    </row>
    <row r="29" spans="1:23" s="15" customFormat="1" ht="15">
      <c r="A29" s="8"/>
      <c r="E29" s="8"/>
      <c r="F29" s="403"/>
      <c r="G29" s="8"/>
      <c r="I29" s="499"/>
      <c r="R29" s="8"/>
      <c r="V29" s="8"/>
      <c r="W29" s="536"/>
    </row>
    <row r="30" spans="1:23" s="15" customFormat="1" ht="15">
      <c r="E30" s="8"/>
      <c r="F30" s="403"/>
      <c r="G30" s="8"/>
      <c r="I30" s="499"/>
      <c r="R30" s="8"/>
      <c r="V30" s="8"/>
      <c r="W30" s="536"/>
    </row>
    <row r="31" spans="1:23" s="15" customFormat="1" ht="15">
      <c r="E31" s="8"/>
      <c r="F31" s="403"/>
      <c r="G31" s="8"/>
      <c r="I31" s="499"/>
      <c r="R31" s="8"/>
      <c r="V31" s="8"/>
      <c r="W31" s="536"/>
    </row>
    <row r="32" spans="1:23" s="15" customFormat="1" ht="15">
      <c r="E32" s="8"/>
      <c r="F32" s="403"/>
      <c r="G32" s="8"/>
      <c r="I32" s="499"/>
      <c r="R32" s="8"/>
      <c r="V32" s="8"/>
      <c r="W32" s="536"/>
    </row>
    <row r="33" spans="1:23" s="15" customFormat="1" ht="15">
      <c r="E33" s="8"/>
      <c r="F33" s="403"/>
      <c r="G33" s="8"/>
      <c r="I33" s="499"/>
      <c r="R33" s="8"/>
      <c r="V33" s="8"/>
      <c r="W33" s="536"/>
    </row>
    <row r="34" spans="1:23" s="15" customFormat="1" ht="15">
      <c r="E34" s="8"/>
      <c r="F34" s="403"/>
      <c r="G34" s="8"/>
      <c r="I34" s="499"/>
      <c r="R34" s="8"/>
      <c r="V34" s="8"/>
      <c r="W34" s="536"/>
    </row>
    <row r="35" spans="1:23" s="15" customFormat="1" ht="15">
      <c r="E35" s="8"/>
      <c r="F35" s="403"/>
      <c r="G35" s="8"/>
      <c r="I35" s="499"/>
      <c r="R35" s="8"/>
      <c r="V35" s="8"/>
      <c r="W35" s="536"/>
    </row>
    <row r="36" spans="1:23" s="15" customFormat="1" ht="15">
      <c r="E36" s="8"/>
      <c r="F36" s="403"/>
      <c r="G36" s="8"/>
      <c r="I36" s="499"/>
      <c r="R36" s="8"/>
      <c r="V36" s="8"/>
      <c r="W36" s="536"/>
    </row>
    <row r="37" spans="1:23" s="15" customFormat="1" ht="15">
      <c r="E37" s="8"/>
      <c r="F37" s="403"/>
      <c r="G37" s="8"/>
      <c r="I37" s="499"/>
      <c r="R37" s="8"/>
      <c r="V37" s="8"/>
      <c r="W37" s="536"/>
    </row>
    <row r="38" spans="1:23" s="15" customFormat="1" ht="15">
      <c r="A38" s="8"/>
      <c r="E38" s="8"/>
      <c r="F38" s="403"/>
      <c r="G38" s="8"/>
      <c r="I38" s="499"/>
      <c r="R38" s="8"/>
      <c r="V38" s="8"/>
      <c r="W38" s="536"/>
    </row>
    <row r="39" spans="1:23" s="15" customFormat="1" ht="15">
      <c r="E39" s="8"/>
      <c r="F39" s="403"/>
      <c r="G39" s="8"/>
      <c r="I39" s="499"/>
      <c r="R39" s="8"/>
      <c r="V39" s="8"/>
      <c r="W39" s="536"/>
    </row>
    <row r="40" spans="1:23" s="15" customFormat="1" ht="15">
      <c r="A40" s="8"/>
      <c r="E40" s="8"/>
      <c r="F40" s="403"/>
      <c r="G40" s="8"/>
      <c r="I40" s="499"/>
      <c r="R40" s="8"/>
      <c r="V40" s="8"/>
      <c r="W40" s="536"/>
    </row>
    <row r="41" spans="1:23" s="15" customFormat="1" ht="15">
      <c r="A41" s="8"/>
      <c r="E41" s="8"/>
      <c r="F41" s="403"/>
      <c r="G41" s="8"/>
      <c r="I41" s="499"/>
      <c r="R41" s="8"/>
      <c r="V41" s="8"/>
      <c r="W41" s="536"/>
    </row>
    <row r="42" spans="1:23" s="15" customFormat="1" ht="15">
      <c r="A42" s="8"/>
      <c r="E42" s="8"/>
      <c r="F42" s="403"/>
      <c r="G42" s="8"/>
      <c r="I42" s="499"/>
      <c r="R42" s="8"/>
      <c r="V42" s="8"/>
      <c r="W42" s="536"/>
    </row>
    <row r="43" spans="1:23" s="15" customFormat="1" ht="15">
      <c r="A43" s="8"/>
      <c r="E43" s="8"/>
      <c r="F43" s="403"/>
      <c r="G43" s="8"/>
      <c r="I43" s="499"/>
      <c r="R43" s="8"/>
      <c r="V43" s="8"/>
      <c r="W43" s="536"/>
    </row>
    <row r="44" spans="1:23" s="15" customFormat="1" ht="15">
      <c r="A44" s="8"/>
      <c r="E44" s="8"/>
      <c r="F44" s="403"/>
      <c r="G44" s="8"/>
      <c r="I44" s="499"/>
      <c r="R44" s="8"/>
      <c r="V44" s="8"/>
      <c r="W44" s="536"/>
    </row>
    <row r="45" spans="1:23" s="15" customFormat="1" ht="15">
      <c r="A45" s="8"/>
      <c r="E45" s="8"/>
      <c r="F45" s="403"/>
      <c r="G45" s="8"/>
      <c r="I45" s="499"/>
      <c r="R45" s="8"/>
      <c r="V45" s="8"/>
      <c r="W45" s="536"/>
    </row>
    <row r="46" spans="1:23" s="15" customFormat="1" ht="15">
      <c r="A46" s="8"/>
      <c r="E46" s="8"/>
      <c r="F46" s="403"/>
      <c r="G46" s="8"/>
      <c r="I46" s="499"/>
      <c r="R46" s="8"/>
      <c r="V46" s="8"/>
      <c r="W46" s="536"/>
    </row>
    <row r="47" spans="1:23" s="15" customFormat="1" ht="15">
      <c r="A47" s="8"/>
      <c r="E47" s="8"/>
      <c r="F47" s="403"/>
      <c r="G47" s="8"/>
      <c r="I47" s="499"/>
      <c r="R47" s="8"/>
      <c r="V47" s="8"/>
      <c r="W47" s="536"/>
    </row>
    <row r="48" spans="1:23" s="15" customFormat="1" ht="15">
      <c r="A48" s="8"/>
      <c r="E48" s="8"/>
      <c r="F48" s="403"/>
      <c r="G48" s="8"/>
      <c r="I48" s="499"/>
      <c r="R48" s="8"/>
      <c r="V48" s="8"/>
      <c r="W48" s="536"/>
    </row>
    <row r="49" spans="1:46" s="15" customFormat="1" ht="15">
      <c r="A49" s="8"/>
      <c r="E49" s="8"/>
      <c r="F49" s="403"/>
      <c r="G49" s="8"/>
      <c r="I49" s="499"/>
      <c r="R49" s="8"/>
      <c r="V49" s="8"/>
      <c r="W49" s="536"/>
    </row>
    <row r="50" spans="1:46" s="15" customFormat="1" ht="15">
      <c r="A50" s="8"/>
      <c r="E50" s="8"/>
      <c r="F50" s="403"/>
      <c r="G50" s="8"/>
      <c r="I50" s="499"/>
      <c r="R50" s="8"/>
      <c r="V50" s="8"/>
      <c r="W50" s="536"/>
    </row>
    <row r="51" spans="1:46" s="15" customFormat="1" ht="15">
      <c r="A51" s="8"/>
      <c r="E51" s="8"/>
      <c r="F51" s="403"/>
      <c r="G51" s="8"/>
      <c r="I51" s="499"/>
      <c r="R51" s="8"/>
      <c r="V51" s="8"/>
      <c r="W51" s="536"/>
    </row>
    <row r="52" spans="1:46" s="15" customFormat="1" ht="15">
      <c r="A52" s="8"/>
      <c r="E52" s="8"/>
      <c r="F52" s="403"/>
      <c r="G52" s="8"/>
      <c r="I52" s="499"/>
      <c r="R52" s="8"/>
      <c r="V52" s="8"/>
      <c r="W52" s="536"/>
    </row>
    <row r="53" spans="1:46" s="15" customFormat="1">
      <c r="A53" s="8"/>
      <c r="E53" s="8"/>
      <c r="F53" s="537"/>
      <c r="G53" s="8"/>
      <c r="H53" s="10"/>
      <c r="I53" s="538"/>
      <c r="J53" s="10"/>
      <c r="K53" s="8"/>
      <c r="L53" s="8"/>
      <c r="P53" s="8"/>
      <c r="Q53" s="8"/>
      <c r="R53" s="8"/>
      <c r="S53" s="10"/>
      <c r="T53" s="10"/>
      <c r="U53" s="10"/>
      <c r="V53" s="8"/>
      <c r="W53" s="536"/>
      <c r="X53" s="10"/>
      <c r="Y53" s="10"/>
      <c r="Z53" s="8"/>
    </row>
    <row r="54" spans="1:46">
      <c r="A54" s="36"/>
      <c r="B54" s="92"/>
      <c r="C54" s="92"/>
      <c r="D54" s="92"/>
      <c r="E54" s="36"/>
      <c r="F54" s="204"/>
      <c r="G54" s="36"/>
      <c r="H54" s="93"/>
      <c r="I54" s="192"/>
      <c r="J54" s="93"/>
      <c r="K54" s="36"/>
      <c r="L54" s="36"/>
      <c r="M54" s="92"/>
      <c r="N54" s="92"/>
      <c r="O54" s="92"/>
      <c r="P54" s="36"/>
      <c r="Q54" s="36"/>
      <c r="R54" s="36"/>
      <c r="S54" s="93"/>
      <c r="T54" s="93"/>
      <c r="U54" s="93"/>
      <c r="V54" s="36"/>
      <c r="W54" s="193"/>
      <c r="X54" s="93"/>
      <c r="Y54" s="93"/>
      <c r="Z54" s="36"/>
      <c r="AA54" s="92"/>
      <c r="AB54" s="92"/>
      <c r="AC54" s="92"/>
      <c r="AD54" s="92"/>
      <c r="AE54" s="92"/>
      <c r="AF54" s="92"/>
      <c r="AG54" s="92"/>
      <c r="AH54" s="92"/>
      <c r="AI54" s="92"/>
      <c r="AJ54" s="92"/>
      <c r="AK54" s="92"/>
      <c r="AL54" s="92"/>
      <c r="AM54" s="92"/>
      <c r="AN54" s="92"/>
      <c r="AO54" s="92"/>
      <c r="AP54" s="92"/>
      <c r="AQ54" s="92"/>
      <c r="AR54" s="92"/>
      <c r="AS54" s="92"/>
      <c r="AT54" s="92"/>
    </row>
    <row r="55" spans="1:46">
      <c r="A55" s="36"/>
      <c r="B55" s="92"/>
      <c r="C55" s="92"/>
      <c r="D55" s="92"/>
      <c r="E55" s="36"/>
      <c r="F55" s="204"/>
      <c r="G55" s="36"/>
      <c r="H55" s="93"/>
      <c r="I55" s="192"/>
      <c r="J55" s="93"/>
      <c r="K55" s="36"/>
      <c r="L55" s="36"/>
      <c r="M55" s="92"/>
      <c r="N55" s="92"/>
      <c r="O55" s="92"/>
      <c r="P55" s="36"/>
      <c r="Q55" s="36"/>
      <c r="R55" s="36"/>
      <c r="S55" s="93"/>
      <c r="T55" s="93"/>
      <c r="U55" s="93"/>
      <c r="V55" s="36"/>
      <c r="W55" s="193"/>
      <c r="X55" s="93"/>
      <c r="Y55" s="93"/>
      <c r="Z55" s="36"/>
      <c r="AA55" s="92"/>
      <c r="AB55" s="92"/>
      <c r="AC55" s="92"/>
      <c r="AD55" s="92"/>
      <c r="AE55" s="92"/>
      <c r="AF55" s="92"/>
      <c r="AG55" s="92"/>
      <c r="AH55" s="92"/>
      <c r="AI55" s="92"/>
      <c r="AJ55" s="92"/>
      <c r="AK55" s="92"/>
      <c r="AL55" s="92"/>
      <c r="AM55" s="92"/>
      <c r="AN55" s="92"/>
      <c r="AO55" s="92"/>
      <c r="AP55" s="92"/>
      <c r="AQ55" s="92"/>
      <c r="AR55" s="92"/>
      <c r="AS55" s="92"/>
      <c r="AT55" s="92"/>
    </row>
    <row r="56" spans="1:46">
      <c r="A56" s="36"/>
      <c r="B56" s="92"/>
      <c r="C56" s="92"/>
      <c r="D56" s="92"/>
      <c r="E56" s="36"/>
      <c r="F56" s="204"/>
      <c r="G56" s="36"/>
      <c r="H56" s="93"/>
      <c r="I56" s="192"/>
      <c r="J56" s="93"/>
      <c r="K56" s="36"/>
      <c r="L56" s="36"/>
      <c r="M56" s="92"/>
      <c r="N56" s="92"/>
      <c r="O56" s="92"/>
      <c r="P56" s="36"/>
      <c r="Q56" s="36"/>
      <c r="R56" s="36"/>
      <c r="S56" s="93"/>
      <c r="T56" s="93"/>
      <c r="U56" s="93"/>
      <c r="V56" s="36"/>
      <c r="W56" s="193"/>
      <c r="X56" s="93"/>
      <c r="Y56" s="93"/>
      <c r="Z56" s="36"/>
      <c r="AA56" s="92"/>
      <c r="AB56" s="92"/>
      <c r="AC56" s="92"/>
      <c r="AD56" s="92"/>
      <c r="AE56" s="92"/>
      <c r="AF56" s="92"/>
      <c r="AG56" s="92"/>
      <c r="AH56" s="92"/>
      <c r="AI56" s="92"/>
      <c r="AJ56" s="92"/>
      <c r="AK56" s="92"/>
      <c r="AL56" s="92"/>
      <c r="AM56" s="92"/>
      <c r="AN56" s="92"/>
      <c r="AO56" s="92"/>
      <c r="AP56" s="92"/>
      <c r="AQ56" s="92"/>
      <c r="AR56" s="92"/>
      <c r="AS56" s="92"/>
      <c r="AT56" s="92"/>
    </row>
    <row r="57" spans="1:46">
      <c r="A57" s="36"/>
      <c r="B57" s="92"/>
      <c r="C57" s="92"/>
      <c r="D57" s="92"/>
      <c r="E57" s="36"/>
      <c r="F57" s="204"/>
      <c r="G57" s="36"/>
      <c r="H57" s="93"/>
      <c r="I57" s="192"/>
      <c r="J57" s="93"/>
      <c r="K57" s="36"/>
      <c r="L57" s="36"/>
      <c r="M57" s="92"/>
      <c r="N57" s="92"/>
      <c r="O57" s="92"/>
      <c r="P57" s="36"/>
      <c r="Q57" s="36"/>
      <c r="R57" s="36"/>
      <c r="S57" s="93"/>
      <c r="T57" s="93"/>
      <c r="U57" s="93"/>
      <c r="V57" s="36"/>
      <c r="W57" s="193"/>
      <c r="X57" s="93"/>
      <c r="Y57" s="93"/>
      <c r="Z57" s="36"/>
      <c r="AA57" s="92"/>
      <c r="AB57" s="92"/>
      <c r="AC57" s="92"/>
      <c r="AD57" s="92"/>
      <c r="AE57" s="92"/>
      <c r="AF57" s="92"/>
      <c r="AG57" s="92"/>
      <c r="AH57" s="92"/>
      <c r="AI57" s="92"/>
      <c r="AJ57" s="92"/>
      <c r="AK57" s="92"/>
      <c r="AL57" s="92"/>
      <c r="AM57" s="92"/>
      <c r="AN57" s="92"/>
      <c r="AO57" s="92"/>
      <c r="AP57" s="92"/>
      <c r="AQ57" s="92"/>
      <c r="AR57" s="92"/>
      <c r="AS57" s="92"/>
      <c r="AT57" s="92"/>
    </row>
    <row r="58" spans="1:46">
      <c r="A58" s="36"/>
      <c r="B58" s="92"/>
      <c r="C58" s="92"/>
      <c r="D58" s="92"/>
      <c r="E58" s="36"/>
      <c r="F58" s="204"/>
      <c r="G58" s="36"/>
      <c r="H58" s="93"/>
      <c r="I58" s="192"/>
      <c r="J58" s="93"/>
      <c r="K58" s="36"/>
      <c r="L58" s="36"/>
      <c r="M58" s="92"/>
      <c r="N58" s="92"/>
      <c r="O58" s="92"/>
      <c r="P58" s="36"/>
      <c r="Q58" s="36"/>
      <c r="R58" s="36"/>
      <c r="S58" s="93"/>
      <c r="T58" s="93"/>
      <c r="U58" s="93"/>
      <c r="V58" s="36"/>
      <c r="W58" s="193"/>
      <c r="X58" s="93"/>
      <c r="Y58" s="93"/>
      <c r="Z58" s="36"/>
      <c r="AA58" s="92"/>
      <c r="AB58" s="92"/>
      <c r="AC58" s="92"/>
      <c r="AD58" s="92"/>
      <c r="AE58" s="92"/>
      <c r="AF58" s="92"/>
      <c r="AG58" s="92"/>
      <c r="AH58" s="92"/>
      <c r="AI58" s="92"/>
      <c r="AJ58" s="92"/>
      <c r="AK58" s="92"/>
      <c r="AL58" s="92"/>
      <c r="AM58" s="92"/>
      <c r="AN58" s="92"/>
      <c r="AO58" s="92"/>
      <c r="AP58" s="92"/>
      <c r="AQ58" s="92"/>
      <c r="AR58" s="92"/>
      <c r="AS58" s="92"/>
      <c r="AT58" s="92"/>
    </row>
    <row r="59" spans="1:46">
      <c r="A59" s="36"/>
      <c r="B59" s="92"/>
      <c r="C59" s="92"/>
      <c r="D59" s="92"/>
      <c r="E59" s="36"/>
      <c r="F59" s="204"/>
      <c r="G59" s="36"/>
      <c r="H59" s="93"/>
      <c r="I59" s="192"/>
      <c r="J59" s="93"/>
      <c r="K59" s="36"/>
      <c r="L59" s="36"/>
      <c r="M59" s="92"/>
      <c r="N59" s="92"/>
      <c r="O59" s="92"/>
      <c r="P59" s="36"/>
      <c r="Q59" s="36"/>
      <c r="R59" s="36"/>
      <c r="S59" s="93"/>
      <c r="T59" s="93"/>
      <c r="U59" s="93"/>
      <c r="V59" s="36"/>
      <c r="W59" s="193"/>
      <c r="X59" s="93"/>
      <c r="Y59" s="93"/>
      <c r="Z59" s="36"/>
      <c r="AA59" s="92"/>
      <c r="AB59" s="92"/>
      <c r="AC59" s="92"/>
      <c r="AD59" s="92"/>
      <c r="AE59" s="92"/>
      <c r="AF59" s="92"/>
      <c r="AG59" s="92"/>
      <c r="AH59" s="92"/>
      <c r="AI59" s="92"/>
      <c r="AJ59" s="92"/>
      <c r="AK59" s="92"/>
      <c r="AL59" s="92"/>
      <c r="AM59" s="92"/>
      <c r="AN59" s="92"/>
      <c r="AO59" s="92"/>
      <c r="AP59" s="92"/>
      <c r="AQ59" s="92"/>
      <c r="AR59" s="92"/>
      <c r="AS59" s="92"/>
      <c r="AT59" s="92"/>
    </row>
    <row r="60" spans="1:46">
      <c r="A60" s="36"/>
      <c r="B60" s="92"/>
      <c r="C60" s="92"/>
      <c r="D60" s="92"/>
      <c r="E60" s="36"/>
      <c r="F60" s="204"/>
      <c r="G60" s="36"/>
      <c r="H60" s="93"/>
      <c r="I60" s="192"/>
      <c r="J60" s="93"/>
      <c r="K60" s="36"/>
      <c r="L60" s="36"/>
      <c r="M60" s="92"/>
      <c r="N60" s="92"/>
      <c r="O60" s="92"/>
      <c r="P60" s="36"/>
      <c r="Q60" s="36"/>
      <c r="R60" s="36"/>
      <c r="S60" s="93"/>
      <c r="T60" s="93"/>
      <c r="U60" s="93"/>
      <c r="V60" s="36"/>
      <c r="W60" s="193"/>
      <c r="X60" s="93"/>
      <c r="Y60" s="93"/>
      <c r="Z60" s="36"/>
      <c r="AA60" s="92"/>
      <c r="AB60" s="92"/>
      <c r="AC60" s="92"/>
      <c r="AD60" s="92"/>
      <c r="AE60" s="92"/>
      <c r="AF60" s="92"/>
      <c r="AG60" s="92"/>
      <c r="AH60" s="92"/>
      <c r="AI60" s="92"/>
      <c r="AJ60" s="92"/>
      <c r="AK60" s="92"/>
      <c r="AL60" s="92"/>
      <c r="AM60" s="92"/>
      <c r="AN60" s="92"/>
      <c r="AO60" s="92"/>
      <c r="AP60" s="92"/>
      <c r="AQ60" s="92"/>
      <c r="AR60" s="92"/>
      <c r="AS60" s="92"/>
      <c r="AT60" s="92"/>
    </row>
    <row r="61" spans="1:46">
      <c r="A61" s="36"/>
      <c r="B61" s="93"/>
      <c r="C61" s="36"/>
      <c r="D61" s="36"/>
      <c r="E61" s="36"/>
      <c r="F61" s="204"/>
      <c r="G61" s="36"/>
      <c r="H61" s="93"/>
      <c r="I61" s="192"/>
      <c r="J61" s="93"/>
      <c r="K61" s="36"/>
      <c r="L61" s="36"/>
      <c r="M61" s="92"/>
      <c r="N61" s="36"/>
      <c r="O61" s="36"/>
      <c r="P61" s="36"/>
      <c r="Q61" s="36"/>
      <c r="R61" s="36"/>
      <c r="S61" s="93"/>
      <c r="T61" s="93"/>
      <c r="U61" s="93"/>
      <c r="V61" s="36"/>
      <c r="W61" s="193"/>
      <c r="X61" s="93"/>
      <c r="Y61" s="93"/>
      <c r="Z61" s="36"/>
      <c r="AA61" s="92"/>
      <c r="AB61" s="92"/>
      <c r="AC61" s="92"/>
      <c r="AD61" s="92"/>
      <c r="AE61" s="92"/>
      <c r="AF61" s="92"/>
      <c r="AG61" s="92"/>
      <c r="AH61" s="92"/>
      <c r="AI61" s="92"/>
      <c r="AJ61" s="92"/>
      <c r="AK61" s="92"/>
      <c r="AL61" s="92"/>
      <c r="AM61" s="92"/>
      <c r="AN61" s="92"/>
      <c r="AO61" s="92"/>
      <c r="AP61" s="92"/>
      <c r="AQ61" s="92"/>
      <c r="AR61" s="92"/>
      <c r="AS61" s="92"/>
      <c r="AT61" s="92"/>
    </row>
    <row r="62" spans="1:46">
      <c r="A62" s="93"/>
      <c r="B62" s="93"/>
      <c r="C62" s="36"/>
      <c r="D62" s="36"/>
      <c r="E62" s="36"/>
      <c r="F62" s="204"/>
      <c r="G62" s="36"/>
      <c r="H62" s="93"/>
      <c r="I62" s="192"/>
      <c r="J62" s="93"/>
      <c r="K62" s="36"/>
      <c r="L62" s="36"/>
      <c r="M62" s="92"/>
      <c r="N62" s="36"/>
      <c r="O62" s="36"/>
      <c r="P62" s="36"/>
      <c r="Q62" s="36"/>
      <c r="R62" s="36"/>
      <c r="S62" s="93"/>
      <c r="T62" s="93"/>
      <c r="U62" s="93"/>
      <c r="V62" s="36"/>
      <c r="W62" s="193"/>
      <c r="X62" s="93"/>
      <c r="Y62" s="93"/>
      <c r="Z62" s="36"/>
      <c r="AA62" s="92"/>
      <c r="AB62" s="92"/>
      <c r="AC62" s="92"/>
      <c r="AD62" s="92"/>
      <c r="AE62" s="92"/>
      <c r="AF62" s="92"/>
      <c r="AG62" s="92"/>
      <c r="AH62" s="92"/>
      <c r="AI62" s="92"/>
      <c r="AJ62" s="92"/>
      <c r="AK62" s="92"/>
      <c r="AL62" s="92"/>
      <c r="AM62" s="92"/>
      <c r="AN62" s="92"/>
      <c r="AO62" s="92"/>
      <c r="AP62" s="92"/>
      <c r="AQ62" s="92"/>
      <c r="AR62" s="92"/>
      <c r="AS62" s="92"/>
      <c r="AT62" s="92"/>
    </row>
    <row r="63" spans="1:46">
      <c r="A63" s="93"/>
      <c r="B63" s="93"/>
      <c r="C63" s="36"/>
      <c r="D63" s="36"/>
      <c r="E63" s="36"/>
      <c r="F63" s="204"/>
      <c r="G63" s="36"/>
      <c r="H63" s="93"/>
      <c r="I63" s="192"/>
      <c r="J63" s="93"/>
      <c r="K63" s="36"/>
      <c r="L63" s="36"/>
      <c r="M63" s="92"/>
      <c r="N63" s="36"/>
      <c r="O63" s="36"/>
      <c r="P63" s="36"/>
      <c r="Q63" s="36"/>
      <c r="R63" s="36"/>
      <c r="S63" s="93"/>
      <c r="T63" s="93"/>
      <c r="U63" s="93"/>
      <c r="V63" s="36"/>
      <c r="W63" s="193"/>
      <c r="X63" s="93"/>
      <c r="Y63" s="93"/>
      <c r="Z63" s="36"/>
      <c r="AA63" s="92"/>
      <c r="AB63" s="92"/>
      <c r="AC63" s="92"/>
      <c r="AD63" s="92"/>
      <c r="AE63" s="92"/>
      <c r="AF63" s="92"/>
      <c r="AG63" s="92"/>
      <c r="AH63" s="92"/>
      <c r="AI63" s="92"/>
      <c r="AJ63" s="92"/>
      <c r="AK63" s="92"/>
      <c r="AL63" s="92"/>
      <c r="AM63" s="92"/>
      <c r="AN63" s="92"/>
      <c r="AO63" s="92"/>
      <c r="AP63" s="92"/>
      <c r="AQ63" s="92"/>
      <c r="AR63" s="92"/>
      <c r="AS63" s="92"/>
      <c r="AT63" s="92"/>
    </row>
    <row r="64" spans="1:46" ht="21" customHeight="1">
      <c r="A64" s="93"/>
      <c r="B64" s="93"/>
      <c r="C64" s="36"/>
      <c r="D64" s="36"/>
      <c r="E64" s="36"/>
      <c r="F64" s="204"/>
      <c r="G64" s="36"/>
      <c r="H64" s="93"/>
      <c r="I64" s="192"/>
      <c r="J64" s="93"/>
      <c r="K64" s="36"/>
      <c r="L64" s="36"/>
      <c r="M64" s="92"/>
      <c r="N64" s="36"/>
      <c r="O64" s="36"/>
      <c r="P64" s="36"/>
      <c r="Q64" s="36"/>
      <c r="R64" s="36"/>
      <c r="S64" s="93"/>
      <c r="T64" s="93"/>
      <c r="U64" s="93"/>
      <c r="V64" s="36"/>
      <c r="W64" s="193"/>
      <c r="X64" s="93"/>
      <c r="Y64" s="93"/>
      <c r="Z64" s="36"/>
      <c r="AA64" s="92"/>
      <c r="AB64" s="92"/>
      <c r="AC64" s="92"/>
      <c r="AD64" s="92"/>
      <c r="AE64" s="92"/>
      <c r="AF64" s="92"/>
      <c r="AG64" s="92"/>
      <c r="AH64" s="92"/>
      <c r="AI64" s="92"/>
      <c r="AJ64" s="92"/>
      <c r="AK64" s="92"/>
      <c r="AL64" s="92"/>
      <c r="AM64" s="92"/>
      <c r="AN64" s="92"/>
      <c r="AO64" s="92"/>
      <c r="AP64" s="92"/>
      <c r="AQ64" s="92"/>
      <c r="AR64" s="92"/>
      <c r="AS64" s="92"/>
      <c r="AT64" s="92"/>
    </row>
    <row r="65" spans="1:46">
      <c r="A65" s="93"/>
      <c r="B65" s="93"/>
      <c r="C65" s="36"/>
      <c r="D65" s="36"/>
      <c r="E65" s="36"/>
      <c r="F65" s="204"/>
      <c r="G65" s="36"/>
      <c r="H65" s="93"/>
      <c r="I65" s="192"/>
      <c r="J65" s="93"/>
      <c r="K65" s="36"/>
      <c r="L65" s="36"/>
      <c r="M65" s="92"/>
      <c r="N65" s="36"/>
      <c r="O65" s="36"/>
      <c r="P65" s="36"/>
      <c r="Q65" s="36"/>
      <c r="R65" s="36"/>
      <c r="S65" s="93"/>
      <c r="T65" s="93"/>
      <c r="U65" s="93"/>
      <c r="V65" s="36"/>
      <c r="W65" s="193"/>
      <c r="X65" s="93"/>
      <c r="Y65" s="93"/>
      <c r="Z65" s="36"/>
      <c r="AA65" s="92"/>
      <c r="AB65" s="92"/>
      <c r="AC65" s="92"/>
      <c r="AD65" s="92"/>
      <c r="AE65" s="92"/>
      <c r="AF65" s="92"/>
      <c r="AG65" s="92"/>
      <c r="AH65" s="92"/>
      <c r="AI65" s="92"/>
      <c r="AJ65" s="92"/>
      <c r="AK65" s="92"/>
      <c r="AL65" s="92"/>
      <c r="AM65" s="92"/>
      <c r="AN65" s="92"/>
      <c r="AO65" s="92"/>
      <c r="AP65" s="92"/>
      <c r="AQ65" s="92"/>
      <c r="AR65" s="92"/>
      <c r="AS65" s="92"/>
      <c r="AT65" s="92"/>
    </row>
    <row r="66" spans="1:46">
      <c r="A66" s="93"/>
      <c r="B66" s="93"/>
      <c r="C66" s="36"/>
      <c r="D66" s="36"/>
      <c r="E66" s="36"/>
      <c r="F66" s="204"/>
      <c r="G66" s="36"/>
      <c r="H66" s="93"/>
      <c r="I66" s="192"/>
      <c r="J66" s="93"/>
      <c r="K66" s="36"/>
      <c r="L66" s="36"/>
      <c r="M66" s="92"/>
      <c r="N66" s="36"/>
      <c r="O66" s="36"/>
      <c r="P66" s="36"/>
      <c r="Q66" s="36"/>
      <c r="R66" s="36"/>
      <c r="S66" s="93"/>
      <c r="T66" s="93"/>
      <c r="U66" s="93"/>
      <c r="V66" s="36"/>
      <c r="W66" s="193"/>
      <c r="X66" s="93"/>
      <c r="Y66" s="93"/>
      <c r="Z66" s="36"/>
      <c r="AA66" s="92"/>
      <c r="AB66" s="92"/>
      <c r="AC66" s="92"/>
      <c r="AD66" s="92"/>
      <c r="AE66" s="92"/>
      <c r="AF66" s="92"/>
      <c r="AG66" s="92"/>
      <c r="AH66" s="92"/>
      <c r="AI66" s="92"/>
      <c r="AJ66" s="92"/>
      <c r="AK66" s="92"/>
      <c r="AL66" s="92"/>
      <c r="AM66" s="92"/>
      <c r="AN66" s="92"/>
      <c r="AO66" s="92"/>
      <c r="AP66" s="92"/>
      <c r="AQ66" s="92"/>
      <c r="AR66" s="92"/>
      <c r="AS66" s="92"/>
      <c r="AT66" s="92"/>
    </row>
    <row r="67" spans="1:46">
      <c r="A67" s="93"/>
      <c r="B67" s="93"/>
      <c r="C67" s="36"/>
      <c r="D67" s="36"/>
      <c r="E67" s="36"/>
      <c r="F67" s="204"/>
      <c r="G67" s="36"/>
      <c r="H67" s="93"/>
      <c r="I67" s="192"/>
      <c r="J67" s="93"/>
      <c r="K67" s="36"/>
      <c r="L67" s="36"/>
      <c r="M67" s="92"/>
      <c r="N67" s="36"/>
      <c r="O67" s="36"/>
      <c r="P67" s="36"/>
      <c r="Q67" s="36"/>
      <c r="R67" s="36"/>
      <c r="S67" s="93"/>
      <c r="T67" s="93"/>
      <c r="U67" s="93"/>
      <c r="V67" s="36"/>
      <c r="W67" s="193"/>
      <c r="X67" s="93"/>
      <c r="Y67" s="93"/>
      <c r="Z67" s="36"/>
      <c r="AA67" s="92"/>
      <c r="AB67" s="92"/>
      <c r="AC67" s="92"/>
      <c r="AD67" s="92"/>
      <c r="AE67" s="92"/>
      <c r="AF67" s="92"/>
      <c r="AG67" s="92"/>
      <c r="AH67" s="92"/>
      <c r="AI67" s="92"/>
      <c r="AJ67" s="92"/>
      <c r="AK67" s="92"/>
      <c r="AL67" s="92"/>
      <c r="AM67" s="92"/>
      <c r="AN67" s="92"/>
      <c r="AO67" s="92"/>
      <c r="AP67" s="92"/>
      <c r="AQ67" s="92"/>
      <c r="AR67" s="92"/>
      <c r="AS67" s="92"/>
      <c r="AT67" s="92"/>
    </row>
    <row r="68" spans="1:46">
      <c r="A68" s="93"/>
      <c r="B68" s="36"/>
      <c r="C68" s="36"/>
      <c r="D68" s="36"/>
      <c r="E68" s="36"/>
      <c r="F68" s="204"/>
      <c r="G68" s="36"/>
      <c r="H68" s="93"/>
      <c r="I68" s="192"/>
      <c r="J68" s="93"/>
      <c r="K68" s="36"/>
      <c r="L68" s="36"/>
      <c r="M68" s="92"/>
      <c r="N68" s="36"/>
      <c r="O68" s="36"/>
      <c r="P68" s="36"/>
      <c r="Q68" s="36"/>
      <c r="R68" s="36"/>
      <c r="S68" s="93"/>
      <c r="T68" s="93"/>
      <c r="U68" s="93"/>
      <c r="V68" s="36"/>
      <c r="W68" s="193"/>
      <c r="X68" s="93"/>
      <c r="Y68" s="93"/>
      <c r="Z68" s="36"/>
      <c r="AA68" s="92"/>
      <c r="AB68" s="92"/>
      <c r="AC68" s="92"/>
      <c r="AD68" s="92"/>
      <c r="AE68" s="92"/>
      <c r="AF68" s="92"/>
      <c r="AG68" s="92"/>
      <c r="AH68" s="92"/>
      <c r="AI68" s="92"/>
      <c r="AJ68" s="92"/>
      <c r="AK68" s="92"/>
      <c r="AL68" s="92"/>
      <c r="AM68" s="92"/>
      <c r="AN68" s="92"/>
      <c r="AO68" s="92"/>
      <c r="AP68" s="92"/>
      <c r="AQ68" s="92"/>
      <c r="AR68" s="92"/>
      <c r="AS68" s="92"/>
      <c r="AT68" s="92"/>
    </row>
    <row r="69" spans="1:46">
      <c r="A69" s="36"/>
      <c r="B69" s="36"/>
      <c r="C69" s="36"/>
      <c r="D69" s="36"/>
      <c r="E69" s="36"/>
      <c r="F69" s="204"/>
      <c r="G69" s="36"/>
      <c r="H69" s="93"/>
      <c r="I69" s="192"/>
      <c r="J69" s="93"/>
      <c r="K69" s="36"/>
      <c r="L69" s="36"/>
      <c r="M69" s="92"/>
      <c r="N69" s="36"/>
      <c r="O69" s="36"/>
      <c r="P69" s="36"/>
      <c r="Q69" s="36"/>
      <c r="R69" s="36"/>
      <c r="S69" s="93"/>
      <c r="T69" s="93"/>
      <c r="U69" s="93"/>
      <c r="V69" s="36"/>
      <c r="W69" s="193"/>
      <c r="X69" s="93"/>
      <c r="Y69" s="93"/>
      <c r="Z69" s="36"/>
      <c r="AA69" s="92"/>
      <c r="AB69" s="92"/>
      <c r="AC69" s="92"/>
      <c r="AD69" s="92"/>
      <c r="AE69" s="92"/>
      <c r="AF69" s="92"/>
      <c r="AG69" s="92"/>
      <c r="AH69" s="92"/>
      <c r="AI69" s="92"/>
      <c r="AJ69" s="92"/>
      <c r="AK69" s="92"/>
      <c r="AL69" s="92"/>
      <c r="AM69" s="92"/>
      <c r="AN69" s="92"/>
      <c r="AO69" s="92"/>
      <c r="AP69" s="92"/>
      <c r="AQ69" s="92"/>
      <c r="AR69" s="92"/>
      <c r="AS69" s="92"/>
      <c r="AT69" s="92"/>
    </row>
    <row r="70" spans="1:46">
      <c r="A70" s="36"/>
      <c r="B70" s="36"/>
      <c r="C70" s="36"/>
      <c r="D70" s="36"/>
      <c r="E70" s="36"/>
      <c r="F70" s="204"/>
      <c r="G70" s="36"/>
      <c r="H70" s="93"/>
      <c r="I70" s="192"/>
      <c r="J70" s="93"/>
      <c r="K70" s="36"/>
      <c r="L70" s="36"/>
      <c r="M70" s="92"/>
      <c r="N70" s="36"/>
      <c r="O70" s="36"/>
      <c r="P70" s="36"/>
      <c r="Q70" s="36"/>
      <c r="R70" s="36"/>
      <c r="S70" s="93"/>
      <c r="T70" s="93"/>
      <c r="U70" s="93"/>
      <c r="V70" s="36"/>
      <c r="W70" s="193"/>
      <c r="X70" s="93"/>
      <c r="Y70" s="93"/>
      <c r="Z70" s="36"/>
      <c r="AA70" s="92"/>
      <c r="AB70" s="92"/>
      <c r="AC70" s="92"/>
      <c r="AD70" s="92"/>
      <c r="AE70" s="92"/>
      <c r="AF70" s="92"/>
      <c r="AG70" s="92"/>
      <c r="AH70" s="92"/>
      <c r="AI70" s="92"/>
      <c r="AJ70" s="92"/>
      <c r="AK70" s="92"/>
      <c r="AL70" s="92"/>
      <c r="AM70" s="92"/>
      <c r="AN70" s="92"/>
      <c r="AO70" s="92"/>
      <c r="AP70" s="92"/>
      <c r="AQ70" s="92"/>
      <c r="AR70" s="92"/>
      <c r="AS70" s="92"/>
      <c r="AT70" s="92"/>
    </row>
    <row r="71" spans="1:46">
      <c r="A71" s="36"/>
      <c r="B71" s="36"/>
      <c r="C71" s="36"/>
      <c r="D71" s="36"/>
      <c r="E71" s="36"/>
      <c r="F71" s="204"/>
      <c r="G71" s="36"/>
      <c r="H71" s="93"/>
      <c r="I71" s="192"/>
      <c r="J71" s="93"/>
      <c r="K71" s="36"/>
      <c r="L71" s="36"/>
      <c r="M71" s="92"/>
      <c r="N71" s="36"/>
      <c r="O71" s="36"/>
      <c r="P71" s="36"/>
      <c r="Q71" s="36"/>
      <c r="R71" s="36"/>
      <c r="S71" s="93"/>
      <c r="T71" s="93"/>
      <c r="U71" s="93"/>
      <c r="V71" s="36"/>
      <c r="W71" s="193"/>
      <c r="X71" s="93"/>
      <c r="Y71" s="93"/>
      <c r="Z71" s="36"/>
      <c r="AA71" s="92"/>
      <c r="AB71" s="92"/>
      <c r="AC71" s="92"/>
      <c r="AD71" s="92"/>
      <c r="AE71" s="92"/>
      <c r="AF71" s="92"/>
      <c r="AG71" s="92"/>
      <c r="AH71" s="92"/>
      <c r="AI71" s="92"/>
      <c r="AJ71" s="92"/>
      <c r="AK71" s="92"/>
      <c r="AL71" s="92"/>
      <c r="AM71" s="92"/>
      <c r="AN71" s="92"/>
      <c r="AO71" s="92"/>
      <c r="AP71" s="92"/>
      <c r="AQ71" s="92"/>
      <c r="AR71" s="92"/>
      <c r="AS71" s="92"/>
      <c r="AT71" s="92"/>
    </row>
    <row r="72" spans="1:46">
      <c r="A72" s="36"/>
      <c r="B72" s="36"/>
      <c r="C72" s="36"/>
      <c r="D72" s="36"/>
      <c r="E72" s="36"/>
      <c r="F72" s="204"/>
      <c r="G72" s="36"/>
      <c r="H72" s="93"/>
      <c r="I72" s="192"/>
      <c r="J72" s="93"/>
      <c r="K72" s="36"/>
      <c r="L72" s="36"/>
      <c r="M72" s="92"/>
      <c r="N72" s="36"/>
      <c r="O72" s="36"/>
      <c r="P72" s="36"/>
      <c r="Q72" s="36"/>
      <c r="R72" s="36"/>
      <c r="S72" s="93"/>
      <c r="T72" s="93"/>
      <c r="U72" s="93"/>
      <c r="V72" s="36"/>
      <c r="W72" s="193"/>
      <c r="X72" s="93"/>
      <c r="Y72" s="93"/>
      <c r="Z72" s="36"/>
      <c r="AA72" s="92"/>
      <c r="AB72" s="92"/>
      <c r="AC72" s="92"/>
      <c r="AD72" s="92"/>
      <c r="AE72" s="92"/>
      <c r="AF72" s="92"/>
      <c r="AG72" s="92"/>
      <c r="AH72" s="92"/>
      <c r="AI72" s="92"/>
      <c r="AJ72" s="92"/>
      <c r="AK72" s="92"/>
      <c r="AL72" s="92"/>
      <c r="AM72" s="92"/>
      <c r="AN72" s="92"/>
      <c r="AO72" s="92"/>
      <c r="AP72" s="92"/>
      <c r="AQ72" s="92"/>
      <c r="AR72" s="92"/>
      <c r="AS72" s="92"/>
      <c r="AT72" s="92"/>
    </row>
    <row r="73" spans="1:46">
      <c r="A73" s="36"/>
      <c r="B73" s="36"/>
      <c r="C73" s="36"/>
      <c r="D73" s="36"/>
      <c r="E73" s="36"/>
      <c r="F73" s="204"/>
      <c r="G73" s="36"/>
      <c r="H73" s="93"/>
      <c r="I73" s="192"/>
      <c r="J73" s="93"/>
      <c r="K73" s="36"/>
      <c r="L73" s="36"/>
      <c r="M73" s="92"/>
      <c r="N73" s="36"/>
      <c r="O73" s="36"/>
      <c r="P73" s="36"/>
      <c r="Q73" s="36"/>
      <c r="R73" s="36"/>
      <c r="S73" s="93"/>
      <c r="T73" s="93"/>
      <c r="U73" s="93"/>
      <c r="V73" s="36"/>
      <c r="W73" s="193"/>
      <c r="X73" s="93"/>
      <c r="Y73" s="93"/>
      <c r="Z73" s="36"/>
      <c r="AA73" s="92"/>
      <c r="AB73" s="92"/>
      <c r="AC73" s="92"/>
      <c r="AD73" s="92"/>
      <c r="AE73" s="92"/>
      <c r="AF73" s="92"/>
      <c r="AG73" s="92"/>
      <c r="AH73" s="92"/>
      <c r="AI73" s="92"/>
      <c r="AJ73" s="92"/>
      <c r="AK73" s="92"/>
      <c r="AL73" s="92"/>
      <c r="AM73" s="92"/>
      <c r="AN73" s="92"/>
      <c r="AO73" s="92"/>
      <c r="AP73" s="92"/>
      <c r="AQ73" s="92"/>
      <c r="AR73" s="92"/>
      <c r="AS73" s="92"/>
      <c r="AT73" s="92"/>
    </row>
    <row r="74" spans="1:46">
      <c r="A74" s="36"/>
      <c r="B74" s="36"/>
      <c r="C74" s="36"/>
      <c r="D74" s="36"/>
      <c r="E74" s="36"/>
      <c r="F74" s="204"/>
      <c r="G74" s="36"/>
      <c r="H74" s="93"/>
      <c r="I74" s="192"/>
      <c r="J74" s="93"/>
      <c r="K74" s="36"/>
      <c r="L74" s="36"/>
      <c r="M74" s="92"/>
      <c r="N74" s="36"/>
      <c r="O74" s="36"/>
      <c r="P74" s="36"/>
      <c r="Q74" s="36"/>
      <c r="R74" s="36"/>
      <c r="S74" s="93"/>
      <c r="T74" s="93"/>
      <c r="U74" s="93"/>
      <c r="V74" s="36"/>
      <c r="W74" s="193"/>
      <c r="X74" s="93"/>
      <c r="Y74" s="93"/>
      <c r="Z74" s="36"/>
      <c r="AA74" s="92"/>
      <c r="AB74" s="92"/>
      <c r="AC74" s="92"/>
      <c r="AD74" s="92"/>
      <c r="AE74" s="92"/>
      <c r="AF74" s="92"/>
      <c r="AG74" s="92"/>
      <c r="AH74" s="92"/>
      <c r="AI74" s="92"/>
      <c r="AJ74" s="92"/>
      <c r="AK74" s="92"/>
      <c r="AL74" s="92"/>
      <c r="AM74" s="92"/>
      <c r="AN74" s="92"/>
      <c r="AO74" s="92"/>
      <c r="AP74" s="92"/>
      <c r="AQ74" s="92"/>
      <c r="AR74" s="92"/>
      <c r="AS74" s="92"/>
      <c r="AT74" s="92"/>
    </row>
    <row r="75" spans="1:46">
      <c r="A75" s="36"/>
      <c r="B75" s="36"/>
      <c r="C75" s="36"/>
      <c r="D75" s="36"/>
      <c r="E75" s="36"/>
      <c r="F75" s="204"/>
      <c r="G75" s="36"/>
      <c r="H75" s="93"/>
      <c r="I75" s="192"/>
      <c r="J75" s="93"/>
      <c r="K75" s="36"/>
      <c r="L75" s="36"/>
      <c r="M75" s="92"/>
      <c r="N75" s="36"/>
      <c r="O75" s="36"/>
      <c r="P75" s="36"/>
      <c r="Q75" s="36"/>
      <c r="R75" s="36"/>
      <c r="S75" s="93"/>
      <c r="T75" s="93"/>
      <c r="U75" s="93"/>
      <c r="V75" s="36"/>
      <c r="W75" s="193"/>
      <c r="X75" s="93"/>
      <c r="Y75" s="93"/>
      <c r="Z75" s="36"/>
      <c r="AA75" s="92"/>
      <c r="AB75" s="92"/>
      <c r="AC75" s="92"/>
      <c r="AD75" s="92"/>
      <c r="AE75" s="92"/>
      <c r="AF75" s="92"/>
      <c r="AG75" s="92"/>
      <c r="AH75" s="92"/>
      <c r="AI75" s="92"/>
      <c r="AJ75" s="92"/>
      <c r="AK75" s="92"/>
      <c r="AL75" s="92"/>
      <c r="AM75" s="92"/>
      <c r="AN75" s="92"/>
      <c r="AO75" s="92"/>
      <c r="AP75" s="92"/>
      <c r="AQ75" s="92"/>
      <c r="AR75" s="92"/>
      <c r="AS75" s="92"/>
      <c r="AT75" s="92"/>
    </row>
    <row r="76" spans="1:46">
      <c r="A76" s="36"/>
      <c r="B76" s="36"/>
      <c r="C76" s="36"/>
      <c r="D76" s="36"/>
      <c r="E76" s="36"/>
      <c r="F76" s="204"/>
      <c r="G76" s="36"/>
      <c r="H76" s="93"/>
      <c r="I76" s="192"/>
      <c r="J76" s="93"/>
      <c r="K76" s="36"/>
      <c r="L76" s="36"/>
      <c r="M76" s="92"/>
      <c r="N76" s="36"/>
      <c r="O76" s="36"/>
      <c r="P76" s="36"/>
      <c r="Q76" s="36"/>
      <c r="R76" s="36"/>
      <c r="S76" s="93"/>
      <c r="T76" s="93"/>
      <c r="U76" s="93"/>
      <c r="V76" s="36"/>
      <c r="W76" s="193"/>
      <c r="X76" s="93"/>
      <c r="Y76" s="93"/>
      <c r="Z76" s="36"/>
      <c r="AA76" s="92"/>
      <c r="AB76" s="92"/>
      <c r="AC76" s="92"/>
      <c r="AD76" s="92"/>
      <c r="AE76" s="92"/>
      <c r="AF76" s="92"/>
      <c r="AG76" s="92"/>
      <c r="AH76" s="92"/>
      <c r="AI76" s="92"/>
      <c r="AJ76" s="92"/>
      <c r="AK76" s="92"/>
      <c r="AL76" s="92"/>
      <c r="AM76" s="92"/>
      <c r="AN76" s="92"/>
      <c r="AO76" s="92"/>
      <c r="AP76" s="92"/>
      <c r="AQ76" s="92"/>
      <c r="AR76" s="92"/>
      <c r="AS76" s="92"/>
      <c r="AT76" s="92"/>
    </row>
    <row r="77" spans="1:46">
      <c r="A77" s="36"/>
      <c r="B77" s="36"/>
      <c r="C77" s="36"/>
      <c r="D77" s="36"/>
      <c r="E77" s="36"/>
      <c r="F77" s="204"/>
      <c r="G77" s="36"/>
      <c r="H77" s="93"/>
      <c r="I77" s="192"/>
      <c r="J77" s="93"/>
      <c r="K77" s="36"/>
      <c r="L77" s="36"/>
      <c r="M77" s="92"/>
      <c r="N77" s="36"/>
      <c r="O77" s="36"/>
      <c r="P77" s="36"/>
      <c r="Q77" s="36"/>
      <c r="R77" s="36"/>
      <c r="S77" s="93"/>
      <c r="T77" s="93"/>
      <c r="U77" s="93"/>
      <c r="V77" s="36"/>
      <c r="W77" s="193"/>
      <c r="X77" s="93"/>
      <c r="Y77" s="93"/>
      <c r="Z77" s="36"/>
      <c r="AA77" s="92"/>
      <c r="AB77" s="92"/>
      <c r="AC77" s="92"/>
      <c r="AD77" s="92"/>
      <c r="AE77" s="92"/>
      <c r="AF77" s="92"/>
      <c r="AG77" s="92"/>
      <c r="AH77" s="92"/>
      <c r="AI77" s="92"/>
      <c r="AJ77" s="92"/>
      <c r="AK77" s="92"/>
      <c r="AL77" s="92"/>
      <c r="AM77" s="92"/>
      <c r="AN77" s="92"/>
      <c r="AO77" s="92"/>
      <c r="AP77" s="92"/>
      <c r="AQ77" s="92"/>
      <c r="AR77" s="92"/>
      <c r="AS77" s="92"/>
      <c r="AT77" s="92"/>
    </row>
    <row r="78" spans="1:46">
      <c r="A78" s="36"/>
      <c r="B78" s="36"/>
      <c r="C78" s="36"/>
      <c r="D78" s="36"/>
      <c r="E78" s="36"/>
      <c r="F78" s="204"/>
      <c r="G78" s="36"/>
      <c r="H78" s="93"/>
      <c r="I78" s="192"/>
      <c r="J78" s="93"/>
      <c r="K78" s="36"/>
      <c r="L78" s="36"/>
      <c r="M78" s="92"/>
      <c r="N78" s="36"/>
      <c r="O78" s="36"/>
      <c r="P78" s="36"/>
      <c r="Q78" s="36"/>
      <c r="R78" s="36"/>
      <c r="S78" s="93"/>
      <c r="T78" s="93"/>
      <c r="U78" s="93"/>
      <c r="V78" s="36"/>
      <c r="W78" s="193"/>
      <c r="X78" s="93"/>
      <c r="Y78" s="93"/>
      <c r="Z78" s="36"/>
      <c r="AA78" s="92"/>
      <c r="AB78" s="92"/>
      <c r="AC78" s="92"/>
      <c r="AD78" s="92"/>
      <c r="AE78" s="92"/>
      <c r="AF78" s="92"/>
      <c r="AG78" s="92"/>
      <c r="AH78" s="92"/>
      <c r="AI78" s="92"/>
      <c r="AJ78" s="92"/>
      <c r="AK78" s="92"/>
      <c r="AL78" s="92"/>
      <c r="AM78" s="92"/>
      <c r="AN78" s="92"/>
      <c r="AO78" s="92"/>
      <c r="AP78" s="92"/>
      <c r="AQ78" s="92"/>
      <c r="AR78" s="92"/>
      <c r="AS78" s="92"/>
      <c r="AT78" s="92"/>
    </row>
    <row r="79" spans="1:46">
      <c r="A79" s="36"/>
      <c r="B79" s="36"/>
      <c r="C79" s="36"/>
      <c r="D79" s="36"/>
      <c r="E79" s="36"/>
      <c r="F79" s="204"/>
      <c r="G79" s="36"/>
      <c r="H79" s="93"/>
      <c r="I79" s="192"/>
      <c r="J79" s="93"/>
      <c r="K79" s="36"/>
      <c r="L79" s="36"/>
      <c r="M79" s="92"/>
      <c r="N79" s="36"/>
      <c r="O79" s="36"/>
      <c r="P79" s="36"/>
      <c r="Q79" s="36"/>
      <c r="R79" s="36"/>
      <c r="S79" s="93"/>
      <c r="T79" s="93"/>
      <c r="U79" s="93"/>
      <c r="V79" s="36"/>
      <c r="W79" s="193"/>
      <c r="X79" s="93"/>
      <c r="Y79" s="93"/>
      <c r="Z79" s="36"/>
      <c r="AA79" s="92"/>
      <c r="AB79" s="92"/>
      <c r="AC79" s="92"/>
      <c r="AD79" s="92"/>
      <c r="AE79" s="92"/>
      <c r="AF79" s="92"/>
      <c r="AG79" s="92"/>
      <c r="AH79" s="92"/>
      <c r="AI79" s="92"/>
      <c r="AJ79" s="92"/>
      <c r="AK79" s="92"/>
      <c r="AL79" s="92"/>
      <c r="AM79" s="92"/>
      <c r="AN79" s="92"/>
      <c r="AO79" s="92"/>
      <c r="AP79" s="92"/>
      <c r="AQ79" s="92"/>
      <c r="AR79" s="92"/>
      <c r="AS79" s="92"/>
      <c r="AT79" s="92"/>
    </row>
    <row r="80" spans="1:46">
      <c r="A80" s="36"/>
      <c r="B80" s="36"/>
      <c r="C80" s="36"/>
      <c r="D80" s="36"/>
      <c r="E80" s="36"/>
      <c r="F80" s="204"/>
      <c r="G80" s="36"/>
      <c r="H80" s="93"/>
      <c r="I80" s="192"/>
      <c r="J80" s="93"/>
      <c r="K80" s="36"/>
      <c r="L80" s="36"/>
      <c r="M80" s="92"/>
      <c r="N80" s="36"/>
      <c r="O80" s="36"/>
      <c r="P80" s="36"/>
      <c r="Q80" s="36"/>
      <c r="R80" s="36"/>
      <c r="S80" s="93"/>
      <c r="T80" s="93"/>
      <c r="U80" s="93"/>
      <c r="V80" s="36"/>
      <c r="W80" s="193"/>
      <c r="X80" s="93"/>
      <c r="Y80" s="93"/>
      <c r="Z80" s="36"/>
      <c r="AA80" s="92"/>
      <c r="AB80" s="92"/>
      <c r="AC80" s="92"/>
      <c r="AD80" s="92"/>
      <c r="AE80" s="92"/>
      <c r="AF80" s="92"/>
      <c r="AG80" s="92"/>
      <c r="AH80" s="92"/>
      <c r="AI80" s="92"/>
      <c r="AJ80" s="92"/>
      <c r="AK80" s="92"/>
      <c r="AL80" s="92"/>
      <c r="AM80" s="92"/>
      <c r="AN80" s="92"/>
      <c r="AO80" s="92"/>
      <c r="AP80" s="92"/>
      <c r="AQ80" s="92"/>
      <c r="AR80" s="92"/>
      <c r="AS80" s="92"/>
      <c r="AT80" s="92"/>
    </row>
    <row r="81" spans="1:46">
      <c r="A81" s="36"/>
      <c r="B81" s="36"/>
      <c r="C81" s="36"/>
      <c r="D81" s="36"/>
      <c r="E81" s="36"/>
      <c r="F81" s="204"/>
      <c r="G81" s="36"/>
      <c r="H81" s="93"/>
      <c r="I81" s="192"/>
      <c r="J81" s="93"/>
      <c r="K81" s="36"/>
      <c r="L81" s="36"/>
      <c r="M81" s="92"/>
      <c r="N81" s="36"/>
      <c r="O81" s="36"/>
      <c r="P81" s="36"/>
      <c r="Q81" s="36"/>
      <c r="R81" s="36"/>
      <c r="S81" s="93"/>
      <c r="T81" s="93"/>
      <c r="U81" s="93"/>
      <c r="V81" s="36"/>
      <c r="W81" s="193"/>
      <c r="X81" s="93"/>
      <c r="Y81" s="93"/>
      <c r="Z81" s="36"/>
      <c r="AA81" s="92"/>
      <c r="AB81" s="92"/>
      <c r="AC81" s="92"/>
      <c r="AD81" s="92"/>
      <c r="AE81" s="92"/>
      <c r="AF81" s="92"/>
      <c r="AG81" s="92"/>
      <c r="AH81" s="92"/>
      <c r="AI81" s="92"/>
      <c r="AJ81" s="92"/>
      <c r="AK81" s="92"/>
      <c r="AL81" s="92"/>
      <c r="AM81" s="92"/>
      <c r="AN81" s="92"/>
      <c r="AO81" s="92"/>
      <c r="AP81" s="92"/>
      <c r="AQ81" s="92"/>
      <c r="AR81" s="92"/>
      <c r="AS81" s="92"/>
      <c r="AT81" s="92"/>
    </row>
    <row r="82" spans="1:46">
      <c r="A82" s="36"/>
      <c r="B82" s="36"/>
      <c r="C82" s="36"/>
      <c r="D82" s="36"/>
      <c r="E82" s="36"/>
      <c r="F82" s="204"/>
      <c r="G82" s="36"/>
      <c r="H82" s="93"/>
      <c r="I82" s="192"/>
      <c r="J82" s="93"/>
      <c r="K82" s="36"/>
      <c r="L82" s="36"/>
      <c r="M82" s="92"/>
      <c r="N82" s="36"/>
      <c r="O82" s="36"/>
      <c r="P82" s="36"/>
      <c r="Q82" s="36"/>
      <c r="R82" s="36"/>
      <c r="S82" s="93"/>
      <c r="T82" s="93"/>
      <c r="U82" s="93"/>
      <c r="V82" s="36"/>
      <c r="W82" s="193"/>
      <c r="X82" s="93"/>
      <c r="Y82" s="93"/>
      <c r="Z82" s="36"/>
      <c r="AA82" s="92"/>
      <c r="AB82" s="92"/>
      <c r="AC82" s="92"/>
      <c r="AD82" s="92"/>
      <c r="AE82" s="92"/>
      <c r="AF82" s="92"/>
      <c r="AG82" s="92"/>
      <c r="AH82" s="92"/>
      <c r="AI82" s="92"/>
      <c r="AJ82" s="92"/>
      <c r="AK82" s="92"/>
      <c r="AL82" s="92"/>
      <c r="AM82" s="92"/>
      <c r="AN82" s="92"/>
      <c r="AO82" s="92"/>
      <c r="AP82" s="92"/>
      <c r="AQ82" s="92"/>
      <c r="AR82" s="92"/>
      <c r="AS82" s="92"/>
      <c r="AT82" s="92"/>
    </row>
    <row r="83" spans="1:46">
      <c r="A83" s="36"/>
      <c r="B83" s="36"/>
      <c r="C83" s="36"/>
      <c r="D83" s="36"/>
      <c r="E83" s="36"/>
      <c r="F83" s="204"/>
      <c r="G83" s="36"/>
      <c r="H83" s="93"/>
      <c r="I83" s="192"/>
      <c r="J83" s="93"/>
      <c r="K83" s="36"/>
      <c r="L83" s="36"/>
      <c r="M83" s="92"/>
      <c r="N83" s="36"/>
      <c r="O83" s="36"/>
      <c r="P83" s="36"/>
      <c r="Q83" s="36"/>
      <c r="R83" s="36"/>
      <c r="S83" s="93"/>
      <c r="T83" s="93"/>
      <c r="U83" s="93"/>
      <c r="V83" s="36"/>
      <c r="W83" s="193"/>
      <c r="X83" s="93"/>
      <c r="Y83" s="93"/>
      <c r="Z83" s="36"/>
      <c r="AA83" s="92"/>
      <c r="AB83" s="92"/>
      <c r="AC83" s="92"/>
      <c r="AD83" s="92"/>
      <c r="AE83" s="92"/>
      <c r="AF83" s="92"/>
      <c r="AG83" s="92"/>
      <c r="AH83" s="92"/>
      <c r="AI83" s="92"/>
      <c r="AJ83" s="92"/>
      <c r="AK83" s="92"/>
      <c r="AL83" s="92"/>
      <c r="AM83" s="92"/>
      <c r="AN83" s="92"/>
      <c r="AO83" s="92"/>
      <c r="AP83" s="92"/>
      <c r="AQ83" s="92"/>
      <c r="AR83" s="92"/>
      <c r="AS83" s="92"/>
      <c r="AT83" s="92"/>
    </row>
    <row r="84" spans="1:46">
      <c r="A84" s="36"/>
      <c r="B84" s="36"/>
      <c r="C84" s="36"/>
      <c r="D84" s="36"/>
      <c r="E84" s="36"/>
      <c r="F84" s="204"/>
      <c r="G84" s="36"/>
      <c r="H84" s="93"/>
      <c r="I84" s="192"/>
      <c r="J84" s="93"/>
      <c r="K84" s="36"/>
      <c r="L84" s="36"/>
      <c r="M84" s="92"/>
      <c r="N84" s="36"/>
      <c r="O84" s="36"/>
      <c r="P84" s="36"/>
      <c r="Q84" s="36"/>
      <c r="R84" s="36"/>
      <c r="S84" s="93"/>
      <c r="T84" s="93"/>
      <c r="U84" s="93"/>
      <c r="V84" s="36"/>
      <c r="W84" s="193"/>
      <c r="X84" s="93"/>
      <c r="Y84" s="93"/>
      <c r="Z84" s="36"/>
      <c r="AA84" s="92"/>
      <c r="AB84" s="92"/>
      <c r="AC84" s="92"/>
      <c r="AD84" s="92"/>
      <c r="AE84" s="92"/>
      <c r="AF84" s="92"/>
      <c r="AG84" s="92"/>
      <c r="AH84" s="92"/>
      <c r="AI84" s="92"/>
      <c r="AJ84" s="92"/>
      <c r="AK84" s="92"/>
      <c r="AL84" s="92"/>
      <c r="AM84" s="92"/>
      <c r="AN84" s="92"/>
      <c r="AO84" s="92"/>
      <c r="AP84" s="92"/>
      <c r="AQ84" s="92"/>
      <c r="AR84" s="92"/>
      <c r="AS84" s="92"/>
      <c r="AT84" s="92"/>
    </row>
    <row r="85" spans="1:46">
      <c r="A85" s="36"/>
      <c r="B85" s="36"/>
      <c r="C85" s="36"/>
      <c r="D85" s="36"/>
      <c r="E85" s="36"/>
      <c r="F85" s="204"/>
      <c r="G85" s="36"/>
      <c r="H85" s="93"/>
      <c r="I85" s="192"/>
      <c r="J85" s="93"/>
      <c r="K85" s="36"/>
      <c r="L85" s="36"/>
      <c r="M85" s="92"/>
      <c r="N85" s="36"/>
      <c r="O85" s="36"/>
      <c r="P85" s="36"/>
      <c r="Q85" s="36"/>
      <c r="R85" s="36"/>
      <c r="S85" s="93"/>
      <c r="T85" s="93"/>
      <c r="U85" s="93"/>
      <c r="V85" s="36"/>
      <c r="W85" s="193"/>
      <c r="X85" s="93"/>
      <c r="Y85" s="93"/>
      <c r="Z85" s="36"/>
      <c r="AA85" s="92"/>
      <c r="AB85" s="92"/>
      <c r="AC85" s="92"/>
      <c r="AD85" s="92"/>
      <c r="AE85" s="92"/>
      <c r="AF85" s="92"/>
      <c r="AG85" s="92"/>
      <c r="AH85" s="92"/>
      <c r="AI85" s="92"/>
      <c r="AJ85" s="92"/>
      <c r="AK85" s="92"/>
      <c r="AL85" s="92"/>
      <c r="AM85" s="92"/>
      <c r="AN85" s="92"/>
      <c r="AO85" s="92"/>
      <c r="AP85" s="92"/>
      <c r="AQ85" s="92"/>
      <c r="AR85" s="92"/>
      <c r="AS85" s="92"/>
      <c r="AT85" s="92"/>
    </row>
    <row r="86" spans="1:46">
      <c r="A86" s="36"/>
      <c r="B86" s="36"/>
      <c r="C86" s="36"/>
      <c r="D86" s="36"/>
      <c r="E86" s="36"/>
      <c r="F86" s="204"/>
      <c r="G86" s="36"/>
      <c r="H86" s="93"/>
      <c r="I86" s="192"/>
      <c r="J86" s="93"/>
      <c r="K86" s="36"/>
      <c r="L86" s="36"/>
      <c r="M86" s="92"/>
      <c r="N86" s="36"/>
      <c r="O86" s="36"/>
      <c r="P86" s="36"/>
      <c r="Q86" s="36"/>
      <c r="R86" s="36"/>
      <c r="S86" s="93"/>
      <c r="T86" s="93"/>
      <c r="U86" s="93"/>
      <c r="V86" s="36"/>
      <c r="W86" s="193"/>
      <c r="X86" s="93"/>
      <c r="Y86" s="93"/>
      <c r="Z86" s="36"/>
      <c r="AA86" s="92"/>
      <c r="AB86" s="92"/>
      <c r="AC86" s="92"/>
      <c r="AD86" s="92"/>
      <c r="AE86" s="92"/>
      <c r="AF86" s="92"/>
      <c r="AG86" s="92"/>
      <c r="AH86" s="92"/>
      <c r="AI86" s="92"/>
      <c r="AJ86" s="92"/>
      <c r="AK86" s="92"/>
      <c r="AL86" s="92"/>
      <c r="AM86" s="92"/>
      <c r="AN86" s="92"/>
      <c r="AO86" s="92"/>
      <c r="AP86" s="92"/>
      <c r="AQ86" s="92"/>
      <c r="AR86" s="92"/>
      <c r="AS86" s="92"/>
      <c r="AT86" s="92"/>
    </row>
    <row r="87" spans="1:46">
      <c r="A87" s="36"/>
      <c r="B87" s="36"/>
      <c r="C87" s="36"/>
      <c r="D87" s="36"/>
      <c r="E87" s="36"/>
      <c r="F87" s="204"/>
      <c r="G87" s="36"/>
      <c r="H87" s="93"/>
      <c r="I87" s="192"/>
      <c r="J87" s="93"/>
      <c r="K87" s="36"/>
      <c r="L87" s="36"/>
      <c r="M87" s="92"/>
      <c r="N87" s="36"/>
      <c r="O87" s="36"/>
      <c r="P87" s="36"/>
      <c r="Q87" s="36"/>
      <c r="R87" s="36"/>
      <c r="S87" s="93"/>
      <c r="T87" s="93"/>
      <c r="U87" s="93"/>
      <c r="V87" s="36"/>
      <c r="W87" s="193"/>
      <c r="X87" s="93"/>
      <c r="Y87" s="93"/>
      <c r="Z87" s="36"/>
      <c r="AA87" s="92"/>
      <c r="AB87" s="92"/>
      <c r="AC87" s="92"/>
      <c r="AD87" s="92"/>
      <c r="AE87" s="92"/>
      <c r="AF87" s="92"/>
      <c r="AG87" s="92"/>
      <c r="AH87" s="92"/>
      <c r="AI87" s="92"/>
      <c r="AJ87" s="92"/>
      <c r="AK87" s="92"/>
      <c r="AL87" s="92"/>
      <c r="AM87" s="92"/>
      <c r="AN87" s="92"/>
      <c r="AO87" s="92"/>
      <c r="AP87" s="92"/>
      <c r="AQ87" s="92"/>
      <c r="AR87" s="92"/>
      <c r="AS87" s="92"/>
      <c r="AT87" s="92"/>
    </row>
    <row r="88" spans="1:46">
      <c r="A88" s="36"/>
      <c r="B88" s="36"/>
      <c r="C88" s="36"/>
      <c r="D88" s="36"/>
      <c r="E88" s="36"/>
      <c r="F88" s="204"/>
      <c r="G88" s="36"/>
      <c r="H88" s="93"/>
      <c r="I88" s="192"/>
      <c r="J88" s="93"/>
      <c r="K88" s="36"/>
      <c r="L88" s="36"/>
      <c r="M88" s="92"/>
      <c r="N88" s="36"/>
      <c r="O88" s="36"/>
      <c r="P88" s="36"/>
      <c r="Q88" s="36"/>
      <c r="R88" s="36"/>
      <c r="S88" s="93"/>
      <c r="T88" s="93"/>
      <c r="U88" s="93"/>
      <c r="V88" s="36"/>
      <c r="W88" s="193"/>
      <c r="X88" s="93"/>
      <c r="Y88" s="93"/>
      <c r="Z88" s="36"/>
      <c r="AA88" s="92"/>
      <c r="AB88" s="92"/>
      <c r="AC88" s="92"/>
      <c r="AD88" s="92"/>
      <c r="AE88" s="92"/>
      <c r="AF88" s="92"/>
      <c r="AG88" s="92"/>
      <c r="AH88" s="92"/>
      <c r="AI88" s="92"/>
      <c r="AJ88" s="92"/>
      <c r="AK88" s="92"/>
      <c r="AL88" s="92"/>
      <c r="AM88" s="92"/>
      <c r="AN88" s="92"/>
      <c r="AO88" s="92"/>
      <c r="AP88" s="92"/>
      <c r="AQ88" s="92"/>
      <c r="AR88" s="92"/>
      <c r="AS88" s="92"/>
      <c r="AT88" s="92"/>
    </row>
    <row r="89" spans="1:46">
      <c r="A89" s="36"/>
      <c r="B89" s="36"/>
      <c r="C89" s="36"/>
      <c r="D89" s="36"/>
      <c r="E89" s="36"/>
      <c r="F89" s="204"/>
      <c r="G89" s="36"/>
      <c r="H89" s="93"/>
      <c r="I89" s="192"/>
      <c r="J89" s="93"/>
      <c r="K89" s="36"/>
      <c r="L89" s="36"/>
      <c r="M89" s="92"/>
      <c r="N89" s="36"/>
      <c r="O89" s="36"/>
      <c r="P89" s="36"/>
      <c r="Q89" s="36"/>
      <c r="R89" s="36"/>
      <c r="S89" s="93"/>
      <c r="T89" s="93"/>
      <c r="U89" s="93"/>
      <c r="V89" s="36"/>
      <c r="W89" s="193"/>
      <c r="X89" s="93"/>
      <c r="Y89" s="93"/>
      <c r="Z89" s="36"/>
      <c r="AA89" s="92"/>
      <c r="AB89" s="92"/>
      <c r="AC89" s="92"/>
      <c r="AD89" s="92"/>
      <c r="AE89" s="92"/>
      <c r="AF89" s="92"/>
      <c r="AG89" s="92"/>
      <c r="AH89" s="92"/>
      <c r="AI89" s="92"/>
      <c r="AJ89" s="92"/>
      <c r="AK89" s="92"/>
      <c r="AL89" s="92"/>
      <c r="AM89" s="92"/>
      <c r="AN89" s="92"/>
      <c r="AO89" s="92"/>
      <c r="AP89" s="92"/>
      <c r="AQ89" s="92"/>
      <c r="AR89" s="92"/>
      <c r="AS89" s="92"/>
      <c r="AT89" s="92"/>
    </row>
    <row r="90" spans="1:46">
      <c r="A90" s="36"/>
      <c r="B90" s="36"/>
      <c r="C90" s="36"/>
      <c r="D90" s="36"/>
      <c r="E90" s="36"/>
      <c r="F90" s="204"/>
      <c r="G90" s="36"/>
      <c r="H90" s="93"/>
      <c r="I90" s="192"/>
      <c r="J90" s="93"/>
      <c r="K90" s="36"/>
      <c r="L90" s="36"/>
      <c r="M90" s="92"/>
      <c r="N90" s="36"/>
      <c r="O90" s="36"/>
      <c r="P90" s="36"/>
      <c r="Q90" s="36"/>
      <c r="R90" s="36"/>
      <c r="S90" s="93"/>
      <c r="T90" s="93"/>
      <c r="U90" s="93"/>
      <c r="V90" s="36"/>
      <c r="W90" s="193"/>
      <c r="X90" s="93"/>
      <c r="Y90" s="93"/>
      <c r="Z90" s="36"/>
      <c r="AA90" s="92"/>
      <c r="AB90" s="92"/>
      <c r="AC90" s="92"/>
      <c r="AD90" s="92"/>
      <c r="AE90" s="92"/>
      <c r="AF90" s="92"/>
      <c r="AG90" s="92"/>
      <c r="AH90" s="92"/>
      <c r="AI90" s="92"/>
      <c r="AJ90" s="92"/>
      <c r="AK90" s="92"/>
      <c r="AL90" s="92"/>
      <c r="AM90" s="92"/>
      <c r="AN90" s="92"/>
      <c r="AO90" s="92"/>
      <c r="AP90" s="92"/>
      <c r="AQ90" s="92"/>
      <c r="AR90" s="92"/>
      <c r="AS90" s="92"/>
      <c r="AT90" s="92"/>
    </row>
    <row r="91" spans="1:46">
      <c r="A91" s="36"/>
      <c r="B91" s="36"/>
      <c r="C91" s="36"/>
      <c r="D91" s="36"/>
      <c r="E91" s="36"/>
      <c r="F91" s="204"/>
      <c r="G91" s="36"/>
      <c r="H91" s="93"/>
      <c r="I91" s="192"/>
      <c r="J91" s="93"/>
      <c r="K91" s="36"/>
      <c r="L91" s="36"/>
      <c r="M91" s="92"/>
      <c r="N91" s="36"/>
      <c r="O91" s="36"/>
      <c r="P91" s="36"/>
      <c r="Q91" s="36"/>
      <c r="R91" s="36"/>
      <c r="S91" s="93"/>
      <c r="T91" s="93"/>
      <c r="U91" s="93"/>
      <c r="V91" s="36"/>
      <c r="W91" s="193"/>
      <c r="X91" s="93"/>
      <c r="Y91" s="93"/>
      <c r="Z91" s="36"/>
      <c r="AA91" s="92"/>
      <c r="AB91" s="92"/>
      <c r="AC91" s="92"/>
      <c r="AD91" s="92"/>
      <c r="AE91" s="92"/>
      <c r="AF91" s="92"/>
      <c r="AG91" s="92"/>
      <c r="AH91" s="92"/>
      <c r="AI91" s="92"/>
      <c r="AJ91" s="92"/>
      <c r="AK91" s="92"/>
      <c r="AL91" s="92"/>
      <c r="AM91" s="92"/>
      <c r="AN91" s="92"/>
      <c r="AO91" s="92"/>
      <c r="AP91" s="92"/>
      <c r="AQ91" s="92"/>
      <c r="AR91" s="92"/>
      <c r="AS91" s="92"/>
      <c r="AT91" s="92"/>
    </row>
    <row r="92" spans="1:46">
      <c r="A92" s="36"/>
      <c r="B92" s="36"/>
      <c r="C92" s="36"/>
      <c r="D92" s="36"/>
      <c r="E92" s="36"/>
      <c r="F92" s="204"/>
      <c r="G92" s="36"/>
      <c r="H92" s="93"/>
      <c r="I92" s="192"/>
      <c r="J92" s="93"/>
      <c r="K92" s="36"/>
      <c r="L92" s="36"/>
      <c r="M92" s="92"/>
      <c r="N92" s="36"/>
      <c r="O92" s="36"/>
      <c r="P92" s="36"/>
      <c r="Q92" s="36"/>
      <c r="R92" s="36"/>
      <c r="S92" s="93"/>
      <c r="T92" s="93"/>
      <c r="U92" s="93"/>
      <c r="V92" s="36"/>
      <c r="W92" s="193"/>
      <c r="X92" s="93"/>
      <c r="Y92" s="93"/>
      <c r="Z92" s="36"/>
      <c r="AA92" s="92"/>
      <c r="AB92" s="92"/>
      <c r="AC92" s="92"/>
      <c r="AD92" s="92"/>
      <c r="AE92" s="92"/>
      <c r="AF92" s="92"/>
      <c r="AG92" s="92"/>
      <c r="AH92" s="92"/>
      <c r="AI92" s="92"/>
      <c r="AJ92" s="92"/>
      <c r="AK92" s="92"/>
      <c r="AL92" s="92"/>
      <c r="AM92" s="92"/>
      <c r="AN92" s="92"/>
      <c r="AO92" s="92"/>
      <c r="AP92" s="92"/>
      <c r="AQ92" s="92"/>
      <c r="AR92" s="92"/>
      <c r="AS92" s="92"/>
      <c r="AT92" s="92"/>
    </row>
    <row r="93" spans="1:46">
      <c r="A93" s="36"/>
      <c r="B93" s="36"/>
      <c r="C93" s="36"/>
      <c r="D93" s="36"/>
      <c r="E93" s="36"/>
      <c r="F93" s="204"/>
      <c r="G93" s="36"/>
      <c r="H93" s="93"/>
      <c r="I93" s="192"/>
      <c r="J93" s="93"/>
      <c r="K93" s="36"/>
      <c r="L93" s="36"/>
      <c r="M93" s="92"/>
      <c r="N93" s="36"/>
      <c r="O93" s="36"/>
      <c r="P93" s="36"/>
      <c r="Q93" s="36"/>
      <c r="R93" s="36"/>
      <c r="S93" s="93"/>
      <c r="T93" s="93"/>
      <c r="U93" s="93"/>
      <c r="V93" s="36"/>
      <c r="W93" s="193"/>
      <c r="X93" s="93"/>
      <c r="Y93" s="93"/>
      <c r="Z93" s="36"/>
      <c r="AA93" s="92"/>
      <c r="AB93" s="92"/>
      <c r="AC93" s="92"/>
      <c r="AD93" s="92"/>
      <c r="AE93" s="92"/>
      <c r="AF93" s="92"/>
      <c r="AG93" s="92"/>
      <c r="AH93" s="92"/>
      <c r="AI93" s="92"/>
      <c r="AJ93" s="92"/>
      <c r="AK93" s="92"/>
      <c r="AL93" s="92"/>
      <c r="AM93" s="92"/>
      <c r="AN93" s="92"/>
      <c r="AO93" s="92"/>
      <c r="AP93" s="92"/>
      <c r="AQ93" s="92"/>
      <c r="AR93" s="92"/>
      <c r="AS93" s="92"/>
      <c r="AT93" s="92"/>
    </row>
    <row r="94" spans="1:46">
      <c r="A94" s="36"/>
      <c r="B94" s="36"/>
      <c r="C94" s="36"/>
      <c r="D94" s="36"/>
      <c r="E94" s="36"/>
      <c r="F94" s="204"/>
      <c r="G94" s="36"/>
      <c r="H94" s="93"/>
      <c r="I94" s="192"/>
      <c r="J94" s="93"/>
      <c r="K94" s="36"/>
      <c r="L94" s="36"/>
      <c r="M94" s="92"/>
      <c r="N94" s="36"/>
      <c r="O94" s="36"/>
      <c r="P94" s="36"/>
      <c r="Q94" s="36"/>
      <c r="R94" s="36"/>
      <c r="S94" s="93"/>
      <c r="T94" s="93"/>
      <c r="U94" s="93"/>
      <c r="V94" s="36"/>
      <c r="W94" s="193"/>
      <c r="X94" s="93"/>
      <c r="Y94" s="93"/>
      <c r="Z94" s="36"/>
      <c r="AA94" s="92"/>
      <c r="AB94" s="92"/>
      <c r="AC94" s="92"/>
      <c r="AD94" s="92"/>
      <c r="AE94" s="92"/>
      <c r="AF94" s="92"/>
      <c r="AG94" s="92"/>
      <c r="AH94" s="92"/>
      <c r="AI94" s="92"/>
      <c r="AJ94" s="92"/>
      <c r="AK94" s="92"/>
      <c r="AL94" s="92"/>
      <c r="AM94" s="92"/>
      <c r="AN94" s="92"/>
      <c r="AO94" s="92"/>
      <c r="AP94" s="92"/>
      <c r="AQ94" s="92"/>
      <c r="AR94" s="92"/>
      <c r="AS94" s="92"/>
      <c r="AT94" s="92"/>
    </row>
    <row r="95" spans="1:46">
      <c r="A95" s="36"/>
      <c r="B95" s="36"/>
      <c r="C95" s="36"/>
      <c r="D95" s="36"/>
      <c r="E95" s="36"/>
      <c r="F95" s="204"/>
      <c r="G95" s="36"/>
      <c r="H95" s="93"/>
      <c r="I95" s="192"/>
      <c r="J95" s="93"/>
      <c r="K95" s="36"/>
      <c r="L95" s="36"/>
      <c r="M95" s="92"/>
      <c r="N95" s="36"/>
      <c r="O95" s="36"/>
      <c r="P95" s="36"/>
      <c r="Q95" s="36"/>
      <c r="R95" s="36"/>
      <c r="S95" s="93"/>
      <c r="T95" s="93"/>
      <c r="U95" s="93"/>
      <c r="V95" s="36"/>
      <c r="W95" s="193"/>
      <c r="X95" s="93"/>
      <c r="Y95" s="93"/>
      <c r="Z95" s="36"/>
      <c r="AA95" s="92"/>
      <c r="AB95" s="92"/>
      <c r="AC95" s="92"/>
      <c r="AD95" s="92"/>
      <c r="AE95" s="92"/>
      <c r="AF95" s="92"/>
      <c r="AG95" s="92"/>
      <c r="AH95" s="92"/>
      <c r="AI95" s="92"/>
      <c r="AJ95" s="92"/>
      <c r="AK95" s="92"/>
      <c r="AL95" s="92"/>
      <c r="AM95" s="92"/>
      <c r="AN95" s="92"/>
      <c r="AO95" s="92"/>
      <c r="AP95" s="92"/>
      <c r="AQ95" s="92"/>
      <c r="AR95" s="92"/>
      <c r="AS95" s="92"/>
      <c r="AT95" s="92"/>
    </row>
    <row r="96" spans="1:46">
      <c r="A96" s="36"/>
      <c r="B96" s="36"/>
      <c r="C96" s="36"/>
      <c r="D96" s="36"/>
      <c r="E96" s="36"/>
      <c r="F96" s="204"/>
      <c r="G96" s="36"/>
      <c r="H96" s="93"/>
      <c r="I96" s="192"/>
      <c r="J96" s="93"/>
      <c r="K96" s="36"/>
      <c r="L96" s="36"/>
      <c r="M96" s="92"/>
      <c r="N96" s="36"/>
      <c r="O96" s="36"/>
      <c r="P96" s="36"/>
      <c r="Q96" s="36"/>
      <c r="R96" s="36"/>
      <c r="S96" s="93"/>
      <c r="T96" s="93"/>
      <c r="U96" s="93"/>
      <c r="V96" s="36"/>
      <c r="W96" s="193"/>
      <c r="X96" s="93"/>
      <c r="Y96" s="93"/>
      <c r="Z96" s="36"/>
      <c r="AA96" s="92"/>
      <c r="AB96" s="92"/>
      <c r="AC96" s="92"/>
      <c r="AD96" s="92"/>
      <c r="AE96" s="92"/>
      <c r="AF96" s="92"/>
      <c r="AG96" s="92"/>
      <c r="AH96" s="92"/>
      <c r="AI96" s="92"/>
      <c r="AJ96" s="92"/>
      <c r="AK96" s="92"/>
      <c r="AL96" s="92"/>
      <c r="AM96" s="92"/>
      <c r="AN96" s="92"/>
      <c r="AO96" s="92"/>
      <c r="AP96" s="92"/>
      <c r="AQ96" s="92"/>
      <c r="AR96" s="92"/>
      <c r="AS96" s="92"/>
      <c r="AT96" s="92"/>
    </row>
    <row r="97" spans="1:46">
      <c r="A97" s="36"/>
      <c r="B97" s="36"/>
      <c r="C97" s="36"/>
      <c r="D97" s="36"/>
      <c r="E97" s="36"/>
      <c r="F97" s="204"/>
      <c r="G97" s="36"/>
      <c r="H97" s="93"/>
      <c r="I97" s="192"/>
      <c r="J97" s="93"/>
      <c r="K97" s="36"/>
      <c r="L97" s="36"/>
      <c r="M97" s="92"/>
      <c r="N97" s="36"/>
      <c r="O97" s="36"/>
      <c r="P97" s="36"/>
      <c r="Q97" s="36"/>
      <c r="R97" s="36"/>
      <c r="S97" s="93"/>
      <c r="T97" s="93"/>
      <c r="U97" s="93"/>
      <c r="V97" s="36"/>
      <c r="W97" s="193"/>
      <c r="X97" s="93"/>
      <c r="Y97" s="93"/>
      <c r="Z97" s="36"/>
      <c r="AA97" s="92"/>
      <c r="AB97" s="92"/>
      <c r="AC97" s="92"/>
      <c r="AD97" s="92"/>
      <c r="AE97" s="92"/>
      <c r="AF97" s="92"/>
      <c r="AG97" s="92"/>
      <c r="AH97" s="92"/>
      <c r="AI97" s="92"/>
      <c r="AJ97" s="92"/>
      <c r="AK97" s="92"/>
      <c r="AL97" s="92"/>
      <c r="AM97" s="92"/>
      <c r="AN97" s="92"/>
      <c r="AO97" s="92"/>
      <c r="AP97" s="92"/>
      <c r="AQ97" s="92"/>
      <c r="AR97" s="92"/>
      <c r="AS97" s="92"/>
      <c r="AT97" s="92"/>
    </row>
    <row r="98" spans="1:46">
      <c r="A98" s="36"/>
      <c r="B98" s="36"/>
      <c r="C98" s="36"/>
      <c r="D98" s="36"/>
      <c r="E98" s="36"/>
      <c r="F98" s="204"/>
      <c r="G98" s="36"/>
      <c r="H98" s="93"/>
      <c r="I98" s="192"/>
      <c r="J98" s="93"/>
      <c r="K98" s="36"/>
      <c r="L98" s="36"/>
      <c r="M98" s="92"/>
      <c r="N98" s="36"/>
      <c r="O98" s="36"/>
      <c r="P98" s="36"/>
      <c r="Q98" s="36"/>
      <c r="R98" s="36"/>
      <c r="S98" s="93"/>
      <c r="T98" s="93"/>
      <c r="U98" s="93"/>
      <c r="V98" s="36"/>
      <c r="W98" s="193"/>
      <c r="X98" s="93"/>
      <c r="Y98" s="93"/>
      <c r="Z98" s="36"/>
      <c r="AA98" s="92"/>
      <c r="AB98" s="92"/>
      <c r="AC98" s="92"/>
      <c r="AD98" s="92"/>
      <c r="AE98" s="92"/>
      <c r="AF98" s="92"/>
      <c r="AG98" s="92"/>
      <c r="AH98" s="92"/>
      <c r="AI98" s="92"/>
      <c r="AJ98" s="92"/>
      <c r="AK98" s="92"/>
      <c r="AL98" s="92"/>
      <c r="AM98" s="92"/>
      <c r="AN98" s="92"/>
      <c r="AO98" s="92"/>
      <c r="AP98" s="92"/>
      <c r="AQ98" s="92"/>
      <c r="AR98" s="92"/>
      <c r="AS98" s="92"/>
      <c r="AT98" s="92"/>
    </row>
    <row r="99" spans="1:46">
      <c r="A99" s="36"/>
      <c r="B99" s="36"/>
      <c r="C99" s="36"/>
      <c r="D99" s="36"/>
      <c r="E99" s="36"/>
      <c r="F99" s="204"/>
      <c r="G99" s="36"/>
      <c r="H99" s="93"/>
      <c r="I99" s="192"/>
      <c r="J99" s="93"/>
      <c r="K99" s="36"/>
      <c r="L99" s="36"/>
      <c r="M99" s="92"/>
      <c r="N99" s="36"/>
      <c r="O99" s="36"/>
      <c r="P99" s="36"/>
      <c r="Q99" s="36"/>
      <c r="R99" s="36"/>
      <c r="S99" s="93"/>
      <c r="T99" s="93"/>
      <c r="U99" s="93"/>
      <c r="V99" s="36"/>
      <c r="W99" s="193"/>
      <c r="X99" s="93"/>
      <c r="Y99" s="93"/>
      <c r="Z99" s="36"/>
      <c r="AA99" s="92"/>
      <c r="AB99" s="92"/>
      <c r="AC99" s="92"/>
      <c r="AD99" s="92"/>
      <c r="AE99" s="92"/>
      <c r="AF99" s="92"/>
      <c r="AG99" s="92"/>
      <c r="AH99" s="92"/>
      <c r="AI99" s="92"/>
      <c r="AJ99" s="92"/>
      <c r="AK99" s="92"/>
      <c r="AL99" s="92"/>
      <c r="AM99" s="92"/>
      <c r="AN99" s="92"/>
      <c r="AO99" s="92"/>
      <c r="AP99" s="92"/>
      <c r="AQ99" s="92"/>
      <c r="AR99" s="92"/>
      <c r="AS99" s="92"/>
      <c r="AT99" s="92"/>
    </row>
    <row r="100" spans="1:46">
      <c r="A100" s="36"/>
      <c r="B100" s="36"/>
      <c r="C100" s="36"/>
      <c r="D100" s="36"/>
      <c r="E100" s="36"/>
      <c r="F100" s="204"/>
      <c r="G100" s="36"/>
      <c r="H100" s="93"/>
      <c r="I100" s="192"/>
      <c r="J100" s="93"/>
      <c r="K100" s="36"/>
      <c r="L100" s="36"/>
      <c r="M100" s="92"/>
      <c r="N100" s="36"/>
      <c r="O100" s="36"/>
      <c r="P100" s="36"/>
      <c r="Q100" s="36"/>
      <c r="R100" s="36"/>
      <c r="S100" s="93"/>
      <c r="T100" s="93"/>
      <c r="U100" s="93"/>
      <c r="V100" s="36"/>
      <c r="W100" s="193"/>
      <c r="X100" s="93"/>
      <c r="Y100" s="93"/>
      <c r="Z100" s="36"/>
      <c r="AA100" s="92"/>
      <c r="AB100" s="92"/>
      <c r="AC100" s="92"/>
      <c r="AD100" s="92"/>
      <c r="AE100" s="92"/>
      <c r="AF100" s="92"/>
      <c r="AG100" s="92"/>
      <c r="AH100" s="92"/>
      <c r="AI100" s="92"/>
      <c r="AJ100" s="92"/>
      <c r="AK100" s="92"/>
      <c r="AL100" s="92"/>
      <c r="AM100" s="92"/>
      <c r="AN100" s="92"/>
      <c r="AO100" s="92"/>
      <c r="AP100" s="92"/>
      <c r="AQ100" s="92"/>
      <c r="AR100" s="92"/>
      <c r="AS100" s="92"/>
      <c r="AT100" s="92"/>
    </row>
    <row r="101" spans="1:46">
      <c r="A101" s="36"/>
      <c r="B101" s="36"/>
      <c r="C101" s="36"/>
      <c r="D101" s="36"/>
      <c r="E101" s="36"/>
      <c r="F101" s="204"/>
      <c r="G101" s="36"/>
      <c r="H101" s="93"/>
      <c r="I101" s="192"/>
      <c r="J101" s="93"/>
      <c r="K101" s="36"/>
      <c r="L101" s="36"/>
      <c r="M101" s="92"/>
      <c r="N101" s="36"/>
      <c r="O101" s="36"/>
      <c r="P101" s="36"/>
      <c r="Q101" s="36"/>
      <c r="R101" s="36"/>
      <c r="S101" s="93"/>
      <c r="T101" s="93"/>
      <c r="U101" s="93"/>
      <c r="V101" s="36"/>
      <c r="W101" s="193"/>
      <c r="X101" s="93"/>
      <c r="Y101" s="93"/>
      <c r="Z101" s="36"/>
      <c r="AA101" s="92"/>
      <c r="AB101" s="92"/>
      <c r="AC101" s="92"/>
      <c r="AD101" s="92"/>
      <c r="AE101" s="92"/>
      <c r="AF101" s="92"/>
      <c r="AG101" s="92"/>
      <c r="AH101" s="92"/>
      <c r="AI101" s="92"/>
      <c r="AJ101" s="92"/>
      <c r="AK101" s="92"/>
      <c r="AL101" s="92"/>
      <c r="AM101" s="92"/>
      <c r="AN101" s="92"/>
      <c r="AO101" s="92"/>
      <c r="AP101" s="92"/>
      <c r="AQ101" s="92"/>
      <c r="AR101" s="92"/>
      <c r="AS101" s="92"/>
      <c r="AT101" s="92"/>
    </row>
    <row r="102" spans="1:46">
      <c r="A102" s="36"/>
      <c r="B102" s="36"/>
      <c r="C102" s="36"/>
      <c r="D102" s="36"/>
      <c r="E102" s="36"/>
      <c r="F102" s="204"/>
      <c r="G102" s="36"/>
      <c r="H102" s="93"/>
      <c r="I102" s="192"/>
      <c r="J102" s="93"/>
      <c r="K102" s="36"/>
      <c r="L102" s="36"/>
      <c r="M102" s="92"/>
      <c r="N102" s="36"/>
      <c r="O102" s="36"/>
      <c r="P102" s="36"/>
      <c r="Q102" s="36"/>
      <c r="R102" s="36"/>
      <c r="S102" s="93"/>
      <c r="T102" s="93"/>
      <c r="U102" s="93"/>
      <c r="V102" s="36"/>
      <c r="W102" s="193"/>
      <c r="X102" s="93"/>
      <c r="Y102" s="93"/>
      <c r="Z102" s="36"/>
      <c r="AA102" s="92"/>
      <c r="AB102" s="92"/>
      <c r="AC102" s="92"/>
      <c r="AD102" s="92"/>
      <c r="AE102" s="92"/>
      <c r="AF102" s="92"/>
      <c r="AG102" s="92"/>
      <c r="AH102" s="92"/>
      <c r="AI102" s="92"/>
      <c r="AJ102" s="92"/>
      <c r="AK102" s="92"/>
      <c r="AL102" s="92"/>
      <c r="AM102" s="92"/>
      <c r="AN102" s="92"/>
      <c r="AO102" s="92"/>
      <c r="AP102" s="92"/>
      <c r="AQ102" s="92"/>
      <c r="AR102" s="92"/>
      <c r="AS102" s="92"/>
      <c r="AT102" s="92"/>
    </row>
    <row r="103" spans="1:46">
      <c r="A103" s="36"/>
      <c r="B103" s="36"/>
      <c r="C103" s="36"/>
      <c r="D103" s="36"/>
      <c r="E103" s="36"/>
      <c r="F103" s="204"/>
      <c r="G103" s="36"/>
      <c r="H103" s="93"/>
      <c r="I103" s="192"/>
      <c r="J103" s="93"/>
      <c r="K103" s="36"/>
      <c r="L103" s="36"/>
      <c r="M103" s="92"/>
      <c r="N103" s="36"/>
      <c r="O103" s="36"/>
      <c r="P103" s="36"/>
      <c r="Q103" s="36"/>
      <c r="R103" s="36"/>
      <c r="S103" s="93"/>
      <c r="T103" s="93"/>
      <c r="U103" s="93"/>
      <c r="V103" s="36"/>
      <c r="W103" s="193"/>
      <c r="X103" s="93"/>
      <c r="Y103" s="93"/>
      <c r="Z103" s="36"/>
      <c r="AA103" s="92"/>
      <c r="AB103" s="92"/>
      <c r="AC103" s="92"/>
      <c r="AD103" s="92"/>
      <c r="AE103" s="92"/>
      <c r="AF103" s="92"/>
      <c r="AG103" s="92"/>
      <c r="AH103" s="92"/>
      <c r="AI103" s="92"/>
      <c r="AJ103" s="92"/>
      <c r="AK103" s="92"/>
      <c r="AL103" s="92"/>
      <c r="AM103" s="92"/>
      <c r="AN103" s="92"/>
      <c r="AO103" s="92"/>
      <c r="AP103" s="92"/>
      <c r="AQ103" s="92"/>
      <c r="AR103" s="92"/>
      <c r="AS103" s="92"/>
      <c r="AT103" s="92"/>
    </row>
    <row r="104" spans="1:46">
      <c r="A104" s="36"/>
      <c r="B104" s="36"/>
      <c r="C104" s="36"/>
      <c r="D104" s="36"/>
      <c r="E104" s="36"/>
      <c r="F104" s="204"/>
      <c r="G104" s="36"/>
      <c r="H104" s="93"/>
      <c r="I104" s="192"/>
      <c r="J104" s="93"/>
      <c r="K104" s="36"/>
      <c r="L104" s="36"/>
      <c r="M104" s="92"/>
      <c r="N104" s="36"/>
      <c r="O104" s="36"/>
      <c r="P104" s="36"/>
      <c r="Q104" s="36"/>
      <c r="R104" s="36"/>
      <c r="S104" s="93"/>
      <c r="T104" s="93"/>
      <c r="U104" s="93"/>
      <c r="V104" s="36"/>
      <c r="W104" s="193"/>
      <c r="X104" s="93"/>
      <c r="Y104" s="93"/>
      <c r="Z104" s="36"/>
      <c r="AA104" s="92"/>
      <c r="AB104" s="92"/>
      <c r="AC104" s="92"/>
      <c r="AD104" s="92"/>
      <c r="AE104" s="92"/>
      <c r="AF104" s="92"/>
      <c r="AG104" s="92"/>
      <c r="AH104" s="92"/>
      <c r="AI104" s="92"/>
      <c r="AJ104" s="92"/>
      <c r="AK104" s="92"/>
      <c r="AL104" s="92"/>
      <c r="AM104" s="92"/>
      <c r="AN104" s="92"/>
      <c r="AO104" s="92"/>
      <c r="AP104" s="92"/>
      <c r="AQ104" s="92"/>
      <c r="AR104" s="92"/>
      <c r="AS104" s="92"/>
      <c r="AT104" s="92"/>
    </row>
    <row r="105" spans="1:46">
      <c r="A105" s="36"/>
      <c r="B105" s="36"/>
      <c r="C105" s="36"/>
      <c r="D105" s="36"/>
      <c r="E105" s="36"/>
      <c r="F105" s="204"/>
      <c r="G105" s="36"/>
      <c r="H105" s="93"/>
      <c r="I105" s="192"/>
      <c r="J105" s="93"/>
      <c r="K105" s="36"/>
      <c r="L105" s="36"/>
      <c r="M105" s="92"/>
      <c r="N105" s="36"/>
      <c r="O105" s="36"/>
      <c r="P105" s="36"/>
      <c r="Q105" s="36"/>
      <c r="R105" s="36"/>
      <c r="S105" s="93"/>
      <c r="T105" s="93"/>
      <c r="U105" s="93"/>
      <c r="V105" s="36"/>
      <c r="W105" s="193"/>
      <c r="X105" s="93"/>
      <c r="Y105" s="93"/>
      <c r="Z105" s="36"/>
      <c r="AA105" s="92"/>
      <c r="AB105" s="92"/>
      <c r="AC105" s="92"/>
      <c r="AD105" s="92"/>
      <c r="AE105" s="92"/>
      <c r="AF105" s="92"/>
      <c r="AG105" s="92"/>
      <c r="AH105" s="92"/>
      <c r="AI105" s="92"/>
      <c r="AJ105" s="92"/>
      <c r="AK105" s="92"/>
      <c r="AL105" s="92"/>
      <c r="AM105" s="92"/>
      <c r="AN105" s="92"/>
      <c r="AO105" s="92"/>
      <c r="AP105" s="92"/>
      <c r="AQ105" s="92"/>
      <c r="AR105" s="92"/>
      <c r="AS105" s="92"/>
      <c r="AT105" s="92"/>
    </row>
    <row r="106" spans="1:46">
      <c r="A106" s="36"/>
      <c r="B106" s="36"/>
      <c r="C106" s="36"/>
      <c r="D106" s="36"/>
      <c r="E106" s="36"/>
      <c r="F106" s="204"/>
      <c r="G106" s="36"/>
      <c r="H106" s="93"/>
      <c r="I106" s="192"/>
      <c r="J106" s="93"/>
      <c r="K106" s="36"/>
      <c r="L106" s="36"/>
      <c r="M106" s="92"/>
      <c r="N106" s="36"/>
      <c r="O106" s="36"/>
      <c r="P106" s="36"/>
      <c r="Q106" s="36"/>
      <c r="R106" s="36"/>
      <c r="S106" s="93"/>
      <c r="T106" s="93"/>
      <c r="U106" s="93"/>
      <c r="V106" s="36"/>
      <c r="W106" s="193"/>
      <c r="X106" s="93"/>
      <c r="Y106" s="93"/>
      <c r="Z106" s="36"/>
      <c r="AA106" s="92"/>
      <c r="AB106" s="92"/>
      <c r="AC106" s="92"/>
      <c r="AD106" s="92"/>
      <c r="AE106" s="92"/>
      <c r="AF106" s="92"/>
      <c r="AG106" s="92"/>
      <c r="AH106" s="92"/>
      <c r="AI106" s="92"/>
      <c r="AJ106" s="92"/>
      <c r="AK106" s="92"/>
      <c r="AL106" s="92"/>
      <c r="AM106" s="92"/>
      <c r="AN106" s="92"/>
      <c r="AO106" s="92"/>
      <c r="AP106" s="92"/>
      <c r="AQ106" s="92"/>
      <c r="AR106" s="92"/>
      <c r="AS106" s="92"/>
      <c r="AT106" s="92"/>
    </row>
    <row r="107" spans="1:46">
      <c r="A107" s="36"/>
      <c r="B107" s="36"/>
      <c r="C107" s="36"/>
      <c r="D107" s="36"/>
      <c r="E107" s="36"/>
      <c r="F107" s="204"/>
      <c r="G107" s="36"/>
      <c r="H107" s="93"/>
      <c r="I107" s="192"/>
      <c r="J107" s="93"/>
      <c r="K107" s="36"/>
      <c r="L107" s="36"/>
      <c r="M107" s="92"/>
      <c r="N107" s="36"/>
      <c r="O107" s="36"/>
      <c r="P107" s="36"/>
      <c r="Q107" s="36"/>
      <c r="R107" s="36"/>
      <c r="S107" s="93"/>
      <c r="T107" s="93"/>
      <c r="U107" s="93"/>
      <c r="V107" s="36"/>
      <c r="W107" s="193"/>
      <c r="X107" s="93"/>
      <c r="Y107" s="93"/>
      <c r="Z107" s="36"/>
      <c r="AA107" s="92"/>
      <c r="AB107" s="92"/>
      <c r="AC107" s="92"/>
      <c r="AD107" s="92"/>
      <c r="AE107" s="92"/>
      <c r="AF107" s="92"/>
      <c r="AG107" s="92"/>
      <c r="AH107" s="92"/>
      <c r="AI107" s="92"/>
      <c r="AJ107" s="92"/>
      <c r="AK107" s="92"/>
      <c r="AL107" s="92"/>
      <c r="AM107" s="92"/>
      <c r="AN107" s="92"/>
      <c r="AO107" s="92"/>
      <c r="AP107" s="92"/>
      <c r="AQ107" s="92"/>
      <c r="AR107" s="92"/>
      <c r="AS107" s="92"/>
      <c r="AT107" s="92"/>
    </row>
    <row r="108" spans="1:46">
      <c r="A108" s="36"/>
      <c r="B108" s="36"/>
      <c r="C108" s="36"/>
      <c r="D108" s="36"/>
      <c r="E108" s="36"/>
      <c r="F108" s="204"/>
      <c r="G108" s="36"/>
      <c r="H108" s="93"/>
      <c r="I108" s="192"/>
      <c r="J108" s="93"/>
      <c r="K108" s="36"/>
      <c r="L108" s="36"/>
      <c r="M108" s="92"/>
      <c r="N108" s="36"/>
      <c r="O108" s="36"/>
      <c r="P108" s="36"/>
      <c r="Q108" s="36"/>
      <c r="R108" s="36"/>
      <c r="S108" s="93"/>
      <c r="T108" s="93"/>
      <c r="U108" s="93"/>
      <c r="V108" s="36"/>
      <c r="W108" s="193"/>
      <c r="X108" s="93"/>
      <c r="Y108" s="93"/>
      <c r="Z108" s="36"/>
      <c r="AA108" s="92"/>
      <c r="AB108" s="92"/>
      <c r="AC108" s="92"/>
      <c r="AD108" s="92"/>
      <c r="AE108" s="92"/>
      <c r="AF108" s="92"/>
      <c r="AG108" s="92"/>
      <c r="AH108" s="92"/>
      <c r="AI108" s="92"/>
      <c r="AJ108" s="92"/>
      <c r="AK108" s="92"/>
      <c r="AL108" s="92"/>
      <c r="AM108" s="92"/>
      <c r="AN108" s="92"/>
      <c r="AO108" s="92"/>
      <c r="AP108" s="92"/>
      <c r="AQ108" s="92"/>
      <c r="AR108" s="92"/>
      <c r="AS108" s="92"/>
      <c r="AT108" s="92"/>
    </row>
    <row r="109" spans="1:46">
      <c r="A109" s="36"/>
      <c r="B109" s="36"/>
      <c r="C109" s="36"/>
      <c r="D109" s="36"/>
      <c r="E109" s="36"/>
      <c r="F109" s="204"/>
      <c r="G109" s="36"/>
      <c r="H109" s="93"/>
      <c r="I109" s="192"/>
      <c r="J109" s="93"/>
      <c r="K109" s="36"/>
      <c r="L109" s="36"/>
      <c r="M109" s="92"/>
      <c r="N109" s="36"/>
      <c r="O109" s="36"/>
      <c r="P109" s="36"/>
      <c r="Q109" s="36"/>
      <c r="R109" s="36"/>
      <c r="S109" s="93"/>
      <c r="T109" s="93"/>
      <c r="U109" s="93"/>
      <c r="V109" s="36"/>
      <c r="W109" s="193"/>
      <c r="X109" s="93"/>
      <c r="Y109" s="93"/>
      <c r="Z109" s="36"/>
      <c r="AA109" s="92"/>
      <c r="AB109" s="92"/>
      <c r="AC109" s="92"/>
      <c r="AD109" s="92"/>
      <c r="AE109" s="92"/>
      <c r="AF109" s="92"/>
      <c r="AG109" s="92"/>
      <c r="AH109" s="92"/>
      <c r="AI109" s="92"/>
      <c r="AJ109" s="92"/>
      <c r="AK109" s="92"/>
      <c r="AL109" s="92"/>
      <c r="AM109" s="92"/>
      <c r="AN109" s="92"/>
      <c r="AO109" s="92"/>
      <c r="AP109" s="92"/>
      <c r="AQ109" s="92"/>
      <c r="AR109" s="92"/>
      <c r="AS109" s="92"/>
      <c r="AT109" s="92"/>
    </row>
    <row r="110" spans="1:46">
      <c r="A110" s="36"/>
      <c r="B110" s="36"/>
      <c r="C110" s="36"/>
      <c r="D110" s="36"/>
      <c r="E110" s="36"/>
      <c r="F110" s="204"/>
      <c r="G110" s="36"/>
      <c r="H110" s="93"/>
      <c r="I110" s="192"/>
      <c r="J110" s="93"/>
      <c r="K110" s="36"/>
      <c r="L110" s="36"/>
      <c r="M110" s="92"/>
      <c r="N110" s="36"/>
      <c r="O110" s="36"/>
      <c r="P110" s="36"/>
      <c r="Q110" s="36"/>
      <c r="R110" s="36"/>
      <c r="S110" s="93"/>
      <c r="T110" s="93"/>
      <c r="U110" s="93"/>
      <c r="V110" s="36"/>
      <c r="W110" s="193"/>
      <c r="X110" s="93"/>
      <c r="Y110" s="93"/>
      <c r="Z110" s="36"/>
      <c r="AA110" s="92"/>
      <c r="AB110" s="92"/>
      <c r="AC110" s="92"/>
      <c r="AD110" s="92"/>
      <c r="AE110" s="92"/>
      <c r="AF110" s="92"/>
      <c r="AG110" s="92"/>
      <c r="AH110" s="92"/>
      <c r="AI110" s="92"/>
      <c r="AJ110" s="92"/>
      <c r="AK110" s="92"/>
      <c r="AL110" s="92"/>
      <c r="AM110" s="92"/>
      <c r="AN110" s="92"/>
      <c r="AO110" s="92"/>
      <c r="AP110" s="92"/>
      <c r="AQ110" s="92"/>
      <c r="AR110" s="92"/>
      <c r="AS110" s="92"/>
      <c r="AT110" s="92"/>
    </row>
    <row r="111" spans="1:46">
      <c r="A111" s="36"/>
      <c r="B111" s="36"/>
      <c r="C111" s="36"/>
      <c r="D111" s="36"/>
      <c r="E111" s="36"/>
      <c r="F111" s="204"/>
      <c r="G111" s="36"/>
      <c r="H111" s="93"/>
      <c r="I111" s="192"/>
      <c r="J111" s="93"/>
      <c r="K111" s="36"/>
      <c r="L111" s="36"/>
      <c r="M111" s="92"/>
      <c r="N111" s="36"/>
      <c r="O111" s="36"/>
      <c r="P111" s="36"/>
      <c r="Q111" s="36"/>
      <c r="R111" s="36"/>
      <c r="S111" s="93"/>
      <c r="T111" s="93"/>
      <c r="U111" s="93"/>
      <c r="V111" s="36"/>
      <c r="W111" s="193"/>
      <c r="X111" s="93"/>
      <c r="Y111" s="93"/>
      <c r="Z111" s="36"/>
      <c r="AA111" s="92"/>
      <c r="AB111" s="92"/>
      <c r="AC111" s="92"/>
      <c r="AD111" s="92"/>
      <c r="AE111" s="92"/>
      <c r="AF111" s="92"/>
      <c r="AG111" s="92"/>
      <c r="AH111" s="92"/>
      <c r="AI111" s="92"/>
      <c r="AJ111" s="92"/>
      <c r="AK111" s="92"/>
      <c r="AL111" s="92"/>
      <c r="AM111" s="92"/>
      <c r="AN111" s="92"/>
      <c r="AO111" s="92"/>
      <c r="AP111" s="92"/>
      <c r="AQ111" s="92"/>
      <c r="AR111" s="92"/>
      <c r="AS111" s="92"/>
      <c r="AT111" s="92"/>
    </row>
    <row r="112" spans="1:46">
      <c r="A112" s="36"/>
      <c r="B112" s="36"/>
      <c r="C112" s="36"/>
      <c r="D112" s="36"/>
      <c r="E112" s="36"/>
      <c r="F112" s="204"/>
      <c r="G112" s="36"/>
      <c r="H112" s="93"/>
      <c r="I112" s="192"/>
      <c r="J112" s="93"/>
      <c r="K112" s="36"/>
      <c r="L112" s="36"/>
      <c r="M112" s="92"/>
      <c r="N112" s="36"/>
      <c r="O112" s="36"/>
      <c r="P112" s="36"/>
      <c r="Q112" s="36"/>
      <c r="R112" s="36"/>
      <c r="S112" s="93"/>
      <c r="T112" s="93"/>
      <c r="U112" s="93"/>
      <c r="V112" s="36"/>
      <c r="W112" s="193"/>
      <c r="X112" s="93"/>
      <c r="Y112" s="93"/>
      <c r="Z112" s="36"/>
      <c r="AA112" s="92"/>
      <c r="AB112" s="92"/>
      <c r="AC112" s="92"/>
      <c r="AD112" s="92"/>
      <c r="AE112" s="92"/>
      <c r="AF112" s="92"/>
      <c r="AG112" s="92"/>
      <c r="AH112" s="92"/>
      <c r="AI112" s="92"/>
      <c r="AJ112" s="92"/>
      <c r="AK112" s="92"/>
      <c r="AL112" s="92"/>
      <c r="AM112" s="92"/>
      <c r="AN112" s="92"/>
      <c r="AO112" s="92"/>
      <c r="AP112" s="92"/>
      <c r="AQ112" s="92"/>
      <c r="AR112" s="92"/>
      <c r="AS112" s="92"/>
      <c r="AT112" s="92"/>
    </row>
    <row r="113" spans="1:46">
      <c r="A113" s="36"/>
      <c r="B113" s="36"/>
      <c r="C113" s="36"/>
      <c r="D113" s="36"/>
      <c r="E113" s="36"/>
      <c r="F113" s="204"/>
      <c r="G113" s="36"/>
      <c r="H113" s="93"/>
      <c r="I113" s="192"/>
      <c r="J113" s="93"/>
      <c r="K113" s="36"/>
      <c r="L113" s="36"/>
      <c r="M113" s="92"/>
      <c r="N113" s="36"/>
      <c r="O113" s="36"/>
      <c r="P113" s="36"/>
      <c r="Q113" s="36"/>
      <c r="R113" s="36"/>
      <c r="S113" s="93"/>
      <c r="T113" s="93"/>
      <c r="U113" s="93"/>
      <c r="V113" s="36"/>
      <c r="W113" s="193"/>
      <c r="X113" s="93"/>
      <c r="Y113" s="93"/>
      <c r="Z113" s="36"/>
      <c r="AA113" s="92"/>
      <c r="AB113" s="92"/>
      <c r="AC113" s="92"/>
      <c r="AD113" s="92"/>
      <c r="AE113" s="92"/>
      <c r="AF113" s="92"/>
      <c r="AG113" s="92"/>
      <c r="AH113" s="92"/>
      <c r="AI113" s="92"/>
      <c r="AJ113" s="92"/>
      <c r="AK113" s="92"/>
      <c r="AL113" s="92"/>
      <c r="AM113" s="92"/>
      <c r="AN113" s="92"/>
      <c r="AO113" s="92"/>
      <c r="AP113" s="92"/>
      <c r="AQ113" s="92"/>
      <c r="AR113" s="92"/>
      <c r="AS113" s="92"/>
      <c r="AT113" s="92"/>
    </row>
    <row r="114" spans="1:46">
      <c r="A114" s="36"/>
      <c r="B114" s="36"/>
      <c r="C114" s="36"/>
      <c r="D114" s="36"/>
      <c r="E114" s="36"/>
      <c r="F114" s="204"/>
      <c r="G114" s="36"/>
      <c r="H114" s="93"/>
      <c r="I114" s="192"/>
      <c r="J114" s="93"/>
      <c r="K114" s="36"/>
      <c r="L114" s="36"/>
      <c r="M114" s="92"/>
      <c r="N114" s="36"/>
      <c r="O114" s="36"/>
      <c r="P114" s="36"/>
      <c r="Q114" s="36"/>
      <c r="R114" s="36"/>
      <c r="S114" s="93"/>
      <c r="T114" s="93"/>
      <c r="U114" s="93"/>
      <c r="V114" s="36"/>
      <c r="W114" s="193"/>
      <c r="X114" s="93"/>
      <c r="Y114" s="93"/>
      <c r="Z114" s="36"/>
      <c r="AA114" s="92"/>
      <c r="AB114" s="92"/>
      <c r="AC114" s="92"/>
      <c r="AD114" s="92"/>
      <c r="AE114" s="92"/>
      <c r="AF114" s="92"/>
      <c r="AG114" s="92"/>
      <c r="AH114" s="92"/>
      <c r="AI114" s="92"/>
      <c r="AJ114" s="92"/>
      <c r="AK114" s="92"/>
      <c r="AL114" s="92"/>
      <c r="AM114" s="92"/>
      <c r="AN114" s="92"/>
      <c r="AO114" s="92"/>
      <c r="AP114" s="92"/>
      <c r="AQ114" s="92"/>
      <c r="AR114" s="92"/>
      <c r="AS114" s="92"/>
      <c r="AT114" s="92"/>
    </row>
    <row r="115" spans="1:46">
      <c r="A115" s="36"/>
      <c r="B115" s="36"/>
      <c r="C115" s="36"/>
      <c r="D115" s="36"/>
      <c r="E115" s="36"/>
      <c r="F115" s="204"/>
      <c r="G115" s="36"/>
      <c r="H115" s="93"/>
      <c r="I115" s="192"/>
      <c r="J115" s="93"/>
      <c r="K115" s="36"/>
      <c r="L115" s="36"/>
      <c r="M115" s="92"/>
      <c r="N115" s="36"/>
      <c r="O115" s="36"/>
      <c r="P115" s="36"/>
      <c r="Q115" s="36"/>
      <c r="R115" s="36"/>
      <c r="S115" s="93"/>
      <c r="T115" s="93"/>
      <c r="U115" s="93"/>
      <c r="V115" s="36"/>
      <c r="W115" s="193"/>
      <c r="X115" s="93"/>
      <c r="Y115" s="93"/>
      <c r="Z115" s="36"/>
      <c r="AA115" s="92"/>
      <c r="AB115" s="92"/>
      <c r="AC115" s="92"/>
      <c r="AD115" s="92"/>
      <c r="AE115" s="92"/>
      <c r="AF115" s="92"/>
      <c r="AG115" s="92"/>
      <c r="AH115" s="92"/>
      <c r="AI115" s="92"/>
      <c r="AJ115" s="92"/>
      <c r="AK115" s="92"/>
      <c r="AL115" s="92"/>
      <c r="AM115" s="92"/>
      <c r="AN115" s="92"/>
      <c r="AO115" s="92"/>
      <c r="AP115" s="92"/>
      <c r="AQ115" s="92"/>
      <c r="AR115" s="92"/>
      <c r="AS115" s="92"/>
      <c r="AT115" s="92"/>
    </row>
    <row r="116" spans="1:46">
      <c r="A116" s="36"/>
      <c r="B116" s="36"/>
      <c r="C116" s="36"/>
      <c r="D116" s="36"/>
      <c r="E116" s="36"/>
      <c r="F116" s="204"/>
      <c r="G116" s="36"/>
      <c r="H116" s="93"/>
      <c r="I116" s="192"/>
      <c r="J116" s="93"/>
      <c r="K116" s="36"/>
      <c r="L116" s="36"/>
      <c r="M116" s="92"/>
      <c r="N116" s="36"/>
      <c r="O116" s="36"/>
      <c r="P116" s="36"/>
      <c r="Q116" s="36"/>
      <c r="R116" s="36"/>
      <c r="S116" s="93"/>
      <c r="T116" s="93"/>
      <c r="U116" s="93"/>
      <c r="V116" s="36"/>
      <c r="W116" s="193"/>
      <c r="X116" s="93"/>
      <c r="Y116" s="93"/>
      <c r="Z116" s="36"/>
      <c r="AA116" s="92"/>
      <c r="AB116" s="92"/>
      <c r="AC116" s="92"/>
      <c r="AD116" s="92"/>
      <c r="AE116" s="92"/>
      <c r="AF116" s="92"/>
      <c r="AG116" s="92"/>
      <c r="AH116" s="92"/>
      <c r="AI116" s="92"/>
      <c r="AJ116" s="92"/>
      <c r="AK116" s="92"/>
      <c r="AL116" s="92"/>
      <c r="AM116" s="92"/>
      <c r="AN116" s="92"/>
      <c r="AO116" s="92"/>
      <c r="AP116" s="92"/>
      <c r="AQ116" s="92"/>
      <c r="AR116" s="92"/>
      <c r="AS116" s="92"/>
      <c r="AT116" s="92"/>
    </row>
    <row r="117" spans="1:46">
      <c r="A117" s="36"/>
      <c r="B117" s="36"/>
      <c r="C117" s="36"/>
      <c r="D117" s="36"/>
      <c r="E117" s="36"/>
      <c r="F117" s="204"/>
      <c r="G117" s="36"/>
      <c r="H117" s="93"/>
      <c r="I117" s="192"/>
      <c r="J117" s="93"/>
      <c r="K117" s="36"/>
      <c r="L117" s="36"/>
      <c r="M117" s="92"/>
      <c r="N117" s="36"/>
      <c r="O117" s="36"/>
      <c r="P117" s="36"/>
      <c r="Q117" s="36"/>
      <c r="R117" s="36"/>
      <c r="S117" s="93"/>
      <c r="T117" s="93"/>
      <c r="U117" s="93"/>
      <c r="V117" s="36"/>
      <c r="W117" s="193"/>
      <c r="X117" s="93"/>
      <c r="Y117" s="93"/>
      <c r="Z117" s="36"/>
      <c r="AA117" s="92"/>
      <c r="AB117" s="92"/>
      <c r="AC117" s="92"/>
      <c r="AD117" s="92"/>
      <c r="AE117" s="92"/>
      <c r="AF117" s="92"/>
      <c r="AG117" s="92"/>
      <c r="AH117" s="92"/>
      <c r="AI117" s="92"/>
      <c r="AJ117" s="92"/>
      <c r="AK117" s="92"/>
      <c r="AL117" s="92"/>
      <c r="AM117" s="92"/>
      <c r="AN117" s="92"/>
      <c r="AO117" s="92"/>
      <c r="AP117" s="92"/>
      <c r="AQ117" s="92"/>
      <c r="AR117" s="92"/>
      <c r="AS117" s="92"/>
      <c r="AT117" s="92"/>
    </row>
    <row r="118" spans="1:46">
      <c r="A118" s="36"/>
      <c r="B118" s="36"/>
      <c r="C118" s="36"/>
      <c r="D118" s="36"/>
      <c r="E118" s="36"/>
      <c r="F118" s="204"/>
      <c r="G118" s="36"/>
      <c r="H118" s="93"/>
      <c r="I118" s="192"/>
      <c r="J118" s="93"/>
      <c r="K118" s="36"/>
      <c r="L118" s="36"/>
      <c r="M118" s="92"/>
      <c r="N118" s="36"/>
      <c r="O118" s="36"/>
      <c r="P118" s="36"/>
      <c r="Q118" s="36"/>
      <c r="R118" s="36"/>
      <c r="S118" s="93"/>
      <c r="T118" s="93"/>
      <c r="U118" s="93"/>
      <c r="V118" s="36"/>
      <c r="W118" s="193"/>
      <c r="X118" s="93"/>
      <c r="Y118" s="93"/>
      <c r="Z118" s="36"/>
      <c r="AA118" s="92"/>
      <c r="AB118" s="92"/>
      <c r="AC118" s="92"/>
      <c r="AD118" s="92"/>
      <c r="AE118" s="92"/>
      <c r="AF118" s="92"/>
      <c r="AG118" s="92"/>
      <c r="AH118" s="92"/>
      <c r="AI118" s="92"/>
      <c r="AJ118" s="92"/>
      <c r="AK118" s="92"/>
      <c r="AL118" s="92"/>
      <c r="AM118" s="92"/>
      <c r="AN118" s="92"/>
      <c r="AO118" s="92"/>
      <c r="AP118" s="92"/>
      <c r="AQ118" s="92"/>
      <c r="AR118" s="92"/>
      <c r="AS118" s="92"/>
      <c r="AT118" s="92"/>
    </row>
    <row r="119" spans="1:46">
      <c r="A119" s="36"/>
      <c r="B119" s="36"/>
      <c r="C119" s="36"/>
      <c r="D119" s="36"/>
      <c r="E119" s="36"/>
      <c r="F119" s="204"/>
      <c r="G119" s="36"/>
      <c r="H119" s="93"/>
      <c r="I119" s="192"/>
      <c r="J119" s="93"/>
      <c r="K119" s="36"/>
      <c r="L119" s="36"/>
      <c r="M119" s="92"/>
      <c r="N119" s="36"/>
      <c r="O119" s="36"/>
      <c r="P119" s="36"/>
      <c r="Q119" s="36"/>
      <c r="R119" s="36"/>
      <c r="S119" s="93"/>
      <c r="T119" s="93"/>
      <c r="U119" s="93"/>
      <c r="V119" s="36"/>
      <c r="W119" s="193"/>
      <c r="X119" s="93"/>
      <c r="Y119" s="93"/>
      <c r="Z119" s="36"/>
      <c r="AA119" s="92"/>
      <c r="AB119" s="92"/>
      <c r="AC119" s="92"/>
      <c r="AD119" s="92"/>
      <c r="AE119" s="92"/>
      <c r="AF119" s="92"/>
      <c r="AG119" s="92"/>
      <c r="AH119" s="92"/>
      <c r="AI119" s="92"/>
      <c r="AJ119" s="92"/>
      <c r="AK119" s="92"/>
      <c r="AL119" s="92"/>
      <c r="AM119" s="92"/>
      <c r="AN119" s="92"/>
      <c r="AO119" s="92"/>
      <c r="AP119" s="92"/>
      <c r="AQ119" s="92"/>
      <c r="AR119" s="92"/>
      <c r="AS119" s="92"/>
      <c r="AT119" s="92"/>
    </row>
    <row r="120" spans="1:46">
      <c r="A120" s="36"/>
      <c r="B120" s="36"/>
      <c r="C120" s="36"/>
      <c r="D120" s="36"/>
      <c r="E120" s="36"/>
      <c r="F120" s="204"/>
      <c r="G120" s="36"/>
      <c r="H120" s="93"/>
      <c r="I120" s="192"/>
      <c r="J120" s="93"/>
      <c r="K120" s="36"/>
      <c r="L120" s="36"/>
      <c r="M120" s="92"/>
      <c r="N120" s="36"/>
      <c r="O120" s="36"/>
      <c r="P120" s="36"/>
      <c r="Q120" s="36"/>
      <c r="R120" s="36"/>
      <c r="S120" s="93"/>
      <c r="T120" s="93"/>
      <c r="U120" s="93"/>
      <c r="V120" s="36"/>
      <c r="W120" s="193"/>
      <c r="X120" s="93"/>
      <c r="Y120" s="93"/>
      <c r="Z120" s="36"/>
      <c r="AA120" s="92"/>
      <c r="AB120" s="92"/>
      <c r="AC120" s="92"/>
      <c r="AD120" s="92"/>
      <c r="AE120" s="92"/>
      <c r="AF120" s="92"/>
      <c r="AG120" s="92"/>
      <c r="AH120" s="92"/>
      <c r="AI120" s="92"/>
      <c r="AJ120" s="92"/>
      <c r="AK120" s="92"/>
      <c r="AL120" s="92"/>
      <c r="AM120" s="92"/>
      <c r="AN120" s="92"/>
      <c r="AO120" s="92"/>
      <c r="AP120" s="92"/>
      <c r="AQ120" s="92"/>
      <c r="AR120" s="92"/>
      <c r="AS120" s="92"/>
      <c r="AT120" s="92"/>
    </row>
    <row r="121" spans="1:46">
      <c r="A121" s="36"/>
      <c r="B121" s="36"/>
      <c r="C121" s="36"/>
      <c r="D121" s="36"/>
      <c r="E121" s="36"/>
      <c r="F121" s="204"/>
      <c r="G121" s="36"/>
      <c r="H121" s="93"/>
      <c r="I121" s="192"/>
      <c r="J121" s="93"/>
      <c r="K121" s="36"/>
      <c r="L121" s="36"/>
      <c r="M121" s="92"/>
      <c r="N121" s="36"/>
      <c r="O121" s="36"/>
      <c r="P121" s="36"/>
      <c r="Q121" s="36"/>
      <c r="R121" s="36"/>
      <c r="S121" s="93"/>
      <c r="T121" s="93"/>
      <c r="U121" s="93"/>
      <c r="V121" s="36"/>
      <c r="W121" s="193"/>
      <c r="X121" s="93"/>
      <c r="Y121" s="93"/>
      <c r="Z121" s="36"/>
      <c r="AA121" s="92"/>
      <c r="AB121" s="92"/>
      <c r="AC121" s="92"/>
      <c r="AD121" s="92"/>
      <c r="AE121" s="92"/>
      <c r="AF121" s="92"/>
      <c r="AG121" s="92"/>
      <c r="AH121" s="92"/>
      <c r="AI121" s="92"/>
      <c r="AJ121" s="92"/>
      <c r="AK121" s="92"/>
      <c r="AL121" s="92"/>
      <c r="AM121" s="92"/>
      <c r="AN121" s="92"/>
      <c r="AO121" s="92"/>
      <c r="AP121" s="92"/>
      <c r="AQ121" s="92"/>
      <c r="AR121" s="92"/>
      <c r="AS121" s="92"/>
      <c r="AT121" s="92"/>
    </row>
    <row r="122" spans="1:46">
      <c r="A122" s="36"/>
      <c r="B122" s="36"/>
      <c r="C122" s="36"/>
      <c r="D122" s="36"/>
      <c r="E122" s="36"/>
      <c r="F122" s="204"/>
      <c r="G122" s="36"/>
      <c r="H122" s="93"/>
      <c r="I122" s="192"/>
      <c r="J122" s="93"/>
      <c r="K122" s="36"/>
      <c r="L122" s="36"/>
      <c r="M122" s="92"/>
      <c r="N122" s="36"/>
      <c r="O122" s="36"/>
      <c r="P122" s="36"/>
      <c r="Q122" s="36"/>
      <c r="R122" s="36"/>
      <c r="S122" s="93"/>
      <c r="T122" s="93"/>
      <c r="U122" s="93"/>
      <c r="V122" s="36"/>
      <c r="W122" s="193"/>
      <c r="X122" s="93"/>
      <c r="Y122" s="93"/>
      <c r="Z122" s="36"/>
      <c r="AA122" s="92"/>
      <c r="AB122" s="92"/>
      <c r="AC122" s="92"/>
      <c r="AD122" s="92"/>
      <c r="AE122" s="92"/>
      <c r="AF122" s="92"/>
      <c r="AG122" s="92"/>
      <c r="AH122" s="92"/>
      <c r="AI122" s="92"/>
      <c r="AJ122" s="92"/>
      <c r="AK122" s="92"/>
      <c r="AL122" s="92"/>
      <c r="AM122" s="92"/>
      <c r="AN122" s="92"/>
      <c r="AO122" s="92"/>
      <c r="AP122" s="92"/>
      <c r="AQ122" s="92"/>
      <c r="AR122" s="92"/>
      <c r="AS122" s="92"/>
      <c r="AT122" s="92"/>
    </row>
    <row r="123" spans="1:46">
      <c r="A123" s="36"/>
      <c r="B123" s="36"/>
      <c r="C123" s="36"/>
      <c r="D123" s="36"/>
      <c r="E123" s="36"/>
      <c r="F123" s="204"/>
      <c r="G123" s="36"/>
      <c r="H123" s="93"/>
      <c r="I123" s="192"/>
      <c r="J123" s="93"/>
      <c r="K123" s="36"/>
      <c r="L123" s="36"/>
      <c r="M123" s="92"/>
      <c r="N123" s="36"/>
      <c r="O123" s="36"/>
      <c r="P123" s="36"/>
      <c r="Q123" s="36"/>
      <c r="R123" s="36"/>
      <c r="S123" s="93"/>
      <c r="T123" s="93"/>
      <c r="U123" s="93"/>
      <c r="V123" s="36"/>
      <c r="W123" s="193"/>
      <c r="X123" s="93"/>
      <c r="Y123" s="93"/>
      <c r="Z123" s="36"/>
      <c r="AA123" s="92"/>
      <c r="AB123" s="92"/>
      <c r="AC123" s="92"/>
      <c r="AD123" s="92"/>
      <c r="AE123" s="92"/>
      <c r="AF123" s="92"/>
      <c r="AG123" s="92"/>
      <c r="AH123" s="92"/>
      <c r="AI123" s="92"/>
      <c r="AJ123" s="92"/>
      <c r="AK123" s="92"/>
      <c r="AL123" s="92"/>
      <c r="AM123" s="92"/>
      <c r="AN123" s="92"/>
      <c r="AO123" s="92"/>
      <c r="AP123" s="92"/>
      <c r="AQ123" s="92"/>
      <c r="AR123" s="92"/>
      <c r="AS123" s="92"/>
      <c r="AT123" s="92"/>
    </row>
    <row r="124" spans="1:46">
      <c r="A124" s="36"/>
      <c r="B124" s="36"/>
      <c r="C124" s="36"/>
      <c r="D124" s="36"/>
      <c r="E124" s="36"/>
      <c r="F124" s="204"/>
      <c r="G124" s="36"/>
      <c r="H124" s="93"/>
      <c r="I124" s="192"/>
      <c r="J124" s="93"/>
      <c r="K124" s="36"/>
      <c r="L124" s="36"/>
      <c r="M124" s="92"/>
      <c r="N124" s="36"/>
      <c r="O124" s="36"/>
      <c r="P124" s="36"/>
      <c r="Q124" s="36"/>
      <c r="R124" s="36"/>
      <c r="S124" s="93"/>
      <c r="T124" s="93"/>
      <c r="U124" s="93"/>
      <c r="V124" s="36"/>
      <c r="W124" s="193"/>
      <c r="X124" s="93"/>
      <c r="Y124" s="93"/>
      <c r="Z124" s="36"/>
      <c r="AA124" s="92"/>
      <c r="AB124" s="92"/>
      <c r="AC124" s="92"/>
      <c r="AD124" s="92"/>
      <c r="AE124" s="92"/>
      <c r="AF124" s="92"/>
      <c r="AG124" s="92"/>
      <c r="AH124" s="92"/>
      <c r="AI124" s="92"/>
      <c r="AJ124" s="92"/>
      <c r="AK124" s="92"/>
      <c r="AL124" s="92"/>
      <c r="AM124" s="92"/>
      <c r="AN124" s="92"/>
      <c r="AO124" s="92"/>
      <c r="AP124" s="92"/>
      <c r="AQ124" s="92"/>
      <c r="AR124" s="92"/>
      <c r="AS124" s="92"/>
      <c r="AT124" s="92"/>
    </row>
    <row r="125" spans="1:46">
      <c r="A125" s="36"/>
      <c r="B125" s="36"/>
      <c r="C125" s="36"/>
      <c r="D125" s="36"/>
      <c r="E125" s="36"/>
      <c r="F125" s="204"/>
      <c r="G125" s="36"/>
      <c r="H125" s="93"/>
      <c r="I125" s="192"/>
      <c r="J125" s="93"/>
      <c r="K125" s="36"/>
      <c r="L125" s="36"/>
      <c r="M125" s="92"/>
      <c r="N125" s="36"/>
      <c r="O125" s="36"/>
      <c r="P125" s="36"/>
      <c r="Q125" s="36"/>
      <c r="R125" s="36"/>
      <c r="S125" s="93"/>
      <c r="T125" s="93"/>
      <c r="U125" s="93"/>
      <c r="V125" s="36"/>
      <c r="W125" s="193"/>
      <c r="X125" s="93"/>
      <c r="Y125" s="93"/>
      <c r="Z125" s="36"/>
      <c r="AA125" s="92"/>
      <c r="AB125" s="92"/>
      <c r="AC125" s="92"/>
      <c r="AD125" s="92"/>
      <c r="AE125" s="92"/>
      <c r="AF125" s="92"/>
      <c r="AG125" s="92"/>
      <c r="AH125" s="92"/>
      <c r="AI125" s="92"/>
      <c r="AJ125" s="92"/>
      <c r="AK125" s="92"/>
      <c r="AL125" s="92"/>
      <c r="AM125" s="92"/>
      <c r="AN125" s="92"/>
      <c r="AO125" s="92"/>
      <c r="AP125" s="92"/>
      <c r="AQ125" s="92"/>
      <c r="AR125" s="92"/>
      <c r="AS125" s="92"/>
      <c r="AT125" s="92"/>
    </row>
    <row r="126" spans="1:46">
      <c r="A126" s="36"/>
      <c r="B126" s="36"/>
      <c r="C126" s="36"/>
      <c r="D126" s="36"/>
      <c r="E126" s="36"/>
      <c r="F126" s="204"/>
      <c r="G126" s="36"/>
      <c r="H126" s="93"/>
      <c r="I126" s="192"/>
      <c r="J126" s="93"/>
      <c r="K126" s="36"/>
      <c r="L126" s="36"/>
      <c r="M126" s="92"/>
      <c r="N126" s="36"/>
      <c r="O126" s="36"/>
      <c r="P126" s="36"/>
      <c r="Q126" s="36"/>
      <c r="R126" s="36"/>
      <c r="S126" s="93"/>
      <c r="T126" s="93"/>
      <c r="U126" s="93"/>
      <c r="V126" s="36"/>
      <c r="W126" s="193"/>
      <c r="X126" s="93"/>
      <c r="Y126" s="93"/>
      <c r="Z126" s="36"/>
      <c r="AA126" s="92"/>
      <c r="AB126" s="92"/>
      <c r="AC126" s="92"/>
      <c r="AD126" s="92"/>
      <c r="AE126" s="92"/>
      <c r="AF126" s="92"/>
      <c r="AG126" s="92"/>
      <c r="AH126" s="92"/>
      <c r="AI126" s="92"/>
      <c r="AJ126" s="92"/>
      <c r="AK126" s="92"/>
      <c r="AL126" s="92"/>
      <c r="AM126" s="92"/>
      <c r="AN126" s="92"/>
      <c r="AO126" s="92"/>
      <c r="AP126" s="92"/>
      <c r="AQ126" s="92"/>
      <c r="AR126" s="92"/>
      <c r="AS126" s="92"/>
      <c r="AT126" s="92"/>
    </row>
    <row r="127" spans="1:46">
      <c r="A127" s="36"/>
      <c r="B127" s="36"/>
      <c r="C127" s="36"/>
      <c r="D127" s="36"/>
      <c r="E127" s="36"/>
      <c r="F127" s="204"/>
      <c r="G127" s="36"/>
      <c r="H127" s="93"/>
      <c r="I127" s="192"/>
      <c r="J127" s="93"/>
      <c r="K127" s="36"/>
      <c r="L127" s="36"/>
      <c r="M127" s="92"/>
      <c r="N127" s="36"/>
      <c r="O127" s="36"/>
      <c r="P127" s="36"/>
      <c r="Q127" s="36"/>
      <c r="R127" s="36"/>
      <c r="S127" s="93"/>
      <c r="T127" s="93"/>
      <c r="U127" s="93"/>
      <c r="V127" s="36"/>
      <c r="W127" s="193"/>
      <c r="X127" s="93"/>
      <c r="Y127" s="93"/>
      <c r="Z127" s="36"/>
      <c r="AA127" s="92"/>
      <c r="AB127" s="92"/>
      <c r="AC127" s="92"/>
      <c r="AD127" s="92"/>
      <c r="AE127" s="92"/>
      <c r="AF127" s="92"/>
      <c r="AG127" s="92"/>
      <c r="AH127" s="92"/>
      <c r="AI127" s="92"/>
      <c r="AJ127" s="92"/>
      <c r="AK127" s="92"/>
      <c r="AL127" s="92"/>
      <c r="AM127" s="92"/>
      <c r="AN127" s="92"/>
      <c r="AO127" s="92"/>
      <c r="AP127" s="92"/>
      <c r="AQ127" s="92"/>
      <c r="AR127" s="92"/>
      <c r="AS127" s="92"/>
      <c r="AT127" s="92"/>
    </row>
    <row r="128" spans="1:46">
      <c r="A128" s="36"/>
      <c r="B128" s="36"/>
      <c r="C128" s="36"/>
      <c r="D128" s="36"/>
      <c r="E128" s="36"/>
      <c r="F128" s="204"/>
      <c r="G128" s="36"/>
      <c r="H128" s="93"/>
      <c r="I128" s="192"/>
      <c r="J128" s="93"/>
      <c r="K128" s="36"/>
      <c r="L128" s="36"/>
      <c r="M128" s="92"/>
      <c r="N128" s="36"/>
      <c r="O128" s="36"/>
      <c r="P128" s="36"/>
      <c r="Q128" s="36"/>
      <c r="R128" s="36"/>
      <c r="S128" s="93"/>
      <c r="T128" s="93"/>
      <c r="U128" s="93"/>
      <c r="V128" s="36"/>
      <c r="W128" s="193"/>
      <c r="X128" s="93"/>
      <c r="Y128" s="93"/>
      <c r="Z128" s="36"/>
      <c r="AA128" s="92"/>
      <c r="AB128" s="92"/>
      <c r="AC128" s="92"/>
      <c r="AD128" s="92"/>
      <c r="AE128" s="92"/>
      <c r="AF128" s="92"/>
      <c r="AG128" s="92"/>
      <c r="AH128" s="92"/>
      <c r="AI128" s="92"/>
      <c r="AJ128" s="92"/>
      <c r="AK128" s="92"/>
      <c r="AL128" s="92"/>
      <c r="AM128" s="92"/>
      <c r="AN128" s="92"/>
      <c r="AO128" s="92"/>
      <c r="AP128" s="92"/>
      <c r="AQ128" s="92"/>
      <c r="AR128" s="92"/>
      <c r="AS128" s="92"/>
      <c r="AT128" s="92"/>
    </row>
    <row r="129" spans="1:46">
      <c r="A129" s="36"/>
      <c r="B129" s="36"/>
      <c r="C129" s="36"/>
      <c r="D129" s="36"/>
      <c r="E129" s="36"/>
      <c r="F129" s="204"/>
      <c r="G129" s="36"/>
      <c r="H129" s="93"/>
      <c r="I129" s="192"/>
      <c r="J129" s="93"/>
      <c r="K129" s="36"/>
      <c r="L129" s="36"/>
      <c r="M129" s="92"/>
      <c r="N129" s="36"/>
      <c r="O129" s="36"/>
      <c r="P129" s="36"/>
      <c r="Q129" s="36"/>
      <c r="R129" s="36"/>
      <c r="S129" s="93"/>
      <c r="T129" s="93"/>
      <c r="U129" s="93"/>
      <c r="V129" s="36"/>
      <c r="W129" s="193"/>
      <c r="X129" s="93"/>
      <c r="Y129" s="93"/>
      <c r="Z129" s="36"/>
      <c r="AA129" s="92"/>
      <c r="AB129" s="92"/>
      <c r="AC129" s="92"/>
      <c r="AD129" s="92"/>
      <c r="AE129" s="92"/>
      <c r="AF129" s="92"/>
      <c r="AG129" s="92"/>
      <c r="AH129" s="92"/>
      <c r="AI129" s="92"/>
      <c r="AJ129" s="92"/>
      <c r="AK129" s="92"/>
      <c r="AL129" s="92"/>
      <c r="AM129" s="92"/>
      <c r="AN129" s="92"/>
      <c r="AO129" s="92"/>
      <c r="AP129" s="92"/>
      <c r="AQ129" s="92"/>
      <c r="AR129" s="92"/>
      <c r="AS129" s="92"/>
      <c r="AT129" s="92"/>
    </row>
    <row r="130" spans="1:46">
      <c r="A130" s="36"/>
      <c r="B130" s="36"/>
      <c r="C130" s="36"/>
      <c r="D130" s="36"/>
      <c r="E130" s="36"/>
      <c r="F130" s="204"/>
      <c r="G130" s="36"/>
      <c r="H130" s="93"/>
      <c r="I130" s="192"/>
      <c r="J130" s="93"/>
      <c r="K130" s="36"/>
      <c r="L130" s="36"/>
      <c r="M130" s="92"/>
      <c r="N130" s="36"/>
      <c r="O130" s="36"/>
      <c r="P130" s="36"/>
      <c r="Q130" s="36"/>
      <c r="R130" s="36"/>
      <c r="S130" s="93"/>
      <c r="T130" s="93"/>
      <c r="U130" s="93"/>
      <c r="V130" s="36"/>
      <c r="W130" s="193"/>
      <c r="X130" s="93"/>
      <c r="Y130" s="93"/>
      <c r="Z130" s="36"/>
      <c r="AA130" s="92"/>
      <c r="AB130" s="92"/>
      <c r="AC130" s="92"/>
      <c r="AD130" s="92"/>
      <c r="AE130" s="92"/>
      <c r="AF130" s="92"/>
      <c r="AG130" s="92"/>
      <c r="AH130" s="92"/>
      <c r="AI130" s="92"/>
      <c r="AJ130" s="92"/>
      <c r="AK130" s="92"/>
      <c r="AL130" s="92"/>
      <c r="AM130" s="92"/>
      <c r="AN130" s="92"/>
      <c r="AO130" s="92"/>
      <c r="AP130" s="92"/>
      <c r="AQ130" s="92"/>
      <c r="AR130" s="92"/>
      <c r="AS130" s="92"/>
      <c r="AT130" s="92"/>
    </row>
    <row r="131" spans="1:46">
      <c r="A131" s="36"/>
      <c r="B131" s="36"/>
      <c r="C131" s="36"/>
      <c r="D131" s="36"/>
      <c r="E131" s="36"/>
      <c r="F131" s="204"/>
      <c r="G131" s="36"/>
      <c r="H131" s="93"/>
      <c r="I131" s="192"/>
      <c r="J131" s="93"/>
      <c r="K131" s="36"/>
      <c r="L131" s="36"/>
      <c r="M131" s="92"/>
      <c r="N131" s="36"/>
      <c r="O131" s="36"/>
      <c r="P131" s="36"/>
      <c r="Q131" s="36"/>
      <c r="R131" s="36"/>
      <c r="S131" s="93"/>
      <c r="T131" s="93"/>
      <c r="U131" s="93"/>
      <c r="V131" s="36"/>
      <c r="W131" s="193"/>
      <c r="X131" s="93"/>
      <c r="Y131" s="93"/>
      <c r="Z131" s="36"/>
      <c r="AA131" s="92"/>
      <c r="AB131" s="92"/>
      <c r="AC131" s="92"/>
      <c r="AD131" s="92"/>
      <c r="AE131" s="92"/>
      <c r="AF131" s="92"/>
      <c r="AG131" s="92"/>
      <c r="AH131" s="92"/>
      <c r="AI131" s="92"/>
      <c r="AJ131" s="92"/>
      <c r="AK131" s="92"/>
      <c r="AL131" s="92"/>
      <c r="AM131" s="92"/>
      <c r="AN131" s="92"/>
      <c r="AO131" s="92"/>
      <c r="AP131" s="92"/>
      <c r="AQ131" s="92"/>
      <c r="AR131" s="92"/>
      <c r="AS131" s="92"/>
      <c r="AT131" s="92"/>
    </row>
    <row r="132" spans="1:46">
      <c r="A132" s="36"/>
      <c r="B132" s="36"/>
      <c r="C132" s="36"/>
      <c r="D132" s="36"/>
      <c r="E132" s="36"/>
      <c r="F132" s="204"/>
      <c r="G132" s="36"/>
      <c r="H132" s="93"/>
      <c r="I132" s="192"/>
      <c r="J132" s="93"/>
      <c r="K132" s="36"/>
      <c r="L132" s="36"/>
      <c r="M132" s="92"/>
      <c r="N132" s="36"/>
      <c r="O132" s="36"/>
      <c r="P132" s="36"/>
      <c r="Q132" s="36"/>
      <c r="R132" s="36"/>
      <c r="S132" s="93"/>
      <c r="T132" s="93"/>
      <c r="U132" s="93"/>
      <c r="V132" s="36"/>
      <c r="W132" s="193"/>
      <c r="X132" s="93"/>
      <c r="Y132" s="93"/>
      <c r="Z132" s="36"/>
      <c r="AA132" s="92"/>
      <c r="AB132" s="92"/>
      <c r="AC132" s="92"/>
      <c r="AD132" s="92"/>
      <c r="AE132" s="92"/>
      <c r="AF132" s="92"/>
      <c r="AG132" s="92"/>
      <c r="AH132" s="92"/>
      <c r="AI132" s="92"/>
      <c r="AJ132" s="92"/>
      <c r="AK132" s="92"/>
      <c r="AL132" s="92"/>
      <c r="AM132" s="92"/>
      <c r="AN132" s="92"/>
      <c r="AO132" s="92"/>
      <c r="AP132" s="92"/>
      <c r="AQ132" s="92"/>
      <c r="AR132" s="92"/>
      <c r="AS132" s="92"/>
      <c r="AT132" s="92"/>
    </row>
    <row r="133" spans="1:46">
      <c r="A133" s="36"/>
      <c r="B133" s="36"/>
      <c r="C133" s="36"/>
      <c r="D133" s="36"/>
      <c r="E133" s="36"/>
      <c r="F133" s="204"/>
      <c r="G133" s="36"/>
      <c r="H133" s="93"/>
      <c r="I133" s="192"/>
      <c r="J133" s="93"/>
      <c r="K133" s="36"/>
      <c r="L133" s="36"/>
      <c r="M133" s="92"/>
      <c r="N133" s="36"/>
      <c r="O133" s="36"/>
      <c r="P133" s="36"/>
      <c r="Q133" s="36"/>
      <c r="R133" s="36"/>
      <c r="S133" s="93"/>
      <c r="T133" s="93"/>
      <c r="U133" s="93"/>
      <c r="V133" s="36"/>
      <c r="W133" s="193"/>
      <c r="X133" s="93"/>
      <c r="Y133" s="93"/>
      <c r="Z133" s="36"/>
      <c r="AA133" s="92"/>
      <c r="AB133" s="92"/>
      <c r="AC133" s="92"/>
      <c r="AD133" s="92"/>
      <c r="AE133" s="92"/>
      <c r="AF133" s="92"/>
      <c r="AG133" s="92"/>
      <c r="AH133" s="92"/>
      <c r="AI133" s="92"/>
      <c r="AJ133" s="92"/>
      <c r="AK133" s="92"/>
      <c r="AL133" s="92"/>
      <c r="AM133" s="92"/>
      <c r="AN133" s="92"/>
      <c r="AO133" s="92"/>
      <c r="AP133" s="92"/>
      <c r="AQ133" s="92"/>
      <c r="AR133" s="92"/>
      <c r="AS133" s="92"/>
      <c r="AT133" s="92"/>
    </row>
    <row r="134" spans="1:46">
      <c r="A134" s="36"/>
      <c r="B134" s="36"/>
      <c r="C134" s="36"/>
      <c r="D134" s="36"/>
      <c r="E134" s="36"/>
      <c r="F134" s="204"/>
      <c r="G134" s="36"/>
      <c r="H134" s="93"/>
      <c r="I134" s="192"/>
      <c r="J134" s="93"/>
      <c r="K134" s="36"/>
      <c r="L134" s="36"/>
      <c r="M134" s="92"/>
      <c r="N134" s="36"/>
      <c r="O134" s="36"/>
      <c r="P134" s="36"/>
      <c r="Q134" s="36"/>
      <c r="R134" s="36"/>
      <c r="S134" s="93"/>
      <c r="T134" s="93"/>
      <c r="U134" s="93"/>
      <c r="V134" s="36"/>
      <c r="W134" s="193"/>
      <c r="X134" s="93"/>
      <c r="Y134" s="93"/>
      <c r="Z134" s="36"/>
      <c r="AA134" s="92"/>
      <c r="AB134" s="92"/>
      <c r="AC134" s="92"/>
      <c r="AD134" s="92"/>
      <c r="AE134" s="92"/>
      <c r="AF134" s="92"/>
      <c r="AG134" s="92"/>
      <c r="AH134" s="92"/>
      <c r="AI134" s="92"/>
      <c r="AJ134" s="92"/>
      <c r="AK134" s="92"/>
      <c r="AL134" s="92"/>
      <c r="AM134" s="92"/>
      <c r="AN134" s="92"/>
      <c r="AO134" s="92"/>
      <c r="AP134" s="92"/>
      <c r="AQ134" s="92"/>
      <c r="AR134" s="92"/>
      <c r="AS134" s="92"/>
      <c r="AT134" s="92"/>
    </row>
    <row r="135" spans="1:46">
      <c r="A135" s="36"/>
      <c r="B135" s="36"/>
      <c r="C135" s="36"/>
      <c r="D135" s="36"/>
      <c r="E135" s="36"/>
      <c r="F135" s="204"/>
      <c r="G135" s="36"/>
      <c r="H135" s="93"/>
      <c r="I135" s="192"/>
      <c r="J135" s="93"/>
      <c r="K135" s="36"/>
      <c r="L135" s="36"/>
      <c r="M135" s="92"/>
      <c r="N135" s="36"/>
      <c r="O135" s="36"/>
      <c r="P135" s="36"/>
      <c r="Q135" s="36"/>
      <c r="R135" s="36"/>
      <c r="S135" s="93"/>
      <c r="T135" s="93"/>
      <c r="U135" s="93"/>
      <c r="V135" s="36"/>
      <c r="W135" s="193"/>
      <c r="X135" s="93"/>
      <c r="Y135" s="93"/>
      <c r="Z135" s="36"/>
      <c r="AA135" s="92"/>
      <c r="AB135" s="92"/>
      <c r="AC135" s="92"/>
      <c r="AD135" s="92"/>
      <c r="AE135" s="92"/>
      <c r="AF135" s="92"/>
      <c r="AG135" s="92"/>
      <c r="AH135" s="92"/>
      <c r="AI135" s="92"/>
      <c r="AJ135" s="92"/>
      <c r="AK135" s="92"/>
      <c r="AL135" s="92"/>
      <c r="AM135" s="92"/>
      <c r="AN135" s="92"/>
      <c r="AO135" s="92"/>
      <c r="AP135" s="92"/>
      <c r="AQ135" s="92"/>
      <c r="AR135" s="92"/>
      <c r="AS135" s="92"/>
      <c r="AT135" s="92"/>
    </row>
    <row r="136" spans="1:46">
      <c r="A136" s="36"/>
      <c r="B136" s="36"/>
      <c r="C136" s="36"/>
      <c r="D136" s="36"/>
      <c r="E136" s="36"/>
      <c r="F136" s="204"/>
      <c r="G136" s="36"/>
      <c r="H136" s="93"/>
      <c r="I136" s="192"/>
      <c r="J136" s="93"/>
      <c r="K136" s="36"/>
      <c r="L136" s="36"/>
      <c r="M136" s="92"/>
      <c r="N136" s="36"/>
      <c r="O136" s="36"/>
      <c r="P136" s="36"/>
      <c r="Q136" s="36"/>
      <c r="R136" s="36"/>
      <c r="S136" s="93"/>
      <c r="T136" s="93"/>
      <c r="U136" s="93"/>
      <c r="V136" s="36"/>
      <c r="W136" s="193"/>
      <c r="X136" s="93"/>
      <c r="Y136" s="93"/>
      <c r="Z136" s="36"/>
      <c r="AA136" s="92"/>
      <c r="AB136" s="92"/>
      <c r="AC136" s="92"/>
      <c r="AD136" s="92"/>
      <c r="AE136" s="92"/>
      <c r="AF136" s="92"/>
      <c r="AG136" s="92"/>
      <c r="AH136" s="92"/>
      <c r="AI136" s="92"/>
      <c r="AJ136" s="92"/>
      <c r="AK136" s="92"/>
      <c r="AL136" s="92"/>
      <c r="AM136" s="92"/>
      <c r="AN136" s="92"/>
      <c r="AO136" s="92"/>
      <c r="AP136" s="92"/>
      <c r="AQ136" s="92"/>
      <c r="AR136" s="92"/>
      <c r="AS136" s="92"/>
      <c r="AT136" s="92"/>
    </row>
    <row r="137" spans="1:46">
      <c r="A137" s="36"/>
      <c r="B137" s="36"/>
      <c r="C137" s="36"/>
      <c r="D137" s="36"/>
      <c r="E137" s="36"/>
      <c r="F137" s="204"/>
      <c r="G137" s="36"/>
      <c r="H137" s="93"/>
      <c r="I137" s="192"/>
      <c r="J137" s="93"/>
      <c r="K137" s="36"/>
      <c r="L137" s="36"/>
      <c r="M137" s="92"/>
      <c r="N137" s="36"/>
      <c r="O137" s="36"/>
      <c r="P137" s="36"/>
      <c r="Q137" s="36"/>
      <c r="R137" s="36"/>
      <c r="S137" s="93"/>
      <c r="T137" s="93"/>
      <c r="U137" s="93"/>
      <c r="V137" s="36"/>
      <c r="W137" s="193"/>
      <c r="X137" s="93"/>
      <c r="Y137" s="93"/>
      <c r="Z137" s="36"/>
      <c r="AA137" s="92"/>
      <c r="AB137" s="92"/>
      <c r="AC137" s="92"/>
      <c r="AD137" s="92"/>
      <c r="AE137" s="92"/>
      <c r="AF137" s="92"/>
      <c r="AG137" s="92"/>
      <c r="AH137" s="92"/>
      <c r="AI137" s="92"/>
      <c r="AJ137" s="92"/>
      <c r="AK137" s="92"/>
      <c r="AL137" s="92"/>
      <c r="AM137" s="92"/>
      <c r="AN137" s="92"/>
      <c r="AO137" s="92"/>
      <c r="AP137" s="92"/>
      <c r="AQ137" s="92"/>
      <c r="AR137" s="92"/>
      <c r="AS137" s="92"/>
      <c r="AT137" s="92"/>
    </row>
    <row r="138" spans="1:46">
      <c r="A138" s="36"/>
      <c r="B138" s="36"/>
      <c r="C138" s="36"/>
      <c r="D138" s="36"/>
      <c r="E138" s="36"/>
      <c r="F138" s="204"/>
      <c r="G138" s="36"/>
      <c r="H138" s="93"/>
      <c r="I138" s="192"/>
      <c r="J138" s="93"/>
      <c r="K138" s="36"/>
      <c r="L138" s="36"/>
      <c r="M138" s="92"/>
      <c r="N138" s="36"/>
      <c r="O138" s="36"/>
      <c r="P138" s="36"/>
      <c r="Q138" s="36"/>
      <c r="R138" s="36"/>
      <c r="S138" s="93"/>
      <c r="T138" s="93"/>
      <c r="U138" s="93"/>
      <c r="V138" s="36"/>
      <c r="W138" s="193"/>
      <c r="X138" s="93"/>
      <c r="Y138" s="93"/>
      <c r="Z138" s="36"/>
      <c r="AA138" s="92"/>
      <c r="AB138" s="92"/>
      <c r="AC138" s="92"/>
      <c r="AD138" s="92"/>
      <c r="AE138" s="92"/>
      <c r="AF138" s="92"/>
      <c r="AG138" s="92"/>
      <c r="AH138" s="92"/>
      <c r="AI138" s="92"/>
      <c r="AJ138" s="92"/>
      <c r="AK138" s="92"/>
      <c r="AL138" s="92"/>
      <c r="AM138" s="92"/>
      <c r="AN138" s="92"/>
      <c r="AO138" s="92"/>
      <c r="AP138" s="92"/>
      <c r="AQ138" s="92"/>
      <c r="AR138" s="92"/>
      <c r="AS138" s="92"/>
      <c r="AT138" s="92"/>
    </row>
    <row r="139" spans="1:46">
      <c r="A139" s="36"/>
      <c r="B139" s="36"/>
      <c r="C139" s="36"/>
      <c r="D139" s="36"/>
      <c r="E139" s="36"/>
      <c r="F139" s="204"/>
      <c r="G139" s="36"/>
      <c r="H139" s="93"/>
      <c r="I139" s="192"/>
      <c r="J139" s="93"/>
      <c r="K139" s="36"/>
      <c r="L139" s="36"/>
      <c r="M139" s="92"/>
      <c r="N139" s="36"/>
      <c r="O139" s="36"/>
      <c r="P139" s="36"/>
      <c r="Q139" s="36"/>
      <c r="R139" s="36"/>
      <c r="S139" s="93"/>
      <c r="T139" s="93"/>
      <c r="U139" s="93"/>
      <c r="V139" s="36"/>
      <c r="W139" s="193"/>
      <c r="X139" s="93"/>
      <c r="Y139" s="93"/>
      <c r="Z139" s="36"/>
      <c r="AA139" s="92"/>
      <c r="AB139" s="92"/>
      <c r="AC139" s="92"/>
      <c r="AD139" s="92"/>
      <c r="AE139" s="92"/>
      <c r="AF139" s="92"/>
      <c r="AG139" s="92"/>
      <c r="AH139" s="92"/>
      <c r="AI139" s="92"/>
      <c r="AJ139" s="92"/>
      <c r="AK139" s="92"/>
      <c r="AL139" s="92"/>
      <c r="AM139" s="92"/>
      <c r="AN139" s="92"/>
      <c r="AO139" s="92"/>
      <c r="AP139" s="92"/>
      <c r="AQ139" s="92"/>
      <c r="AR139" s="92"/>
      <c r="AS139" s="92"/>
      <c r="AT139" s="92"/>
    </row>
    <row r="140" spans="1:46">
      <c r="A140" s="36"/>
      <c r="B140" s="36"/>
      <c r="C140" s="36"/>
      <c r="D140" s="36"/>
      <c r="E140" s="36"/>
      <c r="F140" s="204"/>
      <c r="G140" s="36"/>
      <c r="H140" s="93"/>
      <c r="I140" s="192"/>
      <c r="J140" s="93"/>
      <c r="K140" s="36"/>
      <c r="L140" s="36"/>
      <c r="M140" s="92"/>
      <c r="N140" s="36"/>
      <c r="O140" s="36"/>
      <c r="P140" s="36"/>
      <c r="Q140" s="36"/>
      <c r="R140" s="36"/>
      <c r="S140" s="93"/>
      <c r="T140" s="93"/>
      <c r="U140" s="93"/>
      <c r="V140" s="36"/>
      <c r="W140" s="193"/>
      <c r="X140" s="93"/>
      <c r="Y140" s="93"/>
      <c r="Z140" s="36"/>
      <c r="AA140" s="92"/>
      <c r="AB140" s="92"/>
      <c r="AC140" s="92"/>
      <c r="AD140" s="92"/>
      <c r="AE140" s="92"/>
      <c r="AF140" s="92"/>
      <c r="AG140" s="92"/>
      <c r="AH140" s="92"/>
      <c r="AI140" s="92"/>
      <c r="AJ140" s="92"/>
      <c r="AK140" s="92"/>
      <c r="AL140" s="92"/>
      <c r="AM140" s="92"/>
      <c r="AN140" s="92"/>
      <c r="AO140" s="92"/>
      <c r="AP140" s="92"/>
      <c r="AQ140" s="92"/>
      <c r="AR140" s="92"/>
      <c r="AS140" s="92"/>
      <c r="AT140" s="92"/>
    </row>
    <row r="141" spans="1:46">
      <c r="A141" s="36"/>
      <c r="B141" s="36"/>
      <c r="C141" s="36"/>
      <c r="D141" s="36"/>
      <c r="E141" s="36"/>
      <c r="F141" s="204"/>
      <c r="G141" s="36"/>
      <c r="H141" s="93"/>
      <c r="I141" s="192"/>
      <c r="J141" s="93"/>
      <c r="K141" s="36"/>
      <c r="L141" s="36"/>
      <c r="M141" s="92"/>
      <c r="N141" s="36"/>
      <c r="O141" s="36"/>
      <c r="P141" s="36"/>
      <c r="Q141" s="36"/>
      <c r="R141" s="36"/>
      <c r="S141" s="93"/>
      <c r="T141" s="93"/>
      <c r="U141" s="93"/>
      <c r="V141" s="36"/>
      <c r="W141" s="193"/>
      <c r="X141" s="93"/>
      <c r="Y141" s="93"/>
      <c r="Z141" s="36"/>
      <c r="AA141" s="92"/>
      <c r="AB141" s="92"/>
      <c r="AC141" s="92"/>
      <c r="AD141" s="92"/>
      <c r="AE141" s="92"/>
      <c r="AF141" s="92"/>
      <c r="AG141" s="92"/>
      <c r="AH141" s="92"/>
      <c r="AI141" s="92"/>
      <c r="AJ141" s="92"/>
      <c r="AK141" s="92"/>
      <c r="AL141" s="92"/>
      <c r="AM141" s="92"/>
      <c r="AN141" s="92"/>
      <c r="AO141" s="92"/>
      <c r="AP141" s="92"/>
      <c r="AQ141" s="92"/>
      <c r="AR141" s="92"/>
      <c r="AS141" s="92"/>
      <c r="AT141" s="92"/>
    </row>
    <row r="142" spans="1:46">
      <c r="A142" s="36"/>
      <c r="B142" s="36"/>
      <c r="C142" s="36"/>
      <c r="D142" s="36"/>
      <c r="E142" s="36"/>
      <c r="F142" s="204"/>
      <c r="G142" s="36"/>
      <c r="H142" s="93"/>
      <c r="I142" s="192"/>
      <c r="J142" s="93"/>
      <c r="K142" s="36"/>
      <c r="L142" s="36"/>
      <c r="M142" s="92"/>
      <c r="N142" s="36"/>
      <c r="O142" s="36"/>
      <c r="P142" s="36"/>
      <c r="Q142" s="36"/>
      <c r="R142" s="36"/>
      <c r="S142" s="93"/>
      <c r="T142" s="93"/>
      <c r="U142" s="93"/>
      <c r="V142" s="36"/>
      <c r="W142" s="193"/>
      <c r="X142" s="93"/>
      <c r="Y142" s="93"/>
      <c r="Z142" s="36"/>
      <c r="AA142" s="92"/>
      <c r="AB142" s="92"/>
      <c r="AC142" s="92"/>
      <c r="AD142" s="92"/>
      <c r="AE142" s="92"/>
      <c r="AF142" s="92"/>
      <c r="AG142" s="92"/>
      <c r="AH142" s="92"/>
      <c r="AI142" s="92"/>
      <c r="AJ142" s="92"/>
      <c r="AK142" s="92"/>
      <c r="AL142" s="92"/>
      <c r="AM142" s="92"/>
      <c r="AN142" s="92"/>
      <c r="AO142" s="92"/>
      <c r="AP142" s="92"/>
      <c r="AQ142" s="92"/>
      <c r="AR142" s="92"/>
      <c r="AS142" s="92"/>
      <c r="AT142" s="92"/>
    </row>
    <row r="143" spans="1:46">
      <c r="A143" s="36"/>
      <c r="B143" s="36"/>
      <c r="C143" s="36"/>
      <c r="D143" s="36"/>
      <c r="E143" s="36"/>
      <c r="F143" s="204"/>
      <c r="G143" s="36"/>
      <c r="H143" s="93"/>
      <c r="I143" s="192"/>
      <c r="J143" s="93"/>
      <c r="K143" s="36"/>
      <c r="L143" s="36"/>
      <c r="M143" s="92"/>
      <c r="N143" s="36"/>
      <c r="O143" s="36"/>
      <c r="P143" s="36"/>
      <c r="Q143" s="36"/>
      <c r="R143" s="36"/>
      <c r="S143" s="93"/>
      <c r="T143" s="93"/>
      <c r="U143" s="93"/>
      <c r="V143" s="36"/>
      <c r="W143" s="193"/>
      <c r="X143" s="93"/>
      <c r="Y143" s="93"/>
      <c r="Z143" s="36"/>
      <c r="AA143" s="92"/>
      <c r="AB143" s="92"/>
      <c r="AC143" s="92"/>
      <c r="AD143" s="92"/>
      <c r="AE143" s="92"/>
      <c r="AF143" s="92"/>
      <c r="AG143" s="92"/>
      <c r="AH143" s="92"/>
      <c r="AI143" s="92"/>
      <c r="AJ143" s="92"/>
      <c r="AK143" s="92"/>
      <c r="AL143" s="92"/>
      <c r="AM143" s="92"/>
      <c r="AN143" s="92"/>
      <c r="AO143" s="92"/>
      <c r="AP143" s="92"/>
      <c r="AQ143" s="92"/>
      <c r="AR143" s="92"/>
      <c r="AS143" s="92"/>
      <c r="AT143" s="92"/>
    </row>
    <row r="144" spans="1:46">
      <c r="A144" s="36"/>
      <c r="B144" s="36"/>
      <c r="C144" s="36"/>
      <c r="D144" s="36"/>
      <c r="E144" s="36"/>
      <c r="F144" s="204"/>
      <c r="G144" s="36"/>
      <c r="H144" s="93"/>
      <c r="I144" s="192"/>
      <c r="J144" s="93"/>
      <c r="K144" s="36"/>
      <c r="L144" s="36"/>
      <c r="M144" s="92"/>
      <c r="N144" s="36"/>
      <c r="O144" s="36"/>
      <c r="P144" s="36"/>
      <c r="Q144" s="36"/>
      <c r="R144" s="36"/>
      <c r="S144" s="93"/>
      <c r="T144" s="93"/>
      <c r="U144" s="93"/>
      <c r="V144" s="36"/>
      <c r="W144" s="193"/>
      <c r="X144" s="93"/>
      <c r="Y144" s="93"/>
      <c r="Z144" s="36"/>
      <c r="AA144" s="92"/>
      <c r="AB144" s="92"/>
      <c r="AC144" s="92"/>
      <c r="AD144" s="92"/>
      <c r="AE144" s="92"/>
      <c r="AF144" s="92"/>
      <c r="AG144" s="92"/>
      <c r="AH144" s="92"/>
      <c r="AI144" s="92"/>
      <c r="AJ144" s="92"/>
      <c r="AK144" s="92"/>
      <c r="AL144" s="92"/>
      <c r="AM144" s="92"/>
      <c r="AN144" s="92"/>
      <c r="AO144" s="92"/>
      <c r="AP144" s="92"/>
      <c r="AQ144" s="92"/>
      <c r="AR144" s="92"/>
      <c r="AS144" s="92"/>
      <c r="AT144" s="92"/>
    </row>
    <row r="145" spans="1:46">
      <c r="A145" s="36"/>
      <c r="B145" s="36"/>
      <c r="C145" s="36"/>
      <c r="D145" s="36"/>
      <c r="E145" s="36"/>
      <c r="F145" s="204"/>
      <c r="G145" s="36"/>
      <c r="H145" s="93"/>
      <c r="I145" s="192"/>
      <c r="J145" s="93"/>
      <c r="K145" s="36"/>
      <c r="L145" s="36"/>
      <c r="M145" s="92"/>
      <c r="N145" s="36"/>
      <c r="O145" s="36"/>
      <c r="P145" s="36"/>
      <c r="Q145" s="36"/>
      <c r="R145" s="36"/>
      <c r="S145" s="93"/>
      <c r="T145" s="93"/>
      <c r="U145" s="93"/>
      <c r="V145" s="36"/>
      <c r="W145" s="193"/>
      <c r="X145" s="93"/>
      <c r="Y145" s="93"/>
      <c r="Z145" s="36"/>
      <c r="AA145" s="92"/>
      <c r="AB145" s="92"/>
      <c r="AC145" s="92"/>
      <c r="AD145" s="92"/>
      <c r="AE145" s="92"/>
      <c r="AF145" s="92"/>
      <c r="AG145" s="92"/>
      <c r="AH145" s="92"/>
      <c r="AI145" s="92"/>
      <c r="AJ145" s="92"/>
      <c r="AK145" s="92"/>
      <c r="AL145" s="92"/>
      <c r="AM145" s="92"/>
      <c r="AN145" s="92"/>
      <c r="AO145" s="92"/>
      <c r="AP145" s="92"/>
      <c r="AQ145" s="92"/>
      <c r="AR145" s="92"/>
      <c r="AS145" s="92"/>
      <c r="AT145" s="92"/>
    </row>
    <row r="146" spans="1:46">
      <c r="A146" s="36"/>
      <c r="B146" s="36"/>
      <c r="C146" s="36"/>
      <c r="D146" s="36"/>
      <c r="E146" s="36"/>
      <c r="F146" s="204"/>
      <c r="G146" s="36"/>
      <c r="H146" s="93"/>
      <c r="I146" s="192"/>
      <c r="J146" s="93"/>
      <c r="K146" s="36"/>
      <c r="L146" s="36"/>
      <c r="M146" s="92"/>
      <c r="N146" s="36"/>
      <c r="O146" s="36"/>
      <c r="P146" s="36"/>
      <c r="Q146" s="36"/>
      <c r="R146" s="36"/>
      <c r="S146" s="93"/>
      <c r="T146" s="93"/>
      <c r="U146" s="93"/>
      <c r="V146" s="36"/>
      <c r="W146" s="193"/>
      <c r="X146" s="93"/>
      <c r="Y146" s="93"/>
      <c r="Z146" s="36"/>
      <c r="AA146" s="92"/>
      <c r="AB146" s="92"/>
      <c r="AC146" s="92"/>
      <c r="AD146" s="92"/>
      <c r="AE146" s="92"/>
      <c r="AF146" s="92"/>
      <c r="AG146" s="92"/>
      <c r="AH146" s="92"/>
      <c r="AI146" s="92"/>
      <c r="AJ146" s="92"/>
      <c r="AK146" s="92"/>
      <c r="AL146" s="92"/>
      <c r="AM146" s="92"/>
      <c r="AN146" s="92"/>
      <c r="AO146" s="92"/>
      <c r="AP146" s="92"/>
      <c r="AQ146" s="92"/>
      <c r="AR146" s="92"/>
      <c r="AS146" s="92"/>
      <c r="AT146" s="92"/>
    </row>
    <row r="147" spans="1:46">
      <c r="A147" s="36"/>
      <c r="B147" s="36"/>
      <c r="C147" s="36"/>
      <c r="D147" s="36"/>
      <c r="E147" s="36"/>
      <c r="F147" s="204"/>
      <c r="G147" s="36"/>
      <c r="H147" s="93"/>
      <c r="I147" s="192"/>
      <c r="J147" s="93"/>
      <c r="K147" s="36"/>
      <c r="L147" s="36"/>
      <c r="M147" s="92"/>
      <c r="N147" s="36"/>
      <c r="O147" s="36"/>
      <c r="P147" s="36"/>
      <c r="Q147" s="36"/>
      <c r="R147" s="36"/>
      <c r="S147" s="93"/>
      <c r="T147" s="93"/>
      <c r="U147" s="93"/>
      <c r="V147" s="36"/>
      <c r="W147" s="193"/>
      <c r="X147" s="93"/>
      <c r="Y147" s="93"/>
      <c r="Z147" s="36"/>
      <c r="AA147" s="92"/>
      <c r="AB147" s="92"/>
      <c r="AC147" s="92"/>
      <c r="AD147" s="92"/>
      <c r="AE147" s="92"/>
      <c r="AF147" s="92"/>
      <c r="AG147" s="92"/>
      <c r="AH147" s="92"/>
      <c r="AI147" s="92"/>
      <c r="AJ147" s="92"/>
      <c r="AK147" s="92"/>
      <c r="AL147" s="92"/>
      <c r="AM147" s="92"/>
      <c r="AN147" s="92"/>
      <c r="AO147" s="92"/>
      <c r="AP147" s="92"/>
      <c r="AQ147" s="92"/>
      <c r="AR147" s="92"/>
      <c r="AS147" s="92"/>
      <c r="AT147" s="92"/>
    </row>
    <row r="148" spans="1:46">
      <c r="A148" s="36"/>
      <c r="B148" s="36"/>
      <c r="C148" s="36"/>
      <c r="D148" s="36"/>
      <c r="E148" s="36"/>
      <c r="F148" s="204"/>
      <c r="G148" s="36"/>
      <c r="H148" s="93"/>
      <c r="I148" s="192"/>
      <c r="J148" s="93"/>
      <c r="K148" s="36"/>
      <c r="L148" s="36"/>
      <c r="M148" s="92"/>
      <c r="N148" s="36"/>
      <c r="O148" s="36"/>
      <c r="P148" s="36"/>
      <c r="Q148" s="36"/>
      <c r="R148" s="36"/>
      <c r="S148" s="93"/>
      <c r="T148" s="93"/>
      <c r="U148" s="93"/>
      <c r="V148" s="36"/>
      <c r="W148" s="193"/>
      <c r="X148" s="93"/>
      <c r="Y148" s="93"/>
      <c r="Z148" s="36"/>
      <c r="AA148" s="92"/>
      <c r="AB148" s="92"/>
      <c r="AC148" s="92"/>
      <c r="AD148" s="92"/>
      <c r="AE148" s="92"/>
      <c r="AF148" s="92"/>
      <c r="AG148" s="92"/>
      <c r="AH148" s="92"/>
      <c r="AI148" s="92"/>
      <c r="AJ148" s="92"/>
      <c r="AK148" s="92"/>
      <c r="AL148" s="92"/>
      <c r="AM148" s="92"/>
      <c r="AN148" s="92"/>
      <c r="AO148" s="92"/>
      <c r="AP148" s="92"/>
      <c r="AQ148" s="92"/>
      <c r="AR148" s="92"/>
      <c r="AS148" s="92"/>
      <c r="AT148" s="92"/>
    </row>
    <row r="149" spans="1:46">
      <c r="A149" s="36"/>
      <c r="B149" s="36"/>
      <c r="C149" s="36"/>
      <c r="D149" s="36"/>
      <c r="E149" s="36"/>
      <c r="F149" s="204"/>
      <c r="G149" s="36"/>
      <c r="H149" s="93"/>
      <c r="I149" s="192"/>
      <c r="J149" s="93"/>
      <c r="K149" s="36"/>
      <c r="L149" s="36"/>
      <c r="M149" s="92"/>
      <c r="N149" s="36"/>
      <c r="O149" s="36"/>
      <c r="P149" s="36"/>
      <c r="Q149" s="36"/>
      <c r="R149" s="36"/>
      <c r="S149" s="93"/>
      <c r="T149" s="93"/>
      <c r="U149" s="93"/>
      <c r="V149" s="36"/>
      <c r="W149" s="193"/>
      <c r="X149" s="93"/>
      <c r="Y149" s="93"/>
      <c r="Z149" s="36"/>
      <c r="AA149" s="92"/>
      <c r="AB149" s="92"/>
      <c r="AC149" s="92"/>
      <c r="AD149" s="92"/>
      <c r="AE149" s="92"/>
      <c r="AF149" s="92"/>
      <c r="AG149" s="92"/>
      <c r="AH149" s="92"/>
      <c r="AI149" s="92"/>
      <c r="AJ149" s="92"/>
      <c r="AK149" s="92"/>
      <c r="AL149" s="92"/>
      <c r="AM149" s="92"/>
      <c r="AN149" s="92"/>
      <c r="AO149" s="92"/>
      <c r="AP149" s="92"/>
      <c r="AQ149" s="92"/>
      <c r="AR149" s="92"/>
      <c r="AS149" s="92"/>
      <c r="AT149" s="92"/>
    </row>
    <row r="150" spans="1:46">
      <c r="A150" s="36"/>
      <c r="B150" s="36"/>
      <c r="C150" s="36"/>
      <c r="D150" s="36"/>
      <c r="E150" s="36"/>
      <c r="F150" s="204"/>
      <c r="G150" s="36"/>
      <c r="H150" s="93"/>
      <c r="I150" s="192"/>
      <c r="J150" s="93"/>
      <c r="K150" s="36"/>
      <c r="L150" s="36"/>
      <c r="M150" s="92"/>
      <c r="N150" s="36"/>
      <c r="O150" s="36"/>
      <c r="P150" s="36"/>
      <c r="Q150" s="36"/>
      <c r="R150" s="36"/>
      <c r="S150" s="93"/>
      <c r="T150" s="93"/>
      <c r="U150" s="93"/>
      <c r="V150" s="36"/>
      <c r="W150" s="193"/>
      <c r="X150" s="93"/>
      <c r="Y150" s="93"/>
      <c r="Z150" s="36"/>
      <c r="AA150" s="92"/>
      <c r="AB150" s="92"/>
      <c r="AC150" s="92"/>
      <c r="AD150" s="92"/>
      <c r="AE150" s="92"/>
      <c r="AF150" s="92"/>
      <c r="AG150" s="92"/>
      <c r="AH150" s="92"/>
      <c r="AI150" s="92"/>
      <c r="AJ150" s="92"/>
      <c r="AK150" s="92"/>
      <c r="AL150" s="92"/>
      <c r="AM150" s="92"/>
      <c r="AN150" s="92"/>
      <c r="AO150" s="92"/>
      <c r="AP150" s="92"/>
      <c r="AQ150" s="92"/>
      <c r="AR150" s="92"/>
      <c r="AS150" s="92"/>
      <c r="AT150" s="92"/>
    </row>
    <row r="151" spans="1:46">
      <c r="A151" s="36"/>
      <c r="B151" s="36"/>
      <c r="C151" s="36"/>
      <c r="D151" s="36"/>
      <c r="E151" s="36"/>
      <c r="F151" s="204"/>
      <c r="G151" s="36"/>
      <c r="H151" s="93"/>
      <c r="I151" s="192"/>
      <c r="J151" s="93"/>
      <c r="K151" s="36"/>
      <c r="L151" s="36"/>
      <c r="M151" s="92"/>
      <c r="N151" s="36"/>
      <c r="O151" s="36"/>
      <c r="P151" s="36"/>
      <c r="Q151" s="36"/>
      <c r="R151" s="36"/>
      <c r="S151" s="93"/>
      <c r="T151" s="93"/>
      <c r="U151" s="93"/>
      <c r="V151" s="36"/>
      <c r="W151" s="193"/>
      <c r="X151" s="93"/>
      <c r="Y151" s="93"/>
      <c r="Z151" s="36"/>
      <c r="AA151" s="92"/>
      <c r="AB151" s="92"/>
      <c r="AC151" s="92"/>
      <c r="AD151" s="92"/>
      <c r="AE151" s="92"/>
      <c r="AF151" s="92"/>
      <c r="AG151" s="92"/>
      <c r="AH151" s="92"/>
      <c r="AI151" s="92"/>
      <c r="AJ151" s="92"/>
      <c r="AK151" s="92"/>
      <c r="AL151" s="92"/>
      <c r="AM151" s="92"/>
      <c r="AN151" s="92"/>
      <c r="AO151" s="92"/>
      <c r="AP151" s="92"/>
      <c r="AQ151" s="92"/>
      <c r="AR151" s="92"/>
      <c r="AS151" s="92"/>
      <c r="AT151" s="92"/>
    </row>
    <row r="152" spans="1:46">
      <c r="A152" s="36"/>
      <c r="B152" s="36"/>
      <c r="C152" s="36"/>
      <c r="D152" s="36"/>
      <c r="E152" s="36"/>
      <c r="F152" s="204"/>
      <c r="G152" s="36"/>
      <c r="H152" s="93"/>
      <c r="I152" s="192"/>
      <c r="J152" s="93"/>
      <c r="K152" s="36"/>
      <c r="L152" s="36"/>
      <c r="M152" s="92"/>
      <c r="N152" s="36"/>
      <c r="O152" s="36"/>
      <c r="P152" s="36"/>
      <c r="Q152" s="36"/>
      <c r="R152" s="36"/>
      <c r="S152" s="93"/>
      <c r="T152" s="93"/>
      <c r="U152" s="93"/>
      <c r="V152" s="36"/>
      <c r="W152" s="193"/>
      <c r="X152" s="93"/>
      <c r="Y152" s="93"/>
      <c r="Z152" s="36"/>
      <c r="AA152" s="92"/>
      <c r="AB152" s="92"/>
      <c r="AC152" s="92"/>
      <c r="AD152" s="92"/>
      <c r="AE152" s="92"/>
      <c r="AF152" s="92"/>
      <c r="AG152" s="92"/>
      <c r="AH152" s="92"/>
      <c r="AI152" s="92"/>
      <c r="AJ152" s="92"/>
      <c r="AK152" s="92"/>
      <c r="AL152" s="92"/>
      <c r="AM152" s="92"/>
      <c r="AN152" s="92"/>
      <c r="AO152" s="92"/>
      <c r="AP152" s="92"/>
      <c r="AQ152" s="92"/>
      <c r="AR152" s="92"/>
      <c r="AS152" s="92"/>
      <c r="AT152" s="92"/>
    </row>
    <row r="153" spans="1:46">
      <c r="A153" s="36"/>
      <c r="B153" s="36"/>
      <c r="C153" s="36"/>
      <c r="D153" s="36"/>
      <c r="E153" s="36"/>
      <c r="F153" s="204"/>
      <c r="G153" s="36"/>
      <c r="H153" s="93"/>
      <c r="I153" s="192"/>
      <c r="J153" s="93"/>
      <c r="K153" s="36"/>
      <c r="L153" s="36"/>
      <c r="M153" s="92"/>
      <c r="N153" s="36"/>
      <c r="O153" s="36"/>
      <c r="P153" s="36"/>
      <c r="Q153" s="36"/>
      <c r="R153" s="36"/>
      <c r="S153" s="93"/>
      <c r="T153" s="93"/>
      <c r="U153" s="93"/>
      <c r="V153" s="36"/>
      <c r="W153" s="193"/>
      <c r="X153" s="93"/>
      <c r="Y153" s="93"/>
      <c r="Z153" s="36"/>
      <c r="AA153" s="92"/>
      <c r="AB153" s="92"/>
      <c r="AC153" s="92"/>
      <c r="AD153" s="92"/>
      <c r="AE153" s="92"/>
      <c r="AF153" s="92"/>
      <c r="AG153" s="92"/>
      <c r="AH153" s="92"/>
      <c r="AI153" s="92"/>
      <c r="AJ153" s="92"/>
      <c r="AK153" s="92"/>
      <c r="AL153" s="92"/>
      <c r="AM153" s="92"/>
      <c r="AN153" s="92"/>
      <c r="AO153" s="92"/>
      <c r="AP153" s="92"/>
      <c r="AQ153" s="92"/>
      <c r="AR153" s="92"/>
      <c r="AS153" s="92"/>
      <c r="AT153" s="92"/>
    </row>
    <row r="154" spans="1:46">
      <c r="A154" s="36"/>
      <c r="B154" s="36"/>
      <c r="C154" s="36"/>
      <c r="D154" s="36"/>
      <c r="E154" s="36"/>
      <c r="F154" s="204"/>
      <c r="G154" s="36"/>
      <c r="H154" s="93"/>
      <c r="I154" s="192"/>
      <c r="J154" s="93"/>
      <c r="K154" s="36"/>
      <c r="L154" s="36"/>
      <c r="M154" s="92"/>
      <c r="N154" s="36"/>
      <c r="O154" s="36"/>
      <c r="P154" s="36"/>
      <c r="Q154" s="36"/>
      <c r="R154" s="36"/>
      <c r="S154" s="93"/>
      <c r="T154" s="93"/>
      <c r="U154" s="93"/>
      <c r="V154" s="36"/>
      <c r="W154" s="193"/>
      <c r="X154" s="93"/>
      <c r="Y154" s="93"/>
      <c r="Z154" s="36"/>
      <c r="AA154" s="92"/>
      <c r="AB154" s="92"/>
      <c r="AC154" s="92"/>
      <c r="AD154" s="92"/>
      <c r="AE154" s="92"/>
      <c r="AF154" s="92"/>
      <c r="AG154" s="92"/>
      <c r="AH154" s="92"/>
      <c r="AI154" s="92"/>
      <c r="AJ154" s="92"/>
      <c r="AK154" s="92"/>
      <c r="AL154" s="92"/>
      <c r="AM154" s="92"/>
      <c r="AN154" s="92"/>
      <c r="AO154" s="92"/>
      <c r="AP154" s="92"/>
      <c r="AQ154" s="92"/>
      <c r="AR154" s="92"/>
      <c r="AS154" s="92"/>
      <c r="AT154" s="92"/>
    </row>
    <row r="155" spans="1:46">
      <c r="A155" s="36"/>
      <c r="B155" s="36"/>
      <c r="C155" s="36"/>
      <c r="D155" s="36"/>
      <c r="E155" s="36"/>
      <c r="F155" s="204"/>
      <c r="G155" s="36"/>
      <c r="H155" s="93"/>
      <c r="I155" s="192"/>
      <c r="J155" s="93"/>
      <c r="K155" s="36"/>
      <c r="L155" s="36"/>
      <c r="M155" s="92"/>
      <c r="N155" s="36"/>
      <c r="O155" s="36"/>
      <c r="P155" s="36"/>
      <c r="Q155" s="36"/>
      <c r="R155" s="36"/>
      <c r="S155" s="93"/>
      <c r="T155" s="93"/>
      <c r="U155" s="93"/>
      <c r="V155" s="36"/>
      <c r="W155" s="193"/>
      <c r="X155" s="93"/>
      <c r="Y155" s="93"/>
      <c r="Z155" s="36"/>
      <c r="AA155" s="92"/>
      <c r="AB155" s="92"/>
      <c r="AC155" s="92"/>
      <c r="AD155" s="92"/>
      <c r="AE155" s="92"/>
      <c r="AF155" s="92"/>
      <c r="AG155" s="92"/>
      <c r="AH155" s="92"/>
      <c r="AI155" s="92"/>
      <c r="AJ155" s="92"/>
      <c r="AK155" s="92"/>
      <c r="AL155" s="92"/>
      <c r="AM155" s="92"/>
      <c r="AN155" s="92"/>
      <c r="AO155" s="92"/>
      <c r="AP155" s="92"/>
      <c r="AQ155" s="92"/>
      <c r="AR155" s="92"/>
      <c r="AS155" s="92"/>
      <c r="AT155" s="92"/>
    </row>
    <row r="156" spans="1:46">
      <c r="A156" s="36"/>
      <c r="B156" s="36"/>
      <c r="C156" s="36"/>
      <c r="D156" s="36"/>
      <c r="E156" s="36"/>
      <c r="F156" s="204"/>
      <c r="G156" s="36"/>
      <c r="H156" s="93"/>
      <c r="I156" s="192"/>
      <c r="J156" s="93"/>
      <c r="K156" s="36"/>
      <c r="L156" s="36"/>
      <c r="M156" s="92"/>
      <c r="N156" s="36"/>
      <c r="O156" s="36"/>
      <c r="P156" s="36"/>
      <c r="Q156" s="36"/>
      <c r="R156" s="36"/>
      <c r="S156" s="93"/>
      <c r="T156" s="93"/>
      <c r="U156" s="93"/>
      <c r="V156" s="36"/>
      <c r="W156" s="193"/>
      <c r="X156" s="93"/>
      <c r="Y156" s="93"/>
      <c r="Z156" s="36"/>
      <c r="AA156" s="92"/>
      <c r="AB156" s="92"/>
      <c r="AC156" s="92"/>
      <c r="AD156" s="92"/>
      <c r="AE156" s="92"/>
      <c r="AF156" s="92"/>
      <c r="AG156" s="92"/>
      <c r="AH156" s="92"/>
      <c r="AI156" s="92"/>
      <c r="AJ156" s="92"/>
      <c r="AK156" s="92"/>
      <c r="AL156" s="92"/>
      <c r="AM156" s="92"/>
      <c r="AN156" s="92"/>
      <c r="AO156" s="92"/>
      <c r="AP156" s="92"/>
      <c r="AQ156" s="92"/>
      <c r="AR156" s="92"/>
      <c r="AS156" s="92"/>
      <c r="AT156" s="92"/>
    </row>
    <row r="157" spans="1:46">
      <c r="A157" s="36"/>
      <c r="B157" s="36"/>
      <c r="C157" s="36"/>
      <c r="D157" s="36"/>
      <c r="E157" s="36"/>
      <c r="F157" s="204"/>
      <c r="G157" s="36"/>
      <c r="H157" s="93"/>
      <c r="I157" s="192"/>
      <c r="J157" s="93"/>
      <c r="K157" s="36"/>
      <c r="L157" s="36"/>
      <c r="M157" s="92"/>
      <c r="N157" s="36"/>
      <c r="O157" s="36"/>
      <c r="P157" s="36"/>
      <c r="Q157" s="36"/>
      <c r="R157" s="36"/>
      <c r="S157" s="93"/>
      <c r="T157" s="93"/>
      <c r="U157" s="93"/>
      <c r="V157" s="36"/>
      <c r="W157" s="193"/>
      <c r="X157" s="93"/>
      <c r="Y157" s="93"/>
      <c r="Z157" s="36"/>
      <c r="AA157" s="92"/>
      <c r="AB157" s="92"/>
      <c r="AC157" s="92"/>
      <c r="AD157" s="92"/>
      <c r="AE157" s="92"/>
      <c r="AF157" s="92"/>
      <c r="AG157" s="92"/>
      <c r="AH157" s="92"/>
      <c r="AI157" s="92"/>
      <c r="AJ157" s="92"/>
      <c r="AK157" s="92"/>
      <c r="AL157" s="92"/>
      <c r="AM157" s="92"/>
      <c r="AN157" s="92"/>
      <c r="AO157" s="92"/>
      <c r="AP157" s="92"/>
      <c r="AQ157" s="92"/>
      <c r="AR157" s="92"/>
      <c r="AS157" s="92"/>
      <c r="AT157" s="92"/>
    </row>
    <row r="158" spans="1:46">
      <c r="A158" s="36"/>
      <c r="B158" s="36"/>
      <c r="C158" s="36"/>
      <c r="D158" s="36"/>
      <c r="E158" s="36"/>
      <c r="F158" s="204"/>
      <c r="G158" s="36"/>
      <c r="H158" s="93"/>
      <c r="I158" s="192"/>
      <c r="J158" s="93"/>
      <c r="K158" s="36"/>
      <c r="L158" s="36"/>
      <c r="M158" s="92"/>
      <c r="N158" s="36"/>
      <c r="O158" s="36"/>
      <c r="P158" s="36"/>
      <c r="Q158" s="36"/>
      <c r="R158" s="36"/>
      <c r="S158" s="93"/>
      <c r="T158" s="93"/>
      <c r="U158" s="93"/>
      <c r="V158" s="36"/>
      <c r="W158" s="193"/>
      <c r="X158" s="93"/>
      <c r="Y158" s="93"/>
      <c r="Z158" s="36"/>
      <c r="AA158" s="92"/>
      <c r="AB158" s="92"/>
      <c r="AC158" s="92"/>
      <c r="AD158" s="92"/>
      <c r="AE158" s="92"/>
      <c r="AF158" s="92"/>
      <c r="AG158" s="92"/>
      <c r="AH158" s="92"/>
      <c r="AI158" s="92"/>
      <c r="AJ158" s="92"/>
      <c r="AK158" s="92"/>
      <c r="AL158" s="92"/>
      <c r="AM158" s="92"/>
      <c r="AN158" s="92"/>
      <c r="AO158" s="92"/>
      <c r="AP158" s="92"/>
      <c r="AQ158" s="92"/>
      <c r="AR158" s="92"/>
      <c r="AS158" s="92"/>
      <c r="AT158" s="92"/>
    </row>
    <row r="159" spans="1:46">
      <c r="A159" s="36"/>
      <c r="B159" s="36"/>
      <c r="C159" s="36"/>
      <c r="D159" s="36"/>
      <c r="E159" s="36"/>
      <c r="F159" s="204"/>
      <c r="G159" s="36"/>
      <c r="H159" s="93"/>
      <c r="I159" s="192"/>
      <c r="J159" s="93"/>
      <c r="K159" s="36"/>
      <c r="L159" s="36"/>
      <c r="M159" s="92"/>
      <c r="N159" s="36"/>
      <c r="O159" s="36"/>
      <c r="P159" s="36"/>
      <c r="Q159" s="36"/>
      <c r="R159" s="36"/>
      <c r="S159" s="93"/>
      <c r="T159" s="93"/>
      <c r="U159" s="93"/>
      <c r="V159" s="36"/>
      <c r="W159" s="193"/>
      <c r="X159" s="93"/>
      <c r="Y159" s="93"/>
      <c r="Z159" s="36"/>
      <c r="AA159" s="92"/>
      <c r="AB159" s="92"/>
      <c r="AC159" s="92"/>
      <c r="AD159" s="92"/>
      <c r="AE159" s="92"/>
      <c r="AF159" s="92"/>
      <c r="AG159" s="92"/>
      <c r="AH159" s="92"/>
      <c r="AI159" s="92"/>
      <c r="AJ159" s="92"/>
      <c r="AK159" s="92"/>
      <c r="AL159" s="92"/>
      <c r="AM159" s="92"/>
      <c r="AN159" s="92"/>
      <c r="AO159" s="92"/>
      <c r="AP159" s="92"/>
      <c r="AQ159" s="92"/>
      <c r="AR159" s="92"/>
      <c r="AS159" s="92"/>
      <c r="AT159" s="92"/>
    </row>
    <row r="160" spans="1:46">
      <c r="A160" s="36"/>
      <c r="B160" s="36"/>
      <c r="C160" s="36"/>
      <c r="D160" s="36"/>
      <c r="E160" s="36"/>
      <c r="F160" s="204"/>
      <c r="G160" s="36"/>
      <c r="H160" s="93"/>
      <c r="I160" s="192"/>
      <c r="J160" s="93"/>
      <c r="K160" s="36"/>
      <c r="L160" s="36"/>
      <c r="M160" s="92"/>
      <c r="N160" s="36"/>
      <c r="O160" s="36"/>
      <c r="P160" s="36"/>
      <c r="Q160" s="36"/>
      <c r="R160" s="36"/>
      <c r="S160" s="93"/>
      <c r="T160" s="93"/>
      <c r="U160" s="93"/>
      <c r="V160" s="36"/>
      <c r="W160" s="193"/>
      <c r="X160" s="93"/>
      <c r="Y160" s="93"/>
      <c r="Z160" s="36"/>
      <c r="AA160" s="92"/>
      <c r="AB160" s="92"/>
      <c r="AC160" s="92"/>
      <c r="AD160" s="92"/>
      <c r="AE160" s="92"/>
      <c r="AF160" s="92"/>
      <c r="AG160" s="92"/>
      <c r="AH160" s="92"/>
      <c r="AI160" s="92"/>
      <c r="AJ160" s="92"/>
      <c r="AK160" s="92"/>
      <c r="AL160" s="92"/>
      <c r="AM160" s="92"/>
      <c r="AN160" s="92"/>
      <c r="AO160" s="92"/>
      <c r="AP160" s="92"/>
      <c r="AQ160" s="92"/>
      <c r="AR160" s="92"/>
      <c r="AS160" s="92"/>
      <c r="AT160" s="92"/>
    </row>
    <row r="161" spans="1:46">
      <c r="A161" s="36"/>
      <c r="B161" s="36"/>
      <c r="C161" s="36"/>
      <c r="D161" s="36"/>
      <c r="E161" s="36"/>
      <c r="F161" s="204"/>
      <c r="G161" s="36"/>
      <c r="H161" s="93"/>
      <c r="I161" s="192"/>
      <c r="J161" s="93"/>
      <c r="K161" s="36"/>
      <c r="L161" s="36"/>
      <c r="M161" s="92"/>
      <c r="N161" s="36"/>
      <c r="O161" s="36"/>
      <c r="P161" s="36"/>
      <c r="Q161" s="36"/>
      <c r="R161" s="36"/>
      <c r="S161" s="93"/>
      <c r="T161" s="93"/>
      <c r="U161" s="93"/>
      <c r="V161" s="36"/>
      <c r="W161" s="193"/>
      <c r="X161" s="93"/>
      <c r="Y161" s="93"/>
      <c r="Z161" s="36"/>
      <c r="AA161" s="92"/>
      <c r="AB161" s="92"/>
      <c r="AC161" s="92"/>
      <c r="AD161" s="92"/>
      <c r="AE161" s="92"/>
      <c r="AF161" s="92"/>
      <c r="AG161" s="92"/>
      <c r="AH161" s="92"/>
      <c r="AI161" s="92"/>
      <c r="AJ161" s="92"/>
      <c r="AK161" s="92"/>
      <c r="AL161" s="92"/>
      <c r="AM161" s="92"/>
      <c r="AN161" s="92"/>
      <c r="AO161" s="92"/>
      <c r="AP161" s="92"/>
      <c r="AQ161" s="92"/>
      <c r="AR161" s="92"/>
      <c r="AS161" s="92"/>
      <c r="AT161" s="92"/>
    </row>
    <row r="162" spans="1:46">
      <c r="A162" s="36"/>
      <c r="B162" s="36"/>
      <c r="C162" s="36"/>
      <c r="D162" s="36"/>
      <c r="E162" s="36"/>
      <c r="F162" s="204"/>
      <c r="G162" s="36"/>
      <c r="H162" s="93"/>
      <c r="I162" s="192"/>
      <c r="J162" s="93"/>
      <c r="K162" s="36"/>
      <c r="L162" s="36"/>
      <c r="M162" s="92"/>
      <c r="N162" s="36"/>
      <c r="O162" s="36"/>
      <c r="P162" s="36"/>
      <c r="Q162" s="36"/>
      <c r="R162" s="36"/>
      <c r="S162" s="93"/>
      <c r="T162" s="93"/>
      <c r="U162" s="93"/>
      <c r="V162" s="36"/>
      <c r="W162" s="193"/>
      <c r="X162" s="93"/>
      <c r="Y162" s="93"/>
      <c r="Z162" s="36"/>
      <c r="AA162" s="92"/>
      <c r="AB162" s="92"/>
      <c r="AC162" s="92"/>
      <c r="AD162" s="92"/>
      <c r="AE162" s="92"/>
      <c r="AF162" s="92"/>
      <c r="AG162" s="92"/>
      <c r="AH162" s="92"/>
      <c r="AI162" s="92"/>
      <c r="AJ162" s="92"/>
      <c r="AK162" s="92"/>
      <c r="AL162" s="92"/>
      <c r="AM162" s="92"/>
      <c r="AN162" s="92"/>
      <c r="AO162" s="92"/>
      <c r="AP162" s="92"/>
      <c r="AQ162" s="92"/>
      <c r="AR162" s="92"/>
      <c r="AS162" s="92"/>
      <c r="AT162" s="92"/>
    </row>
    <row r="163" spans="1:46">
      <c r="A163" s="36"/>
      <c r="B163" s="36"/>
      <c r="C163" s="36"/>
      <c r="D163" s="36"/>
      <c r="E163" s="36"/>
      <c r="F163" s="204"/>
      <c r="G163" s="36"/>
      <c r="H163" s="93"/>
      <c r="I163" s="192"/>
      <c r="J163" s="93"/>
      <c r="K163" s="36"/>
      <c r="L163" s="36"/>
      <c r="M163" s="92"/>
      <c r="N163" s="36"/>
      <c r="O163" s="36"/>
      <c r="P163" s="36"/>
      <c r="Q163" s="36"/>
      <c r="R163" s="36"/>
      <c r="S163" s="93"/>
      <c r="T163" s="93"/>
      <c r="U163" s="93"/>
      <c r="V163" s="36"/>
      <c r="W163" s="193"/>
      <c r="X163" s="93"/>
      <c r="Y163" s="93"/>
      <c r="Z163" s="36"/>
      <c r="AA163" s="92"/>
      <c r="AB163" s="92"/>
      <c r="AC163" s="92"/>
      <c r="AD163" s="92"/>
      <c r="AE163" s="92"/>
      <c r="AF163" s="92"/>
      <c r="AG163" s="92"/>
      <c r="AH163" s="92"/>
      <c r="AI163" s="92"/>
      <c r="AJ163" s="92"/>
      <c r="AK163" s="92"/>
      <c r="AL163" s="92"/>
      <c r="AM163" s="92"/>
      <c r="AN163" s="92"/>
      <c r="AO163" s="92"/>
      <c r="AP163" s="92"/>
      <c r="AQ163" s="92"/>
      <c r="AR163" s="92"/>
      <c r="AS163" s="92"/>
      <c r="AT163" s="92"/>
    </row>
    <row r="164" spans="1:46">
      <c r="A164" s="36"/>
      <c r="B164" s="36"/>
      <c r="C164" s="36"/>
      <c r="D164" s="36"/>
      <c r="E164" s="36"/>
      <c r="F164" s="204"/>
      <c r="G164" s="36"/>
      <c r="H164" s="93"/>
      <c r="I164" s="192"/>
      <c r="J164" s="93"/>
      <c r="K164" s="36"/>
      <c r="L164" s="36"/>
      <c r="M164" s="92"/>
      <c r="N164" s="36"/>
      <c r="O164" s="36"/>
      <c r="P164" s="36"/>
      <c r="Q164" s="36"/>
      <c r="R164" s="36"/>
      <c r="S164" s="93"/>
      <c r="T164" s="93"/>
      <c r="U164" s="93"/>
      <c r="V164" s="36"/>
      <c r="W164" s="193"/>
      <c r="X164" s="93"/>
      <c r="Y164" s="93"/>
      <c r="Z164" s="36"/>
      <c r="AA164" s="92"/>
      <c r="AB164" s="92"/>
      <c r="AC164" s="92"/>
      <c r="AD164" s="92"/>
      <c r="AE164" s="92"/>
      <c r="AF164" s="92"/>
      <c r="AG164" s="92"/>
      <c r="AH164" s="92"/>
      <c r="AI164" s="92"/>
      <c r="AJ164" s="92"/>
      <c r="AK164" s="92"/>
      <c r="AL164" s="92"/>
      <c r="AM164" s="92"/>
      <c r="AN164" s="92"/>
      <c r="AO164" s="92"/>
      <c r="AP164" s="92"/>
      <c r="AQ164" s="92"/>
      <c r="AR164" s="92"/>
      <c r="AS164" s="92"/>
      <c r="AT164" s="92"/>
    </row>
    <row r="165" spans="1:46">
      <c r="A165" s="36"/>
      <c r="B165" s="36"/>
      <c r="C165" s="36"/>
      <c r="D165" s="36"/>
      <c r="E165" s="36"/>
      <c r="F165" s="204"/>
      <c r="G165" s="36"/>
      <c r="H165" s="93"/>
      <c r="I165" s="192"/>
      <c r="J165" s="93"/>
      <c r="K165" s="36"/>
      <c r="L165" s="36"/>
      <c r="M165" s="92"/>
      <c r="N165" s="36"/>
      <c r="O165" s="36"/>
      <c r="P165" s="36"/>
      <c r="Q165" s="36"/>
      <c r="R165" s="36"/>
      <c r="S165" s="93"/>
      <c r="T165" s="93"/>
      <c r="U165" s="93"/>
      <c r="V165" s="36"/>
      <c r="W165" s="193"/>
      <c r="X165" s="93"/>
      <c r="Y165" s="93"/>
      <c r="Z165" s="36"/>
      <c r="AA165" s="92"/>
      <c r="AB165" s="92"/>
      <c r="AC165" s="92"/>
      <c r="AD165" s="92"/>
      <c r="AE165" s="92"/>
      <c r="AF165" s="92"/>
      <c r="AG165" s="92"/>
      <c r="AH165" s="92"/>
      <c r="AI165" s="92"/>
      <c r="AJ165" s="92"/>
      <c r="AK165" s="92"/>
      <c r="AL165" s="92"/>
      <c r="AM165" s="92"/>
      <c r="AN165" s="92"/>
      <c r="AO165" s="92"/>
      <c r="AP165" s="92"/>
      <c r="AQ165" s="92"/>
      <c r="AR165" s="92"/>
      <c r="AS165" s="92"/>
      <c r="AT165" s="92"/>
    </row>
    <row r="166" spans="1:46">
      <c r="A166" s="36"/>
      <c r="B166" s="36"/>
      <c r="C166" s="36"/>
      <c r="D166" s="36"/>
      <c r="E166" s="36"/>
      <c r="F166" s="204"/>
      <c r="G166" s="36"/>
      <c r="H166" s="93"/>
      <c r="I166" s="192"/>
      <c r="J166" s="93"/>
      <c r="K166" s="36"/>
      <c r="L166" s="36"/>
      <c r="M166" s="92"/>
      <c r="N166" s="36"/>
      <c r="O166" s="36"/>
      <c r="P166" s="36"/>
      <c r="Q166" s="36"/>
      <c r="R166" s="36"/>
      <c r="S166" s="93"/>
      <c r="T166" s="93"/>
      <c r="U166" s="93"/>
      <c r="V166" s="36"/>
      <c r="W166" s="193"/>
      <c r="X166" s="93"/>
      <c r="Y166" s="93"/>
      <c r="Z166" s="36"/>
      <c r="AA166" s="92"/>
      <c r="AB166" s="92"/>
      <c r="AC166" s="92"/>
      <c r="AD166" s="92"/>
      <c r="AE166" s="92"/>
      <c r="AF166" s="92"/>
      <c r="AG166" s="92"/>
      <c r="AH166" s="92"/>
      <c r="AI166" s="92"/>
      <c r="AJ166" s="92"/>
      <c r="AK166" s="92"/>
      <c r="AL166" s="92"/>
      <c r="AM166" s="92"/>
      <c r="AN166" s="92"/>
      <c r="AO166" s="92"/>
      <c r="AP166" s="92"/>
      <c r="AQ166" s="92"/>
      <c r="AR166" s="92"/>
      <c r="AS166" s="92"/>
      <c r="AT166" s="92"/>
    </row>
    <row r="167" spans="1:46">
      <c r="A167" s="36"/>
      <c r="B167" s="36"/>
      <c r="C167" s="36"/>
      <c r="D167" s="36"/>
      <c r="E167" s="36"/>
      <c r="F167" s="204"/>
      <c r="G167" s="36"/>
      <c r="H167" s="93"/>
      <c r="I167" s="192"/>
      <c r="J167" s="93"/>
      <c r="K167" s="36"/>
      <c r="L167" s="36"/>
      <c r="M167" s="92"/>
      <c r="N167" s="36"/>
      <c r="O167" s="36"/>
      <c r="P167" s="36"/>
      <c r="Q167" s="36"/>
      <c r="R167" s="36"/>
      <c r="S167" s="93"/>
      <c r="T167" s="93"/>
      <c r="U167" s="93"/>
      <c r="V167" s="36"/>
      <c r="W167" s="193"/>
      <c r="X167" s="93"/>
      <c r="Y167" s="93"/>
      <c r="Z167" s="36"/>
      <c r="AA167" s="92"/>
      <c r="AB167" s="92"/>
      <c r="AC167" s="92"/>
      <c r="AD167" s="92"/>
      <c r="AE167" s="92"/>
      <c r="AF167" s="92"/>
      <c r="AG167" s="92"/>
      <c r="AH167" s="92"/>
      <c r="AI167" s="92"/>
      <c r="AJ167" s="92"/>
      <c r="AK167" s="92"/>
      <c r="AL167" s="92"/>
      <c r="AM167" s="92"/>
      <c r="AN167" s="92"/>
      <c r="AO167" s="92"/>
      <c r="AP167" s="92"/>
      <c r="AQ167" s="92"/>
      <c r="AR167" s="92"/>
      <c r="AS167" s="92"/>
      <c r="AT167" s="92"/>
    </row>
    <row r="168" spans="1:46">
      <c r="A168" s="36"/>
      <c r="B168" s="36"/>
      <c r="C168" s="36"/>
      <c r="D168" s="36"/>
      <c r="E168" s="36"/>
      <c r="F168" s="204"/>
      <c r="G168" s="36"/>
      <c r="H168" s="93"/>
      <c r="I168" s="192"/>
      <c r="J168" s="93"/>
      <c r="K168" s="36"/>
      <c r="L168" s="36"/>
      <c r="M168" s="92"/>
      <c r="N168" s="36"/>
      <c r="O168" s="36"/>
      <c r="P168" s="36"/>
      <c r="Q168" s="36"/>
      <c r="R168" s="36"/>
      <c r="S168" s="93"/>
      <c r="T168" s="93"/>
      <c r="U168" s="93"/>
      <c r="V168" s="36"/>
      <c r="W168" s="193"/>
      <c r="X168" s="93"/>
      <c r="Y168" s="93"/>
      <c r="Z168" s="36"/>
      <c r="AA168" s="92"/>
      <c r="AB168" s="92"/>
      <c r="AC168" s="92"/>
      <c r="AD168" s="92"/>
      <c r="AE168" s="92"/>
      <c r="AF168" s="92"/>
      <c r="AG168" s="92"/>
      <c r="AH168" s="92"/>
      <c r="AI168" s="92"/>
      <c r="AJ168" s="92"/>
      <c r="AK168" s="92"/>
      <c r="AL168" s="92"/>
      <c r="AM168" s="92"/>
      <c r="AN168" s="92"/>
      <c r="AO168" s="92"/>
      <c r="AP168" s="92"/>
      <c r="AQ168" s="92"/>
      <c r="AR168" s="92"/>
      <c r="AS168" s="92"/>
      <c r="AT168" s="92"/>
    </row>
    <row r="169" spans="1:46">
      <c r="A169" s="36"/>
      <c r="B169" s="36"/>
      <c r="C169" s="36"/>
      <c r="D169" s="36"/>
      <c r="E169" s="36"/>
      <c r="F169" s="204"/>
      <c r="G169" s="36"/>
      <c r="H169" s="93"/>
      <c r="I169" s="192"/>
      <c r="J169" s="93"/>
      <c r="K169" s="36"/>
      <c r="L169" s="36"/>
      <c r="M169" s="92"/>
      <c r="N169" s="36"/>
      <c r="O169" s="36"/>
      <c r="P169" s="36"/>
      <c r="Q169" s="36"/>
      <c r="R169" s="36"/>
      <c r="S169" s="93"/>
      <c r="T169" s="93"/>
      <c r="U169" s="93"/>
      <c r="V169" s="36"/>
      <c r="W169" s="193"/>
      <c r="X169" s="93"/>
      <c r="Y169" s="93"/>
      <c r="Z169" s="36"/>
      <c r="AA169" s="92"/>
      <c r="AB169" s="92"/>
      <c r="AC169" s="92"/>
      <c r="AD169" s="92"/>
      <c r="AE169" s="92"/>
      <c r="AF169" s="92"/>
      <c r="AG169" s="92"/>
      <c r="AH169" s="92"/>
      <c r="AI169" s="92"/>
      <c r="AJ169" s="92"/>
      <c r="AK169" s="92"/>
      <c r="AL169" s="92"/>
      <c r="AM169" s="92"/>
      <c r="AN169" s="92"/>
      <c r="AO169" s="92"/>
      <c r="AP169" s="92"/>
      <c r="AQ169" s="92"/>
      <c r="AR169" s="92"/>
      <c r="AS169" s="92"/>
      <c r="AT169" s="92"/>
    </row>
    <row r="170" spans="1:46">
      <c r="A170" s="36"/>
      <c r="B170" s="36"/>
      <c r="C170" s="36"/>
      <c r="D170" s="36"/>
      <c r="E170" s="36"/>
      <c r="F170" s="204"/>
      <c r="G170" s="36"/>
      <c r="H170" s="93"/>
      <c r="I170" s="192"/>
      <c r="J170" s="93"/>
      <c r="K170" s="36"/>
      <c r="L170" s="36"/>
      <c r="M170" s="92"/>
      <c r="N170" s="36"/>
      <c r="O170" s="36"/>
      <c r="P170" s="36"/>
      <c r="Q170" s="36"/>
      <c r="R170" s="36"/>
      <c r="S170" s="93"/>
      <c r="T170" s="93"/>
      <c r="U170" s="93"/>
      <c r="V170" s="36"/>
      <c r="W170" s="193"/>
      <c r="X170" s="93"/>
      <c r="Y170" s="93"/>
      <c r="Z170" s="36"/>
      <c r="AA170" s="92"/>
      <c r="AB170" s="92"/>
      <c r="AC170" s="92"/>
      <c r="AD170" s="92"/>
      <c r="AE170" s="92"/>
      <c r="AF170" s="92"/>
      <c r="AG170" s="92"/>
      <c r="AH170" s="92"/>
      <c r="AI170" s="92"/>
      <c r="AJ170" s="92"/>
      <c r="AK170" s="92"/>
      <c r="AL170" s="92"/>
      <c r="AM170" s="92"/>
      <c r="AN170" s="92"/>
      <c r="AO170" s="92"/>
      <c r="AP170" s="92"/>
      <c r="AQ170" s="92"/>
      <c r="AR170" s="92"/>
      <c r="AS170" s="92"/>
      <c r="AT170" s="92"/>
    </row>
    <row r="171" spans="1:46">
      <c r="A171" s="36"/>
      <c r="B171" s="36"/>
      <c r="C171" s="36"/>
      <c r="D171" s="36"/>
      <c r="E171" s="36"/>
      <c r="F171" s="204"/>
      <c r="G171" s="36"/>
      <c r="H171" s="93"/>
      <c r="I171" s="192"/>
      <c r="J171" s="93"/>
      <c r="K171" s="36"/>
      <c r="L171" s="36"/>
      <c r="M171" s="92"/>
      <c r="N171" s="36"/>
      <c r="O171" s="36"/>
      <c r="P171" s="36"/>
      <c r="Q171" s="36"/>
      <c r="R171" s="36"/>
      <c r="S171" s="93"/>
      <c r="T171" s="93"/>
      <c r="U171" s="93"/>
      <c r="V171" s="36"/>
      <c r="W171" s="193"/>
      <c r="X171" s="93"/>
      <c r="Y171" s="93"/>
      <c r="Z171" s="36"/>
      <c r="AA171" s="92"/>
      <c r="AB171" s="92"/>
      <c r="AC171" s="92"/>
      <c r="AD171" s="92"/>
      <c r="AE171" s="92"/>
      <c r="AF171" s="92"/>
      <c r="AG171" s="92"/>
      <c r="AH171" s="92"/>
      <c r="AI171" s="92"/>
      <c r="AJ171" s="92"/>
      <c r="AK171" s="92"/>
      <c r="AL171" s="92"/>
      <c r="AM171" s="92"/>
      <c r="AN171" s="92"/>
      <c r="AO171" s="92"/>
      <c r="AP171" s="92"/>
      <c r="AQ171" s="92"/>
      <c r="AR171" s="92"/>
      <c r="AS171" s="92"/>
      <c r="AT171" s="92"/>
    </row>
    <row r="172" spans="1:46">
      <c r="A172" s="36"/>
      <c r="B172" s="36"/>
      <c r="C172" s="36"/>
      <c r="D172" s="36"/>
      <c r="E172" s="36"/>
      <c r="F172" s="204"/>
      <c r="G172" s="36"/>
      <c r="H172" s="93"/>
      <c r="I172" s="192"/>
      <c r="J172" s="93"/>
      <c r="K172" s="36"/>
      <c r="L172" s="36"/>
      <c r="M172" s="92"/>
      <c r="N172" s="36"/>
      <c r="O172" s="36"/>
      <c r="P172" s="36"/>
      <c r="Q172" s="36"/>
      <c r="R172" s="36"/>
      <c r="S172" s="93"/>
      <c r="T172" s="93"/>
      <c r="U172" s="93"/>
      <c r="V172" s="36"/>
      <c r="W172" s="193"/>
      <c r="X172" s="93"/>
      <c r="Y172" s="93"/>
      <c r="Z172" s="36"/>
      <c r="AA172" s="92"/>
      <c r="AB172" s="92"/>
      <c r="AC172" s="92"/>
      <c r="AD172" s="92"/>
      <c r="AE172" s="92"/>
      <c r="AF172" s="92"/>
      <c r="AG172" s="92"/>
      <c r="AH172" s="92"/>
      <c r="AI172" s="92"/>
      <c r="AJ172" s="92"/>
      <c r="AK172" s="92"/>
      <c r="AL172" s="92"/>
      <c r="AM172" s="92"/>
      <c r="AN172" s="92"/>
      <c r="AO172" s="92"/>
      <c r="AP172" s="92"/>
      <c r="AQ172" s="92"/>
      <c r="AR172" s="92"/>
      <c r="AS172" s="92"/>
      <c r="AT172" s="92"/>
    </row>
    <row r="173" spans="1:46">
      <c r="A173" s="36"/>
      <c r="B173" s="36"/>
      <c r="C173" s="36"/>
      <c r="D173" s="36"/>
      <c r="E173" s="92"/>
      <c r="F173" s="205"/>
      <c r="G173" s="92"/>
      <c r="H173" s="105"/>
      <c r="I173" s="199"/>
      <c r="J173" s="105"/>
      <c r="K173" s="92"/>
      <c r="L173" s="92"/>
      <c r="M173" s="92"/>
      <c r="N173" s="36"/>
      <c r="O173" s="36"/>
      <c r="P173" s="92"/>
      <c r="Q173" s="92"/>
      <c r="R173" s="92"/>
      <c r="S173" s="105"/>
      <c r="T173" s="105"/>
      <c r="U173" s="105"/>
      <c r="V173" s="92"/>
      <c r="W173" s="197"/>
      <c r="X173" s="105"/>
      <c r="Y173" s="105"/>
      <c r="Z173" s="92"/>
      <c r="AA173" s="92"/>
      <c r="AB173" s="92"/>
      <c r="AC173" s="92"/>
      <c r="AD173" s="92"/>
      <c r="AE173" s="92"/>
      <c r="AF173" s="92"/>
      <c r="AG173" s="92"/>
      <c r="AH173" s="92"/>
      <c r="AI173" s="92"/>
      <c r="AJ173" s="92"/>
      <c r="AK173" s="92"/>
      <c r="AL173" s="92"/>
      <c r="AM173" s="92"/>
      <c r="AN173" s="92"/>
      <c r="AO173" s="92"/>
      <c r="AP173" s="92"/>
      <c r="AQ173" s="92"/>
      <c r="AR173" s="92"/>
      <c r="AS173" s="92"/>
      <c r="AT173" s="92"/>
    </row>
    <row r="174" spans="1:46">
      <c r="A174" s="36"/>
      <c r="B174" s="36"/>
      <c r="C174" s="36"/>
      <c r="D174" s="36"/>
      <c r="E174" s="92"/>
      <c r="F174" s="205"/>
      <c r="G174" s="92"/>
      <c r="H174" s="105"/>
      <c r="I174" s="199"/>
      <c r="J174" s="105"/>
      <c r="K174" s="92"/>
      <c r="L174" s="92"/>
      <c r="M174" s="92"/>
      <c r="N174" s="36"/>
      <c r="O174" s="36"/>
      <c r="P174" s="92"/>
      <c r="Q174" s="92"/>
      <c r="R174" s="92"/>
      <c r="S174" s="105"/>
      <c r="T174" s="105"/>
      <c r="U174" s="105"/>
      <c r="V174" s="92"/>
      <c r="W174" s="197"/>
      <c r="X174" s="105"/>
      <c r="Y174" s="105"/>
      <c r="Z174" s="92"/>
      <c r="AA174" s="92"/>
      <c r="AB174" s="92"/>
      <c r="AC174" s="92"/>
      <c r="AD174" s="92"/>
      <c r="AE174" s="92"/>
      <c r="AF174" s="92"/>
      <c r="AG174" s="92"/>
      <c r="AH174" s="92"/>
      <c r="AI174" s="92"/>
      <c r="AJ174" s="92"/>
      <c r="AK174" s="92"/>
      <c r="AL174" s="92"/>
      <c r="AM174" s="92"/>
      <c r="AN174" s="92"/>
      <c r="AO174" s="92"/>
      <c r="AP174" s="92"/>
      <c r="AQ174" s="92"/>
      <c r="AR174" s="92"/>
      <c r="AS174" s="92"/>
      <c r="AT174" s="92"/>
    </row>
    <row r="175" spans="1:46">
      <c r="A175" s="36"/>
      <c r="B175" s="36"/>
      <c r="C175" s="36"/>
      <c r="D175" s="36"/>
      <c r="E175" s="92"/>
      <c r="F175" s="205"/>
      <c r="G175" s="92"/>
      <c r="H175" s="105"/>
      <c r="I175" s="199"/>
      <c r="J175" s="105"/>
      <c r="K175" s="92"/>
      <c r="L175" s="92"/>
      <c r="M175" s="92"/>
      <c r="N175" s="36"/>
      <c r="O175" s="36"/>
      <c r="P175" s="92"/>
      <c r="Q175" s="92"/>
      <c r="R175" s="92"/>
      <c r="S175" s="105"/>
      <c r="T175" s="105"/>
      <c r="U175" s="105"/>
      <c r="V175" s="92"/>
      <c r="W175" s="197"/>
      <c r="X175" s="105"/>
      <c r="Y175" s="105"/>
      <c r="Z175" s="92"/>
      <c r="AA175" s="92"/>
      <c r="AB175" s="92"/>
      <c r="AC175" s="92"/>
      <c r="AD175" s="92"/>
      <c r="AE175" s="92"/>
      <c r="AF175" s="92"/>
      <c r="AG175" s="92"/>
      <c r="AH175" s="92"/>
      <c r="AI175" s="92"/>
      <c r="AJ175" s="92"/>
      <c r="AK175" s="92"/>
      <c r="AL175" s="92"/>
      <c r="AM175" s="92"/>
      <c r="AN175" s="92"/>
      <c r="AO175" s="92"/>
      <c r="AP175" s="92"/>
      <c r="AQ175" s="92"/>
      <c r="AR175" s="92"/>
      <c r="AS175" s="92"/>
      <c r="AT175" s="92"/>
    </row>
    <row r="176" spans="1:46">
      <c r="A176" s="36"/>
      <c r="B176" s="36"/>
      <c r="C176" s="36"/>
      <c r="D176" s="36"/>
      <c r="E176" s="92"/>
      <c r="F176" s="205"/>
      <c r="G176" s="92"/>
      <c r="H176" s="105"/>
      <c r="I176" s="199"/>
      <c r="J176" s="105"/>
      <c r="K176" s="92"/>
      <c r="L176" s="92"/>
      <c r="M176" s="92"/>
      <c r="N176" s="36"/>
      <c r="O176" s="36"/>
      <c r="P176" s="92"/>
      <c r="Q176" s="92"/>
      <c r="R176" s="92"/>
      <c r="S176" s="105"/>
      <c r="T176" s="105"/>
      <c r="U176" s="105"/>
      <c r="V176" s="92"/>
      <c r="W176" s="197"/>
      <c r="X176" s="105"/>
      <c r="Y176" s="105"/>
      <c r="Z176" s="92"/>
      <c r="AA176" s="92"/>
      <c r="AB176" s="92"/>
      <c r="AC176" s="92"/>
      <c r="AD176" s="92"/>
      <c r="AE176" s="92"/>
      <c r="AF176" s="92"/>
      <c r="AG176" s="92"/>
      <c r="AH176" s="92"/>
      <c r="AI176" s="92"/>
      <c r="AJ176" s="92"/>
      <c r="AK176" s="92"/>
      <c r="AL176" s="92"/>
      <c r="AM176" s="92"/>
      <c r="AN176" s="92"/>
      <c r="AO176" s="92"/>
      <c r="AP176" s="92"/>
      <c r="AQ176" s="92"/>
      <c r="AR176" s="92"/>
      <c r="AS176" s="92"/>
      <c r="AT176" s="92"/>
    </row>
    <row r="177" spans="1:46">
      <c r="A177" s="36"/>
      <c r="B177" s="36"/>
      <c r="C177" s="36"/>
      <c r="D177" s="36"/>
      <c r="E177" s="92"/>
      <c r="F177" s="205"/>
      <c r="G177" s="92"/>
      <c r="H177" s="105"/>
      <c r="I177" s="199"/>
      <c r="J177" s="105"/>
      <c r="K177" s="92"/>
      <c r="L177" s="92"/>
      <c r="M177" s="92"/>
      <c r="N177" s="36"/>
      <c r="O177" s="36"/>
      <c r="P177" s="92"/>
      <c r="Q177" s="92"/>
      <c r="R177" s="92"/>
      <c r="S177" s="105"/>
      <c r="T177" s="105"/>
      <c r="U177" s="105"/>
      <c r="V177" s="92"/>
      <c r="W177" s="197"/>
      <c r="X177" s="105"/>
      <c r="Y177" s="105"/>
      <c r="Z177" s="92"/>
      <c r="AA177" s="92"/>
      <c r="AB177" s="92"/>
      <c r="AC177" s="92"/>
      <c r="AD177" s="92"/>
      <c r="AE177" s="92"/>
      <c r="AF177" s="92"/>
      <c r="AG177" s="92"/>
      <c r="AH177" s="92"/>
      <c r="AI177" s="92"/>
      <c r="AJ177" s="92"/>
      <c r="AK177" s="92"/>
      <c r="AL177" s="92"/>
      <c r="AM177" s="92"/>
      <c r="AN177" s="92"/>
      <c r="AO177" s="92"/>
      <c r="AP177" s="92"/>
      <c r="AQ177" s="92"/>
      <c r="AR177" s="92"/>
      <c r="AS177" s="92"/>
      <c r="AT177" s="92"/>
    </row>
    <row r="178" spans="1:46">
      <c r="A178" s="36"/>
      <c r="B178" s="36"/>
      <c r="C178" s="36"/>
      <c r="D178" s="36"/>
      <c r="E178" s="92"/>
      <c r="F178" s="205"/>
      <c r="G178" s="92"/>
      <c r="H178" s="105"/>
      <c r="I178" s="199"/>
      <c r="J178" s="105"/>
      <c r="K178" s="92"/>
      <c r="L178" s="92"/>
      <c r="M178" s="92"/>
      <c r="N178" s="36"/>
      <c r="O178" s="36"/>
      <c r="P178" s="92"/>
      <c r="Q178" s="92"/>
      <c r="R178" s="92"/>
      <c r="S178" s="105"/>
      <c r="T178" s="105"/>
      <c r="U178" s="105"/>
      <c r="V178" s="92"/>
      <c r="W178" s="197"/>
      <c r="X178" s="105"/>
      <c r="Y178" s="105"/>
      <c r="Z178" s="92"/>
      <c r="AA178" s="92"/>
      <c r="AB178" s="92"/>
      <c r="AC178" s="92"/>
      <c r="AD178" s="92"/>
      <c r="AE178" s="92"/>
      <c r="AF178" s="92"/>
      <c r="AG178" s="92"/>
      <c r="AH178" s="92"/>
      <c r="AI178" s="92"/>
      <c r="AJ178" s="92"/>
      <c r="AK178" s="92"/>
      <c r="AL178" s="92"/>
      <c r="AM178" s="92"/>
      <c r="AN178" s="92"/>
      <c r="AO178" s="92"/>
      <c r="AP178" s="92"/>
      <c r="AQ178" s="92"/>
      <c r="AR178" s="92"/>
      <c r="AS178" s="92"/>
      <c r="AT178" s="92"/>
    </row>
    <row r="179" spans="1:46">
      <c r="A179" s="36"/>
      <c r="B179" s="36"/>
      <c r="C179" s="36"/>
      <c r="D179" s="36"/>
      <c r="E179" s="92"/>
      <c r="F179" s="205"/>
      <c r="G179" s="92"/>
      <c r="H179" s="105"/>
      <c r="I179" s="199"/>
      <c r="J179" s="105"/>
      <c r="K179" s="92"/>
      <c r="L179" s="92"/>
      <c r="M179" s="92"/>
      <c r="N179" s="36"/>
      <c r="O179" s="36"/>
      <c r="P179" s="92"/>
      <c r="Q179" s="92"/>
      <c r="R179" s="92"/>
      <c r="S179" s="105"/>
      <c r="T179" s="105"/>
      <c r="U179" s="105"/>
      <c r="V179" s="92"/>
      <c r="W179" s="197"/>
      <c r="X179" s="105"/>
      <c r="Y179" s="105"/>
      <c r="Z179" s="92"/>
      <c r="AA179" s="92"/>
      <c r="AB179" s="92"/>
      <c r="AC179" s="92"/>
      <c r="AD179" s="92"/>
      <c r="AE179" s="92"/>
      <c r="AF179" s="92"/>
      <c r="AG179" s="92"/>
      <c r="AH179" s="92"/>
      <c r="AI179" s="92"/>
      <c r="AJ179" s="92"/>
      <c r="AK179" s="92"/>
      <c r="AL179" s="92"/>
      <c r="AM179" s="92"/>
      <c r="AN179" s="92"/>
      <c r="AO179" s="92"/>
      <c r="AP179" s="92"/>
      <c r="AQ179" s="92"/>
      <c r="AR179" s="92"/>
      <c r="AS179" s="92"/>
      <c r="AT179" s="92"/>
    </row>
    <row r="180" spans="1:46">
      <c r="A180" s="36"/>
      <c r="B180" s="36"/>
      <c r="C180" s="36"/>
      <c r="D180" s="36"/>
      <c r="E180" s="92"/>
      <c r="F180" s="205"/>
      <c r="G180" s="92"/>
      <c r="H180" s="105"/>
      <c r="I180" s="199"/>
      <c r="J180" s="105"/>
      <c r="K180" s="92"/>
      <c r="L180" s="92"/>
      <c r="M180" s="92"/>
      <c r="N180" s="36"/>
      <c r="O180" s="36"/>
      <c r="P180" s="92"/>
      <c r="Q180" s="92"/>
      <c r="R180" s="92"/>
      <c r="S180" s="105"/>
      <c r="T180" s="105"/>
      <c r="U180" s="105"/>
      <c r="V180" s="92"/>
      <c r="W180" s="197"/>
      <c r="X180" s="105"/>
      <c r="Y180" s="105"/>
      <c r="Z180" s="92"/>
      <c r="AA180" s="92"/>
      <c r="AB180" s="92"/>
      <c r="AC180" s="92"/>
      <c r="AD180" s="92"/>
      <c r="AE180" s="92"/>
      <c r="AF180" s="92"/>
      <c r="AG180" s="92"/>
      <c r="AH180" s="92"/>
      <c r="AI180" s="92"/>
      <c r="AJ180" s="92"/>
      <c r="AK180" s="92"/>
      <c r="AL180" s="92"/>
      <c r="AM180" s="92"/>
      <c r="AN180" s="92"/>
      <c r="AO180" s="92"/>
      <c r="AP180" s="92"/>
      <c r="AQ180" s="92"/>
      <c r="AR180" s="92"/>
      <c r="AS180" s="92"/>
      <c r="AT180" s="92"/>
    </row>
    <row r="181" spans="1:46">
      <c r="A181" s="36"/>
      <c r="B181" s="36"/>
      <c r="C181" s="36"/>
      <c r="D181" s="36"/>
      <c r="E181" s="92"/>
      <c r="F181" s="205"/>
      <c r="G181" s="92"/>
      <c r="H181" s="105"/>
      <c r="I181" s="199"/>
      <c r="J181" s="105"/>
      <c r="K181" s="92"/>
      <c r="L181" s="92"/>
      <c r="M181" s="92"/>
      <c r="N181" s="36"/>
      <c r="O181" s="36"/>
      <c r="P181" s="92"/>
      <c r="Q181" s="92"/>
      <c r="R181" s="92"/>
      <c r="S181" s="105"/>
      <c r="T181" s="105"/>
      <c r="U181" s="105"/>
      <c r="V181" s="92"/>
      <c r="W181" s="197"/>
      <c r="X181" s="105"/>
      <c r="Y181" s="105"/>
      <c r="Z181" s="92"/>
      <c r="AA181" s="92"/>
      <c r="AB181" s="92"/>
      <c r="AC181" s="92"/>
      <c r="AD181" s="92"/>
      <c r="AE181" s="92"/>
      <c r="AF181" s="92"/>
      <c r="AG181" s="92"/>
      <c r="AH181" s="92"/>
      <c r="AI181" s="92"/>
      <c r="AJ181" s="92"/>
      <c r="AK181" s="92"/>
      <c r="AL181" s="92"/>
      <c r="AM181" s="92"/>
      <c r="AN181" s="92"/>
      <c r="AO181" s="92"/>
      <c r="AP181" s="92"/>
      <c r="AQ181" s="92"/>
      <c r="AR181" s="92"/>
      <c r="AS181" s="92"/>
      <c r="AT181" s="92"/>
    </row>
    <row r="182" spans="1:46">
      <c r="A182" s="36"/>
      <c r="B182" s="36"/>
      <c r="C182" s="36"/>
      <c r="D182" s="36"/>
      <c r="E182" s="92"/>
      <c r="F182" s="205"/>
      <c r="G182" s="92"/>
      <c r="H182" s="105"/>
      <c r="I182" s="199"/>
      <c r="J182" s="105"/>
      <c r="K182" s="92"/>
      <c r="L182" s="92"/>
      <c r="M182" s="92"/>
      <c r="N182" s="36"/>
      <c r="O182" s="36"/>
      <c r="P182" s="92"/>
      <c r="Q182" s="92"/>
      <c r="R182" s="92"/>
      <c r="S182" s="105"/>
      <c r="T182" s="105"/>
      <c r="U182" s="105"/>
      <c r="V182" s="92"/>
      <c r="W182" s="197"/>
      <c r="X182" s="105"/>
      <c r="Y182" s="105"/>
      <c r="Z182" s="92"/>
      <c r="AA182" s="92"/>
      <c r="AB182" s="92"/>
      <c r="AC182" s="92"/>
      <c r="AD182" s="92"/>
      <c r="AE182" s="92"/>
      <c r="AF182" s="92"/>
      <c r="AG182" s="92"/>
      <c r="AH182" s="92"/>
      <c r="AI182" s="92"/>
      <c r="AJ182" s="92"/>
      <c r="AK182" s="92"/>
      <c r="AL182" s="92"/>
      <c r="AM182" s="92"/>
      <c r="AN182" s="92"/>
      <c r="AO182" s="92"/>
      <c r="AP182" s="92"/>
      <c r="AQ182" s="92"/>
      <c r="AR182" s="92"/>
      <c r="AS182" s="92"/>
      <c r="AT182" s="92"/>
    </row>
    <row r="183" spans="1:46">
      <c r="A183" s="36"/>
      <c r="B183" s="36"/>
      <c r="C183" s="36"/>
      <c r="D183" s="36"/>
      <c r="E183" s="92"/>
      <c r="F183" s="205"/>
      <c r="G183" s="92"/>
      <c r="H183" s="105"/>
      <c r="I183" s="199"/>
      <c r="J183" s="105"/>
      <c r="K183" s="92"/>
      <c r="L183" s="92"/>
      <c r="M183" s="92"/>
      <c r="N183" s="36"/>
      <c r="O183" s="36"/>
      <c r="P183" s="92"/>
      <c r="Q183" s="92"/>
      <c r="R183" s="92"/>
      <c r="S183" s="105"/>
      <c r="T183" s="105"/>
      <c r="U183" s="105"/>
      <c r="V183" s="92"/>
      <c r="W183" s="197"/>
      <c r="X183" s="105"/>
      <c r="Y183" s="105"/>
      <c r="Z183" s="92"/>
      <c r="AA183" s="92"/>
      <c r="AB183" s="92"/>
      <c r="AC183" s="92"/>
      <c r="AD183" s="92"/>
      <c r="AE183" s="92"/>
      <c r="AF183" s="92"/>
      <c r="AG183" s="92"/>
      <c r="AH183" s="92"/>
      <c r="AI183" s="92"/>
      <c r="AJ183" s="92"/>
      <c r="AK183" s="92"/>
      <c r="AL183" s="92"/>
      <c r="AM183" s="92"/>
      <c r="AN183" s="92"/>
      <c r="AO183" s="92"/>
      <c r="AP183" s="92"/>
      <c r="AQ183" s="92"/>
      <c r="AR183" s="92"/>
      <c r="AS183" s="92"/>
      <c r="AT183" s="92"/>
    </row>
    <row r="184" spans="1:46">
      <c r="A184" s="36"/>
      <c r="B184" s="36"/>
      <c r="C184" s="36"/>
      <c r="D184" s="36"/>
      <c r="E184" s="92"/>
      <c r="F184" s="205"/>
      <c r="G184" s="92"/>
      <c r="H184" s="105"/>
      <c r="I184" s="199"/>
      <c r="J184" s="105"/>
      <c r="K184" s="92"/>
      <c r="L184" s="92"/>
      <c r="M184" s="92"/>
      <c r="N184" s="36"/>
      <c r="O184" s="36"/>
      <c r="P184" s="92"/>
      <c r="Q184" s="92"/>
      <c r="R184" s="92"/>
      <c r="S184" s="105"/>
      <c r="T184" s="105"/>
      <c r="U184" s="105"/>
      <c r="V184" s="92"/>
      <c r="W184" s="197"/>
      <c r="X184" s="105"/>
      <c r="Y184" s="105"/>
      <c r="Z184" s="92"/>
      <c r="AA184" s="92"/>
      <c r="AB184" s="92"/>
      <c r="AC184" s="92"/>
      <c r="AD184" s="92"/>
      <c r="AE184" s="92"/>
      <c r="AF184" s="92"/>
      <c r="AG184" s="92"/>
      <c r="AH184" s="92"/>
      <c r="AI184" s="92"/>
      <c r="AJ184" s="92"/>
      <c r="AK184" s="92"/>
      <c r="AL184" s="92"/>
      <c r="AM184" s="92"/>
      <c r="AN184" s="92"/>
      <c r="AO184" s="92"/>
      <c r="AP184" s="92"/>
      <c r="AQ184" s="92"/>
      <c r="AR184" s="92"/>
      <c r="AS184" s="92"/>
      <c r="AT184" s="92"/>
    </row>
    <row r="185" spans="1:46">
      <c r="A185" s="36"/>
      <c r="B185" s="36"/>
      <c r="C185" s="36"/>
      <c r="D185" s="36"/>
      <c r="E185" s="92"/>
      <c r="F185" s="205"/>
      <c r="G185" s="92"/>
      <c r="H185" s="105"/>
      <c r="I185" s="199"/>
      <c r="J185" s="105"/>
      <c r="K185" s="92"/>
      <c r="L185" s="92"/>
      <c r="M185" s="92"/>
      <c r="N185" s="36"/>
      <c r="O185" s="36"/>
      <c r="P185" s="92"/>
      <c r="Q185" s="92"/>
      <c r="R185" s="92"/>
      <c r="S185" s="105"/>
      <c r="T185" s="105"/>
      <c r="U185" s="105"/>
      <c r="V185" s="92"/>
      <c r="W185" s="197"/>
      <c r="X185" s="105"/>
      <c r="Y185" s="105"/>
      <c r="Z185" s="92"/>
      <c r="AA185" s="92"/>
      <c r="AB185" s="92"/>
      <c r="AC185" s="92"/>
      <c r="AD185" s="92"/>
      <c r="AE185" s="92"/>
      <c r="AF185" s="92"/>
      <c r="AG185" s="92"/>
      <c r="AH185" s="92"/>
      <c r="AI185" s="92"/>
      <c r="AJ185" s="92"/>
      <c r="AK185" s="92"/>
      <c r="AL185" s="92"/>
      <c r="AM185" s="92"/>
      <c r="AN185" s="92"/>
      <c r="AO185" s="92"/>
      <c r="AP185" s="92"/>
      <c r="AQ185" s="92"/>
      <c r="AR185" s="92"/>
      <c r="AS185" s="92"/>
      <c r="AT185" s="92"/>
    </row>
    <row r="186" spans="1:46">
      <c r="A186" s="36"/>
      <c r="B186" s="36"/>
      <c r="C186" s="36"/>
      <c r="D186" s="36"/>
      <c r="E186" s="92"/>
      <c r="F186" s="205"/>
      <c r="G186" s="92"/>
      <c r="H186" s="105"/>
      <c r="I186" s="199"/>
      <c r="J186" s="105"/>
      <c r="K186" s="92"/>
      <c r="L186" s="92"/>
      <c r="M186" s="92"/>
      <c r="N186" s="36"/>
      <c r="O186" s="36"/>
      <c r="P186" s="92"/>
      <c r="Q186" s="92"/>
      <c r="R186" s="92"/>
      <c r="S186" s="105"/>
      <c r="T186" s="105"/>
      <c r="U186" s="105"/>
      <c r="V186" s="92"/>
      <c r="W186" s="197"/>
      <c r="X186" s="105"/>
      <c r="Y186" s="105"/>
      <c r="Z186" s="92"/>
      <c r="AA186" s="92"/>
      <c r="AB186" s="92"/>
      <c r="AC186" s="92"/>
      <c r="AD186" s="92"/>
      <c r="AE186" s="92"/>
      <c r="AF186" s="92"/>
      <c r="AG186" s="92"/>
      <c r="AH186" s="92"/>
      <c r="AI186" s="92"/>
      <c r="AJ186" s="92"/>
      <c r="AK186" s="92"/>
      <c r="AL186" s="92"/>
      <c r="AM186" s="92"/>
      <c r="AN186" s="92"/>
      <c r="AO186" s="92"/>
      <c r="AP186" s="92"/>
      <c r="AQ186" s="92"/>
      <c r="AR186" s="92"/>
      <c r="AS186" s="92"/>
      <c r="AT186" s="92"/>
    </row>
    <row r="187" spans="1:46">
      <c r="A187" s="36"/>
      <c r="B187" s="36"/>
      <c r="C187" s="36"/>
      <c r="D187" s="36"/>
      <c r="E187" s="92"/>
      <c r="F187" s="205"/>
      <c r="G187" s="92"/>
      <c r="H187" s="105"/>
      <c r="I187" s="199"/>
      <c r="J187" s="105"/>
      <c r="K187" s="92"/>
      <c r="L187" s="92"/>
      <c r="M187" s="92"/>
      <c r="N187" s="36"/>
      <c r="O187" s="36"/>
      <c r="P187" s="92"/>
      <c r="Q187" s="92"/>
      <c r="R187" s="92"/>
      <c r="S187" s="105"/>
      <c r="T187" s="105"/>
      <c r="U187" s="105"/>
      <c r="V187" s="92"/>
      <c r="W187" s="197"/>
      <c r="X187" s="105"/>
      <c r="Y187" s="105"/>
      <c r="Z187" s="92"/>
      <c r="AA187" s="92"/>
      <c r="AB187" s="92"/>
      <c r="AC187" s="92"/>
      <c r="AD187" s="92"/>
      <c r="AE187" s="92"/>
      <c r="AF187" s="92"/>
      <c r="AG187" s="92"/>
      <c r="AH187" s="92"/>
      <c r="AI187" s="92"/>
      <c r="AJ187" s="92"/>
      <c r="AK187" s="92"/>
      <c r="AL187" s="92"/>
      <c r="AM187" s="92"/>
      <c r="AN187" s="92"/>
      <c r="AO187" s="92"/>
      <c r="AP187" s="92"/>
      <c r="AQ187" s="92"/>
      <c r="AR187" s="92"/>
      <c r="AS187" s="92"/>
      <c r="AT187" s="92"/>
    </row>
  </sheetData>
  <sheetProtection algorithmName="SHA-512" hashValue="7Yl4VDURKLur5rEu0g46DRmiMlVGk1VJRYCYo9h9+3sniUOPZjmH2kwIgGiCeZUMVbfALyZi5bKLkcX6fNs6sg==" saltValue="94aAwUEqa8etcJi9aZF7CQ==" spinCount="100000" sheet="1" objects="1" scenarios="1"/>
  <mergeCells count="26">
    <mergeCell ref="B2:Z2"/>
    <mergeCell ref="O3:O4"/>
    <mergeCell ref="B3:B4"/>
    <mergeCell ref="V3:V4"/>
    <mergeCell ref="G3:G4"/>
    <mergeCell ref="W3:W4"/>
    <mergeCell ref="R3:R4"/>
    <mergeCell ref="P3:P4"/>
    <mergeCell ref="H3:H4"/>
    <mergeCell ref="I3:I4"/>
    <mergeCell ref="U3:U4"/>
    <mergeCell ref="T3:T4"/>
    <mergeCell ref="F3:F4"/>
    <mergeCell ref="Z3:Z4"/>
    <mergeCell ref="K3:K4"/>
    <mergeCell ref="M3:M4"/>
    <mergeCell ref="C3:C4"/>
    <mergeCell ref="D3:D4"/>
    <mergeCell ref="E3:E4"/>
    <mergeCell ref="Q3:Q4"/>
    <mergeCell ref="J3:J4"/>
    <mergeCell ref="X3:X4"/>
    <mergeCell ref="S3:S4"/>
    <mergeCell ref="Y3:Y4"/>
    <mergeCell ref="L3:L4"/>
    <mergeCell ref="N3:N4"/>
  </mergeCells>
  <pageMargins left="0.7" right="0.7" top="0.75" bottom="0.75" header="0.3" footer="0.3"/>
  <pageSetup scale="27" fitToHeight="2" orientation="landscape" horizontalDpi="360" verticalDpi="360" r:id="rId1"/>
  <ignoredErrors>
    <ignoredError sqref="B6:B16"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pageSetUpPr fitToPage="1"/>
  </sheetPr>
  <dimension ref="A1:BI201"/>
  <sheetViews>
    <sheetView zoomScale="110" zoomScaleNormal="110" workbookViewId="0">
      <pane xSplit="3" ySplit="4" topLeftCell="D5" activePane="bottomRight" state="frozen"/>
      <selection activeCell="AX5" sqref="AX5"/>
      <selection pane="topRight" activeCell="AX5" sqref="AX5"/>
      <selection pane="bottomLeft" activeCell="AX5" sqref="AX5"/>
      <selection pane="bottomRight" activeCell="B2" sqref="B2:AA2"/>
    </sheetView>
  </sheetViews>
  <sheetFormatPr baseColWidth="10" defaultColWidth="11.5" defaultRowHeight="15"/>
  <cols>
    <col min="1" max="1" width="3.83203125" style="15" customWidth="1"/>
    <col min="2" max="2" width="47.6640625" style="1" customWidth="1"/>
    <col min="3" max="3" width="14.6640625" style="1" customWidth="1"/>
    <col min="4" max="6" width="25.83203125" style="1" customWidth="1"/>
    <col min="7" max="7" width="25.83203125" style="222" customWidth="1"/>
    <col min="8" max="9" width="25.83203125" customWidth="1"/>
    <col min="10" max="10" width="25.83203125" style="222" customWidth="1"/>
    <col min="11" max="11" width="25.83203125" style="1" customWidth="1"/>
    <col min="12" max="14" width="25.83203125" customWidth="1"/>
    <col min="15" max="15" width="25.83203125" style="1" customWidth="1"/>
    <col min="16" max="17" width="25.83203125" customWidth="1"/>
    <col min="18" max="18" width="25.83203125" style="1" customWidth="1"/>
    <col min="19" max="19" width="25.83203125" customWidth="1"/>
    <col min="20" max="22" width="25.83203125" style="222" customWidth="1"/>
    <col min="23" max="23" width="25.83203125" customWidth="1"/>
    <col min="24" max="24" width="25.83203125" style="184" customWidth="1"/>
    <col min="25" max="25" width="25.83203125" style="1" customWidth="1"/>
    <col min="26" max="26" width="25.83203125" style="222" customWidth="1"/>
    <col min="27" max="27" width="25.83203125" style="1" customWidth="1"/>
    <col min="28" max="28" width="11.5" style="15" customWidth="1"/>
    <col min="29" max="42" width="11.5" customWidth="1"/>
  </cols>
  <sheetData>
    <row r="1" spans="1:61" s="15" customFormat="1">
      <c r="G1" s="539"/>
      <c r="J1" s="539"/>
      <c r="T1" s="539"/>
      <c r="U1" s="539"/>
      <c r="V1" s="539"/>
      <c r="X1" s="499"/>
      <c r="Z1" s="539"/>
    </row>
    <row r="2" spans="1:61" ht="21" customHeight="1">
      <c r="B2" s="801" t="s">
        <v>390</v>
      </c>
      <c r="C2" s="801"/>
      <c r="D2" s="801"/>
      <c r="E2" s="801"/>
      <c r="F2" s="801"/>
      <c r="G2" s="801"/>
      <c r="H2" s="801"/>
      <c r="I2" s="801"/>
      <c r="J2" s="801"/>
      <c r="K2" s="801"/>
      <c r="L2" s="801"/>
      <c r="M2" s="801"/>
      <c r="N2" s="801"/>
      <c r="O2" s="801"/>
      <c r="P2" s="801"/>
      <c r="Q2" s="801"/>
      <c r="R2" s="801"/>
      <c r="S2" s="801"/>
      <c r="T2" s="801"/>
      <c r="U2" s="801"/>
      <c r="V2" s="801"/>
      <c r="W2" s="801"/>
      <c r="X2" s="801"/>
      <c r="Y2" s="801"/>
      <c r="Z2" s="801"/>
      <c r="AA2" s="801"/>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row>
    <row r="3" spans="1:61" s="1" customFormat="1" ht="21" customHeight="1">
      <c r="A3" s="15"/>
      <c r="B3" s="802"/>
      <c r="C3" s="804" t="s">
        <v>2</v>
      </c>
      <c r="D3" s="795" t="str">
        <f>'Prices_Yields&amp;SeedInputs'!B5</f>
        <v>SW Winter Wheat after Spring Legume</v>
      </c>
      <c r="E3" s="795" t="str">
        <f>'Prices_Yields&amp;SeedInputs'!B6</f>
        <v>SW Winter Wheat after Forage Crop</v>
      </c>
      <c r="F3" s="795" t="str">
        <f>'Prices_Yields&amp;SeedInputs'!B7</f>
        <v>DN Spring Wheat after Spring Legume</v>
      </c>
      <c r="G3" s="795" t="str">
        <f>'Prices_Yields&amp;SeedInputs'!B8</f>
        <v>DN Spring Wheat after Forage Crop</v>
      </c>
      <c r="H3" s="795" t="str">
        <f>'Prices_Yields&amp;SeedInputs'!B9</f>
        <v>DN Spring Wheat after Winter Crop</v>
      </c>
      <c r="I3" s="795" t="str">
        <f>'Prices_Yields&amp;SeedInputs'!B10</f>
        <v>Chickpea after Forage Crop</v>
      </c>
      <c r="J3" s="795" t="str">
        <f>'Prices_Yields&amp;SeedInputs'!B11</f>
        <v>Chickpea after Cereal</v>
      </c>
      <c r="K3" s="795" t="str">
        <f>'Prices_Yields&amp;SeedInputs'!B12</f>
        <v>Spring Pea after Cereal</v>
      </c>
      <c r="L3" s="795" t="str">
        <f>'Prices_Yields&amp;SeedInputs'!B13</f>
        <v>Forage Crop-St. John Area</v>
      </c>
      <c r="M3" s="795" t="str">
        <f>'Prices_Yields&amp;SeedInputs'!B14</f>
        <v>Forage Crop-Genesee Area</v>
      </c>
      <c r="N3" s="795" t="str">
        <f>'Prices_Yields&amp;SeedInputs'!B15</f>
        <v>Livestock Grazing</v>
      </c>
      <c r="O3" s="795" t="str">
        <f>'Prices_Yields&amp;SeedInputs'!B16</f>
        <v>SW Winter Wheat after Cereal</v>
      </c>
      <c r="P3" s="795" t="str">
        <f>'Prices_Yields&amp;SeedInputs'!B17</f>
        <v>SW Winter Wheat after Fallow</v>
      </c>
      <c r="Q3" s="795" t="str">
        <f>'Prices_Yields&amp;SeedInputs'!B18</f>
        <v>Chem-Fallow</v>
      </c>
      <c r="R3" s="795" t="str">
        <f>'Prices_Yields&amp;SeedInputs'!B19</f>
        <v>Flex-Fallow</v>
      </c>
      <c r="S3" s="795" t="str">
        <f>'Prices_Yields&amp;SeedInputs'!B20</f>
        <v>Spring Barley</v>
      </c>
      <c r="T3" s="795" t="str">
        <f>'Prices_Yields&amp;SeedInputs'!B21</f>
        <v>Roundup Ready Spring Canola</v>
      </c>
      <c r="U3" s="795" t="str">
        <f>'Prices_Yields&amp;SeedInputs'!B22</f>
        <v>Spring Canola</v>
      </c>
      <c r="V3" s="795" t="str">
        <f>'Prices_Yields&amp;SeedInputs'!B23</f>
        <v>Spring Lentils</v>
      </c>
      <c r="W3" s="795" t="str">
        <f>'Prices_Yields&amp;SeedInputs'!B24</f>
        <v>SW Spring Wheat</v>
      </c>
      <c r="X3" s="795" t="str">
        <f>'Prices_Yields&amp;SeedInputs'!B25</f>
        <v>HR Winter Wheat</v>
      </c>
      <c r="Y3" s="795" t="str">
        <f>'Prices_Yields&amp;SeedInputs'!B26</f>
        <v>Winter Pea</v>
      </c>
      <c r="Z3" s="795" t="str">
        <f>'Prices_Yields&amp;SeedInputs'!B27</f>
        <v>Winter Canola</v>
      </c>
      <c r="AA3" s="795" t="str">
        <f>'Prices_Yields&amp;SeedInputs'!B28</f>
        <v>Forage Crop-Soil Builder Blend</v>
      </c>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row>
    <row r="4" spans="1:61" s="1" customFormat="1" ht="21" customHeight="1">
      <c r="A4" s="15"/>
      <c r="B4" s="803"/>
      <c r="C4" s="805"/>
      <c r="D4" s="796"/>
      <c r="E4" s="796"/>
      <c r="F4" s="796"/>
      <c r="G4" s="796"/>
      <c r="H4" s="796"/>
      <c r="I4" s="796"/>
      <c r="J4" s="796"/>
      <c r="K4" s="796"/>
      <c r="L4" s="796"/>
      <c r="M4" s="796"/>
      <c r="N4" s="796"/>
      <c r="O4" s="796"/>
      <c r="P4" s="796"/>
      <c r="Q4" s="796"/>
      <c r="R4" s="796"/>
      <c r="S4" s="796"/>
      <c r="T4" s="796"/>
      <c r="U4" s="796"/>
      <c r="V4" s="796"/>
      <c r="W4" s="796"/>
      <c r="X4" s="796"/>
      <c r="Y4" s="796"/>
      <c r="Z4" s="796"/>
      <c r="AA4" s="796"/>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row>
    <row r="5" spans="1:61" s="407" customFormat="1" ht="21" customHeight="1">
      <c r="A5" s="540"/>
      <c r="B5" s="405" t="s">
        <v>96</v>
      </c>
      <c r="C5" s="406" t="s">
        <v>246</v>
      </c>
      <c r="D5" s="388">
        <v>8.9499999999999993</v>
      </c>
      <c r="E5" s="388">
        <v>8.9499999999999993</v>
      </c>
      <c r="F5" s="388">
        <v>8.9499999999999993</v>
      </c>
      <c r="G5" s="388">
        <v>8.9499999999999993</v>
      </c>
      <c r="H5" s="388">
        <v>8.9499999999999993</v>
      </c>
      <c r="I5" s="388">
        <v>8.9499999999999993</v>
      </c>
      <c r="J5" s="388">
        <v>8.9499999999999993</v>
      </c>
      <c r="K5" s="388">
        <v>8.9499999999999993</v>
      </c>
      <c r="L5" s="388">
        <v>8.9499999999999993</v>
      </c>
      <c r="M5" s="388">
        <v>8.9499999999999993</v>
      </c>
      <c r="N5" s="388">
        <v>8.9499999999999993</v>
      </c>
      <c r="O5" s="388">
        <v>8.9499999999999993</v>
      </c>
      <c r="P5" s="388">
        <v>8.9499999999999993</v>
      </c>
      <c r="Q5" s="388">
        <v>8.9499999999999993</v>
      </c>
      <c r="R5" s="388">
        <v>8.9499999999999993</v>
      </c>
      <c r="S5" s="388">
        <v>8.9499999999999993</v>
      </c>
      <c r="T5" s="388">
        <v>8.9499999999999993</v>
      </c>
      <c r="U5" s="388">
        <v>8.9499999999999993</v>
      </c>
      <c r="V5" s="388">
        <v>8.9499999999999993</v>
      </c>
      <c r="W5" s="388">
        <v>8.9499999999999993</v>
      </c>
      <c r="X5" s="388">
        <v>8.9499999999999993</v>
      </c>
      <c r="Y5" s="388">
        <v>8.9499999999999993</v>
      </c>
      <c r="Z5" s="388">
        <v>8.9499999999999993</v>
      </c>
      <c r="AA5" s="388">
        <v>8.9499999999999993</v>
      </c>
      <c r="AB5" s="404"/>
      <c r="AC5" s="404"/>
      <c r="AD5" s="404"/>
      <c r="AE5" s="404"/>
      <c r="AF5" s="404"/>
      <c r="AG5" s="404"/>
      <c r="AH5" s="404"/>
      <c r="AI5" s="404"/>
      <c r="AJ5" s="404"/>
      <c r="AK5" s="404"/>
      <c r="AL5" s="404"/>
      <c r="AM5" s="404"/>
      <c r="AN5" s="404"/>
      <c r="AO5" s="404"/>
      <c r="AP5" s="404"/>
      <c r="AQ5" s="404"/>
      <c r="AR5" s="404"/>
      <c r="AS5" s="404"/>
      <c r="AT5" s="404"/>
      <c r="AU5" s="404"/>
      <c r="AV5" s="404"/>
      <c r="AW5" s="404"/>
      <c r="AX5" s="404"/>
      <c r="AY5" s="404"/>
      <c r="AZ5" s="404"/>
      <c r="BA5" s="404"/>
      <c r="BB5" s="404"/>
      <c r="BC5" s="404"/>
      <c r="BD5" s="404"/>
      <c r="BE5" s="404"/>
      <c r="BF5" s="404"/>
      <c r="BG5" s="404"/>
      <c r="BH5" s="404"/>
      <c r="BI5" s="404"/>
    </row>
    <row r="6" spans="1:61" s="407" customFormat="1" ht="21" customHeight="1">
      <c r="A6" s="540"/>
      <c r="B6" s="408" t="s">
        <v>27</v>
      </c>
      <c r="C6" s="406" t="s">
        <v>41</v>
      </c>
      <c r="D6" s="409">
        <v>0</v>
      </c>
      <c r="E6" s="409">
        <v>0</v>
      </c>
      <c r="F6" s="409">
        <v>0</v>
      </c>
      <c r="G6" s="411">
        <v>1</v>
      </c>
      <c r="H6" s="409">
        <v>0</v>
      </c>
      <c r="I6" s="411">
        <v>1</v>
      </c>
      <c r="J6" s="411">
        <v>0</v>
      </c>
      <c r="K6" s="411">
        <v>1</v>
      </c>
      <c r="L6" s="409">
        <v>0</v>
      </c>
      <c r="M6" s="409">
        <v>0</v>
      </c>
      <c r="N6" s="409">
        <v>0</v>
      </c>
      <c r="O6" s="409">
        <v>0</v>
      </c>
      <c r="P6" s="409">
        <v>0</v>
      </c>
      <c r="Q6" s="411">
        <v>0</v>
      </c>
      <c r="R6" s="411">
        <v>0</v>
      </c>
      <c r="S6" s="409">
        <v>0</v>
      </c>
      <c r="T6" s="411">
        <v>2</v>
      </c>
      <c r="U6" s="411">
        <v>2</v>
      </c>
      <c r="V6" s="411">
        <v>1</v>
      </c>
      <c r="W6" s="409">
        <v>0</v>
      </c>
      <c r="X6" s="410">
        <v>0</v>
      </c>
      <c r="Y6" s="411">
        <v>1</v>
      </c>
      <c r="Z6" s="411">
        <v>2</v>
      </c>
      <c r="AA6" s="409">
        <v>0</v>
      </c>
      <c r="AB6" s="404"/>
      <c r="AC6" s="404"/>
      <c r="AD6" s="404"/>
      <c r="AE6" s="404"/>
      <c r="AF6" s="404"/>
      <c r="AG6" s="404"/>
      <c r="AH6" s="404"/>
      <c r="AI6" s="404"/>
      <c r="AJ6" s="404"/>
      <c r="AK6" s="404"/>
      <c r="AL6" s="404"/>
      <c r="AM6" s="404"/>
      <c r="AN6" s="404"/>
      <c r="AO6" s="404"/>
      <c r="AP6" s="404"/>
      <c r="AQ6" s="404"/>
      <c r="AR6" s="404"/>
      <c r="AS6" s="404"/>
      <c r="AT6" s="404"/>
      <c r="AU6" s="404"/>
      <c r="AV6" s="404"/>
      <c r="AW6" s="404"/>
      <c r="AX6" s="404"/>
      <c r="AY6" s="404"/>
      <c r="AZ6" s="404"/>
      <c r="BA6" s="404"/>
      <c r="BB6" s="404"/>
      <c r="BC6" s="404"/>
      <c r="BD6" s="404"/>
      <c r="BE6" s="404"/>
      <c r="BF6" s="404"/>
      <c r="BG6" s="404"/>
      <c r="BH6" s="404"/>
      <c r="BI6" s="404"/>
    </row>
    <row r="7" spans="1:61" s="407" customFormat="1" ht="21">
      <c r="A7" s="540"/>
      <c r="B7" s="412" t="s">
        <v>249</v>
      </c>
      <c r="C7" s="406" t="s">
        <v>246</v>
      </c>
      <c r="D7" s="388">
        <v>8</v>
      </c>
      <c r="E7" s="388">
        <v>8</v>
      </c>
      <c r="F7" s="388">
        <v>8</v>
      </c>
      <c r="G7" s="388">
        <v>8</v>
      </c>
      <c r="H7" s="388">
        <v>8</v>
      </c>
      <c r="I7" s="388">
        <v>8</v>
      </c>
      <c r="J7" s="388">
        <v>8</v>
      </c>
      <c r="K7" s="388">
        <v>8</v>
      </c>
      <c r="L7" s="388">
        <v>8</v>
      </c>
      <c r="M7" s="388">
        <v>8</v>
      </c>
      <c r="N7" s="388">
        <v>8</v>
      </c>
      <c r="O7" s="388">
        <v>8</v>
      </c>
      <c r="P7" s="388">
        <v>8</v>
      </c>
      <c r="Q7" s="388">
        <v>8</v>
      </c>
      <c r="R7" s="388">
        <v>8</v>
      </c>
      <c r="S7" s="388">
        <v>8</v>
      </c>
      <c r="T7" s="388">
        <v>8</v>
      </c>
      <c r="U7" s="388">
        <v>8</v>
      </c>
      <c r="V7" s="388">
        <v>8</v>
      </c>
      <c r="W7" s="388">
        <v>8</v>
      </c>
      <c r="X7" s="388">
        <v>8</v>
      </c>
      <c r="Y7" s="388">
        <v>8</v>
      </c>
      <c r="Z7" s="388">
        <v>8</v>
      </c>
      <c r="AA7" s="388">
        <v>8</v>
      </c>
      <c r="AB7" s="404"/>
      <c r="AC7" s="404"/>
      <c r="AD7" s="404"/>
      <c r="AE7" s="404"/>
      <c r="AF7" s="404"/>
      <c r="AG7" s="404"/>
      <c r="AH7" s="404"/>
      <c r="AI7" s="404"/>
      <c r="AJ7" s="404"/>
      <c r="AK7" s="404"/>
      <c r="AL7" s="404"/>
      <c r="AM7" s="404"/>
      <c r="AN7" s="404"/>
      <c r="AO7" s="404"/>
      <c r="AP7" s="404"/>
      <c r="AQ7" s="404"/>
      <c r="AR7" s="404"/>
      <c r="AS7" s="404"/>
      <c r="AT7" s="404"/>
      <c r="AU7" s="404"/>
      <c r="AV7" s="404"/>
      <c r="AW7" s="404"/>
      <c r="AX7" s="404"/>
      <c r="AY7" s="404"/>
      <c r="AZ7" s="404"/>
      <c r="BA7" s="404"/>
      <c r="BB7" s="404"/>
      <c r="BC7" s="404"/>
      <c r="BD7" s="404"/>
      <c r="BE7" s="404"/>
      <c r="BF7" s="404"/>
      <c r="BG7" s="404"/>
      <c r="BH7" s="404"/>
      <c r="BI7" s="404"/>
    </row>
    <row r="8" spans="1:61" s="407" customFormat="1" ht="21">
      <c r="A8" s="540"/>
      <c r="B8" s="413" t="s">
        <v>27</v>
      </c>
      <c r="C8" s="406" t="s">
        <v>41</v>
      </c>
      <c r="D8" s="409">
        <v>1</v>
      </c>
      <c r="E8" s="409">
        <v>1</v>
      </c>
      <c r="F8" s="409">
        <v>1</v>
      </c>
      <c r="G8" s="409">
        <v>0</v>
      </c>
      <c r="H8" s="409">
        <v>1</v>
      </c>
      <c r="I8" s="409">
        <v>0</v>
      </c>
      <c r="J8" s="410">
        <v>1</v>
      </c>
      <c r="K8" s="409">
        <v>0</v>
      </c>
      <c r="L8" s="409">
        <v>0</v>
      </c>
      <c r="M8" s="409">
        <v>0</v>
      </c>
      <c r="N8" s="409">
        <v>0</v>
      </c>
      <c r="O8" s="409">
        <v>1</v>
      </c>
      <c r="P8" s="409">
        <v>1</v>
      </c>
      <c r="Q8" s="410">
        <v>0</v>
      </c>
      <c r="R8" s="410">
        <v>0</v>
      </c>
      <c r="S8" s="409">
        <v>1</v>
      </c>
      <c r="T8" s="409">
        <v>0</v>
      </c>
      <c r="U8" s="409">
        <v>0</v>
      </c>
      <c r="V8" s="409">
        <v>0</v>
      </c>
      <c r="W8" s="409">
        <v>1</v>
      </c>
      <c r="X8" s="409">
        <v>1</v>
      </c>
      <c r="Y8" s="409">
        <v>0</v>
      </c>
      <c r="Z8" s="409">
        <v>0</v>
      </c>
      <c r="AA8" s="409">
        <v>0</v>
      </c>
      <c r="AB8" s="404"/>
      <c r="AC8" s="404"/>
      <c r="AD8" s="404"/>
      <c r="AE8" s="404"/>
      <c r="AF8" s="404"/>
      <c r="AG8" s="404"/>
      <c r="AH8" s="404"/>
      <c r="AI8" s="404"/>
      <c r="AJ8" s="404"/>
      <c r="AK8" s="404"/>
      <c r="AL8" s="404"/>
      <c r="AM8" s="404"/>
      <c r="AN8" s="404"/>
      <c r="AO8" s="404"/>
      <c r="AP8" s="404"/>
      <c r="AQ8" s="404"/>
      <c r="AR8" s="404"/>
      <c r="AS8" s="404"/>
      <c r="AT8" s="404"/>
      <c r="AU8" s="404"/>
      <c r="AV8" s="404"/>
      <c r="AW8" s="404"/>
      <c r="AX8" s="404"/>
      <c r="AY8" s="404"/>
      <c r="AZ8" s="404"/>
      <c r="BA8" s="404"/>
      <c r="BB8" s="404"/>
      <c r="BC8" s="404"/>
      <c r="BD8" s="404"/>
      <c r="BE8" s="404"/>
      <c r="BF8" s="404"/>
      <c r="BG8" s="404"/>
      <c r="BH8" s="404"/>
      <c r="BI8" s="404"/>
    </row>
    <row r="9" spans="1:61" s="407" customFormat="1" ht="21">
      <c r="A9" s="540"/>
      <c r="B9" s="414" t="s">
        <v>92</v>
      </c>
      <c r="C9" s="406" t="s">
        <v>246</v>
      </c>
      <c r="D9" s="388">
        <v>7</v>
      </c>
      <c r="E9" s="388">
        <v>7</v>
      </c>
      <c r="F9" s="388">
        <v>7</v>
      </c>
      <c r="G9" s="388">
        <v>7</v>
      </c>
      <c r="H9" s="388">
        <v>7</v>
      </c>
      <c r="I9" s="388">
        <v>7</v>
      </c>
      <c r="J9" s="415">
        <v>7</v>
      </c>
      <c r="K9" s="388">
        <v>7</v>
      </c>
      <c r="L9" s="388">
        <v>7</v>
      </c>
      <c r="M9" s="388">
        <v>7</v>
      </c>
      <c r="N9" s="388">
        <v>7</v>
      </c>
      <c r="O9" s="388">
        <v>7</v>
      </c>
      <c r="P9" s="388">
        <v>7</v>
      </c>
      <c r="Q9" s="415">
        <v>7</v>
      </c>
      <c r="R9" s="415">
        <v>7</v>
      </c>
      <c r="S9" s="388">
        <v>7</v>
      </c>
      <c r="T9" s="388">
        <v>7</v>
      </c>
      <c r="U9" s="388">
        <v>7</v>
      </c>
      <c r="V9" s="388">
        <v>7</v>
      </c>
      <c r="W9" s="388">
        <v>7</v>
      </c>
      <c r="X9" s="415">
        <v>7</v>
      </c>
      <c r="Y9" s="388">
        <v>7</v>
      </c>
      <c r="Z9" s="388">
        <v>7</v>
      </c>
      <c r="AA9" s="388">
        <v>7</v>
      </c>
      <c r="AB9" s="404"/>
      <c r="AC9" s="404"/>
      <c r="AD9" s="404"/>
      <c r="AE9" s="404"/>
      <c r="AF9" s="404"/>
      <c r="AG9" s="404"/>
      <c r="AH9" s="404"/>
      <c r="AI9" s="404"/>
      <c r="AJ9" s="404"/>
      <c r="AK9" s="404"/>
      <c r="AL9" s="404"/>
      <c r="AM9" s="404"/>
      <c r="AN9" s="404"/>
      <c r="AO9" s="404"/>
      <c r="AP9" s="404"/>
      <c r="AQ9" s="404"/>
      <c r="AR9" s="404"/>
      <c r="AS9" s="404"/>
      <c r="AT9" s="404"/>
      <c r="AU9" s="404"/>
      <c r="AV9" s="404"/>
      <c r="AW9" s="404"/>
      <c r="AX9" s="404"/>
      <c r="AY9" s="404"/>
      <c r="AZ9" s="404"/>
      <c r="BA9" s="404"/>
      <c r="BB9" s="404"/>
      <c r="BC9" s="404"/>
      <c r="BD9" s="404"/>
      <c r="BE9" s="404"/>
      <c r="BF9" s="404"/>
      <c r="BG9" s="404"/>
      <c r="BH9" s="404"/>
      <c r="BI9" s="404"/>
    </row>
    <row r="10" spans="1:61" s="407" customFormat="1" ht="21">
      <c r="A10" s="540"/>
      <c r="B10" s="413" t="s">
        <v>27</v>
      </c>
      <c r="C10" s="406" t="s">
        <v>41</v>
      </c>
      <c r="D10" s="409">
        <v>0</v>
      </c>
      <c r="E10" s="409">
        <v>0</v>
      </c>
      <c r="F10" s="409">
        <v>0</v>
      </c>
      <c r="G10" s="409">
        <v>0</v>
      </c>
      <c r="H10" s="409">
        <v>0</v>
      </c>
      <c r="I10" s="409">
        <v>0</v>
      </c>
      <c r="J10" s="410">
        <v>0</v>
      </c>
      <c r="K10" s="409">
        <v>0</v>
      </c>
      <c r="L10" s="409">
        <v>0</v>
      </c>
      <c r="M10" s="409">
        <v>0</v>
      </c>
      <c r="N10" s="409">
        <v>0</v>
      </c>
      <c r="O10" s="409">
        <v>0</v>
      </c>
      <c r="P10" s="409">
        <v>0</v>
      </c>
      <c r="Q10" s="410">
        <v>0</v>
      </c>
      <c r="R10" s="410">
        <v>0</v>
      </c>
      <c r="S10" s="409">
        <v>0</v>
      </c>
      <c r="T10" s="409">
        <v>0</v>
      </c>
      <c r="U10" s="409">
        <v>0</v>
      </c>
      <c r="V10" s="409">
        <v>0</v>
      </c>
      <c r="W10" s="409">
        <v>0</v>
      </c>
      <c r="X10" s="410">
        <v>0</v>
      </c>
      <c r="Y10" s="409">
        <v>0</v>
      </c>
      <c r="Z10" s="409">
        <v>0</v>
      </c>
      <c r="AA10" s="409">
        <v>0</v>
      </c>
      <c r="AB10" s="404"/>
      <c r="AC10" s="404"/>
      <c r="AD10" s="404"/>
      <c r="AE10" s="404"/>
      <c r="AF10" s="404"/>
      <c r="AG10" s="404"/>
      <c r="AH10" s="404"/>
      <c r="AI10" s="404"/>
      <c r="AJ10" s="404"/>
      <c r="AK10" s="404"/>
      <c r="AL10" s="404"/>
      <c r="AM10" s="404"/>
      <c r="AN10" s="404"/>
      <c r="AO10" s="404"/>
      <c r="AP10" s="404"/>
      <c r="AQ10" s="404"/>
      <c r="AR10" s="404"/>
      <c r="AS10" s="404"/>
      <c r="AT10" s="404"/>
      <c r="AU10" s="404"/>
      <c r="AV10" s="404"/>
      <c r="AW10" s="404"/>
      <c r="AX10" s="404"/>
      <c r="AY10" s="404"/>
      <c r="AZ10" s="404"/>
      <c r="BA10" s="404"/>
      <c r="BB10" s="404"/>
      <c r="BC10" s="404"/>
      <c r="BD10" s="404"/>
      <c r="BE10" s="404"/>
      <c r="BF10" s="404"/>
      <c r="BG10" s="404"/>
      <c r="BH10" s="404"/>
      <c r="BI10" s="404"/>
    </row>
    <row r="11" spans="1:61" s="407" customFormat="1" ht="21">
      <c r="A11" s="540"/>
      <c r="B11" s="412" t="s">
        <v>114</v>
      </c>
      <c r="C11" s="406" t="s">
        <v>246</v>
      </c>
      <c r="D11" s="388">
        <v>2</v>
      </c>
      <c r="E11" s="388">
        <v>2</v>
      </c>
      <c r="F11" s="388">
        <v>2</v>
      </c>
      <c r="G11" s="388">
        <v>2</v>
      </c>
      <c r="H11" s="388">
        <v>2</v>
      </c>
      <c r="I11" s="388">
        <v>2</v>
      </c>
      <c r="J11" s="415">
        <v>2</v>
      </c>
      <c r="K11" s="388">
        <v>2</v>
      </c>
      <c r="L11" s="388">
        <v>2</v>
      </c>
      <c r="M11" s="388">
        <v>2</v>
      </c>
      <c r="N11" s="388">
        <v>2</v>
      </c>
      <c r="O11" s="388">
        <v>2</v>
      </c>
      <c r="P11" s="388">
        <v>2</v>
      </c>
      <c r="Q11" s="415">
        <v>2</v>
      </c>
      <c r="R11" s="415">
        <v>2</v>
      </c>
      <c r="S11" s="388">
        <v>2</v>
      </c>
      <c r="T11" s="388">
        <v>22</v>
      </c>
      <c r="U11" s="388">
        <v>22</v>
      </c>
      <c r="V11" s="388">
        <v>2</v>
      </c>
      <c r="W11" s="388">
        <v>2</v>
      </c>
      <c r="X11" s="415">
        <v>2</v>
      </c>
      <c r="Y11" s="388">
        <v>2</v>
      </c>
      <c r="Z11" s="388">
        <v>22</v>
      </c>
      <c r="AA11" s="388">
        <v>2</v>
      </c>
      <c r="AB11" s="404"/>
      <c r="AC11" s="404"/>
      <c r="AD11" s="404"/>
      <c r="AE11" s="404"/>
      <c r="AF11" s="404"/>
      <c r="AG11" s="404"/>
      <c r="AH11" s="404"/>
      <c r="AI11" s="404"/>
      <c r="AJ11" s="404"/>
      <c r="AK11" s="404"/>
      <c r="AL11" s="404"/>
      <c r="AM11" s="404"/>
      <c r="AN11" s="404"/>
      <c r="AO11" s="404"/>
      <c r="AP11" s="404"/>
      <c r="AQ11" s="404"/>
      <c r="AR11" s="404"/>
      <c r="AS11" s="404"/>
      <c r="AT11" s="404"/>
      <c r="AU11" s="404"/>
      <c r="AV11" s="404"/>
      <c r="AW11" s="404"/>
      <c r="AX11" s="404"/>
      <c r="AY11" s="404"/>
      <c r="AZ11" s="404"/>
      <c r="BA11" s="404"/>
      <c r="BB11" s="404"/>
      <c r="BC11" s="404"/>
      <c r="BD11" s="404"/>
      <c r="BE11" s="404"/>
      <c r="BF11" s="404"/>
      <c r="BG11" s="404"/>
      <c r="BH11" s="404"/>
      <c r="BI11" s="404"/>
    </row>
    <row r="12" spans="1:61" s="407" customFormat="1" ht="21">
      <c r="A12" s="540"/>
      <c r="B12" s="413" t="s">
        <v>27</v>
      </c>
      <c r="C12" s="406" t="s">
        <v>41</v>
      </c>
      <c r="D12" s="409">
        <v>0</v>
      </c>
      <c r="E12" s="409">
        <v>0</v>
      </c>
      <c r="F12" s="409">
        <v>0</v>
      </c>
      <c r="G12" s="409">
        <v>0</v>
      </c>
      <c r="H12" s="409">
        <v>0</v>
      </c>
      <c r="I12" s="409">
        <v>0</v>
      </c>
      <c r="J12" s="410">
        <v>0</v>
      </c>
      <c r="K12" s="409">
        <v>0</v>
      </c>
      <c r="L12" s="409">
        <v>0</v>
      </c>
      <c r="M12" s="409">
        <v>0</v>
      </c>
      <c r="N12" s="409">
        <v>0</v>
      </c>
      <c r="O12" s="409">
        <v>0</v>
      </c>
      <c r="P12" s="409">
        <v>0</v>
      </c>
      <c r="Q12" s="410">
        <v>0</v>
      </c>
      <c r="R12" s="410">
        <v>0</v>
      </c>
      <c r="S12" s="409">
        <v>0</v>
      </c>
      <c r="T12" s="409">
        <v>0</v>
      </c>
      <c r="U12" s="409">
        <v>0</v>
      </c>
      <c r="V12" s="409">
        <v>0</v>
      </c>
      <c r="W12" s="409">
        <v>0</v>
      </c>
      <c r="X12" s="410">
        <v>0</v>
      </c>
      <c r="Y12" s="409">
        <v>0</v>
      </c>
      <c r="Z12" s="409">
        <v>0</v>
      </c>
      <c r="AA12" s="409">
        <v>0</v>
      </c>
      <c r="AB12" s="404"/>
      <c r="AC12" s="404"/>
      <c r="AD12" s="404"/>
      <c r="AE12" s="404"/>
      <c r="AF12" s="404"/>
      <c r="AG12" s="404"/>
      <c r="AH12" s="404"/>
      <c r="AI12" s="404"/>
      <c r="AJ12" s="404"/>
      <c r="AK12" s="404"/>
      <c r="AL12" s="404"/>
      <c r="AM12" s="404"/>
      <c r="AN12" s="404"/>
      <c r="AO12" s="404"/>
      <c r="AP12" s="404"/>
      <c r="AQ12" s="404"/>
      <c r="AR12" s="404"/>
      <c r="AS12" s="404"/>
      <c r="AT12" s="404"/>
      <c r="AU12" s="404"/>
      <c r="AV12" s="404"/>
      <c r="AW12" s="404"/>
      <c r="AX12" s="404"/>
      <c r="AY12" s="404"/>
      <c r="AZ12" s="404"/>
      <c r="BA12" s="404"/>
      <c r="BB12" s="404"/>
      <c r="BC12" s="404"/>
      <c r="BD12" s="404"/>
      <c r="BE12" s="404"/>
      <c r="BF12" s="404"/>
      <c r="BG12" s="404"/>
      <c r="BH12" s="404"/>
      <c r="BI12" s="404"/>
    </row>
    <row r="13" spans="1:61" s="407" customFormat="1" ht="21">
      <c r="A13" s="540"/>
      <c r="B13" s="412" t="s">
        <v>115</v>
      </c>
      <c r="C13" s="406" t="s">
        <v>246</v>
      </c>
      <c r="D13" s="388">
        <v>10</v>
      </c>
      <c r="E13" s="388">
        <v>10</v>
      </c>
      <c r="F13" s="388">
        <v>10</v>
      </c>
      <c r="G13" s="388">
        <v>10</v>
      </c>
      <c r="H13" s="388">
        <v>10</v>
      </c>
      <c r="I13" s="388">
        <v>10</v>
      </c>
      <c r="J13" s="388">
        <v>10</v>
      </c>
      <c r="K13" s="388">
        <v>10</v>
      </c>
      <c r="L13" s="388">
        <v>10</v>
      </c>
      <c r="M13" s="388">
        <v>10</v>
      </c>
      <c r="N13" s="388">
        <v>10</v>
      </c>
      <c r="O13" s="388">
        <v>10</v>
      </c>
      <c r="P13" s="388">
        <v>10</v>
      </c>
      <c r="Q13" s="388">
        <v>10</v>
      </c>
      <c r="R13" s="388">
        <v>10</v>
      </c>
      <c r="S13" s="388">
        <v>10</v>
      </c>
      <c r="T13" s="388">
        <v>10</v>
      </c>
      <c r="U13" s="388">
        <v>10</v>
      </c>
      <c r="V13" s="388">
        <v>10</v>
      </c>
      <c r="W13" s="388">
        <v>10</v>
      </c>
      <c r="X13" s="388">
        <v>10</v>
      </c>
      <c r="Y13" s="388">
        <v>10</v>
      </c>
      <c r="Z13" s="388">
        <v>10</v>
      </c>
      <c r="AA13" s="388">
        <v>10</v>
      </c>
      <c r="AB13" s="404"/>
      <c r="AC13" s="404"/>
      <c r="AD13" s="404"/>
      <c r="AE13" s="404"/>
      <c r="AF13" s="404"/>
      <c r="AG13" s="404"/>
      <c r="AH13" s="404"/>
      <c r="AI13" s="404"/>
      <c r="AJ13" s="404"/>
      <c r="AK13" s="404"/>
      <c r="AL13" s="404"/>
      <c r="AM13" s="404"/>
      <c r="AN13" s="404"/>
      <c r="AO13" s="404"/>
      <c r="AP13" s="404"/>
      <c r="AQ13" s="404"/>
      <c r="AR13" s="404"/>
      <c r="AS13" s="404"/>
      <c r="AT13" s="404"/>
      <c r="AU13" s="404"/>
      <c r="AV13" s="404"/>
      <c r="AW13" s="404"/>
      <c r="AX13" s="404"/>
      <c r="AY13" s="404"/>
      <c r="AZ13" s="404"/>
      <c r="BA13" s="404"/>
      <c r="BB13" s="404"/>
      <c r="BC13" s="404"/>
      <c r="BD13" s="404"/>
      <c r="BE13" s="404"/>
      <c r="BF13" s="404"/>
      <c r="BG13" s="404"/>
      <c r="BH13" s="404"/>
      <c r="BI13" s="404"/>
    </row>
    <row r="14" spans="1:61" s="407" customFormat="1" ht="21">
      <c r="A14" s="540"/>
      <c r="B14" s="413" t="s">
        <v>27</v>
      </c>
      <c r="C14" s="406" t="s">
        <v>41</v>
      </c>
      <c r="D14" s="409">
        <v>0</v>
      </c>
      <c r="E14" s="409">
        <v>0</v>
      </c>
      <c r="F14" s="409">
        <v>0</v>
      </c>
      <c r="G14" s="409">
        <v>0</v>
      </c>
      <c r="H14" s="409">
        <v>0</v>
      </c>
      <c r="I14" s="409">
        <v>0</v>
      </c>
      <c r="J14" s="410">
        <v>0</v>
      </c>
      <c r="K14" s="409">
        <v>0</v>
      </c>
      <c r="L14" s="409">
        <v>0</v>
      </c>
      <c r="M14" s="409">
        <v>0</v>
      </c>
      <c r="N14" s="409">
        <v>0</v>
      </c>
      <c r="O14" s="409">
        <v>0</v>
      </c>
      <c r="P14" s="409">
        <v>0</v>
      </c>
      <c r="Q14" s="410">
        <v>0</v>
      </c>
      <c r="R14" s="410">
        <v>0</v>
      </c>
      <c r="S14" s="409">
        <v>0</v>
      </c>
      <c r="T14" s="409">
        <v>0</v>
      </c>
      <c r="U14" s="409">
        <v>0</v>
      </c>
      <c r="V14" s="409">
        <v>0</v>
      </c>
      <c r="W14" s="409">
        <v>0</v>
      </c>
      <c r="X14" s="410">
        <v>0</v>
      </c>
      <c r="Y14" s="409">
        <v>0</v>
      </c>
      <c r="Z14" s="409">
        <v>0</v>
      </c>
      <c r="AA14" s="409">
        <v>0</v>
      </c>
      <c r="AB14" s="404"/>
      <c r="AC14" s="404"/>
      <c r="AD14" s="404"/>
      <c r="AE14" s="404"/>
      <c r="AF14" s="404"/>
      <c r="AG14" s="404"/>
      <c r="AH14" s="404"/>
      <c r="AI14" s="404"/>
      <c r="AJ14" s="404"/>
      <c r="AK14" s="404"/>
      <c r="AL14" s="404"/>
      <c r="AM14" s="404"/>
      <c r="AN14" s="404"/>
      <c r="AO14" s="404"/>
      <c r="AP14" s="404"/>
      <c r="AQ14" s="404"/>
      <c r="AR14" s="404"/>
      <c r="AS14" s="404"/>
      <c r="AT14" s="404"/>
      <c r="AU14" s="404"/>
      <c r="AV14" s="404"/>
      <c r="AW14" s="404"/>
      <c r="AX14" s="404"/>
      <c r="AY14" s="404"/>
      <c r="AZ14" s="404"/>
      <c r="BA14" s="404"/>
      <c r="BB14" s="404"/>
      <c r="BC14" s="404"/>
      <c r="BD14" s="404"/>
      <c r="BE14" s="404"/>
      <c r="BF14" s="404"/>
      <c r="BG14" s="404"/>
      <c r="BH14" s="404"/>
      <c r="BI14" s="404"/>
    </row>
    <row r="15" spans="1:61" s="407" customFormat="1" ht="21">
      <c r="A15" s="540"/>
      <c r="B15" s="412" t="s">
        <v>116</v>
      </c>
      <c r="C15" s="406" t="s">
        <v>246</v>
      </c>
      <c r="D15" s="388">
        <v>2.5</v>
      </c>
      <c r="E15" s="388">
        <v>2.5</v>
      </c>
      <c r="F15" s="388">
        <v>2.5</v>
      </c>
      <c r="G15" s="388">
        <v>2.5</v>
      </c>
      <c r="H15" s="388">
        <v>2.5</v>
      </c>
      <c r="I15" s="388">
        <v>2.5</v>
      </c>
      <c r="J15" s="388">
        <v>2.5</v>
      </c>
      <c r="K15" s="388">
        <v>2.5</v>
      </c>
      <c r="L15" s="388">
        <v>2.5</v>
      </c>
      <c r="M15" s="388">
        <v>2.5</v>
      </c>
      <c r="N15" s="388">
        <v>2.5</v>
      </c>
      <c r="O15" s="388">
        <v>2.5</v>
      </c>
      <c r="P15" s="388">
        <v>2.5</v>
      </c>
      <c r="Q15" s="388">
        <v>2.5</v>
      </c>
      <c r="R15" s="388">
        <v>2.5</v>
      </c>
      <c r="S15" s="388">
        <v>2.5</v>
      </c>
      <c r="T15" s="388">
        <v>2.5</v>
      </c>
      <c r="U15" s="388">
        <v>2.5</v>
      </c>
      <c r="V15" s="388">
        <v>2.5</v>
      </c>
      <c r="W15" s="388">
        <v>2.5</v>
      </c>
      <c r="X15" s="388">
        <v>2.5</v>
      </c>
      <c r="Y15" s="388">
        <v>2.5</v>
      </c>
      <c r="Z15" s="388">
        <v>2.5</v>
      </c>
      <c r="AA15" s="388">
        <v>2.5</v>
      </c>
      <c r="AB15" s="404"/>
      <c r="AC15" s="404"/>
      <c r="AD15" s="404"/>
      <c r="AE15" s="404"/>
      <c r="AF15" s="404"/>
      <c r="AG15" s="404"/>
      <c r="AH15" s="404"/>
      <c r="AI15" s="404"/>
      <c r="AJ15" s="404"/>
      <c r="AK15" s="404"/>
      <c r="AL15" s="404"/>
      <c r="AM15" s="404"/>
      <c r="AN15" s="404"/>
      <c r="AO15" s="404"/>
      <c r="AP15" s="404"/>
      <c r="AQ15" s="404"/>
      <c r="AR15" s="404"/>
      <c r="AS15" s="404"/>
      <c r="AT15" s="404"/>
      <c r="AU15" s="404"/>
      <c r="AV15" s="404"/>
      <c r="AW15" s="404"/>
      <c r="AX15" s="404"/>
      <c r="AY15" s="404"/>
      <c r="AZ15" s="404"/>
      <c r="BA15" s="404"/>
      <c r="BB15" s="404"/>
      <c r="BC15" s="404"/>
      <c r="BD15" s="404"/>
      <c r="BE15" s="404"/>
      <c r="BF15" s="404"/>
      <c r="BG15" s="404"/>
      <c r="BH15" s="404"/>
      <c r="BI15" s="404"/>
    </row>
    <row r="16" spans="1:61" s="407" customFormat="1" ht="21">
      <c r="A16" s="540"/>
      <c r="B16" s="413" t="s">
        <v>27</v>
      </c>
      <c r="C16" s="406" t="s">
        <v>41</v>
      </c>
      <c r="D16" s="409">
        <v>0</v>
      </c>
      <c r="E16" s="409">
        <v>0</v>
      </c>
      <c r="F16" s="409">
        <v>0</v>
      </c>
      <c r="G16" s="409">
        <v>0</v>
      </c>
      <c r="H16" s="409">
        <v>0</v>
      </c>
      <c r="I16" s="409">
        <v>0</v>
      </c>
      <c r="J16" s="410">
        <v>0</v>
      </c>
      <c r="K16" s="409">
        <v>0</v>
      </c>
      <c r="L16" s="409">
        <v>0</v>
      </c>
      <c r="M16" s="409">
        <v>0</v>
      </c>
      <c r="N16" s="409">
        <v>0</v>
      </c>
      <c r="O16" s="409">
        <v>0</v>
      </c>
      <c r="P16" s="409">
        <v>0</v>
      </c>
      <c r="Q16" s="410">
        <v>0</v>
      </c>
      <c r="R16" s="410">
        <v>0</v>
      </c>
      <c r="S16" s="409">
        <v>0</v>
      </c>
      <c r="T16" s="409">
        <v>0</v>
      </c>
      <c r="U16" s="409">
        <v>0</v>
      </c>
      <c r="V16" s="409">
        <v>0</v>
      </c>
      <c r="W16" s="409">
        <v>0</v>
      </c>
      <c r="X16" s="410">
        <v>0</v>
      </c>
      <c r="Y16" s="409">
        <v>0</v>
      </c>
      <c r="Z16" s="409">
        <v>0</v>
      </c>
      <c r="AA16" s="409">
        <v>0</v>
      </c>
      <c r="AB16" s="404"/>
      <c r="AC16" s="404"/>
      <c r="AD16" s="404"/>
      <c r="AE16" s="404"/>
      <c r="AF16" s="404"/>
      <c r="AG16" s="404"/>
      <c r="AH16" s="404"/>
      <c r="AI16" s="404"/>
      <c r="AJ16" s="404"/>
      <c r="AK16" s="404"/>
      <c r="AL16" s="404"/>
      <c r="AM16" s="404"/>
      <c r="AN16" s="404"/>
      <c r="AO16" s="404"/>
      <c r="AP16" s="404"/>
      <c r="AQ16" s="404"/>
      <c r="AR16" s="404"/>
      <c r="AS16" s="404"/>
      <c r="AT16" s="404"/>
      <c r="AU16" s="404"/>
      <c r="AV16" s="404"/>
      <c r="AW16" s="404"/>
      <c r="AX16" s="404"/>
      <c r="AY16" s="404"/>
      <c r="AZ16" s="404"/>
      <c r="BA16" s="404"/>
      <c r="BB16" s="404"/>
      <c r="BC16" s="404"/>
      <c r="BD16" s="404"/>
      <c r="BE16" s="404"/>
      <c r="BF16" s="404"/>
      <c r="BG16" s="404"/>
      <c r="BH16" s="404"/>
      <c r="BI16" s="404"/>
    </row>
    <row r="17" spans="1:61" s="407" customFormat="1" ht="21">
      <c r="A17" s="540"/>
      <c r="B17" s="412" t="s">
        <v>203</v>
      </c>
      <c r="C17" s="406" t="s">
        <v>246</v>
      </c>
      <c r="D17" s="388">
        <v>8</v>
      </c>
      <c r="E17" s="388">
        <v>8</v>
      </c>
      <c r="F17" s="388">
        <v>8</v>
      </c>
      <c r="G17" s="388">
        <v>8</v>
      </c>
      <c r="H17" s="388">
        <v>8</v>
      </c>
      <c r="I17" s="388">
        <v>8</v>
      </c>
      <c r="J17" s="388">
        <v>8</v>
      </c>
      <c r="K17" s="388">
        <v>8</v>
      </c>
      <c r="L17" s="388">
        <v>8</v>
      </c>
      <c r="M17" s="388">
        <v>8</v>
      </c>
      <c r="N17" s="388">
        <v>8</v>
      </c>
      <c r="O17" s="388">
        <v>8</v>
      </c>
      <c r="P17" s="388">
        <v>8</v>
      </c>
      <c r="Q17" s="388">
        <v>8</v>
      </c>
      <c r="R17" s="388">
        <v>8</v>
      </c>
      <c r="S17" s="388">
        <v>8</v>
      </c>
      <c r="T17" s="388">
        <v>8</v>
      </c>
      <c r="U17" s="388">
        <v>8</v>
      </c>
      <c r="V17" s="388">
        <v>8</v>
      </c>
      <c r="W17" s="388">
        <v>8</v>
      </c>
      <c r="X17" s="388">
        <v>8</v>
      </c>
      <c r="Y17" s="388">
        <v>8</v>
      </c>
      <c r="Z17" s="388">
        <v>8</v>
      </c>
      <c r="AA17" s="388">
        <v>8</v>
      </c>
      <c r="AB17" s="404"/>
      <c r="AC17" s="404"/>
      <c r="AD17" s="404"/>
      <c r="AE17" s="404"/>
      <c r="AF17" s="404"/>
      <c r="AG17" s="404"/>
      <c r="AH17" s="404"/>
      <c r="AI17" s="404"/>
      <c r="AJ17" s="404"/>
      <c r="AK17" s="404"/>
      <c r="AL17" s="404"/>
      <c r="AM17" s="404"/>
      <c r="AN17" s="404"/>
      <c r="AO17" s="404"/>
      <c r="AP17" s="404"/>
      <c r="AQ17" s="404"/>
      <c r="AR17" s="404"/>
      <c r="AS17" s="404"/>
      <c r="AT17" s="404"/>
      <c r="AU17" s="404"/>
      <c r="AV17" s="404"/>
      <c r="AW17" s="404"/>
      <c r="AX17" s="404"/>
      <c r="AY17" s="404"/>
      <c r="AZ17" s="404"/>
      <c r="BA17" s="404"/>
      <c r="BB17" s="404"/>
      <c r="BC17" s="404"/>
      <c r="BD17" s="404"/>
      <c r="BE17" s="404"/>
      <c r="BF17" s="404"/>
      <c r="BG17" s="404"/>
      <c r="BH17" s="404"/>
      <c r="BI17" s="404"/>
    </row>
    <row r="18" spans="1:61" s="407" customFormat="1" ht="21">
      <c r="A18" s="540"/>
      <c r="B18" s="413" t="s">
        <v>27</v>
      </c>
      <c r="C18" s="406" t="s">
        <v>41</v>
      </c>
      <c r="D18" s="409">
        <v>0</v>
      </c>
      <c r="E18" s="409">
        <v>0</v>
      </c>
      <c r="F18" s="409">
        <v>0</v>
      </c>
      <c r="G18" s="409">
        <v>0</v>
      </c>
      <c r="H18" s="409">
        <v>0</v>
      </c>
      <c r="I18" s="409">
        <v>0</v>
      </c>
      <c r="J18" s="409">
        <v>0</v>
      </c>
      <c r="K18" s="409">
        <v>0</v>
      </c>
      <c r="L18" s="409">
        <v>0</v>
      </c>
      <c r="M18" s="409">
        <v>0</v>
      </c>
      <c r="N18" s="409">
        <v>0</v>
      </c>
      <c r="O18" s="409">
        <v>0</v>
      </c>
      <c r="P18" s="409">
        <v>0</v>
      </c>
      <c r="Q18" s="409">
        <v>0</v>
      </c>
      <c r="R18" s="409">
        <v>0</v>
      </c>
      <c r="S18" s="409">
        <v>0</v>
      </c>
      <c r="T18" s="409">
        <v>0</v>
      </c>
      <c r="U18" s="409">
        <v>0</v>
      </c>
      <c r="V18" s="409">
        <v>0</v>
      </c>
      <c r="W18" s="409">
        <v>0</v>
      </c>
      <c r="X18" s="409">
        <v>0</v>
      </c>
      <c r="Y18" s="409">
        <v>0</v>
      </c>
      <c r="Z18" s="409">
        <v>0</v>
      </c>
      <c r="AA18" s="409">
        <v>0</v>
      </c>
      <c r="AB18" s="404"/>
      <c r="AC18" s="404"/>
      <c r="AD18" s="404"/>
      <c r="AE18" s="404"/>
      <c r="AF18" s="404"/>
      <c r="AG18" s="404"/>
      <c r="AH18" s="404"/>
      <c r="AI18" s="404"/>
      <c r="AJ18" s="404"/>
      <c r="AK18" s="404"/>
      <c r="AL18" s="404"/>
      <c r="AM18" s="404"/>
      <c r="AN18" s="404"/>
      <c r="AO18" s="404"/>
      <c r="AP18" s="404"/>
      <c r="AQ18" s="404"/>
      <c r="AR18" s="404"/>
      <c r="AS18" s="404"/>
      <c r="AT18" s="404"/>
      <c r="AU18" s="404"/>
      <c r="AV18" s="404"/>
      <c r="AW18" s="404"/>
      <c r="AX18" s="404"/>
      <c r="AY18" s="404"/>
      <c r="AZ18" s="404"/>
      <c r="BA18" s="404"/>
      <c r="BB18" s="404"/>
      <c r="BC18" s="404"/>
      <c r="BD18" s="404"/>
      <c r="BE18" s="404"/>
      <c r="BF18" s="404"/>
      <c r="BG18" s="404"/>
      <c r="BH18" s="404"/>
      <c r="BI18" s="404"/>
    </row>
    <row r="19" spans="1:61" s="407" customFormat="1" ht="21">
      <c r="A19" s="541"/>
      <c r="B19" s="412" t="s">
        <v>250</v>
      </c>
      <c r="C19" s="406" t="s">
        <v>246</v>
      </c>
      <c r="D19" s="388">
        <v>0</v>
      </c>
      <c r="E19" s="388">
        <v>0</v>
      </c>
      <c r="F19" s="388">
        <v>0</v>
      </c>
      <c r="G19" s="388">
        <v>0</v>
      </c>
      <c r="H19" s="388">
        <v>0</v>
      </c>
      <c r="I19" s="388">
        <v>0</v>
      </c>
      <c r="J19" s="388">
        <v>0</v>
      </c>
      <c r="K19" s="388">
        <v>0</v>
      </c>
      <c r="L19" s="388">
        <v>0</v>
      </c>
      <c r="M19" s="388">
        <v>0</v>
      </c>
      <c r="N19" s="388">
        <v>0</v>
      </c>
      <c r="O19" s="388">
        <v>0</v>
      </c>
      <c r="P19" s="388">
        <v>0</v>
      </c>
      <c r="Q19" s="388">
        <v>0</v>
      </c>
      <c r="R19" s="388">
        <v>0</v>
      </c>
      <c r="S19" s="388">
        <v>0</v>
      </c>
      <c r="T19" s="388">
        <v>0</v>
      </c>
      <c r="U19" s="388">
        <v>0</v>
      </c>
      <c r="V19" s="388">
        <v>0</v>
      </c>
      <c r="W19" s="388">
        <v>0</v>
      </c>
      <c r="X19" s="388">
        <v>0</v>
      </c>
      <c r="Y19" s="388">
        <v>0</v>
      </c>
      <c r="Z19" s="388">
        <v>0</v>
      </c>
      <c r="AA19" s="388">
        <v>0</v>
      </c>
      <c r="AB19" s="404"/>
      <c r="AC19" s="404"/>
      <c r="AD19" s="404"/>
      <c r="AE19" s="404"/>
      <c r="AF19" s="404"/>
      <c r="AG19" s="404"/>
      <c r="AH19" s="404"/>
      <c r="AI19" s="404"/>
      <c r="AJ19" s="404"/>
      <c r="AK19" s="404"/>
      <c r="AL19" s="404"/>
      <c r="AM19" s="404"/>
      <c r="AN19" s="404"/>
      <c r="AO19" s="404"/>
      <c r="AP19" s="404"/>
      <c r="AQ19" s="404"/>
      <c r="AR19" s="404"/>
      <c r="AS19" s="404"/>
      <c r="AT19" s="404"/>
      <c r="AU19" s="404"/>
      <c r="AV19" s="404"/>
      <c r="AW19" s="404"/>
      <c r="AX19" s="404"/>
      <c r="AY19" s="404"/>
      <c r="AZ19" s="404"/>
      <c r="BA19" s="404"/>
      <c r="BB19" s="404"/>
      <c r="BC19" s="404"/>
      <c r="BD19" s="404"/>
      <c r="BE19" s="404"/>
      <c r="BF19" s="404"/>
      <c r="BG19" s="404"/>
      <c r="BH19" s="404"/>
      <c r="BI19" s="404"/>
    </row>
    <row r="20" spans="1:61" s="404" customFormat="1" ht="21" customHeight="1">
      <c r="A20" s="541"/>
      <c r="B20" s="413" t="s">
        <v>27</v>
      </c>
      <c r="C20" s="406" t="s">
        <v>41</v>
      </c>
      <c r="D20" s="410">
        <v>0</v>
      </c>
      <c r="E20" s="410">
        <v>0</v>
      </c>
      <c r="F20" s="410">
        <v>0</v>
      </c>
      <c r="G20" s="410">
        <v>0</v>
      </c>
      <c r="H20" s="410">
        <v>0</v>
      </c>
      <c r="I20" s="410">
        <v>0</v>
      </c>
      <c r="J20" s="410">
        <v>0</v>
      </c>
      <c r="K20" s="410">
        <v>0</v>
      </c>
      <c r="L20" s="410">
        <v>0</v>
      </c>
      <c r="M20" s="410">
        <v>0</v>
      </c>
      <c r="N20" s="410">
        <v>0</v>
      </c>
      <c r="O20" s="410">
        <v>0</v>
      </c>
      <c r="P20" s="410">
        <v>0</v>
      </c>
      <c r="Q20" s="410">
        <v>0</v>
      </c>
      <c r="R20" s="410">
        <v>0</v>
      </c>
      <c r="S20" s="410">
        <v>0</v>
      </c>
      <c r="T20" s="410">
        <v>0</v>
      </c>
      <c r="U20" s="410">
        <v>0</v>
      </c>
      <c r="V20" s="410">
        <v>0</v>
      </c>
      <c r="W20" s="410">
        <v>0</v>
      </c>
      <c r="X20" s="410">
        <v>0</v>
      </c>
      <c r="Y20" s="410">
        <v>0</v>
      </c>
      <c r="Z20" s="410">
        <v>0</v>
      </c>
      <c r="AA20" s="410">
        <v>0</v>
      </c>
    </row>
    <row r="21" spans="1:61" s="92" customFormat="1" ht="21" customHeight="1">
      <c r="A21" s="542"/>
      <c r="B21" s="106">
        <v>0</v>
      </c>
      <c r="C21" s="100" t="s">
        <v>42</v>
      </c>
      <c r="D21" s="101"/>
      <c r="E21" s="101"/>
      <c r="F21" s="104"/>
      <c r="G21" s="221"/>
      <c r="H21" s="102"/>
      <c r="I21" s="102"/>
      <c r="J21" s="220"/>
      <c r="K21" s="102"/>
      <c r="L21" s="103"/>
      <c r="M21" s="103"/>
      <c r="N21" s="103"/>
      <c r="O21" s="101"/>
      <c r="P21" s="101" t="s">
        <v>41</v>
      </c>
      <c r="Q21" s="102"/>
      <c r="R21" s="102"/>
      <c r="S21" s="102"/>
      <c r="T21" s="221"/>
      <c r="U21" s="221"/>
      <c r="V21" s="221"/>
      <c r="W21" s="104"/>
      <c r="X21" s="200"/>
      <c r="Y21" s="102"/>
      <c r="Z21" s="221"/>
      <c r="AA21" s="103"/>
    </row>
    <row r="22" spans="1:61" s="15" customFormat="1" ht="21">
      <c r="A22" s="542"/>
      <c r="B22" s="551" t="s">
        <v>27</v>
      </c>
      <c r="C22" s="545" t="s">
        <v>41</v>
      </c>
      <c r="D22" s="546"/>
      <c r="E22" s="546"/>
      <c r="F22" s="552"/>
      <c r="G22" s="547"/>
      <c r="H22" s="552"/>
      <c r="I22" s="552"/>
      <c r="J22" s="547"/>
      <c r="K22" s="552"/>
      <c r="L22" s="549"/>
      <c r="M22" s="549"/>
      <c r="N22" s="549"/>
      <c r="O22" s="546"/>
      <c r="P22" s="546"/>
      <c r="Q22" s="552"/>
      <c r="R22" s="552"/>
      <c r="S22" s="552"/>
      <c r="T22" s="547"/>
      <c r="U22" s="547"/>
      <c r="V22" s="547"/>
      <c r="W22" s="552"/>
      <c r="X22" s="553"/>
      <c r="Y22" s="552"/>
      <c r="Z22" s="547"/>
      <c r="AA22" s="549"/>
    </row>
    <row r="23" spans="1:61" s="15" customFormat="1" ht="21">
      <c r="A23" s="543"/>
      <c r="B23" s="544"/>
      <c r="C23" s="545" t="s">
        <v>41</v>
      </c>
      <c r="D23" s="554"/>
      <c r="E23" s="554"/>
      <c r="F23" s="548"/>
      <c r="G23" s="547"/>
      <c r="H23" s="548"/>
      <c r="I23" s="548"/>
      <c r="J23" s="547"/>
      <c r="K23" s="548"/>
      <c r="L23" s="549"/>
      <c r="M23" s="549"/>
      <c r="N23" s="549"/>
      <c r="O23" s="554"/>
      <c r="P23" s="554"/>
      <c r="Q23" s="548"/>
      <c r="R23" s="548"/>
      <c r="S23" s="548"/>
      <c r="T23" s="547"/>
      <c r="U23" s="547"/>
      <c r="V23" s="547"/>
      <c r="W23" s="548"/>
      <c r="X23" s="550"/>
      <c r="Y23" s="548"/>
      <c r="Z23" s="547"/>
      <c r="AA23" s="549"/>
    </row>
    <row r="24" spans="1:61" s="15" customFormat="1" ht="21">
      <c r="A24" s="542"/>
      <c r="B24" s="551"/>
      <c r="C24" s="545"/>
      <c r="D24" s="546"/>
      <c r="E24" s="546"/>
      <c r="F24" s="552"/>
      <c r="G24" s="547"/>
      <c r="H24" s="552"/>
      <c r="I24" s="552"/>
      <c r="J24" s="547"/>
      <c r="K24" s="552"/>
      <c r="L24" s="549"/>
      <c r="M24" s="549"/>
      <c r="N24" s="549"/>
      <c r="O24" s="546"/>
      <c r="P24" s="546"/>
      <c r="Q24" s="552"/>
      <c r="R24" s="552"/>
      <c r="S24" s="552"/>
      <c r="T24" s="547"/>
      <c r="U24" s="547"/>
      <c r="V24" s="547"/>
      <c r="W24" s="552"/>
      <c r="X24" s="553"/>
      <c r="Y24" s="552"/>
      <c r="Z24" s="547"/>
      <c r="AA24" s="549"/>
    </row>
    <row r="25" spans="1:61" s="15" customFormat="1" ht="21">
      <c r="A25" s="543"/>
      <c r="G25" s="547"/>
      <c r="J25" s="539"/>
      <c r="L25" s="549"/>
      <c r="M25" s="549"/>
      <c r="N25" s="549"/>
      <c r="T25" s="547"/>
      <c r="U25" s="547"/>
      <c r="V25" s="539"/>
      <c r="X25" s="499"/>
      <c r="Z25" s="547"/>
      <c r="AA25" s="549"/>
    </row>
    <row r="26" spans="1:61" s="15" customFormat="1" ht="21">
      <c r="A26" s="543"/>
      <c r="G26" s="547"/>
      <c r="J26" s="539"/>
      <c r="L26" s="549"/>
      <c r="M26" s="549"/>
      <c r="N26" s="549"/>
      <c r="T26" s="547"/>
      <c r="U26" s="547"/>
      <c r="V26" s="539"/>
      <c r="X26" s="499"/>
      <c r="Z26" s="547"/>
      <c r="AA26" s="549"/>
    </row>
    <row r="27" spans="1:61" s="15" customFormat="1" ht="21">
      <c r="A27" s="543"/>
      <c r="G27" s="547"/>
      <c r="J27" s="539"/>
      <c r="L27" s="549"/>
      <c r="M27" s="549"/>
      <c r="N27" s="549"/>
      <c r="T27" s="547"/>
      <c r="U27" s="547"/>
      <c r="V27" s="539"/>
      <c r="X27" s="499"/>
      <c r="Z27" s="547"/>
      <c r="AA27" s="549"/>
    </row>
    <row r="28" spans="1:61" s="15" customFormat="1" ht="21">
      <c r="A28" s="543"/>
      <c r="G28" s="547"/>
      <c r="J28" s="539"/>
      <c r="L28" s="549"/>
      <c r="M28" s="549"/>
      <c r="N28" s="549"/>
      <c r="T28" s="547"/>
      <c r="U28" s="547"/>
      <c r="V28" s="539"/>
      <c r="X28" s="499"/>
      <c r="Z28" s="547"/>
      <c r="AA28" s="549"/>
    </row>
    <row r="29" spans="1:61" s="15" customFormat="1" ht="21">
      <c r="A29" s="543"/>
      <c r="G29" s="547"/>
      <c r="J29" s="539"/>
      <c r="L29" s="549"/>
      <c r="M29" s="549"/>
      <c r="N29" s="549"/>
      <c r="T29" s="547"/>
      <c r="U29" s="547"/>
      <c r="V29" s="539"/>
      <c r="X29" s="499"/>
      <c r="Z29" s="547"/>
      <c r="AA29" s="549"/>
    </row>
    <row r="30" spans="1:61" s="15" customFormat="1" ht="22" customHeight="1">
      <c r="A30" s="543"/>
      <c r="G30" s="547"/>
      <c r="J30" s="539"/>
      <c r="L30" s="549"/>
      <c r="M30" s="549"/>
      <c r="N30" s="549"/>
      <c r="T30" s="547"/>
      <c r="U30" s="547"/>
      <c r="V30" s="539"/>
      <c r="X30" s="499"/>
      <c r="Z30" s="547"/>
      <c r="AA30" s="549"/>
    </row>
    <row r="31" spans="1:61" s="15" customFormat="1" ht="21">
      <c r="A31" s="543"/>
      <c r="G31" s="547"/>
      <c r="J31" s="539"/>
      <c r="L31" s="549"/>
      <c r="M31" s="549"/>
      <c r="N31" s="549"/>
      <c r="T31" s="547"/>
      <c r="U31" s="547"/>
      <c r="V31" s="539"/>
      <c r="X31" s="499"/>
      <c r="Z31" s="547"/>
      <c r="AA31" s="549"/>
    </row>
    <row r="32" spans="1:61" s="15" customFormat="1" ht="22" customHeight="1">
      <c r="A32" s="543"/>
      <c r="G32" s="547"/>
      <c r="J32" s="539"/>
      <c r="L32" s="549"/>
      <c r="M32" s="549"/>
      <c r="N32" s="549"/>
      <c r="T32" s="547"/>
      <c r="U32" s="547"/>
      <c r="V32" s="539"/>
      <c r="X32" s="499"/>
      <c r="Z32" s="547"/>
      <c r="AA32" s="549"/>
    </row>
    <row r="33" spans="1:27" s="15" customFormat="1" ht="20" customHeight="1">
      <c r="A33" s="543"/>
      <c r="G33" s="547"/>
      <c r="J33" s="539"/>
      <c r="L33" s="549"/>
      <c r="M33" s="549"/>
      <c r="N33" s="549"/>
      <c r="T33" s="547"/>
      <c r="U33" s="547"/>
      <c r="V33" s="539"/>
      <c r="X33" s="499"/>
      <c r="Z33" s="547"/>
      <c r="AA33" s="549"/>
    </row>
    <row r="34" spans="1:27" s="15" customFormat="1" ht="21">
      <c r="A34" s="543"/>
      <c r="G34" s="547"/>
      <c r="J34" s="539"/>
      <c r="L34" s="549"/>
      <c r="M34" s="549"/>
      <c r="N34" s="549"/>
      <c r="T34" s="547"/>
      <c r="U34" s="547"/>
      <c r="V34" s="539"/>
      <c r="X34" s="499"/>
      <c r="Z34" s="547"/>
      <c r="AA34" s="549"/>
    </row>
    <row r="35" spans="1:27" s="15" customFormat="1" ht="21" customHeight="1">
      <c r="A35" s="543"/>
      <c r="G35" s="547"/>
      <c r="J35" s="539"/>
      <c r="L35" s="549"/>
      <c r="M35" s="549"/>
      <c r="N35" s="549"/>
      <c r="T35" s="547"/>
      <c r="U35" s="547"/>
      <c r="V35" s="539"/>
      <c r="X35" s="499"/>
      <c r="Z35" s="547"/>
      <c r="AA35" s="549"/>
    </row>
    <row r="36" spans="1:27" s="15" customFormat="1" ht="21">
      <c r="A36" s="543"/>
      <c r="G36" s="547"/>
      <c r="J36" s="539"/>
      <c r="L36" s="549"/>
      <c r="M36" s="549"/>
      <c r="N36" s="549"/>
      <c r="T36" s="547"/>
      <c r="U36" s="547"/>
      <c r="V36" s="539"/>
      <c r="X36" s="499"/>
      <c r="Z36" s="547"/>
      <c r="AA36" s="549"/>
    </row>
    <row r="37" spans="1:27" s="15" customFormat="1" ht="21">
      <c r="A37" s="543"/>
      <c r="G37" s="547"/>
      <c r="J37" s="539"/>
      <c r="L37" s="549"/>
      <c r="M37" s="549"/>
      <c r="N37" s="549"/>
      <c r="T37" s="547"/>
      <c r="U37" s="547"/>
      <c r="V37" s="539"/>
      <c r="X37" s="499"/>
      <c r="Z37" s="547"/>
      <c r="AA37" s="549"/>
    </row>
    <row r="38" spans="1:27" s="15" customFormat="1" ht="21">
      <c r="A38" s="543"/>
      <c r="G38" s="547"/>
      <c r="J38" s="539"/>
      <c r="L38" s="549"/>
      <c r="M38" s="549"/>
      <c r="N38" s="549"/>
      <c r="T38" s="547"/>
      <c r="U38" s="547"/>
      <c r="V38" s="539"/>
      <c r="X38" s="499"/>
      <c r="Z38" s="547"/>
      <c r="AA38" s="549"/>
    </row>
    <row r="39" spans="1:27" s="15" customFormat="1" ht="21">
      <c r="A39" s="543"/>
      <c r="G39" s="547"/>
      <c r="J39" s="539"/>
      <c r="L39" s="549"/>
      <c r="M39" s="549"/>
      <c r="N39" s="549"/>
      <c r="T39" s="547"/>
      <c r="U39" s="547"/>
      <c r="V39" s="539"/>
      <c r="X39" s="499"/>
      <c r="Z39" s="547"/>
      <c r="AA39" s="549"/>
    </row>
    <row r="40" spans="1:27" s="15" customFormat="1" ht="21">
      <c r="A40" s="543"/>
      <c r="G40" s="547"/>
      <c r="J40" s="539"/>
      <c r="L40" s="549"/>
      <c r="M40" s="549"/>
      <c r="N40" s="549"/>
      <c r="T40" s="547"/>
      <c r="U40" s="547"/>
      <c r="V40" s="539"/>
      <c r="X40" s="499"/>
      <c r="Z40" s="547"/>
      <c r="AA40" s="549"/>
    </row>
    <row r="41" spans="1:27" s="15" customFormat="1" ht="21">
      <c r="A41" s="543"/>
      <c r="G41" s="547"/>
      <c r="J41" s="539"/>
      <c r="L41" s="549"/>
      <c r="M41" s="549"/>
      <c r="N41" s="549"/>
      <c r="T41" s="547"/>
      <c r="U41" s="547"/>
      <c r="V41" s="539"/>
      <c r="X41" s="499"/>
      <c r="Z41" s="547"/>
      <c r="AA41" s="549"/>
    </row>
    <row r="42" spans="1:27" s="15" customFormat="1" ht="21">
      <c r="A42" s="543"/>
      <c r="G42" s="547"/>
      <c r="J42" s="539"/>
      <c r="L42" s="549"/>
      <c r="M42" s="549"/>
      <c r="N42" s="549"/>
      <c r="T42" s="547"/>
      <c r="U42" s="547"/>
      <c r="V42" s="539"/>
      <c r="X42" s="499"/>
      <c r="Z42" s="547"/>
      <c r="AA42" s="549"/>
    </row>
    <row r="43" spans="1:27" s="15" customFormat="1" ht="21">
      <c r="A43" s="543"/>
      <c r="G43" s="547"/>
      <c r="J43" s="539"/>
      <c r="L43" s="549"/>
      <c r="M43" s="549"/>
      <c r="N43" s="549"/>
      <c r="T43" s="547"/>
      <c r="U43" s="547"/>
      <c r="V43" s="539"/>
      <c r="X43" s="499"/>
      <c r="Z43" s="547"/>
      <c r="AA43" s="549"/>
    </row>
    <row r="44" spans="1:27" s="15" customFormat="1" ht="21">
      <c r="A44" s="543"/>
      <c r="G44" s="547"/>
      <c r="J44" s="539"/>
      <c r="L44" s="549"/>
      <c r="M44" s="549"/>
      <c r="N44" s="549"/>
      <c r="T44" s="547"/>
      <c r="U44" s="547"/>
      <c r="V44" s="539"/>
      <c r="X44" s="499"/>
      <c r="Z44" s="547"/>
      <c r="AA44" s="549"/>
    </row>
    <row r="45" spans="1:27" s="15" customFormat="1" ht="21">
      <c r="A45" s="543"/>
      <c r="G45" s="547"/>
      <c r="J45" s="539"/>
      <c r="L45" s="549"/>
      <c r="M45" s="549"/>
      <c r="N45" s="549"/>
      <c r="T45" s="547"/>
      <c r="U45" s="547"/>
      <c r="V45" s="539"/>
      <c r="X45" s="499"/>
      <c r="Z45" s="547"/>
      <c r="AA45" s="549"/>
    </row>
    <row r="46" spans="1:27" s="15" customFormat="1" ht="21">
      <c r="A46" s="543"/>
      <c r="G46" s="547"/>
      <c r="J46" s="539"/>
      <c r="L46" s="549"/>
      <c r="M46" s="549"/>
      <c r="N46" s="549"/>
      <c r="T46" s="547"/>
      <c r="U46" s="547"/>
      <c r="V46" s="539"/>
      <c r="X46" s="499"/>
      <c r="Z46" s="547"/>
      <c r="AA46" s="549"/>
    </row>
    <row r="47" spans="1:27" s="15" customFormat="1" ht="21">
      <c r="A47" s="543"/>
      <c r="G47" s="547"/>
      <c r="J47" s="539"/>
      <c r="L47" s="549"/>
      <c r="M47" s="549"/>
      <c r="N47" s="549"/>
      <c r="T47" s="547"/>
      <c r="U47" s="547"/>
      <c r="V47" s="539"/>
      <c r="X47" s="499"/>
      <c r="Z47" s="547"/>
      <c r="AA47" s="549"/>
    </row>
    <row r="48" spans="1:27" s="15" customFormat="1" ht="21">
      <c r="A48" s="543"/>
      <c r="G48" s="547"/>
      <c r="J48" s="539"/>
      <c r="L48" s="549"/>
      <c r="M48" s="549"/>
      <c r="N48" s="549"/>
      <c r="T48" s="547"/>
      <c r="U48" s="547"/>
      <c r="V48" s="539"/>
      <c r="X48" s="499"/>
      <c r="Z48" s="547"/>
      <c r="AA48" s="549"/>
    </row>
    <row r="49" spans="1:61" s="15" customFormat="1" ht="21">
      <c r="A49" s="543"/>
      <c r="G49" s="547"/>
      <c r="J49" s="539"/>
      <c r="L49" s="549"/>
      <c r="M49" s="549"/>
      <c r="N49" s="549"/>
      <c r="T49" s="547"/>
      <c r="U49" s="547"/>
      <c r="V49" s="539"/>
      <c r="X49" s="499"/>
      <c r="Z49" s="547"/>
      <c r="AA49" s="549"/>
    </row>
    <row r="50" spans="1:61" s="15" customFormat="1" ht="21">
      <c r="A50" s="543"/>
      <c r="G50" s="547"/>
      <c r="J50" s="539"/>
      <c r="L50" s="549"/>
      <c r="M50" s="549"/>
      <c r="N50" s="549"/>
      <c r="T50" s="547"/>
      <c r="U50" s="547"/>
      <c r="V50" s="539"/>
      <c r="X50" s="499"/>
      <c r="Z50" s="547"/>
      <c r="AA50" s="549"/>
    </row>
    <row r="51" spans="1:61" s="15" customFormat="1" ht="21">
      <c r="A51" s="543"/>
      <c r="G51" s="547"/>
      <c r="J51" s="539"/>
      <c r="L51" s="549"/>
      <c r="M51" s="549"/>
      <c r="N51" s="549"/>
      <c r="T51" s="547"/>
      <c r="U51" s="547"/>
      <c r="V51" s="539"/>
      <c r="X51" s="499"/>
      <c r="Z51" s="547"/>
      <c r="AA51" s="549"/>
    </row>
    <row r="52" spans="1:61" s="15" customFormat="1" ht="21">
      <c r="A52" s="543"/>
      <c r="G52" s="547"/>
      <c r="J52" s="539"/>
      <c r="L52" s="549"/>
      <c r="M52" s="549"/>
      <c r="N52" s="549"/>
      <c r="T52" s="547"/>
      <c r="U52" s="547"/>
      <c r="V52" s="539"/>
      <c r="X52" s="499"/>
      <c r="Z52" s="547"/>
      <c r="AA52" s="549"/>
    </row>
    <row r="53" spans="1:61" s="15" customFormat="1" ht="21">
      <c r="A53" s="543"/>
      <c r="G53" s="547"/>
      <c r="J53" s="539"/>
      <c r="L53" s="549"/>
      <c r="M53" s="549"/>
      <c r="N53" s="549"/>
      <c r="T53" s="547"/>
      <c r="U53" s="547"/>
      <c r="V53" s="539"/>
      <c r="X53" s="499"/>
      <c r="Z53" s="547"/>
      <c r="AA53" s="549"/>
    </row>
    <row r="54" spans="1:61" s="15" customFormat="1" ht="21">
      <c r="A54" s="543"/>
      <c r="G54" s="547"/>
      <c r="J54" s="539"/>
      <c r="L54" s="549"/>
      <c r="M54" s="549"/>
      <c r="N54" s="549"/>
      <c r="T54" s="547"/>
      <c r="U54" s="547"/>
      <c r="V54" s="539"/>
      <c r="X54" s="499"/>
      <c r="Z54" s="547"/>
      <c r="AA54" s="549"/>
    </row>
    <row r="55" spans="1:61" s="15" customFormat="1" ht="21">
      <c r="A55" s="543"/>
      <c r="G55" s="547"/>
      <c r="J55" s="539"/>
      <c r="L55" s="549"/>
      <c r="M55" s="549"/>
      <c r="N55" s="549"/>
      <c r="T55" s="547"/>
      <c r="U55" s="547"/>
      <c r="V55" s="539"/>
      <c r="X55" s="499"/>
      <c r="Z55" s="547"/>
      <c r="AA55" s="549"/>
    </row>
    <row r="56" spans="1:61" s="15" customFormat="1" ht="21">
      <c r="A56" s="543"/>
      <c r="G56" s="547"/>
      <c r="J56" s="539"/>
      <c r="L56" s="549"/>
      <c r="M56" s="549"/>
      <c r="N56" s="549"/>
      <c r="T56" s="547"/>
      <c r="U56" s="547"/>
      <c r="V56" s="539"/>
      <c r="X56" s="499"/>
      <c r="Z56" s="547"/>
      <c r="AA56" s="549"/>
    </row>
    <row r="57" spans="1:61" s="15" customFormat="1" ht="21">
      <c r="A57" s="543"/>
      <c r="G57" s="547"/>
      <c r="J57" s="539"/>
      <c r="L57" s="549"/>
      <c r="M57" s="549"/>
      <c r="N57" s="549"/>
      <c r="T57" s="547"/>
      <c r="U57" s="547"/>
      <c r="V57" s="539"/>
      <c r="X57" s="499"/>
      <c r="Z57" s="547"/>
      <c r="AA57" s="549"/>
    </row>
    <row r="58" spans="1:61" s="15" customFormat="1" ht="21">
      <c r="A58" s="543"/>
      <c r="G58" s="547"/>
      <c r="J58" s="539"/>
      <c r="L58" s="549"/>
      <c r="M58" s="549"/>
      <c r="N58" s="549"/>
      <c r="T58" s="547"/>
      <c r="U58" s="547"/>
      <c r="V58" s="539"/>
      <c r="X58" s="499"/>
      <c r="Z58" s="547"/>
      <c r="AA58" s="549"/>
    </row>
    <row r="59" spans="1:61" s="15" customFormat="1" ht="21">
      <c r="A59" s="543"/>
      <c r="G59" s="547"/>
      <c r="J59" s="539"/>
      <c r="L59" s="549"/>
      <c r="M59" s="549"/>
      <c r="N59" s="549"/>
      <c r="T59" s="547"/>
      <c r="U59" s="547"/>
      <c r="V59" s="539"/>
      <c r="X59" s="499"/>
      <c r="Z59" s="547"/>
      <c r="AA59" s="549"/>
    </row>
    <row r="60" spans="1:61" s="15" customFormat="1" ht="21">
      <c r="A60" s="543"/>
      <c r="G60" s="547"/>
      <c r="J60" s="539"/>
      <c r="L60" s="549"/>
      <c r="M60" s="549"/>
      <c r="N60" s="549"/>
      <c r="T60" s="547"/>
      <c r="U60" s="547"/>
      <c r="V60" s="539"/>
      <c r="X60" s="499"/>
      <c r="Z60" s="547"/>
      <c r="AA60" s="549"/>
    </row>
    <row r="61" spans="1:61" s="15" customFormat="1" ht="21">
      <c r="A61" s="543"/>
      <c r="G61" s="547"/>
      <c r="J61" s="539"/>
      <c r="L61" s="549"/>
      <c r="M61" s="549"/>
      <c r="N61" s="549"/>
      <c r="T61" s="547"/>
      <c r="U61" s="547"/>
      <c r="V61" s="539"/>
      <c r="X61" s="499"/>
      <c r="Z61" s="547"/>
      <c r="AA61" s="549"/>
    </row>
    <row r="62" spans="1:61" s="15" customFormat="1" ht="21">
      <c r="A62" s="543"/>
      <c r="G62" s="547"/>
      <c r="J62" s="539"/>
      <c r="L62" s="549"/>
      <c r="M62" s="549"/>
      <c r="N62" s="549"/>
      <c r="T62" s="547"/>
      <c r="U62" s="547"/>
      <c r="V62" s="539"/>
      <c r="X62" s="499"/>
      <c r="Z62" s="547"/>
      <c r="AA62" s="549"/>
    </row>
    <row r="63" spans="1:61" s="15" customFormat="1" ht="21">
      <c r="A63" s="543"/>
      <c r="G63" s="547"/>
      <c r="J63" s="539"/>
      <c r="L63" s="549"/>
      <c r="M63" s="549"/>
      <c r="N63" s="549"/>
      <c r="T63" s="547"/>
      <c r="U63" s="547"/>
      <c r="V63" s="539"/>
      <c r="X63" s="499"/>
      <c r="Z63" s="547"/>
      <c r="AA63" s="549"/>
    </row>
    <row r="64" spans="1:61" ht="21">
      <c r="A64" s="543"/>
      <c r="B64" s="92"/>
      <c r="C64" s="92"/>
      <c r="D64" s="92"/>
      <c r="E64" s="92"/>
      <c r="F64" s="92"/>
      <c r="G64" s="221"/>
      <c r="H64" s="92"/>
      <c r="I64" s="92"/>
      <c r="J64" s="219"/>
      <c r="K64" s="92"/>
      <c r="L64" s="103"/>
      <c r="M64" s="103"/>
      <c r="N64" s="103"/>
      <c r="O64" s="92"/>
      <c r="P64" s="92"/>
      <c r="Q64" s="92"/>
      <c r="R64" s="92"/>
      <c r="S64" s="92"/>
      <c r="T64" s="221"/>
      <c r="U64" s="221"/>
      <c r="V64" s="219"/>
      <c r="W64" s="92"/>
      <c r="X64" s="197"/>
      <c r="Y64" s="92"/>
      <c r="Z64" s="221"/>
      <c r="AA64" s="103"/>
      <c r="AB64" s="92"/>
      <c r="AC64" s="92"/>
      <c r="AD64" s="92"/>
      <c r="AE64" s="92"/>
      <c r="AF64" s="92"/>
      <c r="AG64" s="92"/>
      <c r="AH64" s="92"/>
      <c r="AI64" s="92"/>
      <c r="AJ64" s="92"/>
      <c r="AK64" s="92"/>
      <c r="AL64" s="92"/>
      <c r="AM64" s="92"/>
      <c r="AN64" s="92"/>
      <c r="AO64" s="92"/>
      <c r="AP64" s="92"/>
      <c r="AQ64" s="92"/>
      <c r="AR64" s="92"/>
      <c r="AS64" s="92"/>
      <c r="AT64" s="92"/>
      <c r="AU64" s="92"/>
      <c r="AV64" s="92"/>
      <c r="AW64" s="92"/>
      <c r="AX64" s="92"/>
      <c r="AY64" s="92"/>
      <c r="AZ64" s="92"/>
      <c r="BA64" s="92"/>
      <c r="BB64" s="92"/>
      <c r="BC64" s="92"/>
      <c r="BD64" s="92"/>
      <c r="BE64" s="92"/>
      <c r="BF64" s="92"/>
      <c r="BG64" s="92"/>
      <c r="BH64" s="92"/>
      <c r="BI64" s="92"/>
    </row>
    <row r="65" spans="1:61" ht="21">
      <c r="A65" s="543"/>
      <c r="B65" s="92"/>
      <c r="C65" s="92"/>
      <c r="D65" s="92"/>
      <c r="E65" s="92"/>
      <c r="F65" s="92"/>
      <c r="G65" s="221"/>
      <c r="H65" s="92"/>
      <c r="I65" s="92"/>
      <c r="J65" s="219"/>
      <c r="K65" s="92"/>
      <c r="L65" s="103"/>
      <c r="M65" s="103"/>
      <c r="N65" s="103"/>
      <c r="O65" s="92"/>
      <c r="P65" s="92"/>
      <c r="Q65" s="92"/>
      <c r="R65" s="92"/>
      <c r="S65" s="92"/>
      <c r="T65" s="221"/>
      <c r="U65" s="221"/>
      <c r="V65" s="219"/>
      <c r="W65" s="92"/>
      <c r="X65" s="197"/>
      <c r="Y65" s="92"/>
      <c r="Z65" s="221"/>
      <c r="AA65" s="103"/>
      <c r="AB65" s="92"/>
      <c r="AC65" s="92"/>
      <c r="AD65" s="92"/>
      <c r="AE65" s="92"/>
      <c r="AF65" s="92"/>
      <c r="AG65" s="92"/>
      <c r="AH65" s="92"/>
      <c r="AI65" s="92"/>
      <c r="AJ65" s="92"/>
      <c r="AK65" s="92"/>
      <c r="AL65" s="92"/>
      <c r="AM65" s="92"/>
      <c r="AN65" s="92"/>
      <c r="AO65" s="92"/>
      <c r="AP65" s="92"/>
      <c r="AQ65" s="92"/>
      <c r="AR65" s="92"/>
      <c r="AS65" s="92"/>
      <c r="AT65" s="92"/>
      <c r="AU65" s="92"/>
      <c r="AV65" s="92"/>
      <c r="AW65" s="92"/>
      <c r="AX65" s="92"/>
      <c r="AY65" s="92"/>
      <c r="AZ65" s="92"/>
      <c r="BA65" s="92"/>
      <c r="BB65" s="92"/>
      <c r="BC65" s="92"/>
      <c r="BD65" s="92"/>
      <c r="BE65" s="92"/>
      <c r="BF65" s="92"/>
      <c r="BG65" s="92"/>
      <c r="BH65" s="92"/>
      <c r="BI65" s="92"/>
    </row>
    <row r="66" spans="1:61" ht="21">
      <c r="A66" s="543"/>
      <c r="B66" s="92"/>
      <c r="C66" s="92"/>
      <c r="D66" s="92"/>
      <c r="E66" s="92"/>
      <c r="F66" s="92"/>
      <c r="G66" s="221"/>
      <c r="H66" s="92"/>
      <c r="I66" s="92"/>
      <c r="J66" s="219"/>
      <c r="K66" s="92"/>
      <c r="L66" s="103"/>
      <c r="M66" s="103"/>
      <c r="N66" s="103"/>
      <c r="O66" s="92"/>
      <c r="P66" s="92"/>
      <c r="Q66" s="92"/>
      <c r="R66" s="92"/>
      <c r="S66" s="92"/>
      <c r="T66" s="221"/>
      <c r="U66" s="221"/>
      <c r="V66" s="219"/>
      <c r="W66" s="92"/>
      <c r="X66" s="197"/>
      <c r="Y66" s="92"/>
      <c r="Z66" s="221"/>
      <c r="AA66" s="103"/>
      <c r="AB66" s="92"/>
      <c r="AC66" s="92"/>
      <c r="AD66" s="92"/>
      <c r="AE66" s="92"/>
      <c r="AF66" s="92"/>
      <c r="AG66" s="92"/>
      <c r="AH66" s="92"/>
      <c r="AI66" s="92"/>
      <c r="AJ66" s="92"/>
      <c r="AK66" s="92"/>
      <c r="AL66" s="92"/>
      <c r="AM66" s="92"/>
      <c r="AN66" s="92"/>
      <c r="AO66" s="92"/>
      <c r="AP66" s="92"/>
      <c r="AQ66" s="92"/>
      <c r="AR66" s="92"/>
      <c r="AS66" s="92"/>
      <c r="AT66" s="92"/>
      <c r="AU66" s="92"/>
      <c r="AV66" s="92"/>
      <c r="AW66" s="92"/>
      <c r="AX66" s="92"/>
      <c r="AY66" s="92"/>
      <c r="AZ66" s="92"/>
      <c r="BA66" s="92"/>
      <c r="BB66" s="92"/>
      <c r="BC66" s="92"/>
      <c r="BD66" s="92"/>
      <c r="BE66" s="92"/>
      <c r="BF66" s="92"/>
      <c r="BG66" s="92"/>
      <c r="BH66" s="92"/>
      <c r="BI66" s="92"/>
    </row>
    <row r="67" spans="1:61" ht="21">
      <c r="A67" s="543"/>
      <c r="B67" s="92"/>
      <c r="C67" s="92"/>
      <c r="D67" s="92"/>
      <c r="E67" s="92"/>
      <c r="F67" s="92"/>
      <c r="G67" s="221"/>
      <c r="H67" s="92"/>
      <c r="I67" s="92"/>
      <c r="J67" s="219"/>
      <c r="K67" s="92"/>
      <c r="L67" s="103"/>
      <c r="M67" s="103"/>
      <c r="N67" s="103"/>
      <c r="O67" s="92"/>
      <c r="P67" s="92"/>
      <c r="Q67" s="92"/>
      <c r="R67" s="92"/>
      <c r="S67" s="92"/>
      <c r="T67" s="221"/>
      <c r="U67" s="221"/>
      <c r="V67" s="219"/>
      <c r="W67" s="92"/>
      <c r="X67" s="197"/>
      <c r="Y67" s="92"/>
      <c r="Z67" s="221"/>
      <c r="AA67" s="103"/>
      <c r="AB67" s="92"/>
      <c r="AC67" s="92"/>
      <c r="AD67" s="92"/>
      <c r="AE67" s="92"/>
      <c r="AF67" s="92"/>
      <c r="AG67" s="92"/>
      <c r="AH67" s="92"/>
      <c r="AI67" s="92"/>
      <c r="AJ67" s="92"/>
      <c r="AK67" s="92"/>
      <c r="AL67" s="92"/>
      <c r="AM67" s="92"/>
      <c r="AN67" s="92"/>
      <c r="AO67" s="92"/>
      <c r="AP67" s="92"/>
      <c r="AQ67" s="92"/>
      <c r="AR67" s="92"/>
      <c r="AS67" s="92"/>
      <c r="AT67" s="92"/>
      <c r="AU67" s="92"/>
      <c r="AV67" s="92"/>
      <c r="AW67" s="92"/>
      <c r="AX67" s="92"/>
      <c r="AY67" s="92"/>
      <c r="AZ67" s="92"/>
      <c r="BA67" s="92"/>
      <c r="BB67" s="92"/>
      <c r="BC67" s="92"/>
      <c r="BD67" s="92"/>
      <c r="BE67" s="92"/>
      <c r="BF67" s="92"/>
      <c r="BG67" s="92"/>
      <c r="BH67" s="92"/>
      <c r="BI67" s="92"/>
    </row>
    <row r="68" spans="1:61" ht="21">
      <c r="A68" s="543"/>
      <c r="B68" s="92"/>
      <c r="C68" s="92"/>
      <c r="D68" s="92"/>
      <c r="E68" s="92"/>
      <c r="F68" s="92"/>
      <c r="G68" s="221"/>
      <c r="H68" s="92"/>
      <c r="I68" s="92"/>
      <c r="J68" s="219"/>
      <c r="K68" s="92"/>
      <c r="L68" s="103"/>
      <c r="M68" s="103"/>
      <c r="N68" s="103"/>
      <c r="O68" s="92"/>
      <c r="P68" s="92"/>
      <c r="Q68" s="92"/>
      <c r="R68" s="92"/>
      <c r="S68" s="92"/>
      <c r="T68" s="221"/>
      <c r="U68" s="221"/>
      <c r="V68" s="219"/>
      <c r="W68" s="92"/>
      <c r="X68" s="197"/>
      <c r="Y68" s="92"/>
      <c r="Z68" s="221"/>
      <c r="AA68" s="103"/>
      <c r="AB68" s="92"/>
      <c r="AC68" s="92"/>
      <c r="AD68" s="92"/>
      <c r="AE68" s="92"/>
      <c r="AF68" s="92"/>
      <c r="AG68" s="92"/>
      <c r="AH68" s="92"/>
      <c r="AI68" s="92"/>
      <c r="AJ68" s="92"/>
      <c r="AK68" s="92"/>
      <c r="AL68" s="92"/>
      <c r="AM68" s="92"/>
      <c r="AN68" s="92"/>
      <c r="AO68" s="92"/>
      <c r="AP68" s="92"/>
      <c r="AQ68" s="92"/>
      <c r="AR68" s="92"/>
      <c r="AS68" s="92"/>
      <c r="AT68" s="92"/>
      <c r="AU68" s="92"/>
      <c r="AV68" s="92"/>
      <c r="AW68" s="92"/>
      <c r="AX68" s="92"/>
      <c r="AY68" s="92"/>
      <c r="AZ68" s="92"/>
      <c r="BA68" s="92"/>
      <c r="BB68" s="92"/>
      <c r="BC68" s="92"/>
      <c r="BD68" s="92"/>
      <c r="BE68" s="92"/>
      <c r="BF68" s="92"/>
      <c r="BG68" s="92"/>
      <c r="BH68" s="92"/>
      <c r="BI68" s="92"/>
    </row>
    <row r="69" spans="1:61" ht="21">
      <c r="A69" s="543"/>
      <c r="B69" s="92"/>
      <c r="C69" s="92"/>
      <c r="D69" s="92"/>
      <c r="E69" s="92"/>
      <c r="F69" s="92"/>
      <c r="G69" s="221"/>
      <c r="H69" s="92"/>
      <c r="I69" s="92"/>
      <c r="J69" s="219"/>
      <c r="K69" s="92"/>
      <c r="L69" s="103"/>
      <c r="M69" s="103"/>
      <c r="N69" s="103"/>
      <c r="O69" s="92"/>
      <c r="P69" s="92"/>
      <c r="Q69" s="92"/>
      <c r="R69" s="92"/>
      <c r="S69" s="92"/>
      <c r="T69" s="221"/>
      <c r="U69" s="221"/>
      <c r="V69" s="219"/>
      <c r="W69" s="92"/>
      <c r="X69" s="197"/>
      <c r="Y69" s="92"/>
      <c r="Z69" s="221"/>
      <c r="AA69" s="103"/>
      <c r="AB69" s="92"/>
      <c r="AC69" s="92"/>
      <c r="AD69" s="92"/>
      <c r="AE69" s="92"/>
      <c r="AF69" s="92"/>
      <c r="AG69" s="92"/>
      <c r="AH69" s="92"/>
      <c r="AI69" s="92"/>
      <c r="AJ69" s="92"/>
      <c r="AK69" s="92"/>
      <c r="AL69" s="92"/>
      <c r="AM69" s="92"/>
      <c r="AN69" s="92"/>
      <c r="AO69" s="92"/>
      <c r="AP69" s="92"/>
      <c r="AQ69" s="92"/>
      <c r="AR69" s="92"/>
      <c r="AS69" s="92"/>
      <c r="AT69" s="92"/>
      <c r="AU69" s="92"/>
      <c r="AV69" s="92"/>
      <c r="AW69" s="92"/>
      <c r="AX69" s="92"/>
      <c r="AY69" s="92"/>
      <c r="AZ69" s="92"/>
      <c r="BA69" s="92"/>
      <c r="BB69" s="92"/>
      <c r="BC69" s="92"/>
      <c r="BD69" s="92"/>
      <c r="BE69" s="92"/>
      <c r="BF69" s="92"/>
      <c r="BG69" s="92"/>
      <c r="BH69" s="92"/>
      <c r="BI69" s="92"/>
    </row>
    <row r="70" spans="1:61" ht="21">
      <c r="A70" s="543"/>
      <c r="B70" s="92"/>
      <c r="C70" s="92"/>
      <c r="D70" s="92"/>
      <c r="E70" s="92"/>
      <c r="F70" s="92"/>
      <c r="G70" s="221"/>
      <c r="H70" s="92"/>
      <c r="I70" s="92"/>
      <c r="J70" s="219"/>
      <c r="K70" s="92"/>
      <c r="L70" s="103"/>
      <c r="M70" s="103"/>
      <c r="N70" s="103"/>
      <c r="O70" s="92"/>
      <c r="P70" s="92"/>
      <c r="Q70" s="92"/>
      <c r="R70" s="92"/>
      <c r="S70" s="92"/>
      <c r="T70" s="221"/>
      <c r="U70" s="221"/>
      <c r="V70" s="219"/>
      <c r="W70" s="92"/>
      <c r="X70" s="197"/>
      <c r="Y70" s="92"/>
      <c r="Z70" s="221"/>
      <c r="AA70" s="103"/>
      <c r="AB70" s="92"/>
      <c r="AC70" s="92"/>
      <c r="AD70" s="92"/>
      <c r="AE70" s="92"/>
      <c r="AF70" s="92"/>
      <c r="AG70" s="92"/>
      <c r="AH70" s="92"/>
      <c r="AI70" s="92"/>
      <c r="AJ70" s="92"/>
      <c r="AK70" s="92"/>
      <c r="AL70" s="92"/>
      <c r="AM70" s="92"/>
      <c r="AN70" s="92"/>
      <c r="AO70" s="92"/>
      <c r="AP70" s="92"/>
      <c r="AQ70" s="92"/>
      <c r="AR70" s="92"/>
      <c r="AS70" s="92"/>
      <c r="AT70" s="92"/>
      <c r="AU70" s="92"/>
      <c r="AV70" s="92"/>
      <c r="AW70" s="92"/>
      <c r="AX70" s="92"/>
      <c r="AY70" s="92"/>
      <c r="AZ70" s="92"/>
      <c r="BA70" s="92"/>
      <c r="BB70" s="92"/>
      <c r="BC70" s="92"/>
      <c r="BD70" s="92"/>
      <c r="BE70" s="92"/>
      <c r="BF70" s="92"/>
      <c r="BG70" s="92"/>
      <c r="BH70" s="92"/>
      <c r="BI70" s="92"/>
    </row>
    <row r="71" spans="1:61" ht="21">
      <c r="A71" s="543"/>
      <c r="B71" s="92"/>
      <c r="C71" s="92"/>
      <c r="D71" s="92"/>
      <c r="E71" s="92"/>
      <c r="F71" s="92"/>
      <c r="G71" s="221"/>
      <c r="H71" s="92"/>
      <c r="I71" s="92"/>
      <c r="J71" s="219"/>
      <c r="K71" s="92"/>
      <c r="L71" s="103"/>
      <c r="M71" s="103"/>
      <c r="N71" s="103"/>
      <c r="O71" s="92"/>
      <c r="P71" s="92"/>
      <c r="Q71" s="92"/>
      <c r="R71" s="92"/>
      <c r="S71" s="92"/>
      <c r="T71" s="221"/>
      <c r="U71" s="221"/>
      <c r="V71" s="219"/>
      <c r="W71" s="92"/>
      <c r="X71" s="197"/>
      <c r="Y71" s="92"/>
      <c r="Z71" s="221"/>
      <c r="AA71" s="103"/>
      <c r="AB71" s="92"/>
      <c r="AC71" s="92"/>
      <c r="AD71" s="92"/>
      <c r="AE71" s="92"/>
      <c r="AF71" s="92"/>
      <c r="AG71" s="92"/>
      <c r="AH71" s="92"/>
      <c r="AI71" s="92"/>
      <c r="AJ71" s="92"/>
      <c r="AK71" s="92"/>
      <c r="AL71" s="92"/>
      <c r="AM71" s="92"/>
      <c r="AN71" s="92"/>
      <c r="AO71" s="92"/>
      <c r="AP71" s="92"/>
      <c r="AQ71" s="92"/>
      <c r="AR71" s="92"/>
      <c r="AS71" s="92"/>
      <c r="AT71" s="92"/>
      <c r="AU71" s="92"/>
      <c r="AV71" s="92"/>
      <c r="AW71" s="92"/>
      <c r="AX71" s="92"/>
      <c r="AY71" s="92"/>
      <c r="AZ71" s="92"/>
      <c r="BA71" s="92"/>
      <c r="BB71" s="92"/>
      <c r="BC71" s="92"/>
      <c r="BD71" s="92"/>
      <c r="BE71" s="92"/>
      <c r="BF71" s="92"/>
      <c r="BG71" s="92"/>
      <c r="BH71" s="92"/>
      <c r="BI71" s="92"/>
    </row>
    <row r="72" spans="1:61" ht="21">
      <c r="A72" s="543"/>
      <c r="B72" s="92"/>
      <c r="C72" s="92"/>
      <c r="D72" s="92"/>
      <c r="E72" s="92"/>
      <c r="F72" s="92"/>
      <c r="G72" s="221"/>
      <c r="H72" s="92"/>
      <c r="I72" s="92"/>
      <c r="J72" s="219"/>
      <c r="K72" s="92"/>
      <c r="L72" s="103"/>
      <c r="M72" s="103"/>
      <c r="N72" s="103"/>
      <c r="O72" s="92"/>
      <c r="P72" s="92"/>
      <c r="Q72" s="92"/>
      <c r="R72" s="92"/>
      <c r="S72" s="92"/>
      <c r="T72" s="221"/>
      <c r="U72" s="221"/>
      <c r="V72" s="219"/>
      <c r="W72" s="92"/>
      <c r="X72" s="197"/>
      <c r="Y72" s="92"/>
      <c r="Z72" s="221"/>
      <c r="AA72" s="103"/>
      <c r="AB72" s="92"/>
      <c r="AC72" s="92"/>
      <c r="AD72" s="92"/>
      <c r="AE72" s="92"/>
      <c r="AF72" s="92"/>
      <c r="AG72" s="92"/>
      <c r="AH72" s="92"/>
      <c r="AI72" s="92"/>
      <c r="AJ72" s="92"/>
      <c r="AK72" s="92"/>
      <c r="AL72" s="92"/>
      <c r="AM72" s="92"/>
      <c r="AN72" s="92"/>
      <c r="AO72" s="92"/>
      <c r="AP72" s="92"/>
      <c r="AQ72" s="92"/>
      <c r="AR72" s="92"/>
      <c r="AS72" s="92"/>
      <c r="AT72" s="92"/>
      <c r="AU72" s="92"/>
      <c r="AV72" s="92"/>
      <c r="AW72" s="92"/>
      <c r="AX72" s="92"/>
      <c r="AY72" s="92"/>
      <c r="AZ72" s="92"/>
      <c r="BA72" s="92"/>
      <c r="BB72" s="92"/>
      <c r="BC72" s="92"/>
      <c r="BD72" s="92"/>
      <c r="BE72" s="92"/>
      <c r="BF72" s="92"/>
      <c r="BG72" s="92"/>
      <c r="BH72" s="92"/>
      <c r="BI72" s="92"/>
    </row>
    <row r="73" spans="1:61" ht="21">
      <c r="A73" s="543"/>
      <c r="B73" s="92"/>
      <c r="C73" s="92"/>
      <c r="D73" s="92"/>
      <c r="E73" s="92"/>
      <c r="F73" s="92"/>
      <c r="G73" s="221"/>
      <c r="H73" s="92"/>
      <c r="I73" s="92"/>
      <c r="J73" s="219"/>
      <c r="K73" s="92"/>
      <c r="L73" s="103"/>
      <c r="M73" s="103"/>
      <c r="N73" s="103"/>
      <c r="O73" s="92"/>
      <c r="P73" s="92"/>
      <c r="Q73" s="92"/>
      <c r="R73" s="92"/>
      <c r="S73" s="92"/>
      <c r="T73" s="221"/>
      <c r="U73" s="221"/>
      <c r="V73" s="219"/>
      <c r="W73" s="92"/>
      <c r="X73" s="197"/>
      <c r="Y73" s="92"/>
      <c r="Z73" s="221"/>
      <c r="AA73" s="103"/>
      <c r="AB73" s="92"/>
      <c r="AC73" s="92"/>
      <c r="AD73" s="92"/>
      <c r="AE73" s="92"/>
      <c r="AF73" s="92"/>
      <c r="AG73" s="92"/>
      <c r="AH73" s="92"/>
      <c r="AI73" s="92"/>
      <c r="AJ73" s="92"/>
      <c r="AK73" s="92"/>
      <c r="AL73" s="92"/>
      <c r="AM73" s="92"/>
      <c r="AN73" s="92"/>
      <c r="AO73" s="92"/>
      <c r="AP73" s="92"/>
      <c r="AQ73" s="92"/>
      <c r="AR73" s="92"/>
      <c r="AS73" s="92"/>
      <c r="AT73" s="92"/>
      <c r="AU73" s="92"/>
      <c r="AV73" s="92"/>
      <c r="AW73" s="92"/>
      <c r="AX73" s="92"/>
      <c r="AY73" s="92"/>
      <c r="AZ73" s="92"/>
      <c r="BA73" s="92"/>
      <c r="BB73" s="92"/>
      <c r="BC73" s="92"/>
      <c r="BD73" s="92"/>
      <c r="BE73" s="92"/>
      <c r="BF73" s="92"/>
      <c r="BG73" s="92"/>
      <c r="BH73" s="92"/>
      <c r="BI73" s="92"/>
    </row>
    <row r="74" spans="1:61" ht="21">
      <c r="A74" s="543"/>
      <c r="B74" s="92"/>
      <c r="C74" s="92"/>
      <c r="D74" s="92"/>
      <c r="E74" s="92"/>
      <c r="F74" s="92"/>
      <c r="G74" s="221"/>
      <c r="H74" s="92"/>
      <c r="I74" s="92"/>
      <c r="J74" s="219"/>
      <c r="K74" s="92"/>
      <c r="L74" s="103"/>
      <c r="M74" s="103"/>
      <c r="N74" s="103"/>
      <c r="O74" s="92"/>
      <c r="P74" s="92"/>
      <c r="Q74" s="92"/>
      <c r="R74" s="92"/>
      <c r="S74" s="92"/>
      <c r="T74" s="221"/>
      <c r="U74" s="221"/>
      <c r="V74" s="219"/>
      <c r="W74" s="92"/>
      <c r="X74" s="197"/>
      <c r="Y74" s="92"/>
      <c r="Z74" s="221"/>
      <c r="AA74" s="103"/>
      <c r="AB74" s="92"/>
      <c r="AC74" s="92"/>
      <c r="AD74" s="92"/>
      <c r="AE74" s="92"/>
      <c r="AF74" s="92"/>
      <c r="AG74" s="92"/>
      <c r="AH74" s="92"/>
      <c r="AI74" s="92"/>
      <c r="AJ74" s="92"/>
      <c r="AK74" s="92"/>
      <c r="AL74" s="92"/>
      <c r="AM74" s="92"/>
      <c r="AN74" s="92"/>
      <c r="AO74" s="92"/>
      <c r="AP74" s="92"/>
      <c r="AQ74" s="92"/>
      <c r="AR74" s="92"/>
      <c r="AS74" s="92"/>
      <c r="AT74" s="92"/>
      <c r="AU74" s="92"/>
      <c r="AV74" s="92"/>
      <c r="AW74" s="92"/>
      <c r="AX74" s="92"/>
      <c r="AY74" s="92"/>
      <c r="AZ74" s="92"/>
      <c r="BA74" s="92"/>
      <c r="BB74" s="92"/>
      <c r="BC74" s="92"/>
      <c r="BD74" s="92"/>
      <c r="BE74" s="92"/>
      <c r="BF74" s="92"/>
      <c r="BG74" s="92"/>
      <c r="BH74" s="92"/>
      <c r="BI74" s="92"/>
    </row>
    <row r="75" spans="1:61" ht="21">
      <c r="A75" s="543"/>
      <c r="B75" s="92"/>
      <c r="C75" s="92"/>
      <c r="D75" s="92"/>
      <c r="E75" s="92"/>
      <c r="F75" s="92"/>
      <c r="G75" s="221"/>
      <c r="H75" s="92"/>
      <c r="I75" s="92"/>
      <c r="J75" s="219"/>
      <c r="K75" s="92"/>
      <c r="L75" s="103"/>
      <c r="M75" s="103"/>
      <c r="N75" s="103"/>
      <c r="O75" s="92"/>
      <c r="P75" s="92"/>
      <c r="Q75" s="92"/>
      <c r="R75" s="92"/>
      <c r="S75" s="92"/>
      <c r="T75" s="221"/>
      <c r="U75" s="221"/>
      <c r="V75" s="219"/>
      <c r="W75" s="92"/>
      <c r="X75" s="197"/>
      <c r="Y75" s="92"/>
      <c r="Z75" s="221"/>
      <c r="AA75" s="103"/>
      <c r="AB75" s="92"/>
      <c r="AC75" s="92"/>
      <c r="AD75" s="92"/>
      <c r="AE75" s="92"/>
      <c r="AF75" s="92"/>
      <c r="AG75" s="92"/>
      <c r="AH75" s="92"/>
      <c r="AI75" s="92"/>
      <c r="AJ75" s="92"/>
      <c r="AK75" s="92"/>
      <c r="AL75" s="92"/>
      <c r="AM75" s="92"/>
      <c r="AN75" s="92"/>
      <c r="AO75" s="92"/>
      <c r="AP75" s="92"/>
      <c r="AQ75" s="92"/>
      <c r="AR75" s="92"/>
      <c r="AS75" s="92"/>
      <c r="AT75" s="92"/>
      <c r="AU75" s="92"/>
      <c r="AV75" s="92"/>
      <c r="AW75" s="92"/>
      <c r="AX75" s="92"/>
      <c r="AY75" s="92"/>
      <c r="AZ75" s="92"/>
      <c r="BA75" s="92"/>
      <c r="BB75" s="92"/>
      <c r="BC75" s="92"/>
      <c r="BD75" s="92"/>
      <c r="BE75" s="92"/>
      <c r="BF75" s="92"/>
      <c r="BG75" s="92"/>
      <c r="BH75" s="92"/>
      <c r="BI75" s="92"/>
    </row>
    <row r="76" spans="1:61" ht="21">
      <c r="A76" s="543"/>
      <c r="B76" s="92"/>
      <c r="C76" s="92"/>
      <c r="D76" s="92"/>
      <c r="E76" s="92"/>
      <c r="F76" s="92"/>
      <c r="G76" s="221"/>
      <c r="H76" s="92"/>
      <c r="I76" s="92"/>
      <c r="J76" s="219"/>
      <c r="K76" s="92"/>
      <c r="L76" s="103"/>
      <c r="M76" s="103"/>
      <c r="N76" s="103"/>
      <c r="O76" s="92"/>
      <c r="P76" s="92"/>
      <c r="Q76" s="92"/>
      <c r="R76" s="92"/>
      <c r="S76" s="92"/>
      <c r="T76" s="221"/>
      <c r="U76" s="221"/>
      <c r="V76" s="219"/>
      <c r="W76" s="92"/>
      <c r="X76" s="197"/>
      <c r="Y76" s="92"/>
      <c r="Z76" s="221"/>
      <c r="AA76" s="103"/>
      <c r="AB76" s="92"/>
      <c r="AC76" s="92"/>
      <c r="AD76" s="92"/>
      <c r="AE76" s="92"/>
      <c r="AF76" s="92"/>
      <c r="AG76" s="92"/>
      <c r="AH76" s="92"/>
      <c r="AI76" s="92"/>
      <c r="AJ76" s="92"/>
      <c r="AK76" s="92"/>
      <c r="AL76" s="92"/>
      <c r="AM76" s="92"/>
      <c r="AN76" s="92"/>
      <c r="AO76" s="92"/>
      <c r="AP76" s="92"/>
      <c r="AQ76" s="92"/>
      <c r="AR76" s="92"/>
      <c r="AS76" s="92"/>
      <c r="AT76" s="92"/>
      <c r="AU76" s="92"/>
      <c r="AV76" s="92"/>
      <c r="AW76" s="92"/>
      <c r="AX76" s="92"/>
      <c r="AY76" s="92"/>
      <c r="AZ76" s="92"/>
      <c r="BA76" s="92"/>
      <c r="BB76" s="92"/>
      <c r="BC76" s="92"/>
      <c r="BD76" s="92"/>
      <c r="BE76" s="92"/>
      <c r="BF76" s="92"/>
      <c r="BG76" s="92"/>
      <c r="BH76" s="92"/>
      <c r="BI76" s="92"/>
    </row>
    <row r="77" spans="1:61" ht="21">
      <c r="A77" s="543"/>
      <c r="B77" s="92"/>
      <c r="C77" s="92"/>
      <c r="D77" s="92"/>
      <c r="E77" s="92"/>
      <c r="F77" s="92"/>
      <c r="G77" s="221"/>
      <c r="H77" s="92"/>
      <c r="I77" s="92"/>
      <c r="J77" s="219"/>
      <c r="K77" s="92"/>
      <c r="L77" s="103"/>
      <c r="M77" s="103"/>
      <c r="N77" s="103"/>
      <c r="O77" s="92"/>
      <c r="P77" s="92"/>
      <c r="Q77" s="92"/>
      <c r="R77" s="92"/>
      <c r="S77" s="92"/>
      <c r="T77" s="221"/>
      <c r="U77" s="221"/>
      <c r="V77" s="219"/>
      <c r="W77" s="92"/>
      <c r="X77" s="197"/>
      <c r="Y77" s="92"/>
      <c r="Z77" s="221"/>
      <c r="AA77" s="103"/>
      <c r="AB77" s="92"/>
      <c r="AC77" s="92"/>
      <c r="AD77" s="92"/>
      <c r="AE77" s="92"/>
      <c r="AF77" s="92"/>
      <c r="AG77" s="92"/>
      <c r="AH77" s="92"/>
      <c r="AI77" s="92"/>
      <c r="AJ77" s="92"/>
      <c r="AK77" s="92"/>
      <c r="AL77" s="92"/>
      <c r="AM77" s="92"/>
      <c r="AN77" s="92"/>
      <c r="AO77" s="92"/>
      <c r="AP77" s="92"/>
      <c r="AQ77" s="92"/>
      <c r="AR77" s="92"/>
      <c r="AS77" s="92"/>
      <c r="AT77" s="92"/>
      <c r="AU77" s="92"/>
      <c r="AV77" s="92"/>
      <c r="AW77" s="92"/>
      <c r="AX77" s="92"/>
      <c r="AY77" s="92"/>
      <c r="AZ77" s="92"/>
      <c r="BA77" s="92"/>
      <c r="BB77" s="92"/>
      <c r="BC77" s="92"/>
      <c r="BD77" s="92"/>
      <c r="BE77" s="92"/>
      <c r="BF77" s="92"/>
      <c r="BG77" s="92"/>
      <c r="BH77" s="92"/>
      <c r="BI77" s="92"/>
    </row>
    <row r="78" spans="1:61" ht="21" customHeight="1">
      <c r="A78" s="543"/>
      <c r="B78" s="92"/>
      <c r="C78" s="92"/>
      <c r="D78" s="92"/>
      <c r="E78" s="92"/>
      <c r="F78" s="92"/>
      <c r="G78" s="221"/>
      <c r="H78" s="92"/>
      <c r="I78" s="92"/>
      <c r="J78" s="219"/>
      <c r="K78" s="92"/>
      <c r="L78" s="103"/>
      <c r="M78" s="103"/>
      <c r="N78" s="103"/>
      <c r="O78" s="92"/>
      <c r="P78" s="92"/>
      <c r="Q78" s="92"/>
      <c r="R78" s="92"/>
      <c r="S78" s="92"/>
      <c r="T78" s="221"/>
      <c r="U78" s="221"/>
      <c r="V78" s="219"/>
      <c r="W78" s="92"/>
      <c r="X78" s="197"/>
      <c r="Y78" s="92"/>
      <c r="Z78" s="221"/>
      <c r="AA78" s="103"/>
      <c r="AB78" s="92"/>
      <c r="AC78" s="92"/>
      <c r="AD78" s="92"/>
      <c r="AE78" s="92"/>
      <c r="AF78" s="92"/>
      <c r="AG78" s="92"/>
      <c r="AH78" s="92"/>
      <c r="AI78" s="92"/>
      <c r="AJ78" s="92"/>
      <c r="AK78" s="92"/>
      <c r="AL78" s="92"/>
      <c r="AM78" s="92"/>
      <c r="AN78" s="92"/>
      <c r="AO78" s="92"/>
      <c r="AP78" s="92"/>
      <c r="AQ78" s="92"/>
      <c r="AR78" s="92"/>
      <c r="AS78" s="92"/>
      <c r="AT78" s="92"/>
      <c r="AU78" s="92"/>
      <c r="AV78" s="92"/>
      <c r="AW78" s="92"/>
      <c r="AX78" s="92"/>
      <c r="AY78" s="92"/>
      <c r="AZ78" s="92"/>
      <c r="BA78" s="92"/>
      <c r="BB78" s="92"/>
      <c r="BC78" s="92"/>
      <c r="BD78" s="92"/>
      <c r="BE78" s="92"/>
      <c r="BF78" s="92"/>
      <c r="BG78" s="92"/>
      <c r="BH78" s="92"/>
      <c r="BI78" s="92"/>
    </row>
    <row r="79" spans="1:61" ht="21">
      <c r="A79" s="543"/>
      <c r="B79" s="92"/>
      <c r="C79" s="92"/>
      <c r="D79" s="92"/>
      <c r="E79" s="92"/>
      <c r="F79" s="92"/>
      <c r="G79" s="221"/>
      <c r="H79" s="92"/>
      <c r="I79" s="92"/>
      <c r="J79" s="219"/>
      <c r="K79" s="92"/>
      <c r="L79" s="103"/>
      <c r="M79" s="103"/>
      <c r="N79" s="103"/>
      <c r="O79" s="92"/>
      <c r="P79" s="92"/>
      <c r="Q79" s="92"/>
      <c r="R79" s="92"/>
      <c r="S79" s="92"/>
      <c r="T79" s="221"/>
      <c r="U79" s="221"/>
      <c r="V79" s="219"/>
      <c r="W79" s="92"/>
      <c r="X79" s="197"/>
      <c r="Y79" s="92"/>
      <c r="Z79" s="221"/>
      <c r="AA79" s="103"/>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row>
    <row r="80" spans="1:61" ht="21">
      <c r="A80" s="543"/>
      <c r="B80" s="92"/>
      <c r="C80" s="92"/>
      <c r="D80" s="92"/>
      <c r="E80" s="92"/>
      <c r="F80" s="92"/>
      <c r="G80" s="221"/>
      <c r="H80" s="92"/>
      <c r="I80" s="92"/>
      <c r="J80" s="219"/>
      <c r="K80" s="92"/>
      <c r="L80" s="103"/>
      <c r="M80" s="103"/>
      <c r="N80" s="103"/>
      <c r="O80" s="92"/>
      <c r="P80" s="92"/>
      <c r="Q80" s="92"/>
      <c r="R80" s="92"/>
      <c r="S80" s="92"/>
      <c r="T80" s="221"/>
      <c r="U80" s="221"/>
      <c r="V80" s="219"/>
      <c r="W80" s="92"/>
      <c r="X80" s="197"/>
      <c r="Y80" s="92"/>
      <c r="Z80" s="221"/>
      <c r="AA80" s="103"/>
      <c r="AB80" s="92"/>
      <c r="AC80" s="92"/>
      <c r="AD80" s="92"/>
      <c r="AE80" s="92"/>
      <c r="AF80" s="92"/>
      <c r="AG80" s="92"/>
      <c r="AH80" s="92"/>
      <c r="AI80" s="92"/>
      <c r="AJ80" s="92"/>
      <c r="AK80" s="92"/>
      <c r="AL80" s="92"/>
      <c r="AM80" s="92"/>
      <c r="AN80" s="92"/>
      <c r="AO80" s="92"/>
      <c r="AP80" s="92"/>
      <c r="AQ80" s="92"/>
      <c r="AR80" s="92"/>
      <c r="AS80" s="92"/>
      <c r="AT80" s="92"/>
      <c r="AU80" s="92"/>
      <c r="AV80" s="92"/>
      <c r="AW80" s="92"/>
      <c r="AX80" s="92"/>
      <c r="AY80" s="92"/>
      <c r="AZ80" s="92"/>
      <c r="BA80" s="92"/>
      <c r="BB80" s="92"/>
      <c r="BC80" s="92"/>
      <c r="BD80" s="92"/>
      <c r="BE80" s="92"/>
      <c r="BF80" s="92"/>
      <c r="BG80" s="92"/>
      <c r="BH80" s="92"/>
      <c r="BI80" s="92"/>
    </row>
    <row r="81" spans="1:61" ht="21">
      <c r="A81" s="543"/>
      <c r="B81" s="92"/>
      <c r="C81" s="92"/>
      <c r="D81" s="92"/>
      <c r="E81" s="92"/>
      <c r="F81" s="92"/>
      <c r="G81" s="221"/>
      <c r="H81" s="92"/>
      <c r="I81" s="92"/>
      <c r="J81" s="219"/>
      <c r="K81" s="92"/>
      <c r="L81" s="103"/>
      <c r="M81" s="103"/>
      <c r="N81" s="103"/>
      <c r="O81" s="92"/>
      <c r="P81" s="92"/>
      <c r="Q81" s="92"/>
      <c r="R81" s="92"/>
      <c r="S81" s="92"/>
      <c r="T81" s="221"/>
      <c r="U81" s="221"/>
      <c r="V81" s="219"/>
      <c r="W81" s="92"/>
      <c r="X81" s="197"/>
      <c r="Y81" s="92"/>
      <c r="Z81" s="221"/>
      <c r="AA81" s="103"/>
      <c r="AB81" s="92"/>
      <c r="AC81" s="92"/>
      <c r="AD81" s="92"/>
      <c r="AE81" s="92"/>
      <c r="AF81" s="92"/>
      <c r="AG81" s="92"/>
      <c r="AH81" s="92"/>
      <c r="AI81" s="92"/>
      <c r="AJ81" s="92"/>
      <c r="AK81" s="92"/>
      <c r="AL81" s="92"/>
      <c r="AM81" s="92"/>
      <c r="AN81" s="92"/>
      <c r="AO81" s="92"/>
      <c r="AP81" s="92"/>
      <c r="AQ81" s="92"/>
      <c r="AR81" s="92"/>
      <c r="AS81" s="92"/>
      <c r="AT81" s="92"/>
      <c r="AU81" s="92"/>
      <c r="AV81" s="92"/>
      <c r="AW81" s="92"/>
      <c r="AX81" s="92"/>
      <c r="AY81" s="92"/>
      <c r="AZ81" s="92"/>
      <c r="BA81" s="92"/>
      <c r="BB81" s="92"/>
      <c r="BC81" s="92"/>
      <c r="BD81" s="92"/>
      <c r="BE81" s="92"/>
      <c r="BF81" s="92"/>
      <c r="BG81" s="92"/>
      <c r="BH81" s="92"/>
      <c r="BI81" s="92"/>
    </row>
    <row r="82" spans="1:61" ht="21">
      <c r="A82" s="543"/>
      <c r="B82" s="92"/>
      <c r="C82" s="92"/>
      <c r="D82" s="92"/>
      <c r="E82" s="92"/>
      <c r="F82" s="92"/>
      <c r="G82" s="221"/>
      <c r="H82" s="92"/>
      <c r="I82" s="92"/>
      <c r="J82" s="219"/>
      <c r="K82" s="92"/>
      <c r="L82" s="103"/>
      <c r="M82" s="103"/>
      <c r="N82" s="103"/>
      <c r="O82" s="92"/>
      <c r="P82" s="92"/>
      <c r="Q82" s="92"/>
      <c r="R82" s="92"/>
      <c r="S82" s="92"/>
      <c r="T82" s="221"/>
      <c r="U82" s="221"/>
      <c r="V82" s="219"/>
      <c r="W82" s="92"/>
      <c r="X82" s="197"/>
      <c r="Y82" s="92"/>
      <c r="Z82" s="221"/>
      <c r="AA82" s="103"/>
      <c r="AB82" s="92"/>
      <c r="AC82" s="92"/>
      <c r="AD82" s="92"/>
      <c r="AE82" s="92"/>
      <c r="AF82" s="92"/>
      <c r="AG82" s="92"/>
      <c r="AH82" s="92"/>
      <c r="AI82" s="92"/>
      <c r="AJ82" s="92"/>
      <c r="AK82" s="92"/>
      <c r="AL82" s="92"/>
      <c r="AM82" s="92"/>
      <c r="AN82" s="92"/>
      <c r="AO82" s="92"/>
      <c r="AP82" s="92"/>
      <c r="AQ82" s="92"/>
      <c r="AR82" s="92"/>
      <c r="AS82" s="92"/>
      <c r="AT82" s="92"/>
      <c r="AU82" s="92"/>
      <c r="AV82" s="92"/>
      <c r="AW82" s="92"/>
      <c r="AX82" s="92"/>
      <c r="AY82" s="92"/>
      <c r="AZ82" s="92"/>
      <c r="BA82" s="92"/>
      <c r="BB82" s="92"/>
      <c r="BC82" s="92"/>
      <c r="BD82" s="92"/>
      <c r="BE82" s="92"/>
      <c r="BF82" s="92"/>
      <c r="BG82" s="92"/>
      <c r="BH82" s="92"/>
      <c r="BI82" s="92"/>
    </row>
    <row r="83" spans="1:61" ht="21">
      <c r="A83" s="543"/>
      <c r="B83" s="92"/>
      <c r="C83" s="92"/>
      <c r="D83" s="92"/>
      <c r="E83" s="92"/>
      <c r="F83" s="92"/>
      <c r="G83" s="221"/>
      <c r="H83" s="92"/>
      <c r="I83" s="92"/>
      <c r="J83" s="219"/>
      <c r="K83" s="92"/>
      <c r="L83" s="103"/>
      <c r="M83" s="103"/>
      <c r="N83" s="103"/>
      <c r="O83" s="92"/>
      <c r="P83" s="92"/>
      <c r="Q83" s="92"/>
      <c r="R83" s="92"/>
      <c r="S83" s="92"/>
      <c r="T83" s="221"/>
      <c r="U83" s="221"/>
      <c r="V83" s="219"/>
      <c r="W83" s="92"/>
      <c r="X83" s="197"/>
      <c r="Y83" s="92"/>
      <c r="Z83" s="221"/>
      <c r="AA83" s="103"/>
      <c r="AB83" s="92"/>
      <c r="AC83" s="92"/>
      <c r="AD83" s="92"/>
      <c r="AE83" s="92"/>
      <c r="AF83" s="92"/>
      <c r="AG83" s="92"/>
      <c r="AH83" s="92"/>
      <c r="AI83" s="92"/>
      <c r="AJ83" s="92"/>
      <c r="AK83" s="92"/>
      <c r="AL83" s="92"/>
      <c r="AM83" s="92"/>
      <c r="AN83" s="92"/>
      <c r="AO83" s="92"/>
      <c r="AP83" s="92"/>
      <c r="AQ83" s="92"/>
      <c r="AR83" s="92"/>
      <c r="AS83" s="92"/>
      <c r="AT83" s="92"/>
      <c r="AU83" s="92"/>
      <c r="AV83" s="92"/>
      <c r="AW83" s="92"/>
      <c r="AX83" s="92"/>
      <c r="AY83" s="92"/>
      <c r="AZ83" s="92"/>
      <c r="BA83" s="92"/>
      <c r="BB83" s="92"/>
      <c r="BC83" s="92"/>
      <c r="BD83" s="92"/>
      <c r="BE83" s="92"/>
      <c r="BF83" s="92"/>
      <c r="BG83" s="92"/>
      <c r="BH83" s="92"/>
      <c r="BI83" s="92"/>
    </row>
    <row r="84" spans="1:61" ht="21">
      <c r="A84" s="543"/>
      <c r="B84" s="92"/>
      <c r="C84" s="92"/>
      <c r="D84" s="92"/>
      <c r="E84" s="92"/>
      <c r="F84" s="92"/>
      <c r="G84" s="221"/>
      <c r="H84" s="92"/>
      <c r="I84" s="92"/>
      <c r="J84" s="219"/>
      <c r="K84" s="92"/>
      <c r="L84" s="103"/>
      <c r="M84" s="103"/>
      <c r="N84" s="103"/>
      <c r="O84" s="92"/>
      <c r="P84" s="92"/>
      <c r="Q84" s="92"/>
      <c r="R84" s="92"/>
      <c r="S84" s="92"/>
      <c r="T84" s="221"/>
      <c r="U84" s="221"/>
      <c r="V84" s="219"/>
      <c r="W84" s="92"/>
      <c r="X84" s="197"/>
      <c r="Y84" s="92"/>
      <c r="Z84" s="221"/>
      <c r="AA84" s="103"/>
      <c r="AB84" s="92"/>
      <c r="AC84" s="92"/>
      <c r="AD84" s="92"/>
      <c r="AE84" s="92"/>
      <c r="AF84" s="92"/>
      <c r="AG84" s="92"/>
      <c r="AH84" s="92"/>
      <c r="AI84" s="92"/>
      <c r="AJ84" s="92"/>
      <c r="AK84" s="92"/>
      <c r="AL84" s="92"/>
      <c r="AM84" s="92"/>
      <c r="AN84" s="92"/>
      <c r="AO84" s="92"/>
      <c r="AP84" s="92"/>
      <c r="AQ84" s="92"/>
      <c r="AR84" s="92"/>
      <c r="AS84" s="92"/>
      <c r="AT84" s="92"/>
      <c r="AU84" s="92"/>
      <c r="AV84" s="92"/>
      <c r="AW84" s="92"/>
      <c r="AX84" s="92"/>
      <c r="AY84" s="92"/>
      <c r="AZ84" s="92"/>
      <c r="BA84" s="92"/>
      <c r="BB84" s="92"/>
      <c r="BC84" s="92"/>
      <c r="BD84" s="92"/>
      <c r="BE84" s="92"/>
      <c r="BF84" s="92"/>
      <c r="BG84" s="92"/>
      <c r="BH84" s="92"/>
      <c r="BI84" s="92"/>
    </row>
    <row r="85" spans="1:61">
      <c r="B85" s="92"/>
      <c r="C85" s="92"/>
      <c r="D85" s="92"/>
      <c r="E85" s="92"/>
      <c r="F85" s="92"/>
      <c r="G85" s="219"/>
      <c r="H85" s="92"/>
      <c r="I85" s="92"/>
      <c r="J85" s="219"/>
      <c r="K85" s="92"/>
      <c r="L85" s="92"/>
      <c r="M85" s="92"/>
      <c r="N85" s="92"/>
      <c r="O85" s="92"/>
      <c r="P85" s="92"/>
      <c r="Q85" s="92"/>
      <c r="R85" s="92"/>
      <c r="S85" s="92"/>
      <c r="T85" s="219"/>
      <c r="U85" s="219"/>
      <c r="V85" s="219"/>
      <c r="W85" s="92"/>
      <c r="X85" s="197"/>
      <c r="Y85" s="92"/>
      <c r="Z85" s="219"/>
      <c r="AA85" s="92"/>
      <c r="AB85" s="92"/>
      <c r="AC85" s="92"/>
      <c r="AD85" s="92"/>
      <c r="AE85" s="92"/>
      <c r="AF85" s="92"/>
      <c r="AG85" s="92"/>
      <c r="AH85" s="92"/>
      <c r="AI85" s="92"/>
      <c r="AJ85" s="92"/>
      <c r="AK85" s="92"/>
      <c r="AL85" s="92"/>
      <c r="AM85" s="92"/>
      <c r="AN85" s="92"/>
      <c r="AO85" s="92"/>
      <c r="AP85" s="92"/>
      <c r="AQ85" s="92"/>
      <c r="AR85" s="92"/>
      <c r="AS85" s="92"/>
      <c r="AT85" s="92"/>
      <c r="AU85" s="92"/>
      <c r="AV85" s="92"/>
      <c r="AW85" s="92"/>
      <c r="AX85" s="92"/>
      <c r="AY85" s="92"/>
      <c r="AZ85" s="92"/>
      <c r="BA85" s="92"/>
      <c r="BB85" s="92"/>
      <c r="BC85" s="92"/>
      <c r="BD85" s="92"/>
      <c r="BE85" s="92"/>
      <c r="BF85" s="92"/>
      <c r="BG85" s="92"/>
      <c r="BH85" s="92"/>
      <c r="BI85" s="92"/>
    </row>
    <row r="86" spans="1:61">
      <c r="B86" s="92"/>
      <c r="C86" s="92"/>
      <c r="D86" s="92"/>
      <c r="E86" s="92"/>
      <c r="F86" s="92"/>
      <c r="G86" s="219"/>
      <c r="H86" s="92"/>
      <c r="I86" s="92"/>
      <c r="J86" s="219"/>
      <c r="K86" s="92"/>
      <c r="L86" s="92"/>
      <c r="M86" s="92"/>
      <c r="N86" s="92"/>
      <c r="O86" s="92"/>
      <c r="P86" s="92"/>
      <c r="Q86" s="92"/>
      <c r="R86" s="92"/>
      <c r="S86" s="92"/>
      <c r="T86" s="219"/>
      <c r="U86" s="219"/>
      <c r="V86" s="219"/>
      <c r="W86" s="92"/>
      <c r="X86" s="197"/>
      <c r="Y86" s="92"/>
      <c r="Z86" s="219"/>
      <c r="AA86" s="92"/>
      <c r="AB86" s="92"/>
      <c r="AC86" s="92"/>
      <c r="AD86" s="92"/>
      <c r="AE86" s="92"/>
      <c r="AF86" s="92"/>
      <c r="AG86" s="92"/>
      <c r="AH86" s="92"/>
      <c r="AI86" s="92"/>
      <c r="AJ86" s="92"/>
      <c r="AK86" s="92"/>
      <c r="AL86" s="92"/>
      <c r="AM86" s="92"/>
      <c r="AN86" s="92"/>
      <c r="AO86" s="92"/>
      <c r="AP86" s="92"/>
      <c r="AQ86" s="92"/>
      <c r="AR86" s="92"/>
      <c r="AS86" s="92"/>
      <c r="AT86" s="92"/>
      <c r="AU86" s="92"/>
      <c r="AV86" s="92"/>
      <c r="AW86" s="92"/>
      <c r="AX86" s="92"/>
      <c r="AY86" s="92"/>
      <c r="AZ86" s="92"/>
      <c r="BA86" s="92"/>
      <c r="BB86" s="92"/>
      <c r="BC86" s="92"/>
      <c r="BD86" s="92"/>
      <c r="BE86" s="92"/>
      <c r="BF86" s="92"/>
      <c r="BG86" s="92"/>
      <c r="BH86" s="92"/>
      <c r="BI86" s="92"/>
    </row>
    <row r="87" spans="1:61">
      <c r="B87" s="92"/>
      <c r="C87" s="92"/>
      <c r="D87" s="92"/>
      <c r="E87" s="92"/>
      <c r="F87" s="92"/>
      <c r="G87" s="219"/>
      <c r="H87" s="92"/>
      <c r="I87" s="92"/>
      <c r="J87" s="219"/>
      <c r="K87" s="92"/>
      <c r="L87" s="92"/>
      <c r="M87" s="92"/>
      <c r="N87" s="92"/>
      <c r="O87" s="92"/>
      <c r="P87" s="92"/>
      <c r="Q87" s="92"/>
      <c r="R87" s="92"/>
      <c r="S87" s="92"/>
      <c r="T87" s="219"/>
      <c r="U87" s="219"/>
      <c r="V87" s="219"/>
      <c r="W87" s="92"/>
      <c r="X87" s="197"/>
      <c r="Y87" s="92"/>
      <c r="Z87" s="219"/>
      <c r="AA87" s="92"/>
      <c r="AB87" s="92"/>
      <c r="AC87" s="92"/>
      <c r="AD87" s="92"/>
      <c r="AE87" s="92"/>
      <c r="AF87" s="92"/>
      <c r="AG87" s="92"/>
      <c r="AH87" s="92"/>
      <c r="AI87" s="92"/>
      <c r="AJ87" s="92"/>
      <c r="AK87" s="92"/>
      <c r="AL87" s="92"/>
      <c r="AM87" s="92"/>
      <c r="AN87" s="92"/>
      <c r="AO87" s="92"/>
      <c r="AP87" s="92"/>
      <c r="AQ87" s="92"/>
      <c r="AR87" s="92"/>
      <c r="AS87" s="92"/>
      <c r="AT87" s="92"/>
      <c r="AU87" s="92"/>
      <c r="AV87" s="92"/>
      <c r="AW87" s="92"/>
      <c r="AX87" s="92"/>
      <c r="AY87" s="92"/>
      <c r="AZ87" s="92"/>
      <c r="BA87" s="92"/>
      <c r="BB87" s="92"/>
      <c r="BC87" s="92"/>
      <c r="BD87" s="92"/>
      <c r="BE87" s="92"/>
      <c r="BF87" s="92"/>
      <c r="BG87" s="92"/>
      <c r="BH87" s="92"/>
      <c r="BI87" s="92"/>
    </row>
    <row r="88" spans="1:61">
      <c r="B88" s="92"/>
      <c r="C88" s="92"/>
      <c r="D88" s="92"/>
      <c r="E88" s="92"/>
      <c r="F88" s="92"/>
      <c r="G88" s="219"/>
      <c r="H88" s="92"/>
      <c r="I88" s="92"/>
      <c r="J88" s="219"/>
      <c r="K88" s="92"/>
      <c r="L88" s="92"/>
      <c r="M88" s="92"/>
      <c r="N88" s="92"/>
      <c r="O88" s="92"/>
      <c r="P88" s="92"/>
      <c r="Q88" s="92"/>
      <c r="R88" s="92"/>
      <c r="S88" s="92"/>
      <c r="T88" s="219"/>
      <c r="U88" s="219"/>
      <c r="V88" s="219"/>
      <c r="W88" s="92"/>
      <c r="X88" s="197"/>
      <c r="Y88" s="92"/>
      <c r="Z88" s="219"/>
      <c r="AA88" s="92"/>
      <c r="AB88" s="92"/>
      <c r="AC88" s="92"/>
      <c r="AD88" s="92"/>
      <c r="AE88" s="92"/>
      <c r="AF88" s="92"/>
      <c r="AG88" s="92"/>
      <c r="AH88" s="92"/>
      <c r="AI88" s="92"/>
      <c r="AJ88" s="92"/>
      <c r="AK88" s="92"/>
      <c r="AL88" s="92"/>
      <c r="AM88" s="92"/>
      <c r="AN88" s="92"/>
      <c r="AO88" s="92"/>
      <c r="AP88" s="92"/>
      <c r="AQ88" s="92"/>
      <c r="AR88" s="92"/>
      <c r="AS88" s="92"/>
      <c r="AT88" s="92"/>
      <c r="AU88" s="92"/>
      <c r="AV88" s="92"/>
      <c r="AW88" s="92"/>
      <c r="AX88" s="92"/>
      <c r="AY88" s="92"/>
      <c r="AZ88" s="92"/>
      <c r="BA88" s="92"/>
      <c r="BB88" s="92"/>
      <c r="BC88" s="92"/>
      <c r="BD88" s="92"/>
      <c r="BE88" s="92"/>
      <c r="BF88" s="92"/>
      <c r="BG88" s="92"/>
      <c r="BH88" s="92"/>
      <c r="BI88" s="92"/>
    </row>
    <row r="89" spans="1:61">
      <c r="B89" s="92"/>
      <c r="C89" s="92"/>
      <c r="D89" s="92"/>
      <c r="E89" s="92"/>
      <c r="F89" s="92"/>
      <c r="G89" s="219"/>
      <c r="H89" s="92"/>
      <c r="I89" s="92"/>
      <c r="J89" s="219"/>
      <c r="K89" s="92"/>
      <c r="L89" s="92"/>
      <c r="M89" s="92"/>
      <c r="N89" s="92"/>
      <c r="O89" s="92"/>
      <c r="P89" s="92"/>
      <c r="Q89" s="92"/>
      <c r="R89" s="92"/>
      <c r="S89" s="92"/>
      <c r="T89" s="219"/>
      <c r="U89" s="219"/>
      <c r="V89" s="219"/>
      <c r="W89" s="92"/>
      <c r="X89" s="197"/>
      <c r="Y89" s="92"/>
      <c r="Z89" s="219"/>
      <c r="AA89" s="92"/>
      <c r="AB89" s="92"/>
      <c r="AC89" s="92"/>
      <c r="AD89" s="92"/>
      <c r="AE89" s="92"/>
      <c r="AF89" s="92"/>
      <c r="AG89" s="92"/>
      <c r="AH89" s="92"/>
      <c r="AI89" s="92"/>
      <c r="AJ89" s="92"/>
      <c r="AK89" s="92"/>
      <c r="AL89" s="92"/>
      <c r="AM89" s="92"/>
      <c r="AN89" s="92"/>
      <c r="AO89" s="92"/>
      <c r="AP89" s="92"/>
      <c r="AQ89" s="92"/>
      <c r="AR89" s="92"/>
      <c r="AS89" s="92"/>
      <c r="AT89" s="92"/>
      <c r="AU89" s="92"/>
      <c r="AV89" s="92"/>
      <c r="AW89" s="92"/>
      <c r="AX89" s="92"/>
      <c r="AY89" s="92"/>
      <c r="AZ89" s="92"/>
      <c r="BA89" s="92"/>
      <c r="BB89" s="92"/>
      <c r="BC89" s="92"/>
      <c r="BD89" s="92"/>
      <c r="BE89" s="92"/>
      <c r="BF89" s="92"/>
      <c r="BG89" s="92"/>
      <c r="BH89" s="92"/>
      <c r="BI89" s="92"/>
    </row>
    <row r="90" spans="1:61">
      <c r="B90" s="92"/>
      <c r="C90" s="92"/>
      <c r="D90" s="92"/>
      <c r="E90" s="92"/>
      <c r="F90" s="92"/>
      <c r="G90" s="219"/>
      <c r="H90" s="92"/>
      <c r="I90" s="92"/>
      <c r="J90" s="219"/>
      <c r="K90" s="92"/>
      <c r="L90" s="92"/>
      <c r="M90" s="92"/>
      <c r="N90" s="92"/>
      <c r="O90" s="92"/>
      <c r="P90" s="92"/>
      <c r="Q90" s="92"/>
      <c r="R90" s="92"/>
      <c r="S90" s="92"/>
      <c r="T90" s="219"/>
      <c r="U90" s="219"/>
      <c r="V90" s="219"/>
      <c r="W90" s="92"/>
      <c r="X90" s="197"/>
      <c r="Y90" s="92"/>
      <c r="Z90" s="219"/>
      <c r="AA90" s="92"/>
      <c r="AB90" s="92"/>
      <c r="AC90" s="92"/>
      <c r="AD90" s="92"/>
      <c r="AE90" s="92"/>
      <c r="AF90" s="92"/>
      <c r="AG90" s="92"/>
      <c r="AH90" s="92"/>
      <c r="AI90" s="92"/>
      <c r="AJ90" s="92"/>
      <c r="AK90" s="92"/>
      <c r="AL90" s="92"/>
      <c r="AM90" s="92"/>
      <c r="AN90" s="92"/>
      <c r="AO90" s="92"/>
      <c r="AP90" s="92"/>
      <c r="AQ90" s="92"/>
      <c r="AR90" s="92"/>
      <c r="AS90" s="92"/>
      <c r="AT90" s="92"/>
      <c r="AU90" s="92"/>
      <c r="AV90" s="92"/>
      <c r="AW90" s="92"/>
      <c r="AX90" s="92"/>
      <c r="AY90" s="92"/>
      <c r="AZ90" s="92"/>
      <c r="BA90" s="92"/>
      <c r="BB90" s="92"/>
      <c r="BC90" s="92"/>
      <c r="BD90" s="92"/>
      <c r="BE90" s="92"/>
      <c r="BF90" s="92"/>
      <c r="BG90" s="92"/>
      <c r="BH90" s="92"/>
      <c r="BI90" s="92"/>
    </row>
    <row r="91" spans="1:61">
      <c r="B91" s="92"/>
      <c r="C91" s="92"/>
      <c r="D91" s="92"/>
      <c r="E91" s="92"/>
      <c r="F91" s="92"/>
      <c r="G91" s="219"/>
      <c r="H91" s="92"/>
      <c r="I91" s="92"/>
      <c r="J91" s="219"/>
      <c r="K91" s="92"/>
      <c r="L91" s="92"/>
      <c r="M91" s="92"/>
      <c r="N91" s="92"/>
      <c r="O91" s="92"/>
      <c r="P91" s="92"/>
      <c r="Q91" s="92"/>
      <c r="R91" s="92"/>
      <c r="S91" s="92"/>
      <c r="T91" s="219"/>
      <c r="U91" s="219"/>
      <c r="V91" s="219"/>
      <c r="W91" s="92"/>
      <c r="X91" s="197"/>
      <c r="Y91" s="92"/>
      <c r="Z91" s="219"/>
      <c r="AA91" s="92"/>
      <c r="AB91" s="92"/>
      <c r="AC91" s="92"/>
      <c r="AD91" s="92"/>
      <c r="AE91" s="92"/>
      <c r="AF91" s="92"/>
      <c r="AG91" s="92"/>
      <c r="AH91" s="92"/>
      <c r="AI91" s="92"/>
      <c r="AJ91" s="92"/>
      <c r="AK91" s="92"/>
      <c r="AL91" s="92"/>
      <c r="AM91" s="92"/>
      <c r="AN91" s="92"/>
      <c r="AO91" s="92"/>
      <c r="AP91" s="92"/>
      <c r="AQ91" s="92"/>
      <c r="AR91" s="92"/>
      <c r="AS91" s="92"/>
      <c r="AT91" s="92"/>
      <c r="AU91" s="92"/>
      <c r="AV91" s="92"/>
      <c r="AW91" s="92"/>
      <c r="AX91" s="92"/>
      <c r="AY91" s="92"/>
      <c r="AZ91" s="92"/>
      <c r="BA91" s="92"/>
      <c r="BB91" s="92"/>
      <c r="BC91" s="92"/>
      <c r="BD91" s="92"/>
      <c r="BE91" s="92"/>
      <c r="BF91" s="92"/>
      <c r="BG91" s="92"/>
      <c r="BH91" s="92"/>
      <c r="BI91" s="92"/>
    </row>
    <row r="92" spans="1:61">
      <c r="B92" s="92"/>
      <c r="C92" s="92"/>
      <c r="D92" s="92"/>
      <c r="E92" s="92"/>
      <c r="F92" s="92"/>
      <c r="G92" s="219"/>
      <c r="H92" s="92"/>
      <c r="I92" s="92"/>
      <c r="J92" s="219"/>
      <c r="K92" s="92"/>
      <c r="L92" s="92"/>
      <c r="M92" s="92"/>
      <c r="N92" s="92"/>
      <c r="O92" s="92"/>
      <c r="P92" s="92"/>
      <c r="Q92" s="92"/>
      <c r="R92" s="92"/>
      <c r="S92" s="92"/>
      <c r="T92" s="219"/>
      <c r="U92" s="219"/>
      <c r="V92" s="219"/>
      <c r="W92" s="92"/>
      <c r="X92" s="197"/>
      <c r="Y92" s="92"/>
      <c r="Z92" s="219"/>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row>
    <row r="93" spans="1:61">
      <c r="B93" s="92"/>
      <c r="C93" s="92"/>
      <c r="D93" s="92"/>
      <c r="E93" s="92"/>
      <c r="F93" s="92"/>
      <c r="G93" s="219"/>
      <c r="H93" s="92"/>
      <c r="I93" s="92"/>
      <c r="J93" s="219"/>
      <c r="K93" s="92"/>
      <c r="L93" s="92"/>
      <c r="M93" s="92"/>
      <c r="N93" s="92"/>
      <c r="O93" s="92"/>
      <c r="P93" s="92"/>
      <c r="Q93" s="92"/>
      <c r="R93" s="92"/>
      <c r="S93" s="92"/>
      <c r="T93" s="219"/>
      <c r="U93" s="219"/>
      <c r="V93" s="219"/>
      <c r="W93" s="92"/>
      <c r="X93" s="197"/>
      <c r="Y93" s="92"/>
      <c r="Z93" s="219"/>
      <c r="AA93" s="92"/>
      <c r="AB93" s="92"/>
      <c r="AC93" s="92"/>
      <c r="AD93" s="92"/>
      <c r="AE93" s="92"/>
      <c r="AF93" s="92"/>
      <c r="AG93" s="92"/>
      <c r="AH93" s="92"/>
      <c r="AI93" s="92"/>
      <c r="AJ93" s="92"/>
      <c r="AK93" s="92"/>
      <c r="AL93" s="92"/>
      <c r="AM93" s="92"/>
      <c r="AN93" s="92"/>
      <c r="AO93" s="92"/>
      <c r="AP93" s="92"/>
      <c r="AQ93" s="92"/>
      <c r="AR93" s="92"/>
      <c r="AS93" s="92"/>
      <c r="AT93" s="92"/>
      <c r="AU93" s="92"/>
      <c r="AV93" s="92"/>
      <c r="AW93" s="92"/>
      <c r="AX93" s="92"/>
      <c r="AY93" s="92"/>
      <c r="AZ93" s="92"/>
      <c r="BA93" s="92"/>
      <c r="BB93" s="92"/>
      <c r="BC93" s="92"/>
      <c r="BD93" s="92"/>
      <c r="BE93" s="92"/>
      <c r="BF93" s="92"/>
      <c r="BG93" s="92"/>
      <c r="BH93" s="92"/>
      <c r="BI93" s="92"/>
    </row>
    <row r="94" spans="1:61">
      <c r="B94" s="92"/>
      <c r="C94" s="92"/>
      <c r="D94" s="92"/>
      <c r="E94" s="92"/>
      <c r="F94" s="92"/>
      <c r="G94" s="219"/>
      <c r="H94" s="92"/>
      <c r="I94" s="92"/>
      <c r="J94" s="219"/>
      <c r="K94" s="92"/>
      <c r="L94" s="92"/>
      <c r="M94" s="92"/>
      <c r="N94" s="92"/>
      <c r="O94" s="92"/>
      <c r="P94" s="92"/>
      <c r="Q94" s="92"/>
      <c r="R94" s="92"/>
      <c r="S94" s="92"/>
      <c r="T94" s="219"/>
      <c r="U94" s="219"/>
      <c r="V94" s="219"/>
      <c r="W94" s="92"/>
      <c r="X94" s="197"/>
      <c r="Y94" s="92"/>
      <c r="Z94" s="219"/>
      <c r="AA94" s="92"/>
      <c r="AB94" s="92"/>
      <c r="AC94" s="92"/>
      <c r="AD94" s="92"/>
      <c r="AE94" s="92"/>
      <c r="AF94" s="92"/>
      <c r="AG94" s="92"/>
      <c r="AH94" s="92"/>
      <c r="AI94" s="92"/>
      <c r="AJ94" s="92"/>
      <c r="AK94" s="92"/>
      <c r="AL94" s="92"/>
      <c r="AM94" s="92"/>
      <c r="AN94" s="92"/>
      <c r="AO94" s="92"/>
      <c r="AP94" s="92"/>
      <c r="AQ94" s="92"/>
      <c r="AR94" s="92"/>
      <c r="AS94" s="92"/>
      <c r="AT94" s="92"/>
      <c r="AU94" s="92"/>
      <c r="AV94" s="92"/>
      <c r="AW94" s="92"/>
      <c r="AX94" s="92"/>
      <c r="AY94" s="92"/>
      <c r="AZ94" s="92"/>
      <c r="BA94" s="92"/>
      <c r="BB94" s="92"/>
      <c r="BC94" s="92"/>
      <c r="BD94" s="92"/>
      <c r="BE94" s="92"/>
      <c r="BF94" s="92"/>
      <c r="BG94" s="92"/>
      <c r="BH94" s="92"/>
      <c r="BI94" s="92"/>
    </row>
    <row r="95" spans="1:61">
      <c r="B95" s="92"/>
      <c r="C95" s="92"/>
      <c r="D95" s="92"/>
      <c r="E95" s="92"/>
      <c r="F95" s="92"/>
      <c r="G95" s="219"/>
      <c r="H95" s="92"/>
      <c r="I95" s="92"/>
      <c r="J95" s="219"/>
      <c r="K95" s="92"/>
      <c r="L95" s="92"/>
      <c r="M95" s="92"/>
      <c r="N95" s="92"/>
      <c r="O95" s="92"/>
      <c r="P95" s="92"/>
      <c r="Q95" s="92"/>
      <c r="R95" s="92"/>
      <c r="S95" s="92"/>
      <c r="T95" s="219"/>
      <c r="U95" s="219"/>
      <c r="V95" s="219"/>
      <c r="W95" s="92"/>
      <c r="X95" s="197"/>
      <c r="Y95" s="92"/>
      <c r="Z95" s="219"/>
      <c r="AA95" s="92"/>
      <c r="AB95" s="92"/>
      <c r="AC95" s="92"/>
      <c r="AD95" s="92"/>
      <c r="AE95" s="92"/>
      <c r="AF95" s="92"/>
      <c r="AG95" s="92"/>
      <c r="AH95" s="92"/>
      <c r="AI95" s="92"/>
      <c r="AJ95" s="92"/>
      <c r="AK95" s="92"/>
      <c r="AL95" s="92"/>
      <c r="AM95" s="92"/>
      <c r="AN95" s="92"/>
      <c r="AO95" s="92"/>
      <c r="AP95" s="92"/>
      <c r="AQ95" s="92"/>
      <c r="AR95" s="92"/>
      <c r="AS95" s="92"/>
      <c r="AT95" s="92"/>
      <c r="AU95" s="92"/>
      <c r="AV95" s="92"/>
      <c r="AW95" s="92"/>
      <c r="AX95" s="92"/>
      <c r="AY95" s="92"/>
      <c r="AZ95" s="92"/>
      <c r="BA95" s="92"/>
      <c r="BB95" s="92"/>
      <c r="BC95" s="92"/>
      <c r="BD95" s="92"/>
      <c r="BE95" s="92"/>
      <c r="BF95" s="92"/>
      <c r="BG95" s="92"/>
      <c r="BH95" s="92"/>
      <c r="BI95" s="92"/>
    </row>
    <row r="96" spans="1:61">
      <c r="B96" s="92"/>
      <c r="C96" s="92"/>
      <c r="D96" s="92"/>
      <c r="E96" s="92"/>
      <c r="F96" s="92"/>
      <c r="G96" s="219"/>
      <c r="H96" s="92"/>
      <c r="I96" s="92"/>
      <c r="J96" s="219"/>
      <c r="K96" s="92"/>
      <c r="L96" s="92"/>
      <c r="M96" s="92"/>
      <c r="N96" s="92"/>
      <c r="O96" s="92"/>
      <c r="P96" s="92"/>
      <c r="Q96" s="92"/>
      <c r="R96" s="92"/>
      <c r="S96" s="92"/>
      <c r="T96" s="219"/>
      <c r="U96" s="219"/>
      <c r="V96" s="219"/>
      <c r="W96" s="92"/>
      <c r="X96" s="197"/>
      <c r="Y96" s="92"/>
      <c r="Z96" s="219"/>
      <c r="AA96" s="92"/>
      <c r="AB96" s="92"/>
      <c r="AC96" s="92"/>
      <c r="AD96" s="92"/>
      <c r="AE96" s="92"/>
      <c r="AF96" s="92"/>
      <c r="AG96" s="92"/>
      <c r="AH96" s="92"/>
      <c r="AI96" s="92"/>
      <c r="AJ96" s="92"/>
      <c r="AK96" s="92"/>
      <c r="AL96" s="92"/>
      <c r="AM96" s="92"/>
      <c r="AN96" s="92"/>
      <c r="AO96" s="92"/>
      <c r="AP96" s="92"/>
      <c r="AQ96" s="92"/>
      <c r="AR96" s="92"/>
      <c r="AS96" s="92"/>
      <c r="AT96" s="92"/>
      <c r="AU96" s="92"/>
      <c r="AV96" s="92"/>
      <c r="AW96" s="92"/>
      <c r="AX96" s="92"/>
      <c r="AY96" s="92"/>
      <c r="AZ96" s="92"/>
      <c r="BA96" s="92"/>
      <c r="BB96" s="92"/>
      <c r="BC96" s="92"/>
      <c r="BD96" s="92"/>
      <c r="BE96" s="92"/>
      <c r="BF96" s="92"/>
      <c r="BG96" s="92"/>
      <c r="BH96" s="92"/>
      <c r="BI96" s="92"/>
    </row>
    <row r="97" spans="2:61">
      <c r="B97" s="92"/>
      <c r="C97" s="92"/>
      <c r="D97" s="92"/>
      <c r="E97" s="92"/>
      <c r="F97" s="92"/>
      <c r="G97" s="219"/>
      <c r="H97" s="92"/>
      <c r="I97" s="92"/>
      <c r="J97" s="219"/>
      <c r="K97" s="92"/>
      <c r="L97" s="92"/>
      <c r="M97" s="92"/>
      <c r="N97" s="92"/>
      <c r="O97" s="92"/>
      <c r="P97" s="92"/>
      <c r="Q97" s="92"/>
      <c r="R97" s="92"/>
      <c r="S97" s="92"/>
      <c r="T97" s="219"/>
      <c r="U97" s="219"/>
      <c r="V97" s="219"/>
      <c r="W97" s="92"/>
      <c r="X97" s="197"/>
      <c r="Y97" s="92"/>
      <c r="Z97" s="219"/>
      <c r="AA97" s="92"/>
      <c r="AB97" s="92"/>
      <c r="AC97" s="92"/>
      <c r="AD97" s="92"/>
      <c r="AE97" s="92"/>
      <c r="AF97" s="92"/>
      <c r="AG97" s="92"/>
      <c r="AH97" s="92"/>
      <c r="AI97" s="92"/>
      <c r="AJ97" s="92"/>
      <c r="AK97" s="92"/>
      <c r="AL97" s="92"/>
      <c r="AM97" s="92"/>
      <c r="AN97" s="92"/>
      <c r="AO97" s="92"/>
      <c r="AP97" s="92"/>
      <c r="AQ97" s="92"/>
      <c r="AR97" s="92"/>
      <c r="AS97" s="92"/>
      <c r="AT97" s="92"/>
      <c r="AU97" s="92"/>
      <c r="AV97" s="92"/>
      <c r="AW97" s="92"/>
      <c r="AX97" s="92"/>
      <c r="AY97" s="92"/>
      <c r="AZ97" s="92"/>
      <c r="BA97" s="92"/>
      <c r="BB97" s="92"/>
      <c r="BC97" s="92"/>
      <c r="BD97" s="92"/>
      <c r="BE97" s="92"/>
      <c r="BF97" s="92"/>
      <c r="BG97" s="92"/>
      <c r="BH97" s="92"/>
      <c r="BI97" s="92"/>
    </row>
    <row r="98" spans="2:61">
      <c r="B98" s="92"/>
      <c r="C98" s="92"/>
      <c r="D98" s="92"/>
      <c r="E98" s="92"/>
      <c r="F98" s="92"/>
      <c r="G98" s="219"/>
      <c r="H98" s="92"/>
      <c r="I98" s="92"/>
      <c r="J98" s="219"/>
      <c r="K98" s="92"/>
      <c r="L98" s="92"/>
      <c r="M98" s="92"/>
      <c r="N98" s="92"/>
      <c r="O98" s="92"/>
      <c r="P98" s="92"/>
      <c r="Q98" s="92"/>
      <c r="R98" s="92"/>
      <c r="S98" s="92"/>
      <c r="T98" s="219"/>
      <c r="U98" s="219"/>
      <c r="V98" s="219"/>
      <c r="W98" s="92"/>
      <c r="X98" s="197"/>
      <c r="Y98" s="92"/>
      <c r="Z98" s="219"/>
      <c r="AA98" s="92"/>
      <c r="AB98" s="92"/>
      <c r="AC98" s="92"/>
      <c r="AD98" s="92"/>
      <c r="AE98" s="92"/>
      <c r="AF98" s="92"/>
      <c r="AG98" s="92"/>
      <c r="AH98" s="92"/>
      <c r="AI98" s="92"/>
      <c r="AJ98" s="92"/>
      <c r="AK98" s="92"/>
      <c r="AL98" s="92"/>
      <c r="AM98" s="92"/>
      <c r="AN98" s="92"/>
      <c r="AO98" s="92"/>
      <c r="AP98" s="92"/>
      <c r="AQ98" s="92"/>
      <c r="AR98" s="92"/>
      <c r="AS98" s="92"/>
      <c r="AT98" s="92"/>
      <c r="AU98" s="92"/>
      <c r="AV98" s="92"/>
      <c r="AW98" s="92"/>
      <c r="AX98" s="92"/>
      <c r="AY98" s="92"/>
      <c r="AZ98" s="92"/>
      <c r="BA98" s="92"/>
      <c r="BB98" s="92"/>
      <c r="BC98" s="92"/>
      <c r="BD98" s="92"/>
      <c r="BE98" s="92"/>
      <c r="BF98" s="92"/>
      <c r="BG98" s="92"/>
      <c r="BH98" s="92"/>
      <c r="BI98" s="92"/>
    </row>
    <row r="99" spans="2:61">
      <c r="B99" s="92"/>
      <c r="C99" s="92"/>
      <c r="D99" s="92"/>
      <c r="E99" s="92"/>
      <c r="F99" s="92"/>
      <c r="G99" s="219"/>
      <c r="H99" s="92"/>
      <c r="I99" s="92"/>
      <c r="J99" s="219"/>
      <c r="K99" s="92"/>
      <c r="L99" s="92"/>
      <c r="M99" s="92"/>
      <c r="N99" s="92"/>
      <c r="O99" s="92"/>
      <c r="P99" s="92"/>
      <c r="Q99" s="92"/>
      <c r="R99" s="92"/>
      <c r="S99" s="92"/>
      <c r="T99" s="219"/>
      <c r="U99" s="219"/>
      <c r="V99" s="219"/>
      <c r="W99" s="92"/>
      <c r="X99" s="197"/>
      <c r="Y99" s="92"/>
      <c r="Z99" s="219"/>
      <c r="AA99" s="92"/>
      <c r="AB99" s="92"/>
      <c r="AC99" s="92"/>
      <c r="AD99" s="92"/>
      <c r="AE99" s="92"/>
      <c r="AF99" s="92"/>
      <c r="AG99" s="92"/>
      <c r="AH99" s="92"/>
      <c r="AI99" s="92"/>
      <c r="AJ99" s="92"/>
      <c r="AK99" s="92"/>
      <c r="AL99" s="92"/>
      <c r="AM99" s="92"/>
      <c r="AN99" s="92"/>
      <c r="AO99" s="92"/>
      <c r="AP99" s="92"/>
      <c r="AQ99" s="92"/>
      <c r="AR99" s="92"/>
      <c r="AS99" s="92"/>
      <c r="AT99" s="92"/>
      <c r="AU99" s="92"/>
      <c r="AV99" s="92"/>
      <c r="AW99" s="92"/>
      <c r="AX99" s="92"/>
      <c r="AY99" s="92"/>
      <c r="AZ99" s="92"/>
      <c r="BA99" s="92"/>
      <c r="BB99" s="92"/>
      <c r="BC99" s="92"/>
      <c r="BD99" s="92"/>
      <c r="BE99" s="92"/>
      <c r="BF99" s="92"/>
      <c r="BG99" s="92"/>
      <c r="BH99" s="92"/>
      <c r="BI99" s="92"/>
    </row>
    <row r="100" spans="2:61">
      <c r="B100" s="92"/>
      <c r="C100" s="92"/>
      <c r="D100" s="92"/>
      <c r="E100" s="92"/>
      <c r="F100" s="92"/>
      <c r="G100" s="219"/>
      <c r="H100" s="92"/>
      <c r="I100" s="92"/>
      <c r="J100" s="219"/>
      <c r="K100" s="92"/>
      <c r="L100" s="92"/>
      <c r="M100" s="92"/>
      <c r="N100" s="92"/>
      <c r="O100" s="92"/>
      <c r="P100" s="92"/>
      <c r="Q100" s="92"/>
      <c r="R100" s="92"/>
      <c r="S100" s="92"/>
      <c r="T100" s="219"/>
      <c r="U100" s="219"/>
      <c r="V100" s="219"/>
      <c r="W100" s="92"/>
      <c r="X100" s="197"/>
      <c r="Y100" s="92"/>
      <c r="Z100" s="219"/>
      <c r="AA100" s="92"/>
      <c r="AB100" s="92"/>
      <c r="AC100" s="92"/>
      <c r="AD100" s="92"/>
      <c r="AE100" s="92"/>
      <c r="AF100" s="92"/>
      <c r="AG100" s="92"/>
      <c r="AH100" s="92"/>
      <c r="AI100" s="92"/>
      <c r="AJ100" s="92"/>
      <c r="AK100" s="92"/>
      <c r="AL100" s="92"/>
      <c r="AM100" s="92"/>
      <c r="AN100" s="92"/>
      <c r="AO100" s="92"/>
      <c r="AP100" s="92"/>
      <c r="AQ100" s="92"/>
      <c r="AR100" s="92"/>
      <c r="AS100" s="92"/>
      <c r="AT100" s="92"/>
      <c r="AU100" s="92"/>
      <c r="AV100" s="92"/>
      <c r="AW100" s="92"/>
      <c r="AX100" s="92"/>
      <c r="AY100" s="92"/>
      <c r="AZ100" s="92"/>
      <c r="BA100" s="92"/>
      <c r="BB100" s="92"/>
      <c r="BC100" s="92"/>
      <c r="BD100" s="92"/>
      <c r="BE100" s="92"/>
      <c r="BF100" s="92"/>
      <c r="BG100" s="92"/>
      <c r="BH100" s="92"/>
      <c r="BI100" s="92"/>
    </row>
    <row r="101" spans="2:61">
      <c r="B101" s="92"/>
      <c r="C101" s="92"/>
      <c r="D101" s="92"/>
      <c r="E101" s="92"/>
      <c r="F101" s="92"/>
      <c r="G101" s="219"/>
      <c r="H101" s="92"/>
      <c r="I101" s="92"/>
      <c r="J101" s="219"/>
      <c r="K101" s="92"/>
      <c r="L101" s="92"/>
      <c r="M101" s="92"/>
      <c r="N101" s="92"/>
      <c r="O101" s="92"/>
      <c r="P101" s="92"/>
      <c r="Q101" s="92"/>
      <c r="R101" s="92"/>
      <c r="S101" s="92"/>
      <c r="T101" s="219"/>
      <c r="U101" s="219"/>
      <c r="V101" s="219"/>
      <c r="W101" s="92"/>
      <c r="X101" s="197"/>
      <c r="Y101" s="92"/>
      <c r="Z101" s="219"/>
      <c r="AA101" s="92"/>
      <c r="AB101" s="92"/>
      <c r="AC101" s="92"/>
      <c r="AD101" s="92"/>
      <c r="AE101" s="92"/>
      <c r="AF101" s="92"/>
      <c r="AG101" s="92"/>
      <c r="AH101" s="92"/>
      <c r="AI101" s="92"/>
      <c r="AJ101" s="92"/>
      <c r="AK101" s="92"/>
      <c r="AL101" s="92"/>
      <c r="AM101" s="92"/>
      <c r="AN101" s="92"/>
      <c r="AO101" s="92"/>
      <c r="AP101" s="92"/>
      <c r="AQ101" s="92"/>
      <c r="AR101" s="92"/>
      <c r="AS101" s="92"/>
      <c r="AT101" s="92"/>
      <c r="AU101" s="92"/>
      <c r="AV101" s="92"/>
      <c r="AW101" s="92"/>
      <c r="AX101" s="92"/>
      <c r="AY101" s="92"/>
      <c r="AZ101" s="92"/>
      <c r="BA101" s="92"/>
      <c r="BB101" s="92"/>
      <c r="BC101" s="92"/>
      <c r="BD101" s="92"/>
      <c r="BE101" s="92"/>
      <c r="BF101" s="92"/>
      <c r="BG101" s="92"/>
      <c r="BH101" s="92"/>
      <c r="BI101" s="92"/>
    </row>
    <row r="102" spans="2:61">
      <c r="B102" s="92"/>
      <c r="C102" s="92"/>
      <c r="D102" s="92"/>
      <c r="E102" s="92"/>
      <c r="F102" s="92"/>
      <c r="G102" s="219"/>
      <c r="H102" s="92"/>
      <c r="I102" s="92"/>
      <c r="J102" s="219"/>
      <c r="K102" s="92"/>
      <c r="L102" s="92"/>
      <c r="M102" s="92"/>
      <c r="N102" s="92"/>
      <c r="O102" s="92"/>
      <c r="P102" s="92"/>
      <c r="Q102" s="92"/>
      <c r="R102" s="92"/>
      <c r="S102" s="92"/>
      <c r="T102" s="219"/>
      <c r="U102" s="219"/>
      <c r="V102" s="219"/>
      <c r="W102" s="92"/>
      <c r="X102" s="197"/>
      <c r="Y102" s="92"/>
      <c r="Z102" s="219"/>
      <c r="AA102" s="92"/>
      <c r="AB102" s="92"/>
      <c r="AC102" s="92"/>
      <c r="AD102" s="92"/>
      <c r="AE102" s="92"/>
      <c r="AF102" s="92"/>
      <c r="AG102" s="92"/>
      <c r="AH102" s="92"/>
      <c r="AI102" s="92"/>
      <c r="AJ102" s="92"/>
      <c r="AK102" s="92"/>
      <c r="AL102" s="92"/>
      <c r="AM102" s="92"/>
      <c r="AN102" s="92"/>
      <c r="AO102" s="92"/>
      <c r="AP102" s="92"/>
      <c r="AQ102" s="92"/>
      <c r="AR102" s="92"/>
      <c r="AS102" s="92"/>
      <c r="AT102" s="92"/>
      <c r="AU102" s="92"/>
      <c r="AV102" s="92"/>
      <c r="AW102" s="92"/>
      <c r="AX102" s="92"/>
      <c r="AY102" s="92"/>
      <c r="AZ102" s="92"/>
      <c r="BA102" s="92"/>
      <c r="BB102" s="92"/>
      <c r="BC102" s="92"/>
      <c r="BD102" s="92"/>
      <c r="BE102" s="92"/>
      <c r="BF102" s="92"/>
      <c r="BG102" s="92"/>
      <c r="BH102" s="92"/>
      <c r="BI102" s="92"/>
    </row>
    <row r="103" spans="2:61">
      <c r="B103" s="92"/>
      <c r="C103" s="92"/>
      <c r="D103" s="92"/>
      <c r="E103" s="92"/>
      <c r="F103" s="92"/>
      <c r="G103" s="219"/>
      <c r="H103" s="92"/>
      <c r="I103" s="92"/>
      <c r="J103" s="219"/>
      <c r="K103" s="92"/>
      <c r="L103" s="92"/>
      <c r="M103" s="92"/>
      <c r="N103" s="92"/>
      <c r="O103" s="92"/>
      <c r="P103" s="92"/>
      <c r="Q103" s="92"/>
      <c r="R103" s="92"/>
      <c r="S103" s="92"/>
      <c r="T103" s="219"/>
      <c r="U103" s="219"/>
      <c r="V103" s="219"/>
      <c r="W103" s="92"/>
      <c r="X103" s="197"/>
      <c r="Y103" s="92"/>
      <c r="Z103" s="219"/>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row>
    <row r="104" spans="2:61">
      <c r="B104" s="92"/>
      <c r="C104" s="92"/>
      <c r="D104" s="92"/>
      <c r="E104" s="92"/>
      <c r="F104" s="92"/>
      <c r="G104" s="219"/>
      <c r="H104" s="92"/>
      <c r="I104" s="92"/>
      <c r="J104" s="219"/>
      <c r="K104" s="92"/>
      <c r="L104" s="92"/>
      <c r="M104" s="92"/>
      <c r="N104" s="92"/>
      <c r="O104" s="92"/>
      <c r="P104" s="92"/>
      <c r="Q104" s="92"/>
      <c r="R104" s="92"/>
      <c r="S104" s="92"/>
      <c r="T104" s="219"/>
      <c r="U104" s="219"/>
      <c r="V104" s="219"/>
      <c r="W104" s="92"/>
      <c r="X104" s="197"/>
      <c r="Y104" s="92"/>
      <c r="Z104" s="219"/>
      <c r="AA104" s="92"/>
      <c r="AB104" s="92"/>
      <c r="AC104" s="92"/>
      <c r="AD104" s="92"/>
      <c r="AE104" s="92"/>
      <c r="AF104" s="92"/>
      <c r="AG104" s="92"/>
      <c r="AH104" s="92"/>
      <c r="AI104" s="92"/>
      <c r="AJ104" s="92"/>
      <c r="AK104" s="92"/>
      <c r="AL104" s="92"/>
      <c r="AM104" s="92"/>
      <c r="AN104" s="92"/>
      <c r="AO104" s="92"/>
      <c r="AP104" s="92"/>
      <c r="AQ104" s="92"/>
      <c r="AR104" s="92"/>
      <c r="AS104" s="92"/>
      <c r="AT104" s="92"/>
      <c r="AU104" s="92"/>
      <c r="AV104" s="92"/>
      <c r="AW104" s="92"/>
      <c r="AX104" s="92"/>
      <c r="AY104" s="92"/>
      <c r="AZ104" s="92"/>
      <c r="BA104" s="92"/>
      <c r="BB104" s="92"/>
      <c r="BC104" s="92"/>
      <c r="BD104" s="92"/>
      <c r="BE104" s="92"/>
      <c r="BF104" s="92"/>
      <c r="BG104" s="92"/>
      <c r="BH104" s="92"/>
      <c r="BI104" s="92"/>
    </row>
    <row r="105" spans="2:61">
      <c r="B105" s="92"/>
      <c r="C105" s="92"/>
      <c r="D105" s="92"/>
      <c r="E105" s="92"/>
      <c r="F105" s="92"/>
      <c r="G105" s="219"/>
      <c r="H105" s="92"/>
      <c r="I105" s="92"/>
      <c r="J105" s="219"/>
      <c r="K105" s="92"/>
      <c r="L105" s="92"/>
      <c r="M105" s="92"/>
      <c r="N105" s="92"/>
      <c r="O105" s="92"/>
      <c r="P105" s="92"/>
      <c r="Q105" s="92"/>
      <c r="R105" s="92"/>
      <c r="S105" s="92"/>
      <c r="T105" s="219"/>
      <c r="U105" s="219"/>
      <c r="V105" s="219"/>
      <c r="W105" s="92"/>
      <c r="X105" s="197"/>
      <c r="Y105" s="92"/>
      <c r="Z105" s="219"/>
      <c r="AA105" s="92"/>
      <c r="AB105" s="92"/>
      <c r="AC105" s="92"/>
      <c r="AD105" s="92"/>
      <c r="AE105" s="92"/>
      <c r="AF105" s="92"/>
      <c r="AG105" s="92"/>
      <c r="AH105" s="92"/>
      <c r="AI105" s="92"/>
      <c r="AJ105" s="92"/>
      <c r="AK105" s="92"/>
      <c r="AL105" s="92"/>
      <c r="AM105" s="92"/>
      <c r="AN105" s="92"/>
      <c r="AO105" s="92"/>
      <c r="AP105" s="92"/>
      <c r="AQ105" s="92"/>
      <c r="AR105" s="92"/>
      <c r="AS105" s="92"/>
      <c r="AT105" s="92"/>
      <c r="AU105" s="92"/>
      <c r="AV105" s="92"/>
      <c r="AW105" s="92"/>
      <c r="AX105" s="92"/>
      <c r="AY105" s="92"/>
      <c r="AZ105" s="92"/>
      <c r="BA105" s="92"/>
      <c r="BB105" s="92"/>
      <c r="BC105" s="92"/>
      <c r="BD105" s="92"/>
      <c r="BE105" s="92"/>
      <c r="BF105" s="92"/>
      <c r="BG105" s="92"/>
      <c r="BH105" s="92"/>
      <c r="BI105" s="92"/>
    </row>
    <row r="106" spans="2:61">
      <c r="B106" s="92"/>
      <c r="C106" s="92"/>
      <c r="D106" s="92"/>
      <c r="E106" s="92"/>
      <c r="F106" s="92"/>
      <c r="G106" s="219"/>
      <c r="H106" s="92"/>
      <c r="I106" s="92"/>
      <c r="J106" s="219"/>
      <c r="K106" s="92"/>
      <c r="L106" s="92"/>
      <c r="M106" s="92"/>
      <c r="N106" s="92"/>
      <c r="O106" s="92"/>
      <c r="P106" s="92"/>
      <c r="Q106" s="92"/>
      <c r="R106" s="92"/>
      <c r="S106" s="92"/>
      <c r="T106" s="219"/>
      <c r="U106" s="219"/>
      <c r="V106" s="219"/>
      <c r="W106" s="92"/>
      <c r="X106" s="197"/>
      <c r="Y106" s="92"/>
      <c r="Z106" s="219"/>
      <c r="AA106" s="92"/>
      <c r="AB106" s="92"/>
      <c r="AC106" s="92"/>
      <c r="AD106" s="92"/>
      <c r="AE106" s="92"/>
      <c r="AF106" s="92"/>
      <c r="AG106" s="92"/>
      <c r="AH106" s="92"/>
      <c r="AI106" s="92"/>
      <c r="AJ106" s="92"/>
      <c r="AK106" s="92"/>
      <c r="AL106" s="92"/>
      <c r="AM106" s="92"/>
      <c r="AN106" s="92"/>
      <c r="AO106" s="92"/>
      <c r="AP106" s="92"/>
      <c r="AQ106" s="92"/>
      <c r="AR106" s="92"/>
      <c r="AS106" s="92"/>
      <c r="AT106" s="92"/>
      <c r="AU106" s="92"/>
      <c r="AV106" s="92"/>
      <c r="AW106" s="92"/>
      <c r="AX106" s="92"/>
      <c r="AY106" s="92"/>
      <c r="AZ106" s="92"/>
      <c r="BA106" s="92"/>
      <c r="BB106" s="92"/>
      <c r="BC106" s="92"/>
      <c r="BD106" s="92"/>
      <c r="BE106" s="92"/>
      <c r="BF106" s="92"/>
      <c r="BG106" s="92"/>
      <c r="BH106" s="92"/>
      <c r="BI106" s="92"/>
    </row>
    <row r="107" spans="2:61">
      <c r="B107" s="92"/>
      <c r="C107" s="92"/>
      <c r="D107" s="92"/>
      <c r="E107" s="92"/>
      <c r="F107" s="92"/>
      <c r="G107" s="219"/>
      <c r="H107" s="92"/>
      <c r="I107" s="92"/>
      <c r="J107" s="219"/>
      <c r="K107" s="92"/>
      <c r="L107" s="92"/>
      <c r="M107" s="92"/>
      <c r="N107" s="92"/>
      <c r="O107" s="92"/>
      <c r="P107" s="92"/>
      <c r="Q107" s="92"/>
      <c r="R107" s="92"/>
      <c r="S107" s="92"/>
      <c r="T107" s="219"/>
      <c r="U107" s="219"/>
      <c r="V107" s="219"/>
      <c r="W107" s="92"/>
      <c r="X107" s="197"/>
      <c r="Y107" s="92"/>
      <c r="Z107" s="219"/>
      <c r="AA107" s="92"/>
      <c r="AB107" s="92"/>
      <c r="AC107" s="92"/>
      <c r="AD107" s="92"/>
      <c r="AE107" s="92"/>
      <c r="AF107" s="92"/>
      <c r="AG107" s="92"/>
      <c r="AH107" s="92"/>
      <c r="AI107" s="92"/>
      <c r="AJ107" s="92"/>
      <c r="AK107" s="92"/>
      <c r="AL107" s="92"/>
      <c r="AM107" s="92"/>
      <c r="AN107" s="92"/>
      <c r="AO107" s="92"/>
      <c r="AP107" s="92"/>
      <c r="AQ107" s="92"/>
      <c r="AR107" s="92"/>
      <c r="AS107" s="92"/>
      <c r="AT107" s="92"/>
      <c r="AU107" s="92"/>
      <c r="AV107" s="92"/>
      <c r="AW107" s="92"/>
      <c r="AX107" s="92"/>
      <c r="AY107" s="92"/>
      <c r="AZ107" s="92"/>
      <c r="BA107" s="92"/>
      <c r="BB107" s="92"/>
      <c r="BC107" s="92"/>
      <c r="BD107" s="92"/>
      <c r="BE107" s="92"/>
      <c r="BF107" s="92"/>
      <c r="BG107" s="92"/>
      <c r="BH107" s="92"/>
      <c r="BI107" s="92"/>
    </row>
    <row r="108" spans="2:61">
      <c r="B108" s="92"/>
      <c r="C108" s="92"/>
      <c r="D108" s="92"/>
      <c r="E108" s="92"/>
      <c r="F108" s="92"/>
      <c r="G108" s="219"/>
      <c r="H108" s="92"/>
      <c r="I108" s="92"/>
      <c r="J108" s="219"/>
      <c r="K108" s="92"/>
      <c r="L108" s="92"/>
      <c r="M108" s="92"/>
      <c r="N108" s="92"/>
      <c r="O108" s="92"/>
      <c r="P108" s="92"/>
      <c r="Q108" s="92"/>
      <c r="R108" s="92"/>
      <c r="S108" s="92"/>
      <c r="T108" s="219"/>
      <c r="U108" s="219"/>
      <c r="V108" s="219"/>
      <c r="W108" s="92"/>
      <c r="X108" s="197"/>
      <c r="Y108" s="92"/>
      <c r="Z108" s="219"/>
      <c r="AA108" s="92"/>
      <c r="AB108" s="92"/>
      <c r="AC108" s="92"/>
      <c r="AD108" s="92"/>
      <c r="AE108" s="92"/>
      <c r="AF108" s="92"/>
      <c r="AG108" s="92"/>
      <c r="AH108" s="92"/>
      <c r="AI108" s="92"/>
      <c r="AJ108" s="92"/>
      <c r="AK108" s="92"/>
      <c r="AL108" s="92"/>
      <c r="AM108" s="92"/>
      <c r="AN108" s="92"/>
      <c r="AO108" s="92"/>
      <c r="AP108" s="92"/>
      <c r="AQ108" s="92"/>
      <c r="AR108" s="92"/>
      <c r="AS108" s="92"/>
      <c r="AT108" s="92"/>
      <c r="AU108" s="92"/>
      <c r="AV108" s="92"/>
      <c r="AW108" s="92"/>
      <c r="AX108" s="92"/>
      <c r="AY108" s="92"/>
      <c r="AZ108" s="92"/>
      <c r="BA108" s="92"/>
      <c r="BB108" s="92"/>
      <c r="BC108" s="92"/>
      <c r="BD108" s="92"/>
      <c r="BE108" s="92"/>
      <c r="BF108" s="92"/>
      <c r="BG108" s="92"/>
      <c r="BH108" s="92"/>
      <c r="BI108" s="92"/>
    </row>
    <row r="109" spans="2:61">
      <c r="B109" s="92"/>
      <c r="C109" s="92"/>
      <c r="D109" s="92"/>
      <c r="E109" s="92"/>
      <c r="F109" s="92"/>
      <c r="G109" s="219"/>
      <c r="H109" s="92"/>
      <c r="I109" s="92"/>
      <c r="J109" s="219"/>
      <c r="K109" s="92"/>
      <c r="L109" s="92"/>
      <c r="M109" s="92"/>
      <c r="N109" s="92"/>
      <c r="O109" s="92"/>
      <c r="P109" s="92"/>
      <c r="Q109" s="92"/>
      <c r="R109" s="92"/>
      <c r="S109" s="92"/>
      <c r="T109" s="219"/>
      <c r="U109" s="219"/>
      <c r="V109" s="219"/>
      <c r="W109" s="92"/>
      <c r="X109" s="197"/>
      <c r="Y109" s="92"/>
      <c r="Z109" s="219"/>
      <c r="AA109" s="92"/>
      <c r="AB109" s="92"/>
      <c r="AC109" s="92"/>
      <c r="AD109" s="92"/>
      <c r="AE109" s="92"/>
      <c r="AF109" s="92"/>
      <c r="AG109" s="92"/>
      <c r="AH109" s="92"/>
      <c r="AI109" s="92"/>
      <c r="AJ109" s="92"/>
      <c r="AK109" s="92"/>
      <c r="AL109" s="92"/>
      <c r="AM109" s="92"/>
      <c r="AN109" s="92"/>
      <c r="AO109" s="92"/>
      <c r="AP109" s="92"/>
      <c r="AQ109" s="92"/>
      <c r="AR109" s="92"/>
      <c r="AS109" s="92"/>
      <c r="AT109" s="92"/>
      <c r="AU109" s="92"/>
      <c r="AV109" s="92"/>
      <c r="AW109" s="92"/>
      <c r="AX109" s="92"/>
      <c r="AY109" s="92"/>
      <c r="AZ109" s="92"/>
      <c r="BA109" s="92"/>
      <c r="BB109" s="92"/>
      <c r="BC109" s="92"/>
      <c r="BD109" s="92"/>
      <c r="BE109" s="92"/>
      <c r="BF109" s="92"/>
      <c r="BG109" s="92"/>
      <c r="BH109" s="92"/>
      <c r="BI109" s="92"/>
    </row>
    <row r="110" spans="2:61">
      <c r="B110" s="92"/>
      <c r="C110" s="92"/>
      <c r="D110" s="92"/>
      <c r="E110" s="92"/>
      <c r="F110" s="92"/>
      <c r="G110" s="219"/>
      <c r="H110" s="92"/>
      <c r="I110" s="92"/>
      <c r="J110" s="219"/>
      <c r="K110" s="92"/>
      <c r="L110" s="92"/>
      <c r="M110" s="92"/>
      <c r="N110" s="92"/>
      <c r="O110" s="92"/>
      <c r="P110" s="92"/>
      <c r="Q110" s="92"/>
      <c r="R110" s="92"/>
      <c r="S110" s="92"/>
      <c r="T110" s="219"/>
      <c r="U110" s="219"/>
      <c r="V110" s="219"/>
      <c r="W110" s="92"/>
      <c r="X110" s="197"/>
      <c r="Y110" s="92"/>
      <c r="Z110" s="219"/>
      <c r="AA110" s="92"/>
      <c r="AB110" s="92"/>
      <c r="AC110" s="92"/>
      <c r="AD110" s="92"/>
      <c r="AE110" s="92"/>
      <c r="AF110" s="92"/>
      <c r="AG110" s="92"/>
      <c r="AH110" s="92"/>
      <c r="AI110" s="92"/>
      <c r="AJ110" s="92"/>
      <c r="AK110" s="92"/>
      <c r="AL110" s="92"/>
      <c r="AM110" s="92"/>
      <c r="AN110" s="92"/>
      <c r="AO110" s="92"/>
      <c r="AP110" s="92"/>
      <c r="AQ110" s="92"/>
      <c r="AR110" s="92"/>
      <c r="AS110" s="92"/>
      <c r="AT110" s="92"/>
      <c r="AU110" s="92"/>
      <c r="AV110" s="92"/>
      <c r="AW110" s="92"/>
      <c r="AX110" s="92"/>
      <c r="AY110" s="92"/>
      <c r="AZ110" s="92"/>
      <c r="BA110" s="92"/>
      <c r="BB110" s="92"/>
      <c r="BC110" s="92"/>
      <c r="BD110" s="92"/>
      <c r="BE110" s="92"/>
      <c r="BF110" s="92"/>
      <c r="BG110" s="92"/>
      <c r="BH110" s="92"/>
      <c r="BI110" s="92"/>
    </row>
    <row r="111" spans="2:61">
      <c r="B111" s="92"/>
      <c r="C111" s="92"/>
      <c r="D111" s="92"/>
      <c r="E111" s="92"/>
      <c r="F111" s="92"/>
      <c r="G111" s="219"/>
      <c r="H111" s="92"/>
      <c r="I111" s="92"/>
      <c r="J111" s="219"/>
      <c r="K111" s="92"/>
      <c r="L111" s="92"/>
      <c r="M111" s="92"/>
      <c r="N111" s="92"/>
      <c r="O111" s="92"/>
      <c r="P111" s="92"/>
      <c r="Q111" s="92"/>
      <c r="R111" s="92"/>
      <c r="S111" s="92"/>
      <c r="T111" s="219"/>
      <c r="U111" s="219"/>
      <c r="V111" s="219"/>
      <c r="W111" s="92"/>
      <c r="X111" s="197"/>
      <c r="Y111" s="92"/>
      <c r="Z111" s="219"/>
      <c r="AA111" s="92"/>
      <c r="AB111" s="92"/>
      <c r="AC111" s="92"/>
      <c r="AD111" s="92"/>
      <c r="AE111" s="92"/>
      <c r="AF111" s="92"/>
      <c r="AG111" s="92"/>
      <c r="AH111" s="92"/>
      <c r="AI111" s="92"/>
      <c r="AJ111" s="92"/>
      <c r="AK111" s="92"/>
      <c r="AL111" s="92"/>
      <c r="AM111" s="92"/>
      <c r="AN111" s="92"/>
      <c r="AO111" s="92"/>
      <c r="AP111" s="92"/>
      <c r="AQ111" s="92"/>
      <c r="AR111" s="92"/>
      <c r="AS111" s="92"/>
      <c r="AT111" s="92"/>
      <c r="AU111" s="92"/>
      <c r="AV111" s="92"/>
      <c r="AW111" s="92"/>
      <c r="AX111" s="92"/>
      <c r="AY111" s="92"/>
      <c r="AZ111" s="92"/>
      <c r="BA111" s="92"/>
      <c r="BB111" s="92"/>
      <c r="BC111" s="92"/>
      <c r="BD111" s="92"/>
      <c r="BE111" s="92"/>
      <c r="BF111" s="92"/>
      <c r="BG111" s="92"/>
      <c r="BH111" s="92"/>
      <c r="BI111" s="92"/>
    </row>
    <row r="112" spans="2:61">
      <c r="B112" s="92"/>
      <c r="C112" s="92"/>
      <c r="D112" s="92"/>
      <c r="E112" s="92"/>
      <c r="F112" s="92"/>
      <c r="G112" s="219"/>
      <c r="H112" s="92"/>
      <c r="I112" s="92"/>
      <c r="J112" s="219"/>
      <c r="K112" s="92"/>
      <c r="L112" s="92"/>
      <c r="M112" s="92"/>
      <c r="N112" s="92"/>
      <c r="O112" s="92"/>
      <c r="P112" s="92"/>
      <c r="Q112" s="92"/>
      <c r="R112" s="92"/>
      <c r="S112" s="92"/>
      <c r="T112" s="219"/>
      <c r="U112" s="219"/>
      <c r="V112" s="219"/>
      <c r="W112" s="92"/>
      <c r="X112" s="197"/>
      <c r="Y112" s="92"/>
      <c r="Z112" s="219"/>
      <c r="AA112" s="92"/>
      <c r="AB112" s="92"/>
      <c r="AC112" s="92"/>
      <c r="AD112" s="92"/>
      <c r="AE112" s="92"/>
      <c r="AF112" s="92"/>
      <c r="AG112" s="92"/>
      <c r="AH112" s="92"/>
      <c r="AI112" s="92"/>
      <c r="AJ112" s="92"/>
      <c r="AK112" s="92"/>
      <c r="AL112" s="92"/>
      <c r="AM112" s="92"/>
      <c r="AN112" s="92"/>
      <c r="AO112" s="92"/>
      <c r="AP112" s="92"/>
      <c r="AQ112" s="92"/>
      <c r="AR112" s="92"/>
      <c r="AS112" s="92"/>
      <c r="AT112" s="92"/>
      <c r="AU112" s="92"/>
      <c r="AV112" s="92"/>
      <c r="AW112" s="92"/>
      <c r="AX112" s="92"/>
      <c r="AY112" s="92"/>
      <c r="AZ112" s="92"/>
      <c r="BA112" s="92"/>
      <c r="BB112" s="92"/>
      <c r="BC112" s="92"/>
      <c r="BD112" s="92"/>
      <c r="BE112" s="92"/>
      <c r="BF112" s="92"/>
      <c r="BG112" s="92"/>
      <c r="BH112" s="92"/>
      <c r="BI112" s="92"/>
    </row>
    <row r="113" spans="1:61">
      <c r="B113" s="92"/>
      <c r="C113" s="92"/>
      <c r="D113" s="92"/>
      <c r="E113" s="92"/>
      <c r="F113" s="92"/>
      <c r="G113" s="219"/>
      <c r="H113" s="92"/>
      <c r="I113" s="92"/>
      <c r="J113" s="219"/>
      <c r="K113" s="92"/>
      <c r="L113" s="92"/>
      <c r="M113" s="92"/>
      <c r="N113" s="92"/>
      <c r="O113" s="92"/>
      <c r="P113" s="92"/>
      <c r="Q113" s="92"/>
      <c r="R113" s="92"/>
      <c r="S113" s="92"/>
      <c r="T113" s="219"/>
      <c r="U113" s="219"/>
      <c r="V113" s="219"/>
      <c r="W113" s="92"/>
      <c r="X113" s="197"/>
      <c r="Y113" s="92"/>
      <c r="Z113" s="219"/>
      <c r="AA113" s="92"/>
      <c r="AB113" s="92"/>
      <c r="AC113" s="92"/>
      <c r="AD113" s="92"/>
      <c r="AE113" s="92"/>
      <c r="AF113" s="92"/>
      <c r="AG113" s="92"/>
      <c r="AH113" s="92"/>
      <c r="AI113" s="92"/>
      <c r="AJ113" s="92"/>
      <c r="AK113" s="92"/>
      <c r="AL113" s="92"/>
      <c r="AM113" s="92"/>
      <c r="AN113" s="92"/>
      <c r="AO113" s="92"/>
      <c r="AP113" s="92"/>
      <c r="AQ113" s="92"/>
      <c r="AR113" s="92"/>
      <c r="AS113" s="92"/>
      <c r="AT113" s="92"/>
      <c r="AU113" s="92"/>
      <c r="AV113" s="92"/>
      <c r="AW113" s="92"/>
      <c r="AX113" s="92"/>
      <c r="AY113" s="92"/>
      <c r="AZ113" s="92"/>
      <c r="BA113" s="92"/>
      <c r="BB113" s="92"/>
      <c r="BC113" s="92"/>
      <c r="BD113" s="92"/>
      <c r="BE113" s="92"/>
      <c r="BF113" s="92"/>
      <c r="BG113" s="92"/>
      <c r="BH113" s="92"/>
      <c r="BI113" s="92"/>
    </row>
    <row r="114" spans="1:61">
      <c r="B114" s="92"/>
      <c r="C114" s="92"/>
      <c r="D114" s="92"/>
      <c r="E114" s="92"/>
      <c r="F114" s="92"/>
      <c r="G114" s="219"/>
      <c r="H114" s="92"/>
      <c r="I114" s="92"/>
      <c r="J114" s="219"/>
      <c r="K114" s="92"/>
      <c r="L114" s="92"/>
      <c r="M114" s="92"/>
      <c r="N114" s="92"/>
      <c r="O114" s="92"/>
      <c r="P114" s="92"/>
      <c r="Q114" s="92"/>
      <c r="R114" s="92"/>
      <c r="S114" s="92"/>
      <c r="T114" s="219"/>
      <c r="U114" s="219"/>
      <c r="V114" s="219"/>
      <c r="W114" s="92"/>
      <c r="X114" s="197"/>
      <c r="Y114" s="92"/>
      <c r="Z114" s="219"/>
      <c r="AA114" s="92"/>
      <c r="AB114" s="92"/>
      <c r="AC114" s="92"/>
      <c r="AD114" s="92"/>
      <c r="AE114" s="92"/>
      <c r="AF114" s="92"/>
      <c r="AG114" s="92"/>
      <c r="AH114" s="92"/>
      <c r="AI114" s="92"/>
      <c r="AJ114" s="92"/>
      <c r="AK114" s="92"/>
      <c r="AL114" s="92"/>
      <c r="AM114" s="92"/>
      <c r="AN114" s="92"/>
      <c r="AO114" s="92"/>
      <c r="AP114" s="92"/>
      <c r="AQ114" s="92"/>
      <c r="AR114" s="92"/>
      <c r="AS114" s="92"/>
      <c r="AT114" s="92"/>
      <c r="AU114" s="92"/>
      <c r="AV114" s="92"/>
      <c r="AW114" s="92"/>
      <c r="AX114" s="92"/>
      <c r="AY114" s="92"/>
      <c r="AZ114" s="92"/>
      <c r="BA114" s="92"/>
      <c r="BB114" s="92"/>
      <c r="BC114" s="92"/>
      <c r="BD114" s="92"/>
      <c r="BE114" s="92"/>
      <c r="BF114" s="92"/>
      <c r="BG114" s="92"/>
      <c r="BH114" s="92"/>
      <c r="BI114" s="92"/>
    </row>
    <row r="115" spans="1:61">
      <c r="B115" s="92"/>
      <c r="C115" s="92"/>
      <c r="D115" s="92"/>
      <c r="E115" s="92"/>
      <c r="F115" s="92"/>
      <c r="G115" s="219"/>
      <c r="H115" s="92"/>
      <c r="I115" s="92"/>
      <c r="J115" s="219"/>
      <c r="K115" s="92"/>
      <c r="L115" s="92"/>
      <c r="M115" s="92"/>
      <c r="N115" s="92"/>
      <c r="O115" s="92"/>
      <c r="P115" s="92"/>
      <c r="Q115" s="92"/>
      <c r="R115" s="92"/>
      <c r="S115" s="92"/>
      <c r="T115" s="219"/>
      <c r="U115" s="219"/>
      <c r="V115" s="219"/>
      <c r="W115" s="92"/>
      <c r="X115" s="197"/>
      <c r="Y115" s="92"/>
      <c r="Z115" s="219"/>
      <c r="AA115" s="92"/>
      <c r="AB115" s="92"/>
      <c r="AC115" s="92"/>
      <c r="AD115" s="92"/>
      <c r="AE115" s="92"/>
      <c r="AF115" s="92"/>
      <c r="AG115" s="92"/>
      <c r="AH115" s="92"/>
      <c r="AI115" s="92"/>
      <c r="AJ115" s="92"/>
      <c r="AK115" s="92"/>
      <c r="AL115" s="92"/>
      <c r="AM115" s="92"/>
      <c r="AN115" s="92"/>
      <c r="AO115" s="92"/>
      <c r="AP115" s="92"/>
      <c r="AQ115" s="92"/>
      <c r="AR115" s="92"/>
      <c r="AS115" s="92"/>
      <c r="AT115" s="92"/>
      <c r="AU115" s="92"/>
      <c r="AV115" s="92"/>
      <c r="AW115" s="92"/>
      <c r="AX115" s="92"/>
      <c r="AY115" s="92"/>
      <c r="AZ115" s="92"/>
      <c r="BA115" s="92"/>
      <c r="BB115" s="92"/>
      <c r="BC115" s="92"/>
      <c r="BD115" s="92"/>
      <c r="BE115" s="92"/>
      <c r="BF115" s="92"/>
      <c r="BG115" s="92"/>
      <c r="BH115" s="92"/>
      <c r="BI115" s="92"/>
    </row>
    <row r="116" spans="1:61">
      <c r="B116" s="92"/>
      <c r="C116" s="92"/>
      <c r="D116" s="92"/>
      <c r="E116" s="92"/>
      <c r="F116" s="92"/>
      <c r="G116" s="219"/>
      <c r="H116" s="92"/>
      <c r="I116" s="92"/>
      <c r="J116" s="219"/>
      <c r="K116" s="92"/>
      <c r="L116" s="92"/>
      <c r="M116" s="92"/>
      <c r="N116" s="92"/>
      <c r="O116" s="92"/>
      <c r="P116" s="92"/>
      <c r="Q116" s="92"/>
      <c r="R116" s="92"/>
      <c r="S116" s="92"/>
      <c r="T116" s="219"/>
      <c r="U116" s="219"/>
      <c r="V116" s="219"/>
      <c r="W116" s="92"/>
      <c r="X116" s="197"/>
      <c r="Y116" s="92"/>
      <c r="Z116" s="219"/>
      <c r="AA116" s="92"/>
      <c r="AB116" s="92"/>
      <c r="AC116" s="92"/>
      <c r="AD116" s="92"/>
      <c r="AE116" s="92"/>
      <c r="AF116" s="92"/>
      <c r="AG116" s="92"/>
      <c r="AH116" s="92"/>
      <c r="AI116" s="92"/>
      <c r="AJ116" s="92"/>
      <c r="AK116" s="92"/>
      <c r="AL116" s="92"/>
      <c r="AM116" s="92"/>
      <c r="AN116" s="92"/>
      <c r="AO116" s="92"/>
      <c r="AP116" s="92"/>
      <c r="AQ116" s="92"/>
      <c r="AR116" s="92"/>
      <c r="AS116" s="92"/>
      <c r="AT116" s="92"/>
      <c r="AU116" s="92"/>
      <c r="AV116" s="92"/>
      <c r="AW116" s="92"/>
      <c r="AX116" s="92"/>
      <c r="AY116" s="92"/>
      <c r="AZ116" s="92"/>
      <c r="BA116" s="92"/>
      <c r="BB116" s="92"/>
      <c r="BC116" s="92"/>
      <c r="BD116" s="92"/>
      <c r="BE116" s="92"/>
      <c r="BF116" s="92"/>
      <c r="BG116" s="92"/>
      <c r="BH116" s="92"/>
      <c r="BI116" s="92"/>
    </row>
    <row r="117" spans="1:61">
      <c r="B117" s="92"/>
      <c r="C117" s="92"/>
      <c r="D117" s="92"/>
      <c r="E117" s="92"/>
      <c r="F117" s="92"/>
      <c r="G117" s="219"/>
      <c r="H117" s="92"/>
      <c r="I117" s="92"/>
      <c r="J117" s="219"/>
      <c r="K117" s="92"/>
      <c r="L117" s="92"/>
      <c r="M117" s="92"/>
      <c r="N117" s="92"/>
      <c r="O117" s="92"/>
      <c r="P117" s="92"/>
      <c r="Q117" s="92"/>
      <c r="R117" s="92"/>
      <c r="S117" s="92"/>
      <c r="T117" s="219"/>
      <c r="U117" s="219"/>
      <c r="V117" s="219"/>
      <c r="W117" s="92"/>
      <c r="X117" s="197"/>
      <c r="Y117" s="92"/>
      <c r="Z117" s="219"/>
      <c r="AA117" s="92"/>
      <c r="AB117" s="92"/>
      <c r="AC117" s="92"/>
      <c r="AD117" s="92"/>
      <c r="AE117" s="92"/>
      <c r="AF117" s="92"/>
      <c r="AG117" s="92"/>
      <c r="AH117" s="92"/>
      <c r="AI117" s="92"/>
      <c r="AJ117" s="92"/>
      <c r="AK117" s="92"/>
      <c r="AL117" s="92"/>
      <c r="AM117" s="92"/>
      <c r="AN117" s="92"/>
      <c r="AO117" s="92"/>
      <c r="AP117" s="92"/>
      <c r="AQ117" s="92"/>
      <c r="AR117" s="92"/>
      <c r="AS117" s="92"/>
      <c r="AT117" s="92"/>
      <c r="AU117" s="92"/>
      <c r="AV117" s="92"/>
      <c r="AW117" s="92"/>
      <c r="AX117" s="92"/>
      <c r="AY117" s="92"/>
      <c r="AZ117" s="92"/>
      <c r="BA117" s="92"/>
      <c r="BB117" s="92"/>
      <c r="BC117" s="92"/>
      <c r="BD117" s="92"/>
      <c r="BE117" s="92"/>
      <c r="BF117" s="92"/>
      <c r="BG117" s="92"/>
      <c r="BH117" s="92"/>
      <c r="BI117" s="92"/>
    </row>
    <row r="118" spans="1:61">
      <c r="B118" s="92"/>
      <c r="C118" s="92"/>
      <c r="D118" s="92"/>
      <c r="E118" s="92"/>
      <c r="F118" s="92"/>
      <c r="G118" s="219"/>
      <c r="H118" s="92"/>
      <c r="I118" s="92"/>
      <c r="J118" s="219"/>
      <c r="K118" s="92"/>
      <c r="L118" s="92"/>
      <c r="M118" s="92"/>
      <c r="N118" s="92"/>
      <c r="O118" s="92"/>
      <c r="P118" s="92"/>
      <c r="Q118" s="92"/>
      <c r="R118" s="92"/>
      <c r="S118" s="92"/>
      <c r="T118" s="219"/>
      <c r="U118" s="219"/>
      <c r="V118" s="219"/>
      <c r="W118" s="92"/>
      <c r="X118" s="197"/>
      <c r="Y118" s="92"/>
      <c r="Z118" s="219"/>
      <c r="AA118" s="92"/>
      <c r="AB118" s="92"/>
      <c r="AC118" s="92"/>
      <c r="AD118" s="92"/>
      <c r="AE118" s="92"/>
      <c r="AF118" s="92"/>
      <c r="AG118" s="92"/>
      <c r="AH118" s="92"/>
      <c r="AI118" s="92"/>
      <c r="AJ118" s="92"/>
      <c r="AK118" s="92"/>
      <c r="AL118" s="92"/>
      <c r="AM118" s="92"/>
      <c r="AN118" s="92"/>
      <c r="AO118" s="92"/>
      <c r="AP118" s="92"/>
      <c r="AQ118" s="92"/>
      <c r="AR118" s="92"/>
      <c r="AS118" s="92"/>
      <c r="AT118" s="92"/>
      <c r="AU118" s="92"/>
      <c r="AV118" s="92"/>
      <c r="AW118" s="92"/>
      <c r="AX118" s="92"/>
      <c r="AY118" s="92"/>
      <c r="AZ118" s="92"/>
      <c r="BA118" s="92"/>
      <c r="BB118" s="92"/>
      <c r="BC118" s="92"/>
      <c r="BD118" s="92"/>
      <c r="BE118" s="92"/>
      <c r="BF118" s="92"/>
      <c r="BG118" s="92"/>
      <c r="BH118" s="92"/>
      <c r="BI118" s="92"/>
    </row>
    <row r="119" spans="1:61">
      <c r="B119" s="92"/>
      <c r="C119" s="92"/>
      <c r="D119" s="92"/>
      <c r="E119" s="92"/>
      <c r="F119" s="92"/>
      <c r="G119" s="219"/>
      <c r="H119" s="92"/>
      <c r="I119" s="92"/>
      <c r="J119" s="219"/>
      <c r="K119" s="92"/>
      <c r="L119" s="92"/>
      <c r="M119" s="92"/>
      <c r="N119" s="92"/>
      <c r="O119" s="92"/>
      <c r="P119" s="92"/>
      <c r="Q119" s="92"/>
      <c r="R119" s="92"/>
      <c r="S119" s="92"/>
      <c r="T119" s="219"/>
      <c r="U119" s="219"/>
      <c r="V119" s="219"/>
      <c r="W119" s="92"/>
      <c r="X119" s="197"/>
      <c r="Y119" s="92"/>
      <c r="Z119" s="219"/>
      <c r="AA119" s="92"/>
      <c r="AB119" s="92"/>
      <c r="AC119" s="92"/>
      <c r="AD119" s="92"/>
      <c r="AE119" s="92"/>
      <c r="AF119" s="92"/>
      <c r="AG119" s="92"/>
      <c r="AH119" s="92"/>
      <c r="AI119" s="92"/>
      <c r="AJ119" s="92"/>
      <c r="AK119" s="92"/>
      <c r="AL119" s="92"/>
      <c r="AM119" s="92"/>
      <c r="AN119" s="92"/>
      <c r="AO119" s="92"/>
      <c r="AP119" s="92"/>
      <c r="AQ119" s="92"/>
      <c r="AR119" s="92"/>
      <c r="AS119" s="92"/>
      <c r="AT119" s="92"/>
      <c r="AU119" s="92"/>
      <c r="AV119" s="92"/>
      <c r="AW119" s="92"/>
      <c r="AX119" s="92"/>
      <c r="AY119" s="92"/>
      <c r="AZ119" s="92"/>
      <c r="BA119" s="92"/>
      <c r="BB119" s="92"/>
      <c r="BC119" s="92"/>
      <c r="BD119" s="92"/>
      <c r="BE119" s="92"/>
      <c r="BF119" s="92"/>
      <c r="BG119" s="92"/>
      <c r="BH119" s="92"/>
      <c r="BI119" s="92"/>
    </row>
    <row r="120" spans="1:61">
      <c r="B120" s="92"/>
      <c r="C120" s="92"/>
      <c r="D120" s="92"/>
      <c r="E120" s="92"/>
      <c r="F120" s="92"/>
      <c r="G120" s="219"/>
      <c r="H120" s="92"/>
      <c r="I120" s="92"/>
      <c r="J120" s="219"/>
      <c r="K120" s="92"/>
      <c r="L120" s="92"/>
      <c r="M120" s="92"/>
      <c r="N120" s="92"/>
      <c r="O120" s="92"/>
      <c r="P120" s="92"/>
      <c r="Q120" s="92"/>
      <c r="R120" s="92"/>
      <c r="S120" s="92"/>
      <c r="T120" s="219"/>
      <c r="U120" s="219"/>
      <c r="V120" s="219"/>
      <c r="W120" s="92"/>
      <c r="X120" s="197"/>
      <c r="Y120" s="92"/>
      <c r="Z120" s="219"/>
      <c r="AA120" s="92"/>
      <c r="AB120" s="92"/>
      <c r="AC120" s="92"/>
      <c r="AD120" s="92"/>
      <c r="AE120" s="92"/>
      <c r="AF120" s="92"/>
      <c r="AG120" s="92"/>
      <c r="AH120" s="92"/>
      <c r="AI120" s="92"/>
      <c r="AJ120" s="92"/>
      <c r="AK120" s="92"/>
      <c r="AL120" s="92"/>
      <c r="AM120" s="92"/>
      <c r="AN120" s="92"/>
      <c r="AO120" s="92"/>
      <c r="AP120" s="92"/>
      <c r="AQ120" s="92"/>
      <c r="AR120" s="92"/>
      <c r="AS120" s="92"/>
      <c r="AT120" s="92"/>
      <c r="AU120" s="92"/>
      <c r="AV120" s="92"/>
      <c r="AW120" s="92"/>
      <c r="AX120" s="92"/>
      <c r="AY120" s="92"/>
      <c r="AZ120" s="92"/>
      <c r="BA120" s="92"/>
      <c r="BB120" s="92"/>
      <c r="BC120" s="92"/>
      <c r="BD120" s="92"/>
      <c r="BE120" s="92"/>
      <c r="BF120" s="92"/>
      <c r="BG120" s="92"/>
      <c r="BH120" s="92"/>
      <c r="BI120" s="92"/>
    </row>
    <row r="121" spans="1:61">
      <c r="B121" s="92"/>
      <c r="C121" s="92"/>
      <c r="D121" s="92"/>
      <c r="E121" s="92"/>
      <c r="F121" s="92"/>
      <c r="G121" s="219"/>
      <c r="H121" s="92"/>
      <c r="I121" s="92"/>
      <c r="J121" s="219"/>
      <c r="K121" s="92"/>
      <c r="L121" s="92"/>
      <c r="M121" s="92"/>
      <c r="N121" s="92"/>
      <c r="O121" s="92"/>
      <c r="P121" s="92"/>
      <c r="Q121" s="92"/>
      <c r="R121" s="92"/>
      <c r="S121" s="92"/>
      <c r="T121" s="219"/>
      <c r="U121" s="219"/>
      <c r="V121" s="219"/>
      <c r="W121" s="92"/>
      <c r="X121" s="197"/>
      <c r="Y121" s="92"/>
      <c r="Z121" s="219"/>
      <c r="AA121" s="92"/>
      <c r="AB121" s="92"/>
      <c r="AC121" s="92"/>
      <c r="AD121" s="92"/>
      <c r="AE121" s="92"/>
      <c r="AF121" s="92"/>
      <c r="AG121" s="92"/>
      <c r="AH121" s="92"/>
      <c r="AI121" s="92"/>
      <c r="AJ121" s="92"/>
      <c r="AK121" s="92"/>
      <c r="AL121" s="92"/>
      <c r="AM121" s="92"/>
      <c r="AN121" s="92"/>
      <c r="AO121" s="92"/>
      <c r="AP121" s="92"/>
      <c r="AQ121" s="92"/>
      <c r="AR121" s="92"/>
      <c r="AS121" s="92"/>
      <c r="AT121" s="92"/>
      <c r="AU121" s="92"/>
      <c r="AV121" s="92"/>
      <c r="AW121" s="92"/>
      <c r="AX121" s="92"/>
      <c r="AY121" s="92"/>
      <c r="AZ121" s="92"/>
      <c r="BA121" s="92"/>
      <c r="BB121" s="92"/>
      <c r="BC121" s="92"/>
      <c r="BD121" s="92"/>
      <c r="BE121" s="92"/>
      <c r="BF121" s="92"/>
      <c r="BG121" s="92"/>
      <c r="BH121" s="92"/>
      <c r="BI121" s="92"/>
    </row>
    <row r="122" spans="1:61">
      <c r="B122" s="92"/>
      <c r="C122" s="92"/>
      <c r="D122" s="92"/>
      <c r="E122" s="92"/>
      <c r="F122" s="92"/>
      <c r="G122" s="219"/>
      <c r="H122" s="92"/>
      <c r="I122" s="92"/>
      <c r="J122" s="219"/>
      <c r="K122" s="92"/>
      <c r="L122" s="92"/>
      <c r="M122" s="92"/>
      <c r="N122" s="92"/>
      <c r="O122" s="92"/>
      <c r="P122" s="92"/>
      <c r="Q122" s="92"/>
      <c r="R122" s="92"/>
      <c r="S122" s="92"/>
      <c r="T122" s="219"/>
      <c r="U122" s="219"/>
      <c r="V122" s="219"/>
      <c r="W122" s="92"/>
      <c r="X122" s="197"/>
      <c r="Y122" s="92"/>
      <c r="Z122" s="219"/>
      <c r="AA122" s="92"/>
      <c r="AB122" s="92"/>
      <c r="AC122" s="92"/>
      <c r="AD122" s="92"/>
      <c r="AE122" s="92"/>
      <c r="AF122" s="92"/>
      <c r="AG122" s="92"/>
      <c r="AH122" s="92"/>
      <c r="AI122" s="92"/>
      <c r="AJ122" s="92"/>
      <c r="AK122" s="92"/>
      <c r="AL122" s="92"/>
      <c r="AM122" s="92"/>
      <c r="AN122" s="92"/>
      <c r="AO122" s="92"/>
      <c r="AP122" s="92"/>
      <c r="AQ122" s="92"/>
      <c r="AR122" s="92"/>
      <c r="AS122" s="92"/>
      <c r="AT122" s="92"/>
      <c r="AU122" s="92"/>
      <c r="AV122" s="92"/>
      <c r="AW122" s="92"/>
      <c r="AX122" s="92"/>
      <c r="AY122" s="92"/>
      <c r="AZ122" s="92"/>
      <c r="BA122" s="92"/>
      <c r="BB122" s="92"/>
      <c r="BC122" s="92"/>
      <c r="BD122" s="92"/>
      <c r="BE122" s="92"/>
      <c r="BF122" s="92"/>
      <c r="BG122" s="92"/>
      <c r="BH122" s="92"/>
      <c r="BI122" s="92"/>
    </row>
    <row r="123" spans="1:61">
      <c r="B123" s="92"/>
      <c r="C123" s="92"/>
      <c r="D123" s="92"/>
      <c r="E123" s="92"/>
      <c r="F123" s="92"/>
      <c r="G123" s="219"/>
      <c r="H123" s="92"/>
      <c r="I123" s="92"/>
      <c r="J123" s="219"/>
      <c r="K123" s="92"/>
      <c r="L123" s="92"/>
      <c r="M123" s="92"/>
      <c r="N123" s="92"/>
      <c r="O123" s="92"/>
      <c r="P123" s="92"/>
      <c r="Q123" s="92"/>
      <c r="R123" s="92"/>
      <c r="S123" s="92"/>
      <c r="T123" s="219"/>
      <c r="U123" s="219"/>
      <c r="V123" s="219"/>
      <c r="W123" s="92"/>
      <c r="X123" s="197"/>
      <c r="Y123" s="92"/>
      <c r="Z123" s="219"/>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row>
    <row r="124" spans="1:61">
      <c r="B124" s="92"/>
      <c r="C124" s="92"/>
      <c r="D124" s="92"/>
      <c r="E124" s="92"/>
      <c r="F124" s="92"/>
      <c r="G124" s="219"/>
      <c r="H124" s="92"/>
      <c r="I124" s="92"/>
      <c r="J124" s="219"/>
      <c r="K124" s="92"/>
      <c r="L124" s="92"/>
      <c r="M124" s="92"/>
      <c r="N124" s="92"/>
      <c r="O124" s="92"/>
      <c r="P124" s="92"/>
      <c r="Q124" s="92"/>
      <c r="R124" s="92"/>
      <c r="S124" s="92"/>
      <c r="T124" s="219"/>
      <c r="U124" s="219"/>
      <c r="V124" s="219"/>
      <c r="W124" s="92"/>
      <c r="X124" s="197"/>
      <c r="Y124" s="92"/>
      <c r="Z124" s="219"/>
      <c r="AA124" s="92"/>
      <c r="AB124" s="92"/>
      <c r="AC124" s="92"/>
      <c r="AD124" s="92"/>
      <c r="AE124" s="92"/>
      <c r="AF124" s="92"/>
      <c r="AG124" s="92"/>
      <c r="AH124" s="92"/>
      <c r="AI124" s="92"/>
      <c r="AJ124" s="92"/>
      <c r="AK124" s="92"/>
      <c r="AL124" s="92"/>
      <c r="AM124" s="92"/>
      <c r="AN124" s="92"/>
      <c r="AO124" s="92"/>
      <c r="AP124" s="92"/>
      <c r="AQ124" s="92"/>
      <c r="AR124" s="92"/>
      <c r="AS124" s="92"/>
      <c r="AT124" s="92"/>
      <c r="AU124" s="92"/>
      <c r="AV124" s="92"/>
      <c r="AW124" s="92"/>
      <c r="AX124" s="92"/>
      <c r="AY124" s="92"/>
      <c r="AZ124" s="92"/>
      <c r="BA124" s="92"/>
      <c r="BB124" s="92"/>
      <c r="BC124" s="92"/>
      <c r="BD124" s="92"/>
      <c r="BE124" s="92"/>
      <c r="BF124" s="92"/>
      <c r="BG124" s="92"/>
      <c r="BH124" s="92"/>
      <c r="BI124" s="92"/>
    </row>
    <row r="125" spans="1:61">
      <c r="B125" s="92"/>
      <c r="C125" s="92"/>
      <c r="D125" s="92"/>
      <c r="E125" s="92"/>
      <c r="F125" s="92"/>
      <c r="G125" s="219"/>
      <c r="H125" s="92"/>
      <c r="I125" s="92"/>
      <c r="J125" s="219"/>
      <c r="K125" s="92"/>
      <c r="L125" s="92"/>
      <c r="M125" s="92"/>
      <c r="N125" s="92"/>
      <c r="O125" s="92"/>
      <c r="P125" s="92"/>
      <c r="Q125" s="92"/>
      <c r="R125" s="92"/>
      <c r="S125" s="92"/>
      <c r="T125" s="219"/>
      <c r="U125" s="219"/>
      <c r="V125" s="219"/>
      <c r="W125" s="92"/>
      <c r="X125" s="197"/>
      <c r="Y125" s="92"/>
      <c r="Z125" s="219"/>
      <c r="AA125" s="92"/>
      <c r="AB125" s="92"/>
      <c r="AC125" s="92"/>
      <c r="AD125" s="92"/>
      <c r="AE125" s="92"/>
      <c r="AF125" s="92"/>
      <c r="AG125" s="92"/>
      <c r="AH125" s="92"/>
      <c r="AI125" s="92"/>
      <c r="AJ125" s="92"/>
      <c r="AK125" s="92"/>
      <c r="AL125" s="92"/>
      <c r="AM125" s="92"/>
      <c r="AN125" s="92"/>
      <c r="AO125" s="92"/>
      <c r="AP125" s="92"/>
      <c r="AQ125" s="92"/>
      <c r="AR125" s="92"/>
      <c r="AS125" s="92"/>
      <c r="AT125" s="92"/>
      <c r="AU125" s="92"/>
      <c r="AV125" s="92"/>
      <c r="AW125" s="92"/>
      <c r="AX125" s="92"/>
      <c r="AY125" s="92"/>
      <c r="AZ125" s="92"/>
      <c r="BA125" s="92"/>
      <c r="BB125" s="92"/>
      <c r="BC125" s="92"/>
      <c r="BD125" s="92"/>
      <c r="BE125" s="92"/>
      <c r="BF125" s="92"/>
      <c r="BG125" s="92"/>
      <c r="BH125" s="92"/>
      <c r="BI125" s="92"/>
    </row>
    <row r="126" spans="1:61" s="1" customFormat="1">
      <c r="A126" s="15"/>
      <c r="B126" s="92"/>
      <c r="C126" s="92"/>
      <c r="D126" s="92"/>
      <c r="E126" s="92"/>
      <c r="F126" s="92"/>
      <c r="G126" s="219"/>
      <c r="H126" s="92"/>
      <c r="I126" s="92"/>
      <c r="J126" s="219"/>
      <c r="K126" s="92"/>
      <c r="L126" s="92"/>
      <c r="M126" s="92"/>
      <c r="N126" s="92"/>
      <c r="O126" s="92"/>
      <c r="P126" s="92"/>
      <c r="Q126" s="92"/>
      <c r="R126" s="92"/>
      <c r="S126" s="92"/>
      <c r="T126" s="219"/>
      <c r="U126" s="219"/>
      <c r="V126" s="219"/>
      <c r="W126" s="92"/>
      <c r="X126" s="197"/>
      <c r="Y126" s="92"/>
      <c r="Z126" s="219"/>
      <c r="AA126" s="92"/>
      <c r="AB126" s="92"/>
      <c r="AC126" s="92"/>
      <c r="AD126" s="92"/>
      <c r="AE126" s="92"/>
      <c r="AF126" s="92"/>
      <c r="AG126" s="92"/>
      <c r="AH126" s="92"/>
      <c r="AI126" s="92"/>
      <c r="AJ126" s="92"/>
      <c r="AK126" s="92"/>
      <c r="AL126" s="92"/>
      <c r="AM126" s="92"/>
      <c r="AN126" s="92"/>
      <c r="AO126" s="92"/>
      <c r="AP126" s="92"/>
      <c r="AQ126" s="92"/>
      <c r="AR126" s="92"/>
      <c r="AS126" s="92"/>
      <c r="AT126" s="92"/>
      <c r="AU126" s="92"/>
      <c r="AV126" s="92"/>
      <c r="AW126" s="92"/>
      <c r="AX126" s="92"/>
      <c r="AY126" s="92"/>
      <c r="AZ126" s="92"/>
      <c r="BA126" s="92"/>
      <c r="BB126" s="92"/>
      <c r="BC126" s="92"/>
      <c r="BD126" s="92"/>
      <c r="BE126" s="92"/>
      <c r="BF126" s="92"/>
      <c r="BG126" s="92"/>
      <c r="BH126" s="92"/>
      <c r="BI126" s="92"/>
    </row>
    <row r="127" spans="1:61">
      <c r="B127" s="92"/>
      <c r="C127" s="92"/>
      <c r="D127" s="92"/>
      <c r="E127" s="92"/>
      <c r="F127" s="92"/>
      <c r="G127" s="219"/>
      <c r="H127" s="92"/>
      <c r="I127" s="92"/>
      <c r="J127" s="219"/>
      <c r="K127" s="92"/>
      <c r="L127" s="92"/>
      <c r="M127" s="92"/>
      <c r="N127" s="92"/>
      <c r="O127" s="92"/>
      <c r="P127" s="92"/>
      <c r="Q127" s="92"/>
      <c r="R127" s="92"/>
      <c r="S127" s="92"/>
      <c r="T127" s="219"/>
      <c r="U127" s="219"/>
      <c r="V127" s="219"/>
      <c r="W127" s="92"/>
      <c r="X127" s="197"/>
      <c r="Y127" s="92"/>
      <c r="Z127" s="219"/>
      <c r="AA127" s="92"/>
      <c r="AB127" s="92"/>
      <c r="AC127" s="92"/>
      <c r="AD127" s="92"/>
      <c r="AE127" s="92"/>
      <c r="AF127" s="92"/>
      <c r="AG127" s="92"/>
      <c r="AH127" s="92"/>
      <c r="AI127" s="92"/>
      <c r="AJ127" s="92"/>
      <c r="AK127" s="92"/>
      <c r="AL127" s="92"/>
      <c r="AM127" s="92"/>
      <c r="AN127" s="92"/>
      <c r="AO127" s="92"/>
      <c r="AP127" s="92"/>
      <c r="AQ127" s="92"/>
      <c r="AR127" s="92"/>
      <c r="AS127" s="92"/>
      <c r="AT127" s="92"/>
      <c r="AU127" s="92"/>
      <c r="AV127" s="92"/>
      <c r="AW127" s="92"/>
      <c r="AX127" s="92"/>
      <c r="AY127" s="92"/>
      <c r="AZ127" s="92"/>
      <c r="BA127" s="92"/>
      <c r="BB127" s="92"/>
      <c r="BC127" s="92"/>
      <c r="BD127" s="92"/>
      <c r="BE127" s="92"/>
      <c r="BF127" s="92"/>
      <c r="BG127" s="92"/>
      <c r="BH127" s="92"/>
      <c r="BI127" s="92"/>
    </row>
    <row r="128" spans="1:61">
      <c r="B128" s="92"/>
      <c r="C128" s="92"/>
      <c r="D128" s="92"/>
      <c r="E128" s="92"/>
      <c r="F128" s="92"/>
      <c r="G128" s="219"/>
      <c r="H128" s="92"/>
      <c r="I128" s="92"/>
      <c r="J128" s="219"/>
      <c r="K128" s="92"/>
      <c r="L128" s="92"/>
      <c r="M128" s="92"/>
      <c r="N128" s="92"/>
      <c r="O128" s="92"/>
      <c r="P128" s="92"/>
      <c r="Q128" s="92"/>
      <c r="R128" s="92"/>
      <c r="S128" s="92"/>
      <c r="T128" s="219"/>
      <c r="U128" s="219"/>
      <c r="V128" s="219"/>
      <c r="W128" s="92"/>
      <c r="X128" s="197"/>
      <c r="Y128" s="92"/>
      <c r="Z128" s="219"/>
      <c r="AA128" s="92"/>
      <c r="AB128" s="92"/>
      <c r="AC128" s="92"/>
      <c r="AD128" s="92"/>
      <c r="AE128" s="92"/>
      <c r="AF128" s="92"/>
      <c r="AG128" s="92"/>
      <c r="AH128" s="92"/>
      <c r="AI128" s="92"/>
      <c r="AJ128" s="92"/>
      <c r="AK128" s="92"/>
      <c r="AL128" s="92"/>
      <c r="AM128" s="92"/>
      <c r="AN128" s="92"/>
      <c r="AO128" s="92"/>
      <c r="AP128" s="92"/>
      <c r="AQ128" s="92"/>
      <c r="AR128" s="92"/>
      <c r="AS128" s="92"/>
      <c r="AT128" s="92"/>
      <c r="AU128" s="92"/>
      <c r="AV128" s="92"/>
      <c r="AW128" s="92"/>
      <c r="AX128" s="92"/>
      <c r="AY128" s="92"/>
      <c r="AZ128" s="92"/>
      <c r="BA128" s="92"/>
      <c r="BB128" s="92"/>
      <c r="BC128" s="92"/>
      <c r="BD128" s="92"/>
      <c r="BE128" s="92"/>
      <c r="BF128" s="92"/>
      <c r="BG128" s="92"/>
      <c r="BH128" s="92"/>
      <c r="BI128" s="92"/>
    </row>
    <row r="129" spans="1:61">
      <c r="B129" s="92"/>
      <c r="C129" s="92"/>
      <c r="D129" s="92"/>
      <c r="E129" s="92"/>
      <c r="F129" s="92"/>
      <c r="G129" s="219"/>
      <c r="H129" s="92"/>
      <c r="I129" s="92"/>
      <c r="J129" s="219"/>
      <c r="K129" s="92"/>
      <c r="L129" s="92"/>
      <c r="M129" s="92"/>
      <c r="N129" s="92"/>
      <c r="O129" s="92"/>
      <c r="P129" s="92"/>
      <c r="Q129" s="92"/>
      <c r="R129" s="92"/>
      <c r="S129" s="92"/>
      <c r="T129" s="219"/>
      <c r="U129" s="219"/>
      <c r="V129" s="219"/>
      <c r="W129" s="92"/>
      <c r="X129" s="197"/>
      <c r="Y129" s="92"/>
      <c r="Z129" s="219"/>
      <c r="AA129" s="92"/>
      <c r="AB129" s="92"/>
      <c r="AC129" s="92"/>
      <c r="AD129" s="92"/>
      <c r="AE129" s="92"/>
      <c r="AF129" s="92"/>
      <c r="AG129" s="92"/>
      <c r="AH129" s="92"/>
      <c r="AI129" s="92"/>
      <c r="AJ129" s="92"/>
      <c r="AK129" s="92"/>
      <c r="AL129" s="92"/>
      <c r="AM129" s="92"/>
      <c r="AN129" s="92"/>
      <c r="AO129" s="92"/>
      <c r="AP129" s="92"/>
      <c r="AQ129" s="92"/>
      <c r="AR129" s="92"/>
      <c r="AS129" s="92"/>
      <c r="AT129" s="92"/>
      <c r="AU129" s="92"/>
      <c r="AV129" s="92"/>
      <c r="AW129" s="92"/>
      <c r="AX129" s="92"/>
      <c r="AY129" s="92"/>
      <c r="AZ129" s="92"/>
      <c r="BA129" s="92"/>
      <c r="BB129" s="92"/>
      <c r="BC129" s="92"/>
      <c r="BD129" s="92"/>
      <c r="BE129" s="92"/>
      <c r="BF129" s="92"/>
      <c r="BG129" s="92"/>
      <c r="BH129" s="92"/>
      <c r="BI129" s="92"/>
    </row>
    <row r="130" spans="1:61">
      <c r="B130" s="92"/>
      <c r="C130" s="92"/>
      <c r="D130" s="92"/>
      <c r="E130" s="92"/>
      <c r="F130" s="92"/>
      <c r="G130" s="219"/>
      <c r="H130" s="92"/>
      <c r="I130" s="92"/>
      <c r="J130" s="219"/>
      <c r="K130" s="92"/>
      <c r="L130" s="92"/>
      <c r="M130" s="92"/>
      <c r="N130" s="92"/>
      <c r="O130" s="92"/>
      <c r="P130" s="92"/>
      <c r="Q130" s="92"/>
      <c r="R130" s="92"/>
      <c r="S130" s="92"/>
      <c r="T130" s="219"/>
      <c r="U130" s="219"/>
      <c r="V130" s="219"/>
      <c r="W130" s="92"/>
      <c r="X130" s="197"/>
      <c r="Y130" s="92"/>
      <c r="Z130" s="219"/>
      <c r="AA130" s="92"/>
      <c r="AB130" s="92"/>
      <c r="AC130" s="92"/>
      <c r="AD130" s="92"/>
      <c r="AE130" s="92"/>
      <c r="AF130" s="92"/>
      <c r="AG130" s="92"/>
      <c r="AH130" s="92"/>
      <c r="AI130" s="92"/>
      <c r="AJ130" s="92"/>
      <c r="AK130" s="92"/>
      <c r="AL130" s="92"/>
      <c r="AM130" s="92"/>
      <c r="AN130" s="92"/>
      <c r="AO130" s="92"/>
      <c r="AP130" s="92"/>
      <c r="AQ130" s="92"/>
      <c r="AR130" s="92"/>
      <c r="AS130" s="92"/>
      <c r="AT130" s="92"/>
      <c r="AU130" s="92"/>
      <c r="AV130" s="92"/>
      <c r="AW130" s="92"/>
      <c r="AX130" s="92"/>
      <c r="AY130" s="92"/>
      <c r="AZ130" s="92"/>
      <c r="BA130" s="92"/>
      <c r="BB130" s="92"/>
      <c r="BC130" s="92"/>
      <c r="BD130" s="92"/>
      <c r="BE130" s="92"/>
      <c r="BF130" s="92"/>
      <c r="BG130" s="92"/>
      <c r="BH130" s="92"/>
      <c r="BI130" s="92"/>
    </row>
    <row r="131" spans="1:61">
      <c r="B131" s="92"/>
      <c r="C131" s="92"/>
      <c r="D131" s="92"/>
      <c r="E131" s="92"/>
      <c r="F131" s="92"/>
      <c r="G131" s="219"/>
      <c r="H131" s="92"/>
      <c r="I131" s="92"/>
      <c r="J131" s="219"/>
      <c r="K131" s="92"/>
      <c r="L131" s="92"/>
      <c r="M131" s="92"/>
      <c r="N131" s="92"/>
      <c r="O131" s="92"/>
      <c r="P131" s="92"/>
      <c r="Q131" s="92"/>
      <c r="R131" s="92"/>
      <c r="S131" s="92"/>
      <c r="T131" s="219"/>
      <c r="U131" s="219"/>
      <c r="V131" s="219"/>
      <c r="W131" s="92"/>
      <c r="X131" s="197"/>
      <c r="Y131" s="92"/>
      <c r="Z131" s="219"/>
      <c r="AA131" s="92"/>
      <c r="AB131" s="92"/>
      <c r="AC131" s="92"/>
      <c r="AD131" s="92"/>
      <c r="AE131" s="92"/>
      <c r="AF131" s="92"/>
      <c r="AG131" s="92"/>
      <c r="AH131" s="92"/>
      <c r="AI131" s="92"/>
      <c r="AJ131" s="92"/>
      <c r="AK131" s="92"/>
      <c r="AL131" s="92"/>
      <c r="AM131" s="92"/>
      <c r="AN131" s="92"/>
      <c r="AO131" s="92"/>
      <c r="AP131" s="92"/>
      <c r="AQ131" s="92"/>
      <c r="AR131" s="92"/>
      <c r="AS131" s="92"/>
      <c r="AT131" s="92"/>
      <c r="AU131" s="92"/>
      <c r="AV131" s="92"/>
      <c r="AW131" s="92"/>
      <c r="AX131" s="92"/>
      <c r="AY131" s="92"/>
      <c r="AZ131" s="92"/>
      <c r="BA131" s="92"/>
      <c r="BB131" s="92"/>
      <c r="BC131" s="92"/>
      <c r="BD131" s="92"/>
      <c r="BE131" s="92"/>
      <c r="BF131" s="92"/>
      <c r="BG131" s="92"/>
      <c r="BH131" s="92"/>
      <c r="BI131" s="92"/>
    </row>
    <row r="132" spans="1:61">
      <c r="B132" s="92"/>
      <c r="C132" s="92"/>
      <c r="D132" s="92"/>
      <c r="E132" s="92"/>
      <c r="F132" s="92"/>
      <c r="G132" s="219"/>
      <c r="H132" s="92"/>
      <c r="I132" s="92"/>
      <c r="J132" s="219"/>
      <c r="K132" s="92"/>
      <c r="L132" s="92"/>
      <c r="M132" s="92"/>
      <c r="N132" s="92"/>
      <c r="O132" s="92"/>
      <c r="P132" s="92"/>
      <c r="Q132" s="92"/>
      <c r="R132" s="92"/>
      <c r="S132" s="92"/>
      <c r="T132" s="219"/>
      <c r="U132" s="219"/>
      <c r="V132" s="219"/>
      <c r="W132" s="92"/>
      <c r="X132" s="197"/>
      <c r="Y132" s="92"/>
      <c r="Z132" s="219"/>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row>
    <row r="133" spans="1:61">
      <c r="B133" s="92"/>
      <c r="C133" s="92"/>
      <c r="D133" s="92"/>
      <c r="E133" s="92"/>
      <c r="F133" s="92"/>
      <c r="G133" s="219"/>
      <c r="H133" s="92"/>
      <c r="I133" s="92"/>
      <c r="J133" s="219"/>
      <c r="K133" s="92"/>
      <c r="L133" s="92"/>
      <c r="M133" s="92"/>
      <c r="N133" s="92"/>
      <c r="O133" s="92"/>
      <c r="P133" s="92"/>
      <c r="Q133" s="92"/>
      <c r="R133" s="92"/>
      <c r="S133" s="92"/>
      <c r="T133" s="219"/>
      <c r="U133" s="219"/>
      <c r="V133" s="219"/>
      <c r="W133" s="92"/>
      <c r="X133" s="197"/>
      <c r="Y133" s="92"/>
      <c r="Z133" s="219"/>
      <c r="AA133" s="92"/>
      <c r="AB133" s="92"/>
      <c r="AC133" s="92"/>
      <c r="AD133" s="92"/>
      <c r="AE133" s="92"/>
      <c r="AF133" s="92"/>
      <c r="AG133" s="92"/>
      <c r="AH133" s="92"/>
      <c r="AI133" s="92"/>
      <c r="AJ133" s="92"/>
      <c r="AK133" s="92"/>
      <c r="AL133" s="92"/>
      <c r="AM133" s="92"/>
      <c r="AN133" s="92"/>
      <c r="AO133" s="92"/>
      <c r="AP133" s="92"/>
      <c r="AQ133" s="92"/>
      <c r="AR133" s="92"/>
      <c r="AS133" s="92"/>
      <c r="AT133" s="92"/>
      <c r="AU133" s="92"/>
      <c r="AV133" s="92"/>
      <c r="AW133" s="92"/>
      <c r="AX133" s="92"/>
      <c r="AY133" s="92"/>
      <c r="AZ133" s="92"/>
      <c r="BA133" s="92"/>
      <c r="BB133" s="92"/>
      <c r="BC133" s="92"/>
      <c r="BD133" s="92"/>
      <c r="BE133" s="92"/>
      <c r="BF133" s="92"/>
      <c r="BG133" s="92"/>
      <c r="BH133" s="92"/>
      <c r="BI133" s="92"/>
    </row>
    <row r="134" spans="1:61">
      <c r="B134" s="92"/>
      <c r="C134" s="92"/>
      <c r="D134" s="92"/>
      <c r="E134" s="92"/>
      <c r="F134" s="92"/>
      <c r="G134" s="219"/>
      <c r="H134" s="92"/>
      <c r="I134" s="92"/>
      <c r="J134" s="219"/>
      <c r="K134" s="92"/>
      <c r="L134" s="92"/>
      <c r="M134" s="92"/>
      <c r="N134" s="92"/>
      <c r="O134" s="92"/>
      <c r="P134" s="92"/>
      <c r="Q134" s="92"/>
      <c r="R134" s="92"/>
      <c r="S134" s="92"/>
      <c r="T134" s="219"/>
      <c r="U134" s="219"/>
      <c r="V134" s="219"/>
      <c r="W134" s="92"/>
      <c r="X134" s="197"/>
      <c r="Y134" s="92"/>
      <c r="Z134" s="219"/>
      <c r="AA134" s="92"/>
      <c r="AB134" s="92"/>
      <c r="AC134" s="92"/>
      <c r="AD134" s="92"/>
      <c r="AE134" s="92"/>
      <c r="AF134" s="92"/>
      <c r="AG134" s="92"/>
      <c r="AH134" s="92"/>
      <c r="AI134" s="92"/>
      <c r="AJ134" s="92"/>
      <c r="AK134" s="92"/>
      <c r="AL134" s="92"/>
      <c r="AM134" s="92"/>
      <c r="AN134" s="92"/>
      <c r="AO134" s="92"/>
      <c r="AP134" s="92"/>
      <c r="AQ134" s="92"/>
      <c r="AR134" s="92"/>
      <c r="AS134" s="92"/>
      <c r="AT134" s="92"/>
      <c r="AU134" s="92"/>
      <c r="AV134" s="92"/>
      <c r="AW134" s="92"/>
      <c r="AX134" s="92"/>
      <c r="AY134" s="92"/>
      <c r="AZ134" s="92"/>
      <c r="BA134" s="92"/>
      <c r="BB134" s="92"/>
      <c r="BC134" s="92"/>
      <c r="BD134" s="92"/>
      <c r="BE134" s="92"/>
      <c r="BF134" s="92"/>
      <c r="BG134" s="92"/>
      <c r="BH134" s="92"/>
      <c r="BI134" s="92"/>
    </row>
    <row r="135" spans="1:61">
      <c r="B135" s="92"/>
      <c r="C135" s="92"/>
      <c r="D135" s="92"/>
      <c r="E135" s="92"/>
      <c r="F135" s="92"/>
      <c r="G135" s="219"/>
      <c r="H135" s="92"/>
      <c r="I135" s="92"/>
      <c r="J135" s="219"/>
      <c r="K135" s="92"/>
      <c r="L135" s="92"/>
      <c r="M135" s="92"/>
      <c r="N135" s="92"/>
      <c r="O135" s="92"/>
      <c r="P135" s="92"/>
      <c r="Q135" s="92"/>
      <c r="R135" s="92"/>
      <c r="S135" s="92"/>
      <c r="T135" s="219"/>
      <c r="U135" s="219"/>
      <c r="V135" s="219"/>
      <c r="W135" s="92"/>
      <c r="X135" s="197"/>
      <c r="Y135" s="92"/>
      <c r="Z135" s="219"/>
      <c r="AA135" s="92"/>
      <c r="AB135" s="92"/>
      <c r="AC135" s="92"/>
      <c r="AD135" s="92"/>
      <c r="AE135" s="92"/>
      <c r="AF135" s="92"/>
      <c r="AG135" s="92"/>
      <c r="AH135" s="92"/>
      <c r="AI135" s="92"/>
      <c r="AJ135" s="92"/>
      <c r="AK135" s="92"/>
      <c r="AL135" s="92"/>
      <c r="AM135" s="92"/>
      <c r="AN135" s="92"/>
      <c r="AO135" s="92"/>
      <c r="AP135" s="92"/>
      <c r="AQ135" s="92"/>
      <c r="AR135" s="92"/>
      <c r="AS135" s="92"/>
      <c r="AT135" s="92"/>
      <c r="AU135" s="92"/>
      <c r="AV135" s="92"/>
      <c r="AW135" s="92"/>
      <c r="AX135" s="92"/>
      <c r="AY135" s="92"/>
      <c r="AZ135" s="92"/>
      <c r="BA135" s="92"/>
      <c r="BB135" s="92"/>
      <c r="BC135" s="92"/>
      <c r="BD135" s="92"/>
      <c r="BE135" s="92"/>
      <c r="BF135" s="92"/>
      <c r="BG135" s="92"/>
      <c r="BH135" s="92"/>
      <c r="BI135" s="92"/>
    </row>
    <row r="136" spans="1:61">
      <c r="B136" s="92"/>
      <c r="C136" s="92"/>
      <c r="D136" s="92"/>
      <c r="E136" s="92"/>
      <c r="F136" s="92"/>
      <c r="G136" s="219"/>
      <c r="H136" s="92"/>
      <c r="I136" s="92"/>
      <c r="J136" s="219"/>
      <c r="K136" s="92"/>
      <c r="L136" s="92"/>
      <c r="M136" s="92"/>
      <c r="N136" s="92"/>
      <c r="O136" s="92"/>
      <c r="P136" s="92"/>
      <c r="Q136" s="92"/>
      <c r="R136" s="92"/>
      <c r="S136" s="92"/>
      <c r="T136" s="219"/>
      <c r="U136" s="219"/>
      <c r="V136" s="219"/>
      <c r="W136" s="92"/>
      <c r="X136" s="197"/>
      <c r="Y136" s="92"/>
      <c r="Z136" s="219"/>
      <c r="AA136" s="92"/>
      <c r="AB136" s="92"/>
      <c r="AC136" s="92"/>
      <c r="AD136" s="92"/>
      <c r="AE136" s="92"/>
      <c r="AF136" s="92"/>
      <c r="AG136" s="92"/>
      <c r="AH136" s="92"/>
      <c r="AI136" s="92"/>
      <c r="AJ136" s="92"/>
      <c r="AK136" s="92"/>
      <c r="AL136" s="92"/>
      <c r="AM136" s="92"/>
      <c r="AN136" s="92"/>
      <c r="AO136" s="92"/>
      <c r="AP136" s="92"/>
      <c r="AQ136" s="92"/>
      <c r="AR136" s="92"/>
      <c r="AS136" s="92"/>
      <c r="AT136" s="92"/>
      <c r="AU136" s="92"/>
      <c r="AV136" s="92"/>
      <c r="AW136" s="92"/>
      <c r="AX136" s="92"/>
      <c r="AY136" s="92"/>
      <c r="AZ136" s="92"/>
      <c r="BA136" s="92"/>
      <c r="BB136" s="92"/>
      <c r="BC136" s="92"/>
      <c r="BD136" s="92"/>
      <c r="BE136" s="92"/>
      <c r="BF136" s="92"/>
      <c r="BG136" s="92"/>
      <c r="BH136" s="92"/>
      <c r="BI136" s="92"/>
    </row>
    <row r="137" spans="1:61">
      <c r="B137" s="92"/>
      <c r="C137" s="92"/>
      <c r="D137" s="92"/>
      <c r="E137" s="92"/>
      <c r="F137" s="92"/>
      <c r="G137" s="219"/>
      <c r="H137" s="92"/>
      <c r="I137" s="92"/>
      <c r="J137" s="219"/>
      <c r="K137" s="92"/>
      <c r="L137" s="92"/>
      <c r="M137" s="92"/>
      <c r="N137" s="92"/>
      <c r="O137" s="92"/>
      <c r="P137" s="92"/>
      <c r="Q137" s="92"/>
      <c r="R137" s="92"/>
      <c r="S137" s="92"/>
      <c r="T137" s="219"/>
      <c r="U137" s="219"/>
      <c r="V137" s="219"/>
      <c r="W137" s="92"/>
      <c r="X137" s="197"/>
      <c r="Y137" s="92"/>
      <c r="Z137" s="219"/>
      <c r="AA137" s="92"/>
      <c r="AB137" s="92"/>
      <c r="AC137" s="92"/>
      <c r="AD137" s="92"/>
      <c r="AE137" s="92"/>
      <c r="AF137" s="92"/>
      <c r="AG137" s="92"/>
      <c r="AH137" s="92"/>
      <c r="AI137" s="92"/>
      <c r="AJ137" s="92"/>
      <c r="AK137" s="92"/>
      <c r="AL137" s="92"/>
      <c r="AM137" s="92"/>
      <c r="AN137" s="92"/>
      <c r="AO137" s="92"/>
      <c r="AP137" s="92"/>
      <c r="AQ137" s="92"/>
      <c r="AR137" s="92"/>
      <c r="AS137" s="92"/>
      <c r="AT137" s="92"/>
      <c r="AU137" s="92"/>
      <c r="AV137" s="92"/>
      <c r="AW137" s="92"/>
      <c r="AX137" s="92"/>
      <c r="AY137" s="92"/>
      <c r="AZ137" s="92"/>
      <c r="BA137" s="92"/>
      <c r="BB137" s="92"/>
      <c r="BC137" s="92"/>
      <c r="BD137" s="92"/>
      <c r="BE137" s="92"/>
      <c r="BF137" s="92"/>
      <c r="BG137" s="92"/>
      <c r="BH137" s="92"/>
      <c r="BI137" s="92"/>
    </row>
    <row r="138" spans="1:61">
      <c r="B138" s="92"/>
      <c r="C138" s="92"/>
      <c r="D138" s="92"/>
      <c r="E138" s="92"/>
      <c r="F138" s="92"/>
      <c r="G138" s="219"/>
      <c r="H138" s="92"/>
      <c r="I138" s="92"/>
      <c r="J138" s="219"/>
      <c r="K138" s="92"/>
      <c r="L138" s="92"/>
      <c r="M138" s="92"/>
      <c r="N138" s="92"/>
      <c r="O138" s="92"/>
      <c r="P138" s="92"/>
      <c r="Q138" s="92"/>
      <c r="R138" s="92"/>
      <c r="S138" s="92"/>
      <c r="T138" s="219"/>
      <c r="U138" s="219"/>
      <c r="V138" s="219"/>
      <c r="W138" s="92"/>
      <c r="X138" s="197"/>
      <c r="Y138" s="92"/>
      <c r="Z138" s="219"/>
      <c r="AA138" s="92"/>
      <c r="AB138" s="92"/>
      <c r="AC138" s="92"/>
      <c r="AD138" s="92"/>
      <c r="AE138" s="92"/>
      <c r="AF138" s="92"/>
      <c r="AG138" s="92"/>
      <c r="AH138" s="92"/>
      <c r="AI138" s="92"/>
      <c r="AJ138" s="92"/>
      <c r="AK138" s="92"/>
      <c r="AL138" s="92"/>
      <c r="AM138" s="92"/>
      <c r="AN138" s="92"/>
      <c r="AO138" s="92"/>
      <c r="AP138" s="92"/>
      <c r="AQ138" s="92"/>
      <c r="AR138" s="92"/>
      <c r="AS138" s="92"/>
      <c r="AT138" s="92"/>
      <c r="AU138" s="92"/>
      <c r="AV138" s="92"/>
      <c r="AW138" s="92"/>
      <c r="AX138" s="92"/>
      <c r="AY138" s="92"/>
      <c r="AZ138" s="92"/>
      <c r="BA138" s="92"/>
      <c r="BB138" s="92"/>
      <c r="BC138" s="92"/>
      <c r="BD138" s="92"/>
      <c r="BE138" s="92"/>
      <c r="BF138" s="92"/>
      <c r="BG138" s="92"/>
      <c r="BH138" s="92"/>
      <c r="BI138" s="92"/>
    </row>
    <row r="139" spans="1:61">
      <c r="B139" s="92"/>
      <c r="C139" s="92"/>
      <c r="D139" s="92"/>
      <c r="E139" s="92"/>
      <c r="F139" s="92"/>
      <c r="G139" s="219"/>
      <c r="H139" s="92"/>
      <c r="I139" s="92"/>
      <c r="J139" s="219"/>
      <c r="K139" s="92"/>
      <c r="L139" s="92"/>
      <c r="M139" s="92"/>
      <c r="N139" s="92"/>
      <c r="O139" s="92"/>
      <c r="P139" s="92"/>
      <c r="Q139" s="92"/>
      <c r="R139" s="92"/>
      <c r="S139" s="92"/>
      <c r="T139" s="219"/>
      <c r="U139" s="219"/>
      <c r="V139" s="219"/>
      <c r="W139" s="92"/>
      <c r="X139" s="197"/>
      <c r="Y139" s="92"/>
      <c r="Z139" s="219"/>
      <c r="AA139" s="92"/>
      <c r="AB139" s="92"/>
      <c r="AC139" s="92"/>
      <c r="AD139" s="92"/>
      <c r="AE139" s="92"/>
      <c r="AF139" s="92"/>
      <c r="AG139" s="92"/>
      <c r="AH139" s="92"/>
      <c r="AI139" s="92"/>
      <c r="AJ139" s="92"/>
      <c r="AK139" s="92"/>
      <c r="AL139" s="92"/>
      <c r="AM139" s="92"/>
      <c r="AN139" s="92"/>
      <c r="AO139" s="92"/>
      <c r="AP139" s="92"/>
      <c r="AQ139" s="92"/>
      <c r="AR139" s="92"/>
      <c r="AS139" s="92"/>
      <c r="AT139" s="92"/>
      <c r="AU139" s="92"/>
      <c r="AV139" s="92"/>
      <c r="AW139" s="92"/>
      <c r="AX139" s="92"/>
      <c r="AY139" s="92"/>
      <c r="AZ139" s="92"/>
      <c r="BA139" s="92"/>
      <c r="BB139" s="92"/>
      <c r="BC139" s="92"/>
      <c r="BD139" s="92"/>
      <c r="BE139" s="92"/>
      <c r="BF139" s="92"/>
      <c r="BG139" s="92"/>
      <c r="BH139" s="92"/>
      <c r="BI139" s="92"/>
    </row>
    <row r="140" spans="1:61">
      <c r="B140" s="92"/>
      <c r="C140" s="92"/>
      <c r="D140" s="92"/>
      <c r="E140" s="92"/>
      <c r="F140" s="92"/>
      <c r="G140" s="219"/>
      <c r="H140" s="92"/>
      <c r="I140" s="92"/>
      <c r="J140" s="219"/>
      <c r="K140" s="92"/>
      <c r="L140" s="92"/>
      <c r="M140" s="92"/>
      <c r="N140" s="92"/>
      <c r="O140" s="92"/>
      <c r="P140" s="92"/>
      <c r="Q140" s="92"/>
      <c r="R140" s="92"/>
      <c r="S140" s="92"/>
      <c r="T140" s="219"/>
      <c r="U140" s="219"/>
      <c r="V140" s="219"/>
      <c r="W140" s="92"/>
      <c r="X140" s="197"/>
      <c r="Y140" s="92"/>
      <c r="Z140" s="219"/>
      <c r="AA140" s="92"/>
      <c r="AB140" s="92"/>
      <c r="AC140" s="92"/>
      <c r="AD140" s="92"/>
      <c r="AE140" s="92"/>
      <c r="AF140" s="92"/>
      <c r="AG140" s="92"/>
      <c r="AH140" s="92"/>
      <c r="AI140" s="92"/>
      <c r="AJ140" s="92"/>
      <c r="AK140" s="92"/>
      <c r="AL140" s="92"/>
      <c r="AM140" s="92"/>
      <c r="AN140" s="92"/>
      <c r="AO140" s="92"/>
      <c r="AP140" s="92"/>
      <c r="AQ140" s="92"/>
      <c r="AR140" s="92"/>
      <c r="AS140" s="92"/>
      <c r="AT140" s="92"/>
      <c r="AU140" s="92"/>
      <c r="AV140" s="92"/>
      <c r="AW140" s="92"/>
      <c r="AX140" s="92"/>
      <c r="AY140" s="92"/>
      <c r="AZ140" s="92"/>
      <c r="BA140" s="92"/>
      <c r="BB140" s="92"/>
      <c r="BC140" s="92"/>
      <c r="BD140" s="92"/>
      <c r="BE140" s="92"/>
      <c r="BF140" s="92"/>
      <c r="BG140" s="92"/>
      <c r="BH140" s="92"/>
      <c r="BI140" s="92"/>
    </row>
    <row r="141" spans="1:61">
      <c r="B141" s="92"/>
      <c r="C141" s="92"/>
      <c r="D141" s="92"/>
      <c r="E141" s="92"/>
      <c r="F141" s="92"/>
      <c r="G141" s="219"/>
      <c r="H141" s="92"/>
      <c r="I141" s="92"/>
      <c r="J141" s="219"/>
      <c r="K141" s="92"/>
      <c r="L141" s="92"/>
      <c r="M141" s="92"/>
      <c r="N141" s="92"/>
      <c r="O141" s="92"/>
      <c r="P141" s="92"/>
      <c r="Q141" s="92"/>
      <c r="R141" s="92"/>
      <c r="S141" s="92"/>
      <c r="T141" s="219"/>
      <c r="U141" s="219"/>
      <c r="V141" s="219"/>
      <c r="W141" s="92"/>
      <c r="X141" s="197"/>
      <c r="Y141" s="92"/>
      <c r="Z141" s="219"/>
      <c r="AA141" s="92"/>
      <c r="AB141" s="92"/>
      <c r="AC141" s="92"/>
      <c r="AD141" s="92"/>
      <c r="AE141" s="92"/>
      <c r="AF141" s="92"/>
      <c r="AG141" s="92"/>
      <c r="AH141" s="92"/>
      <c r="AI141" s="92"/>
      <c r="AJ141" s="92"/>
      <c r="AK141" s="92"/>
      <c r="AL141" s="92"/>
      <c r="AM141" s="92"/>
      <c r="AN141" s="92"/>
      <c r="AO141" s="92"/>
      <c r="AP141" s="92"/>
      <c r="AQ141" s="92"/>
      <c r="AR141" s="92"/>
      <c r="AS141" s="92"/>
      <c r="AT141" s="92"/>
      <c r="AU141" s="92"/>
      <c r="AV141" s="92"/>
      <c r="AW141" s="92"/>
      <c r="AX141" s="92"/>
      <c r="AY141" s="92"/>
      <c r="AZ141" s="92"/>
      <c r="BA141" s="92"/>
      <c r="BB141" s="92"/>
      <c r="BC141" s="92"/>
      <c r="BD141" s="92"/>
      <c r="BE141" s="92"/>
      <c r="BF141" s="92"/>
      <c r="BG141" s="92"/>
      <c r="BH141" s="92"/>
      <c r="BI141" s="92"/>
    </row>
    <row r="142" spans="1:61">
      <c r="B142" s="92"/>
      <c r="C142" s="92"/>
      <c r="D142" s="92"/>
      <c r="E142" s="92"/>
      <c r="F142" s="92"/>
      <c r="G142" s="219"/>
      <c r="H142" s="92"/>
      <c r="I142" s="92"/>
      <c r="J142" s="219"/>
      <c r="K142" s="92"/>
      <c r="L142" s="92"/>
      <c r="M142" s="92"/>
      <c r="N142" s="92"/>
      <c r="O142" s="92"/>
      <c r="P142" s="92"/>
      <c r="Q142" s="92"/>
      <c r="R142" s="92"/>
      <c r="S142" s="92"/>
      <c r="T142" s="219"/>
      <c r="U142" s="219"/>
      <c r="V142" s="219"/>
      <c r="W142" s="92"/>
      <c r="X142" s="197"/>
      <c r="Y142" s="92"/>
      <c r="Z142" s="219"/>
      <c r="AA142" s="92"/>
      <c r="AB142" s="92"/>
      <c r="AC142" s="92"/>
      <c r="AD142" s="92"/>
      <c r="AE142" s="92"/>
      <c r="AF142" s="92"/>
      <c r="AG142" s="92"/>
      <c r="AH142" s="92"/>
      <c r="AI142" s="92"/>
      <c r="AJ142" s="92"/>
      <c r="AK142" s="92"/>
      <c r="AL142" s="92"/>
      <c r="AM142" s="92"/>
      <c r="AN142" s="92"/>
      <c r="AO142" s="92"/>
      <c r="AP142" s="92"/>
      <c r="AQ142" s="92"/>
      <c r="AR142" s="92"/>
      <c r="AS142" s="92"/>
      <c r="AT142" s="92"/>
      <c r="AU142" s="92"/>
      <c r="AV142" s="92"/>
      <c r="AW142" s="92"/>
      <c r="AX142" s="92"/>
      <c r="AY142" s="92"/>
      <c r="AZ142" s="92"/>
      <c r="BA142" s="92"/>
      <c r="BB142" s="92"/>
      <c r="BC142" s="92"/>
      <c r="BD142" s="92"/>
      <c r="BE142" s="92"/>
      <c r="BF142" s="92"/>
      <c r="BG142" s="92"/>
      <c r="BH142" s="92"/>
      <c r="BI142" s="92"/>
    </row>
    <row r="143" spans="1:61">
      <c r="B143" s="92"/>
      <c r="C143" s="92"/>
      <c r="D143" s="92"/>
      <c r="E143" s="92"/>
      <c r="F143" s="92"/>
      <c r="G143" s="219"/>
      <c r="H143" s="92"/>
      <c r="I143" s="92"/>
      <c r="J143" s="219"/>
      <c r="K143" s="92"/>
      <c r="L143" s="92"/>
      <c r="M143" s="92"/>
      <c r="N143" s="92"/>
      <c r="O143" s="92"/>
      <c r="P143" s="92"/>
      <c r="Q143" s="92"/>
      <c r="R143" s="92"/>
      <c r="S143" s="92"/>
      <c r="T143" s="219"/>
      <c r="U143" s="219"/>
      <c r="V143" s="219"/>
      <c r="W143" s="92"/>
      <c r="X143" s="197"/>
      <c r="Y143" s="92"/>
      <c r="Z143" s="219"/>
      <c r="AA143" s="92"/>
      <c r="AB143" s="92"/>
      <c r="AC143" s="92"/>
      <c r="AD143" s="92"/>
      <c r="AE143" s="92"/>
      <c r="AF143" s="92"/>
      <c r="AG143" s="92"/>
      <c r="AH143" s="92"/>
      <c r="AI143" s="92"/>
      <c r="AJ143" s="92"/>
      <c r="AK143" s="92"/>
      <c r="AL143" s="92"/>
      <c r="AM143" s="92"/>
      <c r="AN143" s="92"/>
      <c r="AO143" s="92"/>
      <c r="AP143" s="92"/>
      <c r="AQ143" s="92"/>
      <c r="AR143" s="92"/>
      <c r="AS143" s="92"/>
      <c r="AT143" s="92"/>
      <c r="AU143" s="92"/>
      <c r="AV143" s="92"/>
      <c r="AW143" s="92"/>
      <c r="AX143" s="92"/>
      <c r="AY143" s="92"/>
      <c r="AZ143" s="92"/>
      <c r="BA143" s="92"/>
      <c r="BB143" s="92"/>
      <c r="BC143" s="92"/>
      <c r="BD143" s="92"/>
      <c r="BE143" s="92"/>
      <c r="BF143" s="92"/>
      <c r="BG143" s="92"/>
      <c r="BH143" s="92"/>
      <c r="BI143" s="92"/>
    </row>
    <row r="144" spans="1:61" s="1" customFormat="1">
      <c r="A144" s="15"/>
      <c r="B144" s="92"/>
      <c r="C144" s="92"/>
      <c r="D144" s="92"/>
      <c r="E144" s="92"/>
      <c r="F144" s="92"/>
      <c r="G144" s="219"/>
      <c r="H144" s="92"/>
      <c r="I144" s="92"/>
      <c r="J144" s="219"/>
      <c r="K144" s="92"/>
      <c r="L144" s="92"/>
      <c r="M144" s="92"/>
      <c r="N144" s="92"/>
      <c r="O144" s="92"/>
      <c r="P144" s="92"/>
      <c r="Q144" s="92"/>
      <c r="R144" s="92"/>
      <c r="S144" s="92"/>
      <c r="T144" s="219"/>
      <c r="U144" s="219"/>
      <c r="V144" s="219"/>
      <c r="W144" s="92"/>
      <c r="X144" s="197"/>
      <c r="Y144" s="92"/>
      <c r="Z144" s="219"/>
      <c r="AA144" s="92"/>
      <c r="AB144" s="92"/>
      <c r="AC144" s="92"/>
      <c r="AD144" s="92"/>
      <c r="AE144" s="92"/>
      <c r="AF144" s="92"/>
      <c r="AG144" s="92"/>
      <c r="AH144" s="92"/>
      <c r="AI144" s="92"/>
      <c r="AJ144" s="92"/>
      <c r="AK144" s="92"/>
      <c r="AL144" s="92"/>
      <c r="AM144" s="92"/>
      <c r="AN144" s="92"/>
      <c r="AO144" s="92"/>
      <c r="AP144" s="92"/>
      <c r="AQ144" s="92"/>
      <c r="AR144" s="92"/>
      <c r="AS144" s="92"/>
      <c r="AT144" s="92"/>
      <c r="AU144" s="92"/>
      <c r="AV144" s="92"/>
      <c r="AW144" s="92"/>
      <c r="AX144" s="92"/>
      <c r="AY144" s="92"/>
      <c r="AZ144" s="92"/>
      <c r="BA144" s="92"/>
      <c r="BB144" s="92"/>
      <c r="BC144" s="92"/>
      <c r="BD144" s="92"/>
      <c r="BE144" s="92"/>
      <c r="BF144" s="92"/>
      <c r="BG144" s="92"/>
      <c r="BH144" s="92"/>
      <c r="BI144" s="92"/>
    </row>
    <row r="145" spans="1:61" s="1" customFormat="1">
      <c r="A145" s="15"/>
      <c r="B145" s="92"/>
      <c r="C145" s="92"/>
      <c r="D145" s="92"/>
      <c r="E145" s="92"/>
      <c r="F145" s="92"/>
      <c r="G145" s="219"/>
      <c r="H145" s="92"/>
      <c r="I145" s="92"/>
      <c r="J145" s="219"/>
      <c r="K145" s="92"/>
      <c r="L145" s="92"/>
      <c r="M145" s="92"/>
      <c r="N145" s="92"/>
      <c r="O145" s="92"/>
      <c r="P145" s="92"/>
      <c r="Q145" s="92"/>
      <c r="R145" s="92"/>
      <c r="S145" s="92"/>
      <c r="T145" s="219"/>
      <c r="U145" s="219"/>
      <c r="V145" s="219"/>
      <c r="W145" s="92"/>
      <c r="X145" s="197"/>
      <c r="Y145" s="92"/>
      <c r="Z145" s="219"/>
      <c r="AA145" s="92"/>
      <c r="AB145" s="92"/>
      <c r="AC145" s="92"/>
      <c r="AD145" s="92"/>
      <c r="AE145" s="92"/>
      <c r="AF145" s="92"/>
      <c r="AG145" s="92"/>
      <c r="AH145" s="92"/>
      <c r="AI145" s="92"/>
      <c r="AJ145" s="92"/>
      <c r="AK145" s="92"/>
      <c r="AL145" s="92"/>
      <c r="AM145" s="92"/>
      <c r="AN145" s="92"/>
      <c r="AO145" s="92"/>
      <c r="AP145" s="92"/>
      <c r="AQ145" s="92"/>
      <c r="AR145" s="92"/>
      <c r="AS145" s="92"/>
      <c r="AT145" s="92"/>
      <c r="AU145" s="92"/>
      <c r="AV145" s="92"/>
      <c r="AW145" s="92"/>
      <c r="AX145" s="92"/>
      <c r="AY145" s="92"/>
      <c r="AZ145" s="92"/>
      <c r="BA145" s="92"/>
      <c r="BB145" s="92"/>
      <c r="BC145" s="92"/>
      <c r="BD145" s="92"/>
      <c r="BE145" s="92"/>
      <c r="BF145" s="92"/>
      <c r="BG145" s="92"/>
      <c r="BH145" s="92"/>
      <c r="BI145" s="92"/>
    </row>
    <row r="146" spans="1:61">
      <c r="B146" s="92"/>
      <c r="C146" s="92"/>
      <c r="D146" s="92"/>
      <c r="E146" s="92"/>
      <c r="F146" s="92"/>
      <c r="G146" s="219"/>
      <c r="H146" s="92"/>
      <c r="I146" s="92"/>
      <c r="J146" s="219"/>
      <c r="K146" s="92"/>
      <c r="L146" s="92"/>
      <c r="M146" s="92"/>
      <c r="N146" s="92"/>
      <c r="O146" s="92"/>
      <c r="P146" s="92"/>
      <c r="Q146" s="92"/>
      <c r="R146" s="92"/>
      <c r="S146" s="92"/>
      <c r="T146" s="219"/>
      <c r="U146" s="219"/>
      <c r="V146" s="219"/>
      <c r="W146" s="92"/>
      <c r="X146" s="197"/>
      <c r="Y146" s="92"/>
      <c r="Z146" s="219"/>
      <c r="AA146" s="92"/>
      <c r="AB146" s="92"/>
      <c r="AC146" s="92"/>
      <c r="AD146" s="92"/>
      <c r="AE146" s="92"/>
      <c r="AF146" s="92"/>
      <c r="AG146" s="92"/>
      <c r="AH146" s="92"/>
      <c r="AI146" s="92"/>
      <c r="AJ146" s="92"/>
      <c r="AK146" s="92"/>
      <c r="AL146" s="92"/>
      <c r="AM146" s="92"/>
      <c r="AN146" s="92"/>
      <c r="AO146" s="92"/>
      <c r="AP146" s="92"/>
      <c r="AQ146" s="92"/>
      <c r="AR146" s="92"/>
      <c r="AS146" s="92"/>
      <c r="AT146" s="92"/>
      <c r="AU146" s="92"/>
      <c r="AV146" s="92"/>
      <c r="AW146" s="92"/>
      <c r="AX146" s="92"/>
      <c r="AY146" s="92"/>
      <c r="AZ146" s="92"/>
      <c r="BA146" s="92"/>
      <c r="BB146" s="92"/>
      <c r="BC146" s="92"/>
      <c r="BD146" s="92"/>
      <c r="BE146" s="92"/>
      <c r="BF146" s="92"/>
      <c r="BG146" s="92"/>
      <c r="BH146" s="92"/>
      <c r="BI146" s="92"/>
    </row>
    <row r="147" spans="1:61" s="1" customFormat="1">
      <c r="A147" s="15"/>
      <c r="B147" s="92"/>
      <c r="C147" s="92"/>
      <c r="D147" s="92"/>
      <c r="E147" s="92"/>
      <c r="F147" s="92"/>
      <c r="G147" s="219"/>
      <c r="H147" s="92"/>
      <c r="I147" s="92"/>
      <c r="J147" s="219"/>
      <c r="K147" s="92"/>
      <c r="L147" s="92"/>
      <c r="M147" s="92"/>
      <c r="N147" s="92"/>
      <c r="O147" s="92"/>
      <c r="P147" s="92"/>
      <c r="Q147" s="92"/>
      <c r="R147" s="92"/>
      <c r="S147" s="92"/>
      <c r="T147" s="219"/>
      <c r="U147" s="219"/>
      <c r="V147" s="219"/>
      <c r="W147" s="92"/>
      <c r="X147" s="197"/>
      <c r="Y147" s="92"/>
      <c r="Z147" s="219"/>
      <c r="AA147" s="92"/>
      <c r="AB147" s="92"/>
      <c r="AC147" s="92"/>
      <c r="AD147" s="92"/>
      <c r="AE147" s="92"/>
      <c r="AF147" s="92"/>
      <c r="AG147" s="92"/>
      <c r="AH147" s="92"/>
      <c r="AI147" s="92"/>
      <c r="AJ147" s="92"/>
      <c r="AK147" s="92"/>
      <c r="AL147" s="92"/>
      <c r="AM147" s="92"/>
      <c r="AN147" s="92"/>
      <c r="AO147" s="92"/>
      <c r="AP147" s="92"/>
      <c r="AQ147" s="92"/>
      <c r="AR147" s="92"/>
      <c r="AS147" s="92"/>
      <c r="AT147" s="92"/>
      <c r="AU147" s="92"/>
      <c r="AV147" s="92"/>
      <c r="AW147" s="92"/>
      <c r="AX147" s="92"/>
      <c r="AY147" s="92"/>
      <c r="AZ147" s="92"/>
      <c r="BA147" s="92"/>
      <c r="BB147" s="92"/>
      <c r="BC147" s="92"/>
      <c r="BD147" s="92"/>
      <c r="BE147" s="92"/>
      <c r="BF147" s="92"/>
      <c r="BG147" s="92"/>
      <c r="BH147" s="92"/>
      <c r="BI147" s="92"/>
    </row>
    <row r="148" spans="1:61">
      <c r="B148" s="92"/>
      <c r="C148" s="92"/>
      <c r="D148" s="92"/>
      <c r="E148" s="92"/>
      <c r="F148" s="92"/>
      <c r="G148" s="219"/>
      <c r="H148" s="92"/>
      <c r="I148" s="92"/>
      <c r="J148" s="219"/>
      <c r="K148" s="92"/>
      <c r="L148" s="92"/>
      <c r="M148" s="92"/>
      <c r="N148" s="92"/>
      <c r="O148" s="92"/>
      <c r="P148" s="92"/>
      <c r="Q148" s="92"/>
      <c r="R148" s="92"/>
      <c r="S148" s="92"/>
      <c r="T148" s="219"/>
      <c r="U148" s="219"/>
      <c r="V148" s="219"/>
      <c r="W148" s="92"/>
      <c r="X148" s="197"/>
      <c r="Y148" s="92"/>
      <c r="Z148" s="219"/>
      <c r="AA148" s="92"/>
      <c r="AB148" s="92"/>
      <c r="AC148" s="92"/>
      <c r="AD148" s="92"/>
      <c r="AE148" s="92"/>
      <c r="AF148" s="92"/>
      <c r="AG148" s="92"/>
      <c r="AH148" s="92"/>
      <c r="AI148" s="92"/>
      <c r="AJ148" s="92"/>
      <c r="AK148" s="92"/>
      <c r="AL148" s="92"/>
      <c r="AM148" s="92"/>
      <c r="AN148" s="92"/>
      <c r="AO148" s="92"/>
      <c r="AP148" s="92"/>
      <c r="AQ148" s="92"/>
      <c r="AR148" s="92"/>
      <c r="AS148" s="92"/>
      <c r="AT148" s="92"/>
      <c r="AU148" s="92"/>
      <c r="AV148" s="92"/>
      <c r="AW148" s="92"/>
      <c r="AX148" s="92"/>
      <c r="AY148" s="92"/>
      <c r="AZ148" s="92"/>
      <c r="BA148" s="92"/>
      <c r="BB148" s="92"/>
      <c r="BC148" s="92"/>
      <c r="BD148" s="92"/>
      <c r="BE148" s="92"/>
      <c r="BF148" s="92"/>
      <c r="BG148" s="92"/>
      <c r="BH148" s="92"/>
      <c r="BI148" s="92"/>
    </row>
    <row r="149" spans="1:61">
      <c r="B149" s="92"/>
      <c r="C149" s="92"/>
      <c r="D149" s="92"/>
      <c r="E149" s="92"/>
      <c r="F149" s="92"/>
      <c r="G149" s="219"/>
      <c r="H149" s="92"/>
      <c r="I149" s="92"/>
      <c r="J149" s="219"/>
      <c r="K149" s="92"/>
      <c r="L149" s="92"/>
      <c r="M149" s="92"/>
      <c r="N149" s="92"/>
      <c r="O149" s="92"/>
      <c r="P149" s="92"/>
      <c r="Q149" s="92"/>
      <c r="R149" s="92"/>
      <c r="S149" s="92"/>
      <c r="T149" s="219"/>
      <c r="U149" s="219"/>
      <c r="V149" s="219"/>
      <c r="W149" s="92"/>
      <c r="X149" s="197"/>
      <c r="Y149" s="92"/>
      <c r="Z149" s="219"/>
      <c r="AA149" s="92"/>
      <c r="AB149" s="92"/>
      <c r="AC149" s="92"/>
      <c r="AD149" s="92"/>
      <c r="AE149" s="92"/>
      <c r="AF149" s="92"/>
      <c r="AG149" s="92"/>
      <c r="AH149" s="92"/>
      <c r="AI149" s="92"/>
      <c r="AJ149" s="92"/>
      <c r="AK149" s="92"/>
      <c r="AL149" s="92"/>
      <c r="AM149" s="92"/>
      <c r="AN149" s="92"/>
      <c r="AO149" s="92"/>
      <c r="AP149" s="92"/>
      <c r="AQ149" s="92"/>
      <c r="AR149" s="92"/>
      <c r="AS149" s="92"/>
      <c r="AT149" s="92"/>
      <c r="AU149" s="92"/>
      <c r="AV149" s="92"/>
      <c r="AW149" s="92"/>
      <c r="AX149" s="92"/>
      <c r="AY149" s="92"/>
      <c r="AZ149" s="92"/>
      <c r="BA149" s="92"/>
      <c r="BB149" s="92"/>
      <c r="BC149" s="92"/>
      <c r="BD149" s="92"/>
      <c r="BE149" s="92"/>
      <c r="BF149" s="92"/>
      <c r="BG149" s="92"/>
      <c r="BH149" s="92"/>
      <c r="BI149" s="92"/>
    </row>
    <row r="150" spans="1:61">
      <c r="B150" s="92"/>
      <c r="C150" s="92"/>
      <c r="D150" s="92"/>
      <c r="E150" s="92"/>
      <c r="F150" s="92"/>
      <c r="G150" s="219"/>
      <c r="H150" s="92"/>
      <c r="I150" s="92"/>
      <c r="J150" s="219"/>
      <c r="K150" s="92"/>
      <c r="L150" s="92"/>
      <c r="M150" s="92"/>
      <c r="N150" s="92"/>
      <c r="O150" s="92"/>
      <c r="P150" s="92"/>
      <c r="Q150" s="92"/>
      <c r="R150" s="92"/>
      <c r="S150" s="92"/>
      <c r="T150" s="219"/>
      <c r="U150" s="219"/>
      <c r="V150" s="219"/>
      <c r="W150" s="92"/>
      <c r="X150" s="197"/>
      <c r="Y150" s="92"/>
      <c r="Z150" s="219"/>
      <c r="AA150" s="92"/>
      <c r="AB150" s="92"/>
      <c r="AC150" s="92"/>
      <c r="AD150" s="92"/>
      <c r="AE150" s="92"/>
      <c r="AF150" s="92"/>
      <c r="AG150" s="92"/>
      <c r="AH150" s="92"/>
      <c r="AI150" s="92"/>
      <c r="AJ150" s="92"/>
      <c r="AK150" s="92"/>
      <c r="AL150" s="92"/>
      <c r="AM150" s="92"/>
      <c r="AN150" s="92"/>
      <c r="AO150" s="92"/>
      <c r="AP150" s="92"/>
      <c r="AQ150" s="92"/>
      <c r="AR150" s="92"/>
      <c r="AS150" s="92"/>
      <c r="AT150" s="92"/>
      <c r="AU150" s="92"/>
      <c r="AV150" s="92"/>
      <c r="AW150" s="92"/>
      <c r="AX150" s="92"/>
      <c r="AY150" s="92"/>
      <c r="AZ150" s="92"/>
      <c r="BA150" s="92"/>
      <c r="BB150" s="92"/>
      <c r="BC150" s="92"/>
      <c r="BD150" s="92"/>
      <c r="BE150" s="92"/>
      <c r="BF150" s="92"/>
      <c r="BG150" s="92"/>
      <c r="BH150" s="92"/>
      <c r="BI150" s="92"/>
    </row>
    <row r="151" spans="1:61">
      <c r="B151" s="92"/>
      <c r="C151" s="92"/>
      <c r="D151" s="92"/>
      <c r="E151" s="92"/>
      <c r="F151" s="92"/>
      <c r="G151" s="219"/>
      <c r="H151" s="92"/>
      <c r="I151" s="92"/>
      <c r="J151" s="219"/>
      <c r="K151" s="92"/>
      <c r="L151" s="92"/>
      <c r="M151" s="92"/>
      <c r="N151" s="92"/>
      <c r="O151" s="92"/>
      <c r="P151" s="92"/>
      <c r="Q151" s="92"/>
      <c r="R151" s="92"/>
      <c r="S151" s="92"/>
      <c r="T151" s="219"/>
      <c r="U151" s="219"/>
      <c r="V151" s="219"/>
      <c r="W151" s="92"/>
      <c r="X151" s="197"/>
      <c r="Y151" s="92"/>
      <c r="Z151" s="219"/>
      <c r="AA151" s="92"/>
      <c r="AB151" s="92"/>
      <c r="AC151" s="92"/>
      <c r="AD151" s="92"/>
      <c r="AE151" s="92"/>
      <c r="AF151" s="92"/>
      <c r="AG151" s="92"/>
      <c r="AH151" s="92"/>
      <c r="AI151" s="92"/>
      <c r="AJ151" s="92"/>
      <c r="AK151" s="92"/>
      <c r="AL151" s="92"/>
      <c r="AM151" s="92"/>
      <c r="AN151" s="92"/>
      <c r="AO151" s="92"/>
      <c r="AP151" s="92"/>
      <c r="AQ151" s="92"/>
      <c r="AR151" s="92"/>
      <c r="AS151" s="92"/>
      <c r="AT151" s="92"/>
      <c r="AU151" s="92"/>
      <c r="AV151" s="92"/>
      <c r="AW151" s="92"/>
      <c r="AX151" s="92"/>
      <c r="AY151" s="92"/>
      <c r="AZ151" s="92"/>
      <c r="BA151" s="92"/>
      <c r="BB151" s="92"/>
      <c r="BC151" s="92"/>
      <c r="BD151" s="92"/>
      <c r="BE151" s="92"/>
      <c r="BF151" s="92"/>
      <c r="BG151" s="92"/>
      <c r="BH151" s="92"/>
      <c r="BI151" s="92"/>
    </row>
    <row r="152" spans="1:61">
      <c r="B152" s="92"/>
      <c r="C152" s="92"/>
      <c r="D152" s="92"/>
      <c r="E152" s="92"/>
      <c r="F152" s="92"/>
      <c r="G152" s="219"/>
      <c r="H152" s="92"/>
      <c r="I152" s="92"/>
      <c r="J152" s="219"/>
      <c r="K152" s="92"/>
      <c r="L152" s="92"/>
      <c r="M152" s="92"/>
      <c r="N152" s="92"/>
      <c r="O152" s="92"/>
      <c r="P152" s="92"/>
      <c r="Q152" s="92"/>
      <c r="R152" s="92"/>
      <c r="S152" s="92"/>
      <c r="T152" s="219"/>
      <c r="U152" s="219"/>
      <c r="V152" s="219"/>
      <c r="W152" s="92"/>
      <c r="X152" s="197"/>
      <c r="Y152" s="92"/>
      <c r="Z152" s="219"/>
      <c r="AA152" s="92"/>
      <c r="AB152" s="92"/>
      <c r="AC152" s="92"/>
      <c r="AD152" s="92"/>
      <c r="AE152" s="92"/>
      <c r="AF152" s="92"/>
      <c r="AG152" s="92"/>
      <c r="AH152" s="92"/>
      <c r="AI152" s="92"/>
      <c r="AJ152" s="92"/>
      <c r="AK152" s="92"/>
      <c r="AL152" s="92"/>
      <c r="AM152" s="92"/>
      <c r="AN152" s="92"/>
      <c r="AO152" s="92"/>
      <c r="AP152" s="92"/>
      <c r="AQ152" s="92"/>
      <c r="AR152" s="92"/>
      <c r="AS152" s="92"/>
      <c r="AT152" s="92"/>
      <c r="AU152" s="92"/>
      <c r="AV152" s="92"/>
      <c r="AW152" s="92"/>
      <c r="AX152" s="92"/>
      <c r="AY152" s="92"/>
      <c r="AZ152" s="92"/>
      <c r="BA152" s="92"/>
      <c r="BB152" s="92"/>
      <c r="BC152" s="92"/>
      <c r="BD152" s="92"/>
      <c r="BE152" s="92"/>
      <c r="BF152" s="92"/>
      <c r="BG152" s="92"/>
      <c r="BH152" s="92"/>
      <c r="BI152" s="92"/>
    </row>
    <row r="153" spans="1:61">
      <c r="B153" s="92"/>
      <c r="C153" s="92"/>
      <c r="D153" s="92"/>
      <c r="E153" s="92"/>
      <c r="F153" s="92"/>
      <c r="G153" s="219"/>
      <c r="H153" s="92"/>
      <c r="I153" s="92"/>
      <c r="J153" s="219"/>
      <c r="K153" s="92"/>
      <c r="L153" s="92"/>
      <c r="M153" s="92"/>
      <c r="N153" s="92"/>
      <c r="O153" s="92"/>
      <c r="P153" s="92"/>
      <c r="Q153" s="92"/>
      <c r="R153" s="92"/>
      <c r="S153" s="92"/>
      <c r="T153" s="219"/>
      <c r="U153" s="219"/>
      <c r="V153" s="219"/>
      <c r="W153" s="92"/>
      <c r="X153" s="197"/>
      <c r="Y153" s="92"/>
      <c r="Z153" s="219"/>
      <c r="AA153" s="92"/>
      <c r="AB153" s="92"/>
      <c r="AC153" s="92"/>
      <c r="AD153" s="92"/>
      <c r="AE153" s="92"/>
      <c r="AF153" s="92"/>
      <c r="AG153" s="92"/>
      <c r="AH153" s="92"/>
      <c r="AI153" s="92"/>
      <c r="AJ153" s="92"/>
      <c r="AK153" s="92"/>
      <c r="AL153" s="92"/>
      <c r="AM153" s="92"/>
      <c r="AN153" s="92"/>
      <c r="AO153" s="92"/>
      <c r="AP153" s="92"/>
      <c r="AQ153" s="92"/>
      <c r="AR153" s="92"/>
      <c r="AS153" s="92"/>
      <c r="AT153" s="92"/>
      <c r="AU153" s="92"/>
      <c r="AV153" s="92"/>
      <c r="AW153" s="92"/>
      <c r="AX153" s="92"/>
      <c r="AY153" s="92"/>
      <c r="AZ153" s="92"/>
      <c r="BA153" s="92"/>
      <c r="BB153" s="92"/>
      <c r="BC153" s="92"/>
      <c r="BD153" s="92"/>
      <c r="BE153" s="92"/>
      <c r="BF153" s="92"/>
      <c r="BG153" s="92"/>
      <c r="BH153" s="92"/>
      <c r="BI153" s="92"/>
    </row>
    <row r="154" spans="1:61">
      <c r="B154" s="92"/>
      <c r="C154" s="92"/>
      <c r="D154" s="92"/>
      <c r="E154" s="92"/>
      <c r="F154" s="92"/>
      <c r="G154" s="219"/>
      <c r="H154" s="92"/>
      <c r="I154" s="92"/>
      <c r="J154" s="219"/>
      <c r="K154" s="92"/>
      <c r="L154" s="92"/>
      <c r="M154" s="92"/>
      <c r="N154" s="92"/>
      <c r="O154" s="92"/>
      <c r="P154" s="92"/>
      <c r="Q154" s="92"/>
      <c r="R154" s="92"/>
      <c r="S154" s="92"/>
      <c r="T154" s="219"/>
      <c r="U154" s="219"/>
      <c r="V154" s="219"/>
      <c r="W154" s="92"/>
      <c r="X154" s="197"/>
      <c r="Y154" s="92"/>
      <c r="Z154" s="219"/>
      <c r="AA154" s="92"/>
      <c r="AB154" s="92"/>
      <c r="AC154" s="92"/>
      <c r="AD154" s="92"/>
      <c r="AE154" s="92"/>
      <c r="AF154" s="92"/>
      <c r="AG154" s="92"/>
      <c r="AH154" s="92"/>
      <c r="AI154" s="92"/>
      <c r="AJ154" s="92"/>
      <c r="AK154" s="92"/>
      <c r="AL154" s="92"/>
      <c r="AM154" s="92"/>
      <c r="AN154" s="92"/>
      <c r="AO154" s="92"/>
      <c r="AP154" s="92"/>
      <c r="AQ154" s="92"/>
      <c r="AR154" s="92"/>
      <c r="AS154" s="92"/>
      <c r="AT154" s="92"/>
      <c r="AU154" s="92"/>
      <c r="AV154" s="92"/>
      <c r="AW154" s="92"/>
      <c r="AX154" s="92"/>
      <c r="AY154" s="92"/>
      <c r="AZ154" s="92"/>
      <c r="BA154" s="92"/>
      <c r="BB154" s="92"/>
      <c r="BC154" s="92"/>
      <c r="BD154" s="92"/>
      <c r="BE154" s="92"/>
      <c r="BF154" s="92"/>
      <c r="BG154" s="92"/>
      <c r="BH154" s="92"/>
      <c r="BI154" s="92"/>
    </row>
    <row r="155" spans="1:61">
      <c r="B155" s="92"/>
      <c r="C155" s="92"/>
      <c r="D155" s="92"/>
      <c r="E155" s="92"/>
      <c r="F155" s="92"/>
      <c r="G155" s="219"/>
      <c r="H155" s="92"/>
      <c r="I155" s="92"/>
      <c r="J155" s="219"/>
      <c r="K155" s="92"/>
      <c r="L155" s="92"/>
      <c r="M155" s="92"/>
      <c r="N155" s="92"/>
      <c r="O155" s="92"/>
      <c r="P155" s="92"/>
      <c r="Q155" s="92"/>
      <c r="R155" s="92"/>
      <c r="S155" s="92"/>
      <c r="T155" s="219"/>
      <c r="U155" s="219"/>
      <c r="V155" s="219"/>
      <c r="W155" s="92"/>
      <c r="X155" s="197"/>
      <c r="Y155" s="92"/>
      <c r="Z155" s="219"/>
      <c r="AA155" s="92"/>
      <c r="AB155" s="92"/>
      <c r="AC155" s="92"/>
      <c r="AD155" s="92"/>
      <c r="AE155" s="92"/>
      <c r="AF155" s="92"/>
      <c r="AG155" s="92"/>
      <c r="AH155" s="92"/>
      <c r="AI155" s="92"/>
      <c r="AJ155" s="92"/>
      <c r="AK155" s="92"/>
      <c r="AL155" s="92"/>
      <c r="AM155" s="92"/>
      <c r="AN155" s="92"/>
      <c r="AO155" s="92"/>
      <c r="AP155" s="92"/>
      <c r="AQ155" s="92"/>
      <c r="AR155" s="92"/>
      <c r="AS155" s="92"/>
      <c r="AT155" s="92"/>
      <c r="AU155" s="92"/>
      <c r="AV155" s="92"/>
      <c r="AW155" s="92"/>
      <c r="AX155" s="92"/>
      <c r="AY155" s="92"/>
      <c r="AZ155" s="92"/>
      <c r="BA155" s="92"/>
      <c r="BB155" s="92"/>
      <c r="BC155" s="92"/>
      <c r="BD155" s="92"/>
      <c r="BE155" s="92"/>
      <c r="BF155" s="92"/>
      <c r="BG155" s="92"/>
      <c r="BH155" s="92"/>
      <c r="BI155" s="92"/>
    </row>
    <row r="156" spans="1:61">
      <c r="B156" s="92"/>
      <c r="C156" s="92"/>
      <c r="D156" s="92"/>
      <c r="E156" s="92"/>
      <c r="F156" s="92"/>
      <c r="G156" s="219"/>
      <c r="H156" s="92"/>
      <c r="I156" s="92"/>
      <c r="J156" s="219"/>
      <c r="K156" s="92"/>
      <c r="L156" s="92"/>
      <c r="M156" s="92"/>
      <c r="N156" s="92"/>
      <c r="O156" s="92"/>
      <c r="P156" s="92"/>
      <c r="Q156" s="92"/>
      <c r="R156" s="92"/>
      <c r="S156" s="92"/>
      <c r="T156" s="219"/>
      <c r="U156" s="219"/>
      <c r="V156" s="219"/>
      <c r="W156" s="92"/>
      <c r="X156" s="197"/>
      <c r="Y156" s="92"/>
      <c r="Z156" s="219"/>
      <c r="AA156" s="92"/>
      <c r="AB156" s="92"/>
      <c r="AC156" s="92"/>
      <c r="AD156" s="92"/>
      <c r="AE156" s="92"/>
      <c r="AF156" s="92"/>
      <c r="AG156" s="92"/>
      <c r="AH156" s="92"/>
      <c r="AI156" s="92"/>
      <c r="AJ156" s="92"/>
      <c r="AK156" s="92"/>
      <c r="AL156" s="92"/>
      <c r="AM156" s="92"/>
      <c r="AN156" s="92"/>
      <c r="AO156" s="92"/>
      <c r="AP156" s="92"/>
      <c r="AQ156" s="92"/>
      <c r="AR156" s="92"/>
      <c r="AS156" s="92"/>
      <c r="AT156" s="92"/>
      <c r="AU156" s="92"/>
      <c r="AV156" s="92"/>
      <c r="AW156" s="92"/>
      <c r="AX156" s="92"/>
      <c r="AY156" s="92"/>
      <c r="AZ156" s="92"/>
      <c r="BA156" s="92"/>
      <c r="BB156" s="92"/>
      <c r="BC156" s="92"/>
      <c r="BD156" s="92"/>
      <c r="BE156" s="92"/>
      <c r="BF156" s="92"/>
      <c r="BG156" s="92"/>
      <c r="BH156" s="92"/>
      <c r="BI156" s="92"/>
    </row>
    <row r="157" spans="1:61">
      <c r="B157" s="92"/>
      <c r="C157" s="92"/>
      <c r="D157" s="92"/>
      <c r="E157" s="92"/>
      <c r="F157" s="92"/>
      <c r="G157" s="219"/>
      <c r="H157" s="92"/>
      <c r="I157" s="92"/>
      <c r="J157" s="219"/>
      <c r="K157" s="92"/>
      <c r="L157" s="92"/>
      <c r="M157" s="92"/>
      <c r="N157" s="92"/>
      <c r="O157" s="92"/>
      <c r="P157" s="92"/>
      <c r="Q157" s="92"/>
      <c r="R157" s="92"/>
      <c r="S157" s="92"/>
      <c r="T157" s="219"/>
      <c r="U157" s="219"/>
      <c r="V157" s="219"/>
      <c r="W157" s="92"/>
      <c r="X157" s="197"/>
      <c r="Y157" s="92"/>
      <c r="Z157" s="219"/>
      <c r="AA157" s="92"/>
      <c r="AB157" s="92"/>
      <c r="AC157" s="92"/>
      <c r="AD157" s="92"/>
      <c r="AE157" s="92"/>
      <c r="AF157" s="92"/>
      <c r="AG157" s="92"/>
      <c r="AH157" s="92"/>
      <c r="AI157" s="92"/>
      <c r="AJ157" s="92"/>
      <c r="AK157" s="92"/>
      <c r="AL157" s="92"/>
      <c r="AM157" s="92"/>
      <c r="AN157" s="92"/>
      <c r="AO157" s="92"/>
      <c r="AP157" s="92"/>
      <c r="AQ157" s="92"/>
      <c r="AR157" s="92"/>
      <c r="AS157" s="92"/>
      <c r="AT157" s="92"/>
      <c r="AU157" s="92"/>
      <c r="AV157" s="92"/>
      <c r="AW157" s="92"/>
      <c r="AX157" s="92"/>
      <c r="AY157" s="92"/>
      <c r="AZ157" s="92"/>
      <c r="BA157" s="92"/>
      <c r="BB157" s="92"/>
      <c r="BC157" s="92"/>
      <c r="BD157" s="92"/>
      <c r="BE157" s="92"/>
      <c r="BF157" s="92"/>
      <c r="BG157" s="92"/>
      <c r="BH157" s="92"/>
      <c r="BI157" s="92"/>
    </row>
    <row r="158" spans="1:61">
      <c r="B158" s="92"/>
      <c r="C158" s="92"/>
      <c r="D158" s="92"/>
      <c r="E158" s="92"/>
      <c r="F158" s="92"/>
      <c r="G158" s="219"/>
      <c r="H158" s="92"/>
      <c r="I158" s="92"/>
      <c r="J158" s="219"/>
      <c r="K158" s="92"/>
      <c r="L158" s="92"/>
      <c r="M158" s="92"/>
      <c r="N158" s="92"/>
      <c r="O158" s="92"/>
      <c r="P158" s="92"/>
      <c r="Q158" s="92"/>
      <c r="R158" s="92"/>
      <c r="S158" s="92"/>
      <c r="T158" s="219"/>
      <c r="U158" s="219"/>
      <c r="V158" s="219"/>
      <c r="W158" s="92"/>
      <c r="X158" s="197"/>
      <c r="Y158" s="92"/>
      <c r="Z158" s="219"/>
      <c r="AA158" s="92"/>
      <c r="AB158" s="92"/>
      <c r="AC158" s="92"/>
      <c r="AD158" s="92"/>
      <c r="AE158" s="92"/>
      <c r="AF158" s="92"/>
      <c r="AG158" s="92"/>
      <c r="AH158" s="92"/>
      <c r="AI158" s="92"/>
      <c r="AJ158" s="92"/>
      <c r="AK158" s="92"/>
      <c r="AL158" s="92"/>
      <c r="AM158" s="92"/>
      <c r="AN158" s="92"/>
      <c r="AO158" s="92"/>
      <c r="AP158" s="92"/>
      <c r="AQ158" s="92"/>
      <c r="AR158" s="92"/>
      <c r="AS158" s="92"/>
      <c r="AT158" s="92"/>
      <c r="AU158" s="92"/>
      <c r="AV158" s="92"/>
      <c r="AW158" s="92"/>
      <c r="AX158" s="92"/>
      <c r="AY158" s="92"/>
      <c r="AZ158" s="92"/>
      <c r="BA158" s="92"/>
      <c r="BB158" s="92"/>
      <c r="BC158" s="92"/>
      <c r="BD158" s="92"/>
      <c r="BE158" s="92"/>
      <c r="BF158" s="92"/>
      <c r="BG158" s="92"/>
      <c r="BH158" s="92"/>
      <c r="BI158" s="92"/>
    </row>
    <row r="159" spans="1:61" s="1" customFormat="1">
      <c r="A159" s="15"/>
      <c r="B159" s="92"/>
      <c r="C159" s="92"/>
      <c r="D159" s="92"/>
      <c r="E159" s="92"/>
      <c r="F159" s="92"/>
      <c r="G159" s="219"/>
      <c r="H159" s="92"/>
      <c r="I159" s="92"/>
      <c r="J159" s="219"/>
      <c r="K159" s="92"/>
      <c r="L159" s="92"/>
      <c r="M159" s="92"/>
      <c r="N159" s="92"/>
      <c r="O159" s="92"/>
      <c r="P159" s="92"/>
      <c r="Q159" s="92"/>
      <c r="R159" s="92"/>
      <c r="S159" s="92"/>
      <c r="T159" s="219"/>
      <c r="U159" s="219"/>
      <c r="V159" s="219"/>
      <c r="W159" s="92"/>
      <c r="X159" s="197"/>
      <c r="Y159" s="92"/>
      <c r="Z159" s="219"/>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row>
    <row r="160" spans="1:61">
      <c r="B160" s="92"/>
      <c r="C160" s="92"/>
      <c r="D160" s="92"/>
      <c r="E160" s="92"/>
      <c r="F160" s="92"/>
      <c r="G160" s="219"/>
      <c r="H160" s="92"/>
      <c r="I160" s="92"/>
      <c r="J160" s="219"/>
      <c r="K160" s="92"/>
      <c r="L160" s="92"/>
      <c r="M160" s="92"/>
      <c r="N160" s="92"/>
      <c r="O160" s="92"/>
      <c r="P160" s="92"/>
      <c r="Q160" s="92"/>
      <c r="R160" s="92"/>
      <c r="S160" s="92"/>
      <c r="T160" s="219"/>
      <c r="U160" s="219"/>
      <c r="V160" s="219"/>
      <c r="W160" s="92"/>
      <c r="X160" s="197"/>
      <c r="Y160" s="92"/>
      <c r="Z160" s="219"/>
      <c r="AA160" s="92"/>
      <c r="AB160" s="92"/>
      <c r="AC160" s="92"/>
      <c r="AD160" s="92"/>
      <c r="AE160" s="92"/>
      <c r="AF160" s="92"/>
      <c r="AG160" s="92"/>
      <c r="AH160" s="92"/>
      <c r="AI160" s="92"/>
      <c r="AJ160" s="92"/>
      <c r="AK160" s="92"/>
      <c r="AL160" s="92"/>
      <c r="AM160" s="92"/>
      <c r="AN160" s="92"/>
      <c r="AO160" s="92"/>
      <c r="AP160" s="92"/>
      <c r="AQ160" s="92"/>
      <c r="AR160" s="92"/>
      <c r="AS160" s="92"/>
      <c r="AT160" s="92"/>
      <c r="AU160" s="92"/>
      <c r="AV160" s="92"/>
      <c r="AW160" s="92"/>
      <c r="AX160" s="92"/>
      <c r="AY160" s="92"/>
      <c r="AZ160" s="92"/>
      <c r="BA160" s="92"/>
      <c r="BB160" s="92"/>
      <c r="BC160" s="92"/>
      <c r="BD160" s="92"/>
      <c r="BE160" s="92"/>
      <c r="BF160" s="92"/>
      <c r="BG160" s="92"/>
      <c r="BH160" s="92"/>
      <c r="BI160" s="92"/>
    </row>
    <row r="161" spans="2:61">
      <c r="B161" s="92"/>
      <c r="C161" s="92"/>
      <c r="D161" s="92"/>
      <c r="E161" s="92"/>
      <c r="F161" s="92"/>
      <c r="G161" s="219"/>
      <c r="H161" s="92"/>
      <c r="I161" s="92"/>
      <c r="J161" s="219"/>
      <c r="K161" s="92"/>
      <c r="L161" s="92"/>
      <c r="M161" s="92"/>
      <c r="N161" s="92"/>
      <c r="O161" s="92"/>
      <c r="P161" s="92"/>
      <c r="Q161" s="92"/>
      <c r="R161" s="92"/>
      <c r="S161" s="92"/>
      <c r="T161" s="219"/>
      <c r="U161" s="219"/>
      <c r="V161" s="219"/>
      <c r="W161" s="92"/>
      <c r="X161" s="197"/>
      <c r="Y161" s="92"/>
      <c r="Z161" s="219"/>
      <c r="AA161" s="92"/>
      <c r="AB161" s="92"/>
      <c r="AC161" s="92"/>
      <c r="AD161" s="92"/>
      <c r="AE161" s="92"/>
      <c r="AF161" s="92"/>
      <c r="AG161" s="92"/>
      <c r="AH161" s="92"/>
      <c r="AI161" s="92"/>
      <c r="AJ161" s="92"/>
      <c r="AK161" s="92"/>
      <c r="AL161" s="92"/>
      <c r="AM161" s="92"/>
      <c r="AN161" s="92"/>
      <c r="AO161" s="92"/>
      <c r="AP161" s="92"/>
      <c r="AQ161" s="92"/>
      <c r="AR161" s="92"/>
      <c r="AS161" s="92"/>
      <c r="AT161" s="92"/>
      <c r="AU161" s="92"/>
      <c r="AV161" s="92"/>
      <c r="AW161" s="92"/>
      <c r="AX161" s="92"/>
      <c r="AY161" s="92"/>
      <c r="AZ161" s="92"/>
      <c r="BA161" s="92"/>
      <c r="BB161" s="92"/>
      <c r="BC161" s="92"/>
      <c r="BD161" s="92"/>
      <c r="BE161" s="92"/>
      <c r="BF161" s="92"/>
      <c r="BG161" s="92"/>
      <c r="BH161" s="92"/>
      <c r="BI161" s="92"/>
    </row>
    <row r="162" spans="2:61">
      <c r="B162" s="92"/>
      <c r="C162" s="92"/>
      <c r="D162" s="92"/>
      <c r="E162" s="92"/>
      <c r="F162" s="92"/>
      <c r="G162" s="219"/>
      <c r="H162" s="92"/>
      <c r="I162" s="92"/>
      <c r="J162" s="219"/>
      <c r="K162" s="92"/>
      <c r="L162" s="92"/>
      <c r="M162" s="92"/>
      <c r="N162" s="92"/>
      <c r="O162" s="92"/>
      <c r="P162" s="92"/>
      <c r="Q162" s="92"/>
      <c r="R162" s="92"/>
      <c r="S162" s="92"/>
      <c r="T162" s="219"/>
      <c r="U162" s="219"/>
      <c r="V162" s="219"/>
      <c r="W162" s="92"/>
      <c r="X162" s="197"/>
      <c r="Y162" s="92"/>
      <c r="Z162" s="219"/>
      <c r="AA162" s="92"/>
      <c r="AB162" s="92"/>
      <c r="AC162" s="92"/>
      <c r="AD162" s="92"/>
      <c r="AE162" s="92"/>
      <c r="AF162" s="92"/>
      <c r="AG162" s="92"/>
      <c r="AH162" s="92"/>
      <c r="AI162" s="92"/>
      <c r="AJ162" s="92"/>
      <c r="AK162" s="92"/>
      <c r="AL162" s="92"/>
      <c r="AM162" s="92"/>
      <c r="AN162" s="92"/>
      <c r="AO162" s="92"/>
      <c r="AP162" s="92"/>
      <c r="AQ162" s="92"/>
      <c r="AR162" s="92"/>
      <c r="AS162" s="92"/>
      <c r="AT162" s="92"/>
      <c r="AU162" s="92"/>
      <c r="AV162" s="92"/>
      <c r="AW162" s="92"/>
      <c r="AX162" s="92"/>
      <c r="AY162" s="92"/>
      <c r="AZ162" s="92"/>
      <c r="BA162" s="92"/>
      <c r="BB162" s="92"/>
      <c r="BC162" s="92"/>
      <c r="BD162" s="92"/>
      <c r="BE162" s="92"/>
      <c r="BF162" s="92"/>
      <c r="BG162" s="92"/>
      <c r="BH162" s="92"/>
      <c r="BI162" s="92"/>
    </row>
    <row r="163" spans="2:61">
      <c r="B163" s="92"/>
      <c r="C163" s="92"/>
      <c r="D163" s="92"/>
      <c r="E163" s="92"/>
      <c r="F163" s="92"/>
      <c r="G163" s="219"/>
      <c r="H163" s="92"/>
      <c r="I163" s="92"/>
      <c r="J163" s="219"/>
      <c r="K163" s="92"/>
      <c r="L163" s="92"/>
      <c r="M163" s="92"/>
      <c r="N163" s="92"/>
      <c r="O163" s="92"/>
      <c r="P163" s="92"/>
      <c r="Q163" s="92"/>
      <c r="R163" s="92"/>
      <c r="S163" s="92"/>
      <c r="T163" s="219"/>
      <c r="U163" s="219"/>
      <c r="V163" s="219"/>
      <c r="W163" s="92"/>
      <c r="X163" s="197"/>
      <c r="Y163" s="92"/>
      <c r="Z163" s="219"/>
      <c r="AA163" s="92"/>
      <c r="AB163" s="92"/>
      <c r="AC163" s="92"/>
      <c r="AD163" s="92"/>
      <c r="AE163" s="92"/>
      <c r="AF163" s="92"/>
      <c r="AG163" s="92"/>
      <c r="AH163" s="92"/>
      <c r="AI163" s="92"/>
      <c r="AJ163" s="92"/>
      <c r="AK163" s="92"/>
      <c r="AL163" s="92"/>
      <c r="AM163" s="92"/>
      <c r="AN163" s="92"/>
      <c r="AO163" s="92"/>
      <c r="AP163" s="92"/>
      <c r="AQ163" s="92"/>
      <c r="AR163" s="92"/>
      <c r="AS163" s="92"/>
      <c r="AT163" s="92"/>
      <c r="AU163" s="92"/>
      <c r="AV163" s="92"/>
      <c r="AW163" s="92"/>
      <c r="AX163" s="92"/>
      <c r="AY163" s="92"/>
      <c r="AZ163" s="92"/>
      <c r="BA163" s="92"/>
      <c r="BB163" s="92"/>
      <c r="BC163" s="92"/>
      <c r="BD163" s="92"/>
      <c r="BE163" s="92"/>
      <c r="BF163" s="92"/>
      <c r="BG163" s="92"/>
      <c r="BH163" s="92"/>
      <c r="BI163" s="92"/>
    </row>
    <row r="164" spans="2:61">
      <c r="B164" s="92"/>
      <c r="C164" s="92"/>
      <c r="D164" s="92"/>
      <c r="E164" s="92"/>
      <c r="F164" s="92"/>
      <c r="G164" s="219"/>
      <c r="H164" s="92"/>
      <c r="I164" s="92"/>
      <c r="J164" s="219"/>
      <c r="K164" s="92"/>
      <c r="L164" s="92"/>
      <c r="M164" s="92"/>
      <c r="N164" s="92"/>
      <c r="O164" s="92"/>
      <c r="P164" s="92"/>
      <c r="Q164" s="92"/>
      <c r="R164" s="92"/>
      <c r="S164" s="92"/>
      <c r="T164" s="219"/>
      <c r="U164" s="219"/>
      <c r="V164" s="219"/>
      <c r="W164" s="92"/>
      <c r="X164" s="197"/>
      <c r="Y164" s="92"/>
      <c r="Z164" s="219"/>
      <c r="AA164" s="92"/>
      <c r="AB164" s="92"/>
      <c r="AC164" s="92"/>
      <c r="AD164" s="92"/>
      <c r="AE164" s="92"/>
      <c r="AF164" s="92"/>
      <c r="AG164" s="92"/>
      <c r="AH164" s="92"/>
      <c r="AI164" s="92"/>
      <c r="AJ164" s="92"/>
      <c r="AK164" s="92"/>
      <c r="AL164" s="92"/>
      <c r="AM164" s="92"/>
      <c r="AN164" s="92"/>
      <c r="AO164" s="92"/>
      <c r="AP164" s="92"/>
      <c r="AQ164" s="92"/>
      <c r="AR164" s="92"/>
      <c r="AS164" s="92"/>
      <c r="AT164" s="92"/>
      <c r="AU164" s="92"/>
      <c r="AV164" s="92"/>
      <c r="AW164" s="92"/>
      <c r="AX164" s="92"/>
      <c r="AY164" s="92"/>
      <c r="AZ164" s="92"/>
      <c r="BA164" s="92"/>
      <c r="BB164" s="92"/>
      <c r="BC164" s="92"/>
      <c r="BD164" s="92"/>
      <c r="BE164" s="92"/>
      <c r="BF164" s="92"/>
      <c r="BG164" s="92"/>
      <c r="BH164" s="92"/>
      <c r="BI164" s="92"/>
    </row>
    <row r="165" spans="2:61">
      <c r="B165" s="92"/>
      <c r="C165" s="92"/>
      <c r="D165" s="92"/>
      <c r="E165" s="92"/>
      <c r="F165" s="92"/>
      <c r="G165" s="219"/>
      <c r="H165" s="92"/>
      <c r="I165" s="92"/>
      <c r="J165" s="219"/>
      <c r="K165" s="92"/>
      <c r="L165" s="92"/>
      <c r="M165" s="92"/>
      <c r="N165" s="92"/>
      <c r="O165" s="92"/>
      <c r="P165" s="92"/>
      <c r="Q165" s="92"/>
      <c r="R165" s="92"/>
      <c r="S165" s="92"/>
      <c r="T165" s="219"/>
      <c r="U165" s="219"/>
      <c r="V165" s="219"/>
      <c r="W165" s="92"/>
      <c r="X165" s="197"/>
      <c r="Y165" s="92"/>
      <c r="Z165" s="219"/>
      <c r="AA165" s="92"/>
      <c r="AB165" s="92"/>
      <c r="AC165" s="92"/>
      <c r="AD165" s="92"/>
      <c r="AE165" s="92"/>
      <c r="AF165" s="92"/>
      <c r="AG165" s="92"/>
      <c r="AH165" s="92"/>
      <c r="AI165" s="92"/>
      <c r="AJ165" s="92"/>
      <c r="AK165" s="92"/>
      <c r="AL165" s="92"/>
      <c r="AM165" s="92"/>
      <c r="AN165" s="92"/>
      <c r="AO165" s="92"/>
      <c r="AP165" s="92"/>
      <c r="AQ165" s="92"/>
      <c r="AR165" s="92"/>
      <c r="AS165" s="92"/>
      <c r="AT165" s="92"/>
      <c r="AU165" s="92"/>
      <c r="AV165" s="92"/>
      <c r="AW165" s="92"/>
      <c r="AX165" s="92"/>
      <c r="AY165" s="92"/>
      <c r="AZ165" s="92"/>
      <c r="BA165" s="92"/>
      <c r="BB165" s="92"/>
      <c r="BC165" s="92"/>
      <c r="BD165" s="92"/>
      <c r="BE165" s="92"/>
      <c r="BF165" s="92"/>
      <c r="BG165" s="92"/>
      <c r="BH165" s="92"/>
      <c r="BI165" s="92"/>
    </row>
    <row r="166" spans="2:61">
      <c r="B166" s="92"/>
      <c r="C166" s="92"/>
      <c r="D166" s="92"/>
      <c r="E166" s="92"/>
      <c r="F166" s="92"/>
      <c r="G166" s="219"/>
      <c r="H166" s="92"/>
      <c r="I166" s="92"/>
      <c r="J166" s="219"/>
      <c r="K166" s="92"/>
      <c r="L166" s="92"/>
      <c r="M166" s="92"/>
      <c r="N166" s="92"/>
      <c r="O166" s="92"/>
      <c r="P166" s="92"/>
      <c r="Q166" s="92"/>
      <c r="R166" s="92"/>
      <c r="S166" s="92"/>
      <c r="T166" s="219"/>
      <c r="U166" s="219"/>
      <c r="V166" s="219"/>
      <c r="W166" s="92"/>
      <c r="X166" s="197"/>
      <c r="Y166" s="92"/>
      <c r="Z166" s="219"/>
      <c r="AA166" s="92"/>
      <c r="AB166" s="92"/>
      <c r="AC166" s="92"/>
      <c r="AD166" s="92"/>
      <c r="AE166" s="92"/>
      <c r="AF166" s="92"/>
      <c r="AG166" s="92"/>
      <c r="AH166" s="92"/>
      <c r="AI166" s="92"/>
      <c r="AJ166" s="92"/>
      <c r="AK166" s="92"/>
      <c r="AL166" s="92"/>
      <c r="AM166" s="92"/>
      <c r="AN166" s="92"/>
      <c r="AO166" s="92"/>
      <c r="AP166" s="92"/>
      <c r="AQ166" s="92"/>
      <c r="AR166" s="92"/>
      <c r="AS166" s="92"/>
      <c r="AT166" s="92"/>
      <c r="AU166" s="92"/>
      <c r="AV166" s="92"/>
      <c r="AW166" s="92"/>
      <c r="AX166" s="92"/>
      <c r="AY166" s="92"/>
      <c r="AZ166" s="92"/>
      <c r="BA166" s="92"/>
      <c r="BB166" s="92"/>
      <c r="BC166" s="92"/>
      <c r="BD166" s="92"/>
      <c r="BE166" s="92"/>
      <c r="BF166" s="92"/>
      <c r="BG166" s="92"/>
      <c r="BH166" s="92"/>
      <c r="BI166" s="92"/>
    </row>
    <row r="167" spans="2:61">
      <c r="B167" s="92"/>
      <c r="C167" s="92"/>
      <c r="D167" s="92"/>
      <c r="E167" s="92"/>
      <c r="F167" s="92"/>
      <c r="G167" s="219"/>
      <c r="H167" s="92"/>
      <c r="I167" s="92"/>
      <c r="J167" s="219"/>
      <c r="K167" s="92"/>
      <c r="L167" s="92"/>
      <c r="M167" s="92"/>
      <c r="N167" s="92"/>
      <c r="O167" s="92"/>
      <c r="P167" s="92"/>
      <c r="Q167" s="92"/>
      <c r="R167" s="92"/>
      <c r="S167" s="92"/>
      <c r="T167" s="219"/>
      <c r="U167" s="219"/>
      <c r="V167" s="219"/>
      <c r="W167" s="92"/>
      <c r="X167" s="197"/>
      <c r="Y167" s="92"/>
      <c r="Z167" s="219"/>
      <c r="AA167" s="92"/>
      <c r="AB167" s="92"/>
      <c r="AC167" s="92"/>
      <c r="AD167" s="92"/>
      <c r="AE167" s="92"/>
      <c r="AF167" s="92"/>
      <c r="AG167" s="92"/>
      <c r="AH167" s="92"/>
      <c r="AI167" s="92"/>
      <c r="AJ167" s="92"/>
      <c r="AK167" s="92"/>
      <c r="AL167" s="92"/>
      <c r="AM167" s="92"/>
      <c r="AN167" s="92"/>
      <c r="AO167" s="92"/>
      <c r="AP167" s="92"/>
      <c r="AQ167" s="92"/>
      <c r="AR167" s="92"/>
      <c r="AS167" s="92"/>
      <c r="AT167" s="92"/>
      <c r="AU167" s="92"/>
      <c r="AV167" s="92"/>
      <c r="AW167" s="92"/>
      <c r="AX167" s="92"/>
      <c r="AY167" s="92"/>
      <c r="AZ167" s="92"/>
      <c r="BA167" s="92"/>
      <c r="BB167" s="92"/>
      <c r="BC167" s="92"/>
      <c r="BD167" s="92"/>
      <c r="BE167" s="92"/>
      <c r="BF167" s="92"/>
      <c r="BG167" s="92"/>
      <c r="BH167" s="92"/>
      <c r="BI167" s="92"/>
    </row>
    <row r="168" spans="2:61">
      <c r="B168" s="92"/>
      <c r="C168" s="92"/>
      <c r="D168" s="92"/>
      <c r="E168" s="92"/>
      <c r="F168" s="92"/>
      <c r="G168" s="219"/>
      <c r="H168" s="92"/>
      <c r="I168" s="92"/>
      <c r="J168" s="219"/>
      <c r="K168" s="92"/>
      <c r="L168" s="92"/>
      <c r="M168" s="92"/>
      <c r="N168" s="92"/>
      <c r="O168" s="92"/>
      <c r="P168" s="92"/>
      <c r="Q168" s="92"/>
      <c r="R168" s="92"/>
      <c r="S168" s="92"/>
      <c r="T168" s="219"/>
      <c r="U168" s="219"/>
      <c r="V168" s="219"/>
      <c r="W168" s="92"/>
      <c r="X168" s="197"/>
      <c r="Y168" s="92"/>
      <c r="Z168" s="219"/>
      <c r="AA168" s="92"/>
      <c r="AB168" s="92"/>
      <c r="AC168" s="92"/>
      <c r="AD168" s="92"/>
      <c r="AE168" s="92"/>
      <c r="AF168" s="92"/>
      <c r="AG168" s="92"/>
      <c r="AH168" s="92"/>
      <c r="AI168" s="92"/>
      <c r="AJ168" s="92"/>
      <c r="AK168" s="92"/>
      <c r="AL168" s="92"/>
      <c r="AM168" s="92"/>
      <c r="AN168" s="92"/>
      <c r="AO168" s="92"/>
      <c r="AP168" s="92"/>
      <c r="AQ168" s="92"/>
      <c r="AR168" s="92"/>
      <c r="AS168" s="92"/>
      <c r="AT168" s="92"/>
      <c r="AU168" s="92"/>
      <c r="AV168" s="92"/>
      <c r="AW168" s="92"/>
      <c r="AX168" s="92"/>
      <c r="AY168" s="92"/>
      <c r="AZ168" s="92"/>
      <c r="BA168" s="92"/>
      <c r="BB168" s="92"/>
      <c r="BC168" s="92"/>
      <c r="BD168" s="92"/>
      <c r="BE168" s="92"/>
      <c r="BF168" s="92"/>
      <c r="BG168" s="92"/>
      <c r="BH168" s="92"/>
      <c r="BI168" s="92"/>
    </row>
    <row r="169" spans="2:61">
      <c r="B169" s="92"/>
      <c r="C169" s="92"/>
      <c r="D169" s="92"/>
      <c r="E169" s="92"/>
      <c r="F169" s="92"/>
      <c r="G169" s="219"/>
      <c r="H169" s="92"/>
      <c r="I169" s="92"/>
      <c r="J169" s="219"/>
      <c r="K169" s="92"/>
      <c r="L169" s="92"/>
      <c r="M169" s="92"/>
      <c r="N169" s="92"/>
      <c r="O169" s="92"/>
      <c r="P169" s="92"/>
      <c r="Q169" s="92"/>
      <c r="R169" s="92"/>
      <c r="S169" s="92"/>
      <c r="T169" s="219"/>
      <c r="U169" s="219"/>
      <c r="V169" s="219"/>
      <c r="W169" s="92"/>
      <c r="X169" s="197"/>
      <c r="Y169" s="92"/>
      <c r="Z169" s="219"/>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row>
    <row r="170" spans="2:61">
      <c r="B170" s="92"/>
      <c r="C170" s="92"/>
      <c r="D170" s="92"/>
      <c r="E170" s="92"/>
      <c r="F170" s="92"/>
      <c r="G170" s="219"/>
      <c r="H170" s="92"/>
      <c r="I170" s="92"/>
      <c r="J170" s="219"/>
      <c r="K170" s="92"/>
      <c r="L170" s="92"/>
      <c r="M170" s="92"/>
      <c r="N170" s="92"/>
      <c r="O170" s="92"/>
      <c r="P170" s="92"/>
      <c r="Q170" s="92"/>
      <c r="R170" s="92"/>
      <c r="S170" s="92"/>
      <c r="T170" s="219"/>
      <c r="U170" s="219"/>
      <c r="V170" s="219"/>
      <c r="W170" s="92"/>
      <c r="X170" s="197"/>
      <c r="Y170" s="92"/>
      <c r="Z170" s="219"/>
      <c r="AA170" s="92"/>
      <c r="AB170" s="92"/>
      <c r="AC170" s="92"/>
      <c r="AD170" s="92"/>
      <c r="AE170" s="92"/>
      <c r="AF170" s="92"/>
      <c r="AG170" s="92"/>
      <c r="AH170" s="92"/>
      <c r="AI170" s="92"/>
      <c r="AJ170" s="92"/>
      <c r="AK170" s="92"/>
      <c r="AL170" s="92"/>
      <c r="AM170" s="92"/>
      <c r="AN170" s="92"/>
      <c r="AO170" s="92"/>
      <c r="AP170" s="92"/>
      <c r="AQ170" s="92"/>
      <c r="AR170" s="92"/>
      <c r="AS170" s="92"/>
      <c r="AT170" s="92"/>
      <c r="AU170" s="92"/>
      <c r="AV170" s="92"/>
      <c r="AW170" s="92"/>
      <c r="AX170" s="92"/>
      <c r="AY170" s="92"/>
      <c r="AZ170" s="92"/>
      <c r="BA170" s="92"/>
      <c r="BB170" s="92"/>
      <c r="BC170" s="92"/>
      <c r="BD170" s="92"/>
      <c r="BE170" s="92"/>
      <c r="BF170" s="92"/>
      <c r="BG170" s="92"/>
      <c r="BH170" s="92"/>
      <c r="BI170" s="92"/>
    </row>
    <row r="171" spans="2:61">
      <c r="B171" s="92"/>
      <c r="C171" s="92"/>
      <c r="D171" s="92"/>
      <c r="E171" s="92"/>
      <c r="F171" s="92"/>
      <c r="G171" s="219"/>
      <c r="H171" s="92"/>
      <c r="I171" s="92"/>
      <c r="J171" s="219"/>
      <c r="K171" s="92"/>
      <c r="L171" s="92"/>
      <c r="M171" s="92"/>
      <c r="N171" s="92"/>
      <c r="O171" s="92"/>
      <c r="P171" s="92"/>
      <c r="Q171" s="92"/>
      <c r="R171" s="92"/>
      <c r="S171" s="92"/>
      <c r="T171" s="219"/>
      <c r="U171" s="219"/>
      <c r="V171" s="219"/>
      <c r="W171" s="92"/>
      <c r="X171" s="197"/>
      <c r="Y171" s="92"/>
      <c r="Z171" s="219"/>
      <c r="AA171" s="92"/>
      <c r="AB171" s="92"/>
      <c r="AC171" s="92"/>
      <c r="AD171" s="92"/>
      <c r="AE171" s="92"/>
      <c r="AF171" s="92"/>
      <c r="AG171" s="92"/>
      <c r="AH171" s="92"/>
      <c r="AI171" s="92"/>
      <c r="AJ171" s="92"/>
      <c r="AK171" s="92"/>
      <c r="AL171" s="92"/>
      <c r="AM171" s="92"/>
      <c r="AN171" s="92"/>
      <c r="AO171" s="92"/>
      <c r="AP171" s="92"/>
      <c r="AQ171" s="92"/>
      <c r="AR171" s="92"/>
      <c r="AS171" s="92"/>
      <c r="AT171" s="92"/>
      <c r="AU171" s="92"/>
      <c r="AV171" s="92"/>
      <c r="AW171" s="92"/>
      <c r="AX171" s="92"/>
      <c r="AY171" s="92"/>
      <c r="AZ171" s="92"/>
      <c r="BA171" s="92"/>
      <c r="BB171" s="92"/>
      <c r="BC171" s="92"/>
      <c r="BD171" s="92"/>
      <c r="BE171" s="92"/>
      <c r="BF171" s="92"/>
      <c r="BG171" s="92"/>
      <c r="BH171" s="92"/>
      <c r="BI171" s="92"/>
    </row>
    <row r="172" spans="2:61">
      <c r="B172" s="92"/>
      <c r="C172" s="92"/>
      <c r="D172" s="92"/>
      <c r="E172" s="92"/>
      <c r="F172" s="92"/>
      <c r="G172" s="219"/>
      <c r="H172" s="92"/>
      <c r="I172" s="92"/>
      <c r="J172" s="219"/>
      <c r="K172" s="92"/>
      <c r="L172" s="92"/>
      <c r="M172" s="92"/>
      <c r="N172" s="92"/>
      <c r="O172" s="92"/>
      <c r="P172" s="92"/>
      <c r="Q172" s="92"/>
      <c r="R172" s="92"/>
      <c r="S172" s="92"/>
      <c r="T172" s="219"/>
      <c r="U172" s="219"/>
      <c r="V172" s="219"/>
      <c r="W172" s="92"/>
      <c r="X172" s="197"/>
      <c r="Y172" s="92"/>
      <c r="Z172" s="219"/>
      <c r="AA172" s="92"/>
      <c r="AB172" s="92"/>
      <c r="AC172" s="92"/>
      <c r="AD172" s="92"/>
      <c r="AE172" s="92"/>
      <c r="AF172" s="92"/>
      <c r="AG172" s="92"/>
      <c r="AH172" s="92"/>
      <c r="AI172" s="92"/>
      <c r="AJ172" s="92"/>
      <c r="AK172" s="92"/>
      <c r="AL172" s="92"/>
      <c r="AM172" s="92"/>
      <c r="AN172" s="92"/>
      <c r="AO172" s="92"/>
      <c r="AP172" s="92"/>
      <c r="AQ172" s="92"/>
      <c r="AR172" s="92"/>
      <c r="AS172" s="92"/>
      <c r="AT172" s="92"/>
      <c r="AU172" s="92"/>
      <c r="AV172" s="92"/>
      <c r="AW172" s="92"/>
      <c r="AX172" s="92"/>
      <c r="AY172" s="92"/>
      <c r="AZ172" s="92"/>
      <c r="BA172" s="92"/>
      <c r="BB172" s="92"/>
      <c r="BC172" s="92"/>
      <c r="BD172" s="92"/>
      <c r="BE172" s="92"/>
      <c r="BF172" s="92"/>
      <c r="BG172" s="92"/>
      <c r="BH172" s="92"/>
      <c r="BI172" s="92"/>
    </row>
    <row r="173" spans="2:61">
      <c r="B173" s="92"/>
      <c r="C173" s="92"/>
      <c r="D173" s="92"/>
      <c r="E173" s="92"/>
      <c r="F173" s="92"/>
      <c r="G173" s="219"/>
      <c r="H173" s="92"/>
      <c r="I173" s="92"/>
      <c r="J173" s="219"/>
      <c r="K173" s="92"/>
      <c r="L173" s="92"/>
      <c r="M173" s="92"/>
      <c r="N173" s="92"/>
      <c r="O173" s="92"/>
      <c r="P173" s="92"/>
      <c r="Q173" s="92"/>
      <c r="R173" s="92"/>
      <c r="S173" s="92"/>
      <c r="T173" s="219"/>
      <c r="U173" s="219"/>
      <c r="V173" s="219"/>
      <c r="W173" s="92"/>
      <c r="X173" s="197"/>
      <c r="Y173" s="92"/>
      <c r="Z173" s="219"/>
      <c r="AA173" s="92"/>
      <c r="AB173" s="92"/>
      <c r="AC173" s="92"/>
      <c r="AD173" s="92"/>
      <c r="AE173" s="92"/>
      <c r="AF173" s="92"/>
      <c r="AG173" s="92"/>
      <c r="AH173" s="92"/>
      <c r="AI173" s="92"/>
      <c r="AJ173" s="92"/>
      <c r="AK173" s="92"/>
      <c r="AL173" s="92"/>
      <c r="AM173" s="92"/>
      <c r="AN173" s="92"/>
      <c r="AO173" s="92"/>
      <c r="AP173" s="92"/>
      <c r="AQ173" s="92"/>
      <c r="AR173" s="92"/>
      <c r="AS173" s="92"/>
      <c r="AT173" s="92"/>
      <c r="AU173" s="92"/>
      <c r="AV173" s="92"/>
      <c r="AW173" s="92"/>
      <c r="AX173" s="92"/>
      <c r="AY173" s="92"/>
      <c r="AZ173" s="92"/>
      <c r="BA173" s="92"/>
      <c r="BB173" s="92"/>
      <c r="BC173" s="92"/>
      <c r="BD173" s="92"/>
      <c r="BE173" s="92"/>
      <c r="BF173" s="92"/>
      <c r="BG173" s="92"/>
      <c r="BH173" s="92"/>
      <c r="BI173" s="92"/>
    </row>
    <row r="174" spans="2:61">
      <c r="B174" s="92"/>
      <c r="C174" s="92"/>
      <c r="D174" s="92"/>
      <c r="E174" s="92"/>
      <c r="F174" s="92"/>
      <c r="G174" s="219"/>
      <c r="H174" s="92"/>
      <c r="I174" s="92"/>
      <c r="J174" s="219"/>
      <c r="K174" s="92"/>
      <c r="L174" s="92"/>
      <c r="M174" s="92"/>
      <c r="N174" s="92"/>
      <c r="O174" s="92"/>
      <c r="P174" s="92"/>
      <c r="Q174" s="92"/>
      <c r="R174" s="92"/>
      <c r="S174" s="92"/>
      <c r="T174" s="219"/>
      <c r="U174" s="219"/>
      <c r="V174" s="219"/>
      <c r="W174" s="92"/>
      <c r="X174" s="197"/>
      <c r="Y174" s="92"/>
      <c r="Z174" s="219"/>
      <c r="AA174" s="92"/>
      <c r="AB174" s="92"/>
      <c r="AC174" s="92"/>
      <c r="AD174" s="92"/>
      <c r="AE174" s="92"/>
      <c r="AF174" s="92"/>
      <c r="AG174" s="92"/>
      <c r="AH174" s="92"/>
      <c r="AI174" s="92"/>
      <c r="AJ174" s="92"/>
      <c r="AK174" s="92"/>
      <c r="AL174" s="92"/>
      <c r="AM174" s="92"/>
      <c r="AN174" s="92"/>
      <c r="AO174" s="92"/>
      <c r="AP174" s="92"/>
      <c r="AQ174" s="92"/>
      <c r="AR174" s="92"/>
      <c r="AS174" s="92"/>
      <c r="AT174" s="92"/>
      <c r="AU174" s="92"/>
      <c r="AV174" s="92"/>
      <c r="AW174" s="92"/>
      <c r="AX174" s="92"/>
      <c r="AY174" s="92"/>
      <c r="AZ174" s="92"/>
      <c r="BA174" s="92"/>
      <c r="BB174" s="92"/>
      <c r="BC174" s="92"/>
      <c r="BD174" s="92"/>
      <c r="BE174" s="92"/>
      <c r="BF174" s="92"/>
      <c r="BG174" s="92"/>
      <c r="BH174" s="92"/>
      <c r="BI174" s="92"/>
    </row>
    <row r="175" spans="2:61">
      <c r="B175" s="92"/>
      <c r="C175" s="92"/>
      <c r="D175" s="92"/>
      <c r="E175" s="92"/>
      <c r="F175" s="92"/>
      <c r="G175" s="219"/>
      <c r="H175" s="92"/>
      <c r="I175" s="92"/>
      <c r="J175" s="219"/>
      <c r="K175" s="92"/>
      <c r="L175" s="92"/>
      <c r="M175" s="92"/>
      <c r="N175" s="92"/>
      <c r="O175" s="92"/>
      <c r="P175" s="92"/>
      <c r="Q175" s="92"/>
      <c r="R175" s="92"/>
      <c r="S175" s="92"/>
      <c r="T175" s="219"/>
      <c r="U175" s="219"/>
      <c r="V175" s="219"/>
      <c r="W175" s="92"/>
      <c r="X175" s="197"/>
      <c r="Y175" s="92"/>
      <c r="Z175" s="219"/>
      <c r="AA175" s="92"/>
      <c r="AB175" s="92"/>
      <c r="AC175" s="92"/>
      <c r="AD175" s="92"/>
      <c r="AE175" s="92"/>
      <c r="AF175" s="92"/>
      <c r="AG175" s="92"/>
      <c r="AH175" s="92"/>
      <c r="AI175" s="92"/>
      <c r="AJ175" s="92"/>
      <c r="AK175" s="92"/>
      <c r="AL175" s="92"/>
      <c r="AM175" s="92"/>
      <c r="AN175" s="92"/>
      <c r="AO175" s="92"/>
      <c r="AP175" s="92"/>
      <c r="AQ175" s="92"/>
      <c r="AR175" s="92"/>
      <c r="AS175" s="92"/>
      <c r="AT175" s="92"/>
      <c r="AU175" s="92"/>
      <c r="AV175" s="92"/>
      <c r="AW175" s="92"/>
      <c r="AX175" s="92"/>
      <c r="AY175" s="92"/>
      <c r="AZ175" s="92"/>
      <c r="BA175" s="92"/>
      <c r="BB175" s="92"/>
      <c r="BC175" s="92"/>
      <c r="BD175" s="92"/>
      <c r="BE175" s="92"/>
      <c r="BF175" s="92"/>
      <c r="BG175" s="92"/>
      <c r="BH175" s="92"/>
      <c r="BI175" s="92"/>
    </row>
    <row r="176" spans="2:61">
      <c r="B176" s="92"/>
      <c r="C176" s="92"/>
      <c r="D176" s="92"/>
      <c r="E176" s="92"/>
      <c r="F176" s="92"/>
      <c r="G176" s="219"/>
      <c r="H176" s="92"/>
      <c r="I176" s="92"/>
      <c r="J176" s="219"/>
      <c r="K176" s="92"/>
      <c r="L176" s="92"/>
      <c r="M176" s="92"/>
      <c r="N176" s="92"/>
      <c r="O176" s="92"/>
      <c r="P176" s="92"/>
      <c r="Q176" s="92"/>
      <c r="R176" s="92"/>
      <c r="S176" s="92"/>
      <c r="T176" s="219"/>
      <c r="U176" s="219"/>
      <c r="V176" s="219"/>
      <c r="W176" s="92"/>
      <c r="X176" s="197"/>
      <c r="Y176" s="92"/>
      <c r="Z176" s="219"/>
      <c r="AA176" s="92"/>
      <c r="AB176" s="92"/>
      <c r="AC176" s="92"/>
      <c r="AD176" s="92"/>
      <c r="AE176" s="92"/>
      <c r="AF176" s="92"/>
      <c r="AG176" s="92"/>
      <c r="AH176" s="92"/>
      <c r="AI176" s="92"/>
      <c r="AJ176" s="92"/>
      <c r="AK176" s="92"/>
      <c r="AL176" s="92"/>
      <c r="AM176" s="92"/>
      <c r="AN176" s="92"/>
      <c r="AO176" s="92"/>
      <c r="AP176" s="92"/>
      <c r="AQ176" s="92"/>
      <c r="AR176" s="92"/>
      <c r="AS176" s="92"/>
      <c r="AT176" s="92"/>
      <c r="AU176" s="92"/>
      <c r="AV176" s="92"/>
      <c r="AW176" s="92"/>
      <c r="AX176" s="92"/>
      <c r="AY176" s="92"/>
      <c r="AZ176" s="92"/>
      <c r="BA176" s="92"/>
      <c r="BB176" s="92"/>
      <c r="BC176" s="92"/>
      <c r="BD176" s="92"/>
      <c r="BE176" s="92"/>
      <c r="BF176" s="92"/>
      <c r="BG176" s="92"/>
      <c r="BH176" s="92"/>
      <c r="BI176" s="92"/>
    </row>
    <row r="177" spans="2:61">
      <c r="B177" s="92"/>
      <c r="C177" s="92"/>
      <c r="D177" s="92"/>
      <c r="E177" s="92"/>
      <c r="F177" s="92"/>
      <c r="G177" s="219"/>
      <c r="H177" s="92"/>
      <c r="I177" s="92"/>
      <c r="J177" s="219"/>
      <c r="K177" s="92"/>
      <c r="L177" s="92"/>
      <c r="M177" s="92"/>
      <c r="N177" s="92"/>
      <c r="O177" s="92"/>
      <c r="P177" s="92"/>
      <c r="Q177" s="92"/>
      <c r="R177" s="92"/>
      <c r="S177" s="92"/>
      <c r="T177" s="219"/>
      <c r="U177" s="219"/>
      <c r="V177" s="219"/>
      <c r="W177" s="92"/>
      <c r="X177" s="197"/>
      <c r="Y177" s="92"/>
      <c r="Z177" s="219"/>
      <c r="AA177" s="92"/>
      <c r="AB177" s="92"/>
      <c r="AC177" s="92"/>
      <c r="AD177" s="92"/>
      <c r="AE177" s="92"/>
      <c r="AF177" s="92"/>
      <c r="AG177" s="92"/>
      <c r="AH177" s="92"/>
      <c r="AI177" s="92"/>
      <c r="AJ177" s="92"/>
      <c r="AK177" s="92"/>
      <c r="AL177" s="92"/>
      <c r="AM177" s="92"/>
      <c r="AN177" s="92"/>
      <c r="AO177" s="92"/>
      <c r="AP177" s="92"/>
      <c r="AQ177" s="92"/>
      <c r="AR177" s="92"/>
      <c r="AS177" s="92"/>
      <c r="AT177" s="92"/>
      <c r="AU177" s="92"/>
      <c r="AV177" s="92"/>
      <c r="AW177" s="92"/>
      <c r="AX177" s="92"/>
      <c r="AY177" s="92"/>
      <c r="AZ177" s="92"/>
      <c r="BA177" s="92"/>
      <c r="BB177" s="92"/>
      <c r="BC177" s="92"/>
      <c r="BD177" s="92"/>
      <c r="BE177" s="92"/>
      <c r="BF177" s="92"/>
      <c r="BG177" s="92"/>
      <c r="BH177" s="92"/>
      <c r="BI177" s="92"/>
    </row>
    <row r="178" spans="2:61">
      <c r="B178" s="92"/>
      <c r="C178" s="92"/>
      <c r="D178" s="92"/>
      <c r="E178" s="92"/>
      <c r="F178" s="92"/>
      <c r="G178" s="219"/>
      <c r="H178" s="92"/>
      <c r="I178" s="92"/>
      <c r="J178" s="219"/>
      <c r="K178" s="92"/>
      <c r="L178" s="92"/>
      <c r="M178" s="92"/>
      <c r="N178" s="92"/>
      <c r="O178" s="92"/>
      <c r="P178" s="92"/>
      <c r="Q178" s="92"/>
      <c r="R178" s="92"/>
      <c r="S178" s="92"/>
      <c r="T178" s="219"/>
      <c r="U178" s="219"/>
      <c r="V178" s="219"/>
      <c r="W178" s="92"/>
      <c r="X178" s="197"/>
      <c r="Y178" s="92"/>
      <c r="Z178" s="219"/>
      <c r="AA178" s="92"/>
      <c r="AB178" s="92"/>
      <c r="AC178" s="92"/>
      <c r="AD178" s="92"/>
      <c r="AE178" s="92"/>
      <c r="AF178" s="92"/>
      <c r="AG178" s="92"/>
      <c r="AH178" s="92"/>
      <c r="AI178" s="92"/>
      <c r="AJ178" s="92"/>
      <c r="AK178" s="92"/>
      <c r="AL178" s="92"/>
      <c r="AM178" s="92"/>
      <c r="AN178" s="92"/>
      <c r="AO178" s="92"/>
      <c r="AP178" s="92"/>
      <c r="AQ178" s="92"/>
      <c r="AR178" s="92"/>
      <c r="AS178" s="92"/>
      <c r="AT178" s="92"/>
      <c r="AU178" s="92"/>
      <c r="AV178" s="92"/>
      <c r="AW178" s="92"/>
      <c r="AX178" s="92"/>
      <c r="AY178" s="92"/>
      <c r="AZ178" s="92"/>
      <c r="BA178" s="92"/>
      <c r="BB178" s="92"/>
      <c r="BC178" s="92"/>
      <c r="BD178" s="92"/>
      <c r="BE178" s="92"/>
      <c r="BF178" s="92"/>
      <c r="BG178" s="92"/>
      <c r="BH178" s="92"/>
      <c r="BI178" s="92"/>
    </row>
    <row r="179" spans="2:61">
      <c r="B179" s="92"/>
      <c r="C179" s="92"/>
      <c r="D179" s="92"/>
      <c r="E179" s="92"/>
      <c r="F179" s="92"/>
      <c r="G179" s="219"/>
      <c r="H179" s="92"/>
      <c r="I179" s="92"/>
      <c r="J179" s="219"/>
      <c r="K179" s="92"/>
      <c r="L179" s="92"/>
      <c r="M179" s="92"/>
      <c r="N179" s="92"/>
      <c r="O179" s="92"/>
      <c r="P179" s="92"/>
      <c r="Q179" s="92"/>
      <c r="R179" s="92"/>
      <c r="S179" s="92"/>
      <c r="T179" s="219"/>
      <c r="U179" s="219"/>
      <c r="V179" s="219"/>
      <c r="W179" s="92"/>
      <c r="X179" s="197"/>
      <c r="Y179" s="92"/>
      <c r="Z179" s="219"/>
      <c r="AA179" s="92"/>
      <c r="AB179" s="92"/>
      <c r="AC179" s="92"/>
      <c r="AD179" s="92"/>
      <c r="AE179" s="92"/>
      <c r="AF179" s="92"/>
      <c r="AG179" s="92"/>
      <c r="AH179" s="92"/>
      <c r="AI179" s="92"/>
      <c r="AJ179" s="92"/>
      <c r="AK179" s="92"/>
      <c r="AL179" s="92"/>
      <c r="AM179" s="92"/>
      <c r="AN179" s="92"/>
      <c r="AO179" s="92"/>
      <c r="AP179" s="92"/>
      <c r="AQ179" s="92"/>
      <c r="AR179" s="92"/>
      <c r="AS179" s="92"/>
      <c r="AT179" s="92"/>
      <c r="AU179" s="92"/>
      <c r="AV179" s="92"/>
      <c r="AW179" s="92"/>
      <c r="AX179" s="92"/>
      <c r="AY179" s="92"/>
      <c r="AZ179" s="92"/>
      <c r="BA179" s="92"/>
      <c r="BB179" s="92"/>
      <c r="BC179" s="92"/>
      <c r="BD179" s="92"/>
      <c r="BE179" s="92"/>
      <c r="BF179" s="92"/>
      <c r="BG179" s="92"/>
      <c r="BH179" s="92"/>
      <c r="BI179" s="92"/>
    </row>
    <row r="180" spans="2:61">
      <c r="B180" s="92"/>
      <c r="C180" s="92"/>
      <c r="D180" s="92"/>
      <c r="E180" s="92"/>
      <c r="F180" s="92"/>
      <c r="G180" s="219"/>
      <c r="H180" s="92"/>
      <c r="I180" s="92"/>
      <c r="J180" s="219"/>
      <c r="K180" s="92"/>
      <c r="L180" s="92"/>
      <c r="M180" s="92"/>
      <c r="N180" s="92"/>
      <c r="O180" s="92"/>
      <c r="P180" s="92"/>
      <c r="Q180" s="92"/>
      <c r="R180" s="92"/>
      <c r="S180" s="92"/>
      <c r="T180" s="219"/>
      <c r="U180" s="219"/>
      <c r="V180" s="219"/>
      <c r="W180" s="92"/>
      <c r="X180" s="197"/>
      <c r="Y180" s="92"/>
      <c r="Z180" s="219"/>
      <c r="AA180" s="92"/>
      <c r="AB180" s="92"/>
      <c r="AC180" s="92"/>
      <c r="AD180" s="92"/>
      <c r="AE180" s="92"/>
      <c r="AF180" s="92"/>
      <c r="AG180" s="92"/>
      <c r="AH180" s="92"/>
      <c r="AI180" s="92"/>
      <c r="AJ180" s="92"/>
      <c r="AK180" s="92"/>
      <c r="AL180" s="92"/>
      <c r="AM180" s="92"/>
      <c r="AN180" s="92"/>
      <c r="AO180" s="92"/>
      <c r="AP180" s="92"/>
      <c r="AQ180" s="92"/>
      <c r="AR180" s="92"/>
      <c r="AS180" s="92"/>
      <c r="AT180" s="92"/>
      <c r="AU180" s="92"/>
      <c r="AV180" s="92"/>
      <c r="AW180" s="92"/>
      <c r="AX180" s="92"/>
      <c r="AY180" s="92"/>
      <c r="AZ180" s="92"/>
      <c r="BA180" s="92"/>
      <c r="BB180" s="92"/>
      <c r="BC180" s="92"/>
      <c r="BD180" s="92"/>
      <c r="BE180" s="92"/>
      <c r="BF180" s="92"/>
      <c r="BG180" s="92"/>
      <c r="BH180" s="92"/>
      <c r="BI180" s="92"/>
    </row>
    <row r="181" spans="2:61">
      <c r="B181" s="92"/>
      <c r="C181" s="92"/>
      <c r="D181" s="92"/>
      <c r="E181" s="92"/>
      <c r="F181" s="92"/>
      <c r="G181" s="219"/>
      <c r="H181" s="92"/>
      <c r="I181" s="92"/>
      <c r="J181" s="219"/>
      <c r="K181" s="92"/>
      <c r="L181" s="92"/>
      <c r="M181" s="92"/>
      <c r="N181" s="92"/>
      <c r="O181" s="92"/>
      <c r="P181" s="92"/>
      <c r="Q181" s="92"/>
      <c r="R181" s="92"/>
      <c r="S181" s="92"/>
      <c r="T181" s="219"/>
      <c r="U181" s="219"/>
      <c r="V181" s="219"/>
      <c r="W181" s="92"/>
      <c r="X181" s="197"/>
      <c r="Y181" s="92"/>
      <c r="Z181" s="219"/>
      <c r="AA181" s="92"/>
      <c r="AB181" s="92"/>
      <c r="AC181" s="92"/>
      <c r="AD181" s="92"/>
      <c r="AE181" s="92"/>
      <c r="AF181" s="92"/>
      <c r="AG181" s="92"/>
      <c r="AH181" s="92"/>
      <c r="AI181" s="92"/>
      <c r="AJ181" s="92"/>
      <c r="AK181" s="92"/>
      <c r="AL181" s="92"/>
      <c r="AM181" s="92"/>
      <c r="AN181" s="92"/>
      <c r="AO181" s="92"/>
      <c r="AP181" s="92"/>
      <c r="AQ181" s="92"/>
      <c r="AR181" s="92"/>
      <c r="AS181" s="92"/>
      <c r="AT181" s="92"/>
      <c r="AU181" s="92"/>
      <c r="AV181" s="92"/>
      <c r="AW181" s="92"/>
      <c r="AX181" s="92"/>
      <c r="AY181" s="92"/>
      <c r="AZ181" s="92"/>
      <c r="BA181" s="92"/>
      <c r="BB181" s="92"/>
      <c r="BC181" s="92"/>
      <c r="BD181" s="92"/>
      <c r="BE181" s="92"/>
      <c r="BF181" s="92"/>
      <c r="BG181" s="92"/>
      <c r="BH181" s="92"/>
      <c r="BI181" s="92"/>
    </row>
    <row r="182" spans="2:61">
      <c r="B182" s="92"/>
      <c r="C182" s="92"/>
      <c r="D182" s="92"/>
      <c r="E182" s="92"/>
      <c r="F182" s="92"/>
      <c r="G182" s="219"/>
      <c r="H182" s="92"/>
      <c r="I182" s="92"/>
      <c r="J182" s="219"/>
      <c r="K182" s="92"/>
      <c r="L182" s="92"/>
      <c r="M182" s="92"/>
      <c r="N182" s="92"/>
      <c r="O182" s="92"/>
      <c r="P182" s="92"/>
      <c r="Q182" s="92"/>
      <c r="R182" s="92"/>
      <c r="S182" s="92"/>
      <c r="T182" s="219"/>
      <c r="U182" s="219"/>
      <c r="V182" s="219"/>
      <c r="W182" s="92"/>
      <c r="X182" s="197"/>
      <c r="Y182" s="92"/>
      <c r="Z182" s="219"/>
      <c r="AA182" s="92"/>
      <c r="AB182" s="92"/>
      <c r="AC182" s="92"/>
      <c r="AD182" s="92"/>
      <c r="AE182" s="92"/>
      <c r="AF182" s="92"/>
      <c r="AG182" s="92"/>
      <c r="AH182" s="92"/>
      <c r="AI182" s="92"/>
      <c r="AJ182" s="92"/>
      <c r="AK182" s="92"/>
      <c r="AL182" s="92"/>
      <c r="AM182" s="92"/>
      <c r="AN182" s="92"/>
      <c r="AO182" s="92"/>
      <c r="AP182" s="92"/>
      <c r="AQ182" s="92"/>
      <c r="AR182" s="92"/>
      <c r="AS182" s="92"/>
      <c r="AT182" s="92"/>
      <c r="AU182" s="92"/>
      <c r="AV182" s="92"/>
      <c r="AW182" s="92"/>
      <c r="AX182" s="92"/>
      <c r="AY182" s="92"/>
      <c r="AZ182" s="92"/>
      <c r="BA182" s="92"/>
      <c r="BB182" s="92"/>
      <c r="BC182" s="92"/>
      <c r="BD182" s="92"/>
      <c r="BE182" s="92"/>
      <c r="BF182" s="92"/>
      <c r="BG182" s="92"/>
      <c r="BH182" s="92"/>
      <c r="BI182" s="92"/>
    </row>
    <row r="183" spans="2:61">
      <c r="B183" s="92"/>
      <c r="C183" s="92"/>
      <c r="D183" s="92"/>
      <c r="E183" s="92"/>
      <c r="F183" s="92"/>
      <c r="G183" s="219"/>
      <c r="H183" s="92"/>
      <c r="I183" s="92"/>
      <c r="J183" s="219"/>
      <c r="K183" s="92"/>
      <c r="L183" s="92"/>
      <c r="M183" s="92"/>
      <c r="N183" s="92"/>
      <c r="O183" s="92"/>
      <c r="P183" s="92"/>
      <c r="Q183" s="92"/>
      <c r="R183" s="92"/>
      <c r="S183" s="92"/>
      <c r="T183" s="219"/>
      <c r="U183" s="219"/>
      <c r="V183" s="219"/>
      <c r="W183" s="92"/>
      <c r="X183" s="197"/>
      <c r="Y183" s="92"/>
      <c r="Z183" s="219"/>
      <c r="AA183" s="92"/>
      <c r="AB183" s="92"/>
      <c r="AC183" s="92"/>
      <c r="AD183" s="92"/>
      <c r="AE183" s="92"/>
      <c r="AF183" s="92"/>
      <c r="AG183" s="92"/>
      <c r="AH183" s="92"/>
      <c r="AI183" s="92"/>
      <c r="AJ183" s="92"/>
      <c r="AK183" s="92"/>
      <c r="AL183" s="92"/>
      <c r="AM183" s="92"/>
      <c r="AN183" s="92"/>
      <c r="AO183" s="92"/>
      <c r="AP183" s="92"/>
      <c r="AQ183" s="92"/>
      <c r="AR183" s="92"/>
      <c r="AS183" s="92"/>
      <c r="AT183" s="92"/>
      <c r="AU183" s="92"/>
      <c r="AV183" s="92"/>
      <c r="AW183" s="92"/>
      <c r="AX183" s="92"/>
      <c r="AY183" s="92"/>
      <c r="AZ183" s="92"/>
      <c r="BA183" s="92"/>
      <c r="BB183" s="92"/>
      <c r="BC183" s="92"/>
      <c r="BD183" s="92"/>
      <c r="BE183" s="92"/>
      <c r="BF183" s="92"/>
      <c r="BG183" s="92"/>
      <c r="BH183" s="92"/>
      <c r="BI183" s="92"/>
    </row>
    <row r="184" spans="2:61">
      <c r="B184" s="92"/>
      <c r="C184" s="92"/>
      <c r="D184" s="92"/>
      <c r="E184" s="92"/>
      <c r="F184" s="92"/>
      <c r="G184" s="219"/>
      <c r="H184" s="92"/>
      <c r="I184" s="92"/>
      <c r="J184" s="219"/>
      <c r="K184" s="92"/>
      <c r="L184" s="92"/>
      <c r="M184" s="92"/>
      <c r="N184" s="92"/>
      <c r="O184" s="92"/>
      <c r="P184" s="92"/>
      <c r="Q184" s="92"/>
      <c r="R184" s="92"/>
      <c r="S184" s="92"/>
      <c r="T184" s="219"/>
      <c r="U184" s="219"/>
      <c r="V184" s="219"/>
      <c r="W184" s="92"/>
      <c r="X184" s="197"/>
      <c r="Y184" s="92"/>
      <c r="Z184" s="219"/>
      <c r="AA184" s="92"/>
      <c r="AB184" s="92"/>
      <c r="AC184" s="92"/>
      <c r="AD184" s="92"/>
      <c r="AE184" s="92"/>
      <c r="AF184" s="92"/>
      <c r="AG184" s="92"/>
      <c r="AH184" s="92"/>
      <c r="AI184" s="92"/>
      <c r="AJ184" s="92"/>
      <c r="AK184" s="92"/>
      <c r="AL184" s="92"/>
      <c r="AM184" s="92"/>
      <c r="AN184" s="92"/>
      <c r="AO184" s="92"/>
      <c r="AP184" s="92"/>
      <c r="AQ184" s="92"/>
      <c r="AR184" s="92"/>
      <c r="AS184" s="92"/>
      <c r="AT184" s="92"/>
      <c r="AU184" s="92"/>
      <c r="AV184" s="92"/>
      <c r="AW184" s="92"/>
      <c r="AX184" s="92"/>
      <c r="AY184" s="92"/>
      <c r="AZ184" s="92"/>
      <c r="BA184" s="92"/>
      <c r="BB184" s="92"/>
      <c r="BC184" s="92"/>
      <c r="BD184" s="92"/>
      <c r="BE184" s="92"/>
      <c r="BF184" s="92"/>
      <c r="BG184" s="92"/>
      <c r="BH184" s="92"/>
      <c r="BI184" s="92"/>
    </row>
    <row r="185" spans="2:61">
      <c r="B185" s="92"/>
      <c r="C185" s="92"/>
      <c r="D185" s="92"/>
      <c r="E185" s="92"/>
      <c r="F185" s="92"/>
      <c r="G185" s="219"/>
      <c r="H185" s="92"/>
      <c r="I185" s="92"/>
      <c r="J185" s="219"/>
      <c r="K185" s="92"/>
      <c r="L185" s="92"/>
      <c r="M185" s="92"/>
      <c r="N185" s="92"/>
      <c r="O185" s="92"/>
      <c r="P185" s="92"/>
      <c r="Q185" s="92"/>
      <c r="R185" s="92"/>
      <c r="S185" s="92"/>
      <c r="T185" s="219"/>
      <c r="U185" s="219"/>
      <c r="V185" s="219"/>
      <c r="W185" s="92"/>
      <c r="X185" s="197"/>
      <c r="Y185" s="92"/>
      <c r="Z185" s="219"/>
      <c r="AA185" s="92"/>
      <c r="AB185" s="92"/>
      <c r="AC185" s="92"/>
      <c r="AD185" s="92"/>
      <c r="AE185" s="92"/>
      <c r="AF185" s="92"/>
      <c r="AG185" s="92"/>
      <c r="AH185" s="92"/>
      <c r="AI185" s="92"/>
      <c r="AJ185" s="92"/>
      <c r="AK185" s="92"/>
      <c r="AL185" s="92"/>
      <c r="AM185" s="92"/>
      <c r="AN185" s="92"/>
      <c r="AO185" s="92"/>
      <c r="AP185" s="92"/>
      <c r="AQ185" s="92"/>
      <c r="AR185" s="92"/>
      <c r="AS185" s="92"/>
      <c r="AT185" s="92"/>
      <c r="AU185" s="92"/>
      <c r="AV185" s="92"/>
      <c r="AW185" s="92"/>
      <c r="AX185" s="92"/>
      <c r="AY185" s="92"/>
      <c r="AZ185" s="92"/>
      <c r="BA185" s="92"/>
      <c r="BB185" s="92"/>
      <c r="BC185" s="92"/>
      <c r="BD185" s="92"/>
      <c r="BE185" s="92"/>
      <c r="BF185" s="92"/>
      <c r="BG185" s="92"/>
      <c r="BH185" s="92"/>
      <c r="BI185" s="92"/>
    </row>
    <row r="186" spans="2:61">
      <c r="B186" s="92"/>
      <c r="C186" s="92"/>
      <c r="D186" s="92"/>
      <c r="E186" s="92"/>
      <c r="F186" s="92"/>
      <c r="G186" s="219"/>
      <c r="H186" s="92"/>
      <c r="I186" s="92"/>
      <c r="J186" s="219"/>
      <c r="K186" s="92"/>
      <c r="L186" s="92"/>
      <c r="M186" s="92"/>
      <c r="N186" s="92"/>
      <c r="O186" s="92"/>
      <c r="P186" s="92"/>
      <c r="Q186" s="92"/>
      <c r="R186" s="92"/>
      <c r="S186" s="92"/>
      <c r="T186" s="219"/>
      <c r="U186" s="219"/>
      <c r="V186" s="219"/>
      <c r="W186" s="92"/>
      <c r="X186" s="197"/>
      <c r="Y186" s="92"/>
      <c r="Z186" s="219"/>
      <c r="AA186" s="92"/>
      <c r="AB186" s="92"/>
      <c r="AC186" s="92"/>
      <c r="AD186" s="92"/>
      <c r="AE186" s="92"/>
      <c r="AF186" s="92"/>
      <c r="AG186" s="92"/>
      <c r="AH186" s="92"/>
      <c r="AI186" s="92"/>
      <c r="AJ186" s="92"/>
      <c r="AK186" s="92"/>
      <c r="AL186" s="92"/>
      <c r="AM186" s="92"/>
      <c r="AN186" s="92"/>
      <c r="AO186" s="92"/>
      <c r="AP186" s="92"/>
      <c r="AQ186" s="92"/>
      <c r="AR186" s="92"/>
      <c r="AS186" s="92"/>
      <c r="AT186" s="92"/>
      <c r="AU186" s="92"/>
      <c r="AV186" s="92"/>
      <c r="AW186" s="92"/>
      <c r="AX186" s="92"/>
      <c r="AY186" s="92"/>
      <c r="AZ186" s="92"/>
      <c r="BA186" s="92"/>
      <c r="BB186" s="92"/>
      <c r="BC186" s="92"/>
      <c r="BD186" s="92"/>
      <c r="BE186" s="92"/>
      <c r="BF186" s="92"/>
      <c r="BG186" s="92"/>
      <c r="BH186" s="92"/>
      <c r="BI186" s="92"/>
    </row>
    <row r="187" spans="2:61">
      <c r="B187" s="92"/>
      <c r="C187" s="92"/>
      <c r="D187" s="92"/>
      <c r="E187" s="92"/>
      <c r="F187" s="92"/>
      <c r="G187" s="219"/>
      <c r="H187" s="92"/>
      <c r="I187" s="92"/>
      <c r="J187" s="219"/>
      <c r="K187" s="92"/>
      <c r="L187" s="92"/>
      <c r="M187" s="92"/>
      <c r="N187" s="92"/>
      <c r="O187" s="92"/>
      <c r="P187" s="92"/>
      <c r="Q187" s="92"/>
      <c r="R187" s="92"/>
      <c r="S187" s="92"/>
      <c r="T187" s="219"/>
      <c r="U187" s="219"/>
      <c r="V187" s="219"/>
      <c r="W187" s="92"/>
      <c r="X187" s="197"/>
      <c r="Y187" s="92"/>
      <c r="Z187" s="219"/>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c r="AW187" s="92"/>
      <c r="AX187" s="92"/>
      <c r="AY187" s="92"/>
      <c r="AZ187" s="92"/>
      <c r="BA187" s="92"/>
      <c r="BB187" s="92"/>
      <c r="BC187" s="92"/>
      <c r="BD187" s="92"/>
      <c r="BE187" s="92"/>
      <c r="BF187" s="92"/>
      <c r="BG187" s="92"/>
      <c r="BH187" s="92"/>
      <c r="BI187" s="92"/>
    </row>
    <row r="188" spans="2:61">
      <c r="B188" s="92"/>
      <c r="C188" s="92"/>
      <c r="D188" s="92"/>
      <c r="E188" s="92"/>
      <c r="F188" s="92"/>
      <c r="G188" s="219"/>
      <c r="H188" s="92"/>
      <c r="I188" s="92"/>
      <c r="J188" s="219"/>
      <c r="K188" s="92"/>
      <c r="L188" s="92"/>
      <c r="M188" s="92"/>
      <c r="N188" s="92"/>
      <c r="O188" s="92"/>
      <c r="P188" s="92"/>
      <c r="Q188" s="92"/>
      <c r="R188" s="92"/>
      <c r="S188" s="92"/>
      <c r="T188" s="219"/>
      <c r="U188" s="219"/>
      <c r="V188" s="219"/>
      <c r="W188" s="92"/>
      <c r="X188" s="197"/>
      <c r="Y188" s="92"/>
      <c r="Z188" s="219"/>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c r="AW188" s="92"/>
      <c r="AX188" s="92"/>
      <c r="AY188" s="92"/>
      <c r="AZ188" s="92"/>
      <c r="BA188" s="92"/>
      <c r="BB188" s="92"/>
      <c r="BC188" s="92"/>
      <c r="BD188" s="92"/>
      <c r="BE188" s="92"/>
      <c r="BF188" s="92"/>
      <c r="BG188" s="92"/>
      <c r="BH188" s="92"/>
      <c r="BI188" s="92"/>
    </row>
    <row r="189" spans="2:61">
      <c r="B189" s="92"/>
      <c r="C189" s="92"/>
      <c r="D189" s="92"/>
      <c r="E189" s="92"/>
      <c r="F189" s="92"/>
      <c r="G189" s="219"/>
      <c r="H189" s="92"/>
      <c r="I189" s="92"/>
      <c r="J189" s="219"/>
      <c r="K189" s="92"/>
      <c r="L189" s="92"/>
      <c r="M189" s="92"/>
      <c r="N189" s="92"/>
      <c r="O189" s="92"/>
      <c r="P189" s="92"/>
      <c r="Q189" s="92"/>
      <c r="R189" s="92"/>
      <c r="S189" s="92"/>
      <c r="T189" s="219"/>
      <c r="U189" s="219"/>
      <c r="V189" s="219"/>
      <c r="W189" s="92"/>
      <c r="X189" s="197"/>
      <c r="Y189" s="92"/>
      <c r="Z189" s="219"/>
      <c r="AA189" s="92"/>
      <c r="AB189" s="92"/>
      <c r="AC189" s="92"/>
      <c r="AD189" s="92"/>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2"/>
      <c r="BB189" s="92"/>
      <c r="BC189" s="92"/>
      <c r="BD189" s="92"/>
      <c r="BE189" s="92"/>
      <c r="BF189" s="92"/>
      <c r="BG189" s="92"/>
      <c r="BH189" s="92"/>
      <c r="BI189" s="92"/>
    </row>
    <row r="190" spans="2:61">
      <c r="B190" s="92"/>
      <c r="C190" s="92"/>
      <c r="D190" s="92"/>
      <c r="E190" s="92"/>
      <c r="F190" s="92"/>
      <c r="G190" s="219"/>
      <c r="H190" s="92"/>
      <c r="I190" s="92"/>
      <c r="J190" s="219"/>
      <c r="K190" s="92"/>
      <c r="L190" s="92"/>
      <c r="M190" s="92"/>
      <c r="N190" s="92"/>
      <c r="O190" s="92"/>
      <c r="P190" s="92"/>
      <c r="Q190" s="92"/>
      <c r="R190" s="92"/>
      <c r="S190" s="92"/>
      <c r="T190" s="219"/>
      <c r="U190" s="219"/>
      <c r="V190" s="219"/>
      <c r="W190" s="92"/>
      <c r="X190" s="197"/>
      <c r="Y190" s="92"/>
      <c r="Z190" s="219"/>
      <c r="AA190" s="92"/>
      <c r="AB190" s="92"/>
      <c r="AC190" s="92"/>
      <c r="AD190" s="92"/>
      <c r="AE190" s="92"/>
      <c r="AF190" s="92"/>
      <c r="AG190" s="92"/>
      <c r="AH190" s="92"/>
      <c r="AI190" s="92"/>
      <c r="AJ190" s="92"/>
      <c r="AK190" s="92"/>
      <c r="AL190" s="92"/>
      <c r="AM190" s="92"/>
      <c r="AN190" s="92"/>
      <c r="AO190" s="92"/>
      <c r="AP190" s="92"/>
      <c r="AQ190" s="92"/>
      <c r="AR190" s="92"/>
      <c r="AS190" s="92"/>
      <c r="AT190" s="92"/>
      <c r="AU190" s="92"/>
      <c r="AV190" s="92"/>
      <c r="AW190" s="92"/>
      <c r="AX190" s="92"/>
      <c r="AY190" s="92"/>
      <c r="AZ190" s="92"/>
      <c r="BA190" s="92"/>
      <c r="BB190" s="92"/>
      <c r="BC190" s="92"/>
      <c r="BD190" s="92"/>
      <c r="BE190" s="92"/>
      <c r="BF190" s="92"/>
      <c r="BG190" s="92"/>
      <c r="BH190" s="92"/>
      <c r="BI190" s="92"/>
    </row>
    <row r="191" spans="2:61">
      <c r="B191" s="92"/>
      <c r="C191" s="92"/>
      <c r="D191" s="92"/>
      <c r="E191" s="92"/>
      <c r="F191" s="92"/>
      <c r="G191" s="219"/>
      <c r="H191" s="92"/>
      <c r="I191" s="92"/>
      <c r="J191" s="219"/>
      <c r="K191" s="92"/>
      <c r="L191" s="92"/>
      <c r="M191" s="92"/>
      <c r="N191" s="92"/>
      <c r="O191" s="92"/>
      <c r="P191" s="92"/>
      <c r="Q191" s="92"/>
      <c r="R191" s="92"/>
      <c r="S191" s="92"/>
      <c r="T191" s="219"/>
      <c r="U191" s="219"/>
      <c r="V191" s="219"/>
      <c r="W191" s="92"/>
      <c r="X191" s="197"/>
      <c r="Y191" s="92"/>
      <c r="Z191" s="219"/>
      <c r="AA191" s="92"/>
      <c r="AB191" s="92"/>
      <c r="AC191" s="92"/>
      <c r="AD191" s="92"/>
      <c r="AE191" s="92"/>
      <c r="AF191" s="92"/>
      <c r="AG191" s="92"/>
      <c r="AH191" s="92"/>
      <c r="AI191" s="92"/>
      <c r="AJ191" s="92"/>
      <c r="AK191" s="92"/>
      <c r="AL191" s="92"/>
      <c r="AM191" s="92"/>
      <c r="AN191" s="92"/>
      <c r="AO191" s="92"/>
      <c r="AP191" s="92"/>
      <c r="AQ191" s="92"/>
      <c r="AR191" s="92"/>
      <c r="AS191" s="92"/>
      <c r="AT191" s="92"/>
      <c r="AU191" s="92"/>
      <c r="AV191" s="92"/>
      <c r="AW191" s="92"/>
      <c r="AX191" s="92"/>
      <c r="AY191" s="92"/>
      <c r="AZ191" s="92"/>
      <c r="BA191" s="92"/>
      <c r="BB191" s="92"/>
      <c r="BC191" s="92"/>
      <c r="BD191" s="92"/>
      <c r="BE191" s="92"/>
      <c r="BF191" s="92"/>
      <c r="BG191" s="92"/>
      <c r="BH191" s="92"/>
      <c r="BI191" s="92"/>
    </row>
    <row r="192" spans="2:61">
      <c r="B192" s="92"/>
      <c r="C192" s="92"/>
      <c r="D192" s="92"/>
      <c r="E192" s="92"/>
      <c r="F192" s="92"/>
      <c r="G192" s="219"/>
      <c r="H192" s="92"/>
      <c r="I192" s="92"/>
      <c r="J192" s="219"/>
      <c r="K192" s="92"/>
      <c r="L192" s="92"/>
      <c r="M192" s="92"/>
      <c r="N192" s="92"/>
      <c r="O192" s="92"/>
      <c r="P192" s="92"/>
      <c r="Q192" s="92"/>
      <c r="R192" s="92"/>
      <c r="S192" s="92"/>
      <c r="T192" s="219"/>
      <c r="U192" s="219"/>
      <c r="V192" s="219"/>
      <c r="W192" s="92"/>
      <c r="X192" s="197"/>
      <c r="Y192" s="92"/>
      <c r="Z192" s="219"/>
      <c r="AA192" s="92"/>
      <c r="AB192" s="92"/>
      <c r="AC192" s="92"/>
      <c r="AD192" s="92"/>
      <c r="AE192" s="92"/>
      <c r="AF192" s="92"/>
      <c r="AG192" s="92"/>
      <c r="AH192" s="92"/>
      <c r="AI192" s="92"/>
      <c r="AJ192" s="92"/>
      <c r="AK192" s="92"/>
      <c r="AL192" s="92"/>
      <c r="AM192" s="92"/>
      <c r="AN192" s="92"/>
      <c r="AO192" s="92"/>
      <c r="AP192" s="92"/>
      <c r="AQ192" s="92"/>
      <c r="AR192" s="92"/>
      <c r="AS192" s="92"/>
      <c r="AT192" s="92"/>
      <c r="AU192" s="92"/>
      <c r="AV192" s="92"/>
      <c r="AW192" s="92"/>
      <c r="AX192" s="92"/>
      <c r="AY192" s="92"/>
      <c r="AZ192" s="92"/>
      <c r="BA192" s="92"/>
      <c r="BB192" s="92"/>
      <c r="BC192" s="92"/>
      <c r="BD192" s="92"/>
      <c r="BE192" s="92"/>
      <c r="BF192" s="92"/>
      <c r="BG192" s="92"/>
      <c r="BH192" s="92"/>
      <c r="BI192" s="92"/>
    </row>
    <row r="193" spans="1:61" s="1" customFormat="1">
      <c r="A193" s="15"/>
      <c r="B193" s="92"/>
      <c r="C193" s="92"/>
      <c r="D193" s="92"/>
      <c r="E193" s="92"/>
      <c r="F193" s="92"/>
      <c r="G193" s="219"/>
      <c r="H193" s="92"/>
      <c r="I193" s="92"/>
      <c r="J193" s="219"/>
      <c r="K193" s="92"/>
      <c r="L193" s="92"/>
      <c r="M193" s="92"/>
      <c r="N193" s="92"/>
      <c r="O193" s="92"/>
      <c r="P193" s="92"/>
      <c r="Q193" s="92"/>
      <c r="R193" s="92"/>
      <c r="S193" s="92"/>
      <c r="T193" s="219"/>
      <c r="U193" s="219"/>
      <c r="V193" s="219"/>
      <c r="W193" s="92"/>
      <c r="X193" s="197"/>
      <c r="Y193" s="92"/>
      <c r="Z193" s="219"/>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row>
    <row r="194" spans="1:61">
      <c r="B194" s="92"/>
      <c r="C194" s="92"/>
      <c r="D194" s="92"/>
      <c r="E194" s="92"/>
      <c r="F194" s="92"/>
      <c r="G194" s="219"/>
      <c r="H194" s="92"/>
      <c r="I194" s="92"/>
      <c r="J194" s="219"/>
      <c r="K194" s="92"/>
      <c r="L194" s="92"/>
      <c r="M194" s="92"/>
      <c r="N194" s="92"/>
      <c r="O194" s="92"/>
      <c r="P194" s="92"/>
      <c r="Q194" s="92"/>
      <c r="R194" s="92"/>
      <c r="S194" s="92"/>
      <c r="T194" s="219"/>
      <c r="U194" s="219"/>
      <c r="V194" s="219"/>
      <c r="W194" s="92"/>
      <c r="X194" s="197"/>
      <c r="Y194" s="92"/>
      <c r="Z194" s="219"/>
      <c r="AA194" s="92"/>
      <c r="AB194" s="92"/>
      <c r="AC194" s="92"/>
      <c r="AD194" s="92"/>
      <c r="AE194" s="92"/>
      <c r="AF194" s="92"/>
      <c r="AG194" s="92"/>
      <c r="AH194" s="92"/>
      <c r="AI194" s="92"/>
      <c r="AJ194" s="92"/>
      <c r="AK194" s="92"/>
      <c r="AL194" s="92"/>
      <c r="AM194" s="92"/>
      <c r="AN194" s="92"/>
      <c r="AO194" s="92"/>
      <c r="AP194" s="92"/>
      <c r="AQ194" s="92"/>
      <c r="AR194" s="92"/>
      <c r="AS194" s="92"/>
      <c r="AT194" s="92"/>
      <c r="AU194" s="92"/>
      <c r="AV194" s="92"/>
      <c r="AW194" s="92"/>
      <c r="AX194" s="92"/>
      <c r="AY194" s="92"/>
      <c r="AZ194" s="92"/>
      <c r="BA194" s="92"/>
      <c r="BB194" s="92"/>
      <c r="BC194" s="92"/>
      <c r="BD194" s="92"/>
      <c r="BE194" s="92"/>
      <c r="BF194" s="92"/>
      <c r="BG194" s="92"/>
      <c r="BH194" s="92"/>
      <c r="BI194" s="92"/>
    </row>
    <row r="195" spans="1:61" s="1" customFormat="1">
      <c r="A195" s="15"/>
      <c r="B195" s="92"/>
      <c r="C195" s="92"/>
      <c r="D195" s="92"/>
      <c r="E195" s="92"/>
      <c r="F195" s="92"/>
      <c r="G195" s="219"/>
      <c r="H195" s="92"/>
      <c r="I195" s="92"/>
      <c r="J195" s="219"/>
      <c r="K195" s="92"/>
      <c r="L195" s="92"/>
      <c r="M195" s="92"/>
      <c r="N195" s="92"/>
      <c r="O195" s="92"/>
      <c r="P195" s="92"/>
      <c r="Q195" s="92"/>
      <c r="R195" s="92"/>
      <c r="S195" s="92"/>
      <c r="T195" s="219"/>
      <c r="U195" s="219"/>
      <c r="V195" s="219"/>
      <c r="W195" s="92"/>
      <c r="X195" s="197"/>
      <c r="Y195" s="92"/>
      <c r="Z195" s="219"/>
      <c r="AA195" s="92"/>
      <c r="AB195" s="92"/>
      <c r="AC195" s="92"/>
      <c r="AD195" s="92"/>
      <c r="AE195" s="92"/>
      <c r="AF195" s="92"/>
      <c r="AG195" s="92"/>
      <c r="AH195" s="92"/>
      <c r="AI195" s="92"/>
      <c r="AJ195" s="92"/>
      <c r="AK195" s="92"/>
      <c r="AL195" s="92"/>
      <c r="AM195" s="92"/>
      <c r="AN195" s="92"/>
      <c r="AO195" s="92"/>
      <c r="AP195" s="92"/>
      <c r="AQ195" s="92"/>
      <c r="AR195" s="92"/>
      <c r="AS195" s="92"/>
      <c r="AT195" s="92"/>
      <c r="AU195" s="92"/>
      <c r="AV195" s="92"/>
      <c r="AW195" s="92"/>
      <c r="AX195" s="92"/>
      <c r="AY195" s="92"/>
      <c r="AZ195" s="92"/>
      <c r="BA195" s="92"/>
      <c r="BB195" s="92"/>
      <c r="BC195" s="92"/>
      <c r="BD195" s="92"/>
      <c r="BE195" s="92"/>
      <c r="BF195" s="92"/>
      <c r="BG195" s="92"/>
      <c r="BH195" s="92"/>
      <c r="BI195" s="92"/>
    </row>
    <row r="196" spans="1:61" s="1" customFormat="1">
      <c r="A196" s="15"/>
      <c r="B196" s="92"/>
      <c r="C196" s="92"/>
      <c r="D196" s="92"/>
      <c r="E196" s="92"/>
      <c r="F196" s="92"/>
      <c r="G196" s="219"/>
      <c r="H196" s="92"/>
      <c r="I196" s="92"/>
      <c r="J196" s="219"/>
      <c r="K196" s="92"/>
      <c r="L196" s="92"/>
      <c r="M196" s="92"/>
      <c r="N196" s="92"/>
      <c r="O196" s="92"/>
      <c r="P196" s="92"/>
      <c r="Q196" s="92"/>
      <c r="R196" s="92"/>
      <c r="S196" s="92"/>
      <c r="T196" s="219"/>
      <c r="U196" s="219"/>
      <c r="V196" s="219"/>
      <c r="W196" s="92"/>
      <c r="X196" s="197"/>
      <c r="Y196" s="92"/>
      <c r="Z196" s="219"/>
      <c r="AA196" s="92"/>
      <c r="AB196" s="92"/>
      <c r="AC196" s="92"/>
      <c r="AD196" s="92"/>
      <c r="AE196" s="92"/>
      <c r="AF196" s="92"/>
      <c r="AG196" s="92"/>
      <c r="AH196" s="92"/>
      <c r="AI196" s="92"/>
      <c r="AJ196" s="92"/>
      <c r="AK196" s="92"/>
      <c r="AL196" s="92"/>
      <c r="AM196" s="92"/>
      <c r="AN196" s="92"/>
      <c r="AO196" s="92"/>
      <c r="AP196" s="92"/>
      <c r="AQ196" s="92"/>
      <c r="AR196" s="92"/>
      <c r="AS196" s="92"/>
      <c r="AT196" s="92"/>
      <c r="AU196" s="92"/>
      <c r="AV196" s="92"/>
      <c r="AW196" s="92"/>
      <c r="AX196" s="92"/>
      <c r="AY196" s="92"/>
      <c r="AZ196" s="92"/>
      <c r="BA196" s="92"/>
      <c r="BB196" s="92"/>
      <c r="BC196" s="92"/>
      <c r="BD196" s="92"/>
      <c r="BE196" s="92"/>
      <c r="BF196" s="92"/>
      <c r="BG196" s="92"/>
      <c r="BH196" s="92"/>
      <c r="BI196" s="92"/>
    </row>
    <row r="197" spans="1:61">
      <c r="B197" s="92"/>
      <c r="C197" s="92"/>
      <c r="D197" s="92"/>
      <c r="E197" s="92"/>
      <c r="F197" s="92"/>
      <c r="G197" s="219"/>
      <c r="H197" s="92"/>
      <c r="I197" s="92"/>
      <c r="J197" s="219"/>
      <c r="K197" s="92"/>
      <c r="L197" s="92"/>
      <c r="M197" s="92"/>
      <c r="N197" s="92"/>
      <c r="O197" s="92"/>
      <c r="P197" s="92"/>
      <c r="Q197" s="92"/>
      <c r="R197" s="92"/>
      <c r="S197" s="92"/>
      <c r="T197" s="219"/>
      <c r="U197" s="219"/>
      <c r="V197" s="219"/>
      <c r="W197" s="92"/>
      <c r="X197" s="197"/>
      <c r="Y197" s="92"/>
      <c r="Z197" s="219"/>
      <c r="AA197" s="92"/>
      <c r="AB197" s="92"/>
      <c r="AC197" s="92"/>
      <c r="AD197" s="92"/>
      <c r="AE197" s="92"/>
      <c r="AF197" s="92"/>
      <c r="AG197" s="92"/>
      <c r="AH197" s="92"/>
      <c r="AI197" s="92"/>
      <c r="AJ197" s="92"/>
      <c r="AK197" s="92"/>
      <c r="AL197" s="92"/>
      <c r="AM197" s="92"/>
      <c r="AN197" s="92"/>
      <c r="AO197" s="92"/>
      <c r="AP197" s="92"/>
      <c r="AQ197" s="92"/>
      <c r="AR197" s="92"/>
      <c r="AS197" s="92"/>
      <c r="AT197" s="92"/>
      <c r="AU197" s="92"/>
      <c r="AV197" s="92"/>
      <c r="AW197" s="92"/>
      <c r="AX197" s="92"/>
      <c r="AY197" s="92"/>
      <c r="AZ197" s="92"/>
      <c r="BA197" s="92"/>
      <c r="BB197" s="92"/>
      <c r="BC197" s="92"/>
      <c r="BD197" s="92"/>
      <c r="BE197" s="92"/>
      <c r="BF197" s="92"/>
      <c r="BG197" s="92"/>
      <c r="BH197" s="92"/>
      <c r="BI197" s="92"/>
    </row>
    <row r="198" spans="1:61">
      <c r="B198" s="92"/>
      <c r="C198" s="92"/>
      <c r="D198" s="92"/>
      <c r="E198" s="92"/>
      <c r="F198" s="92"/>
      <c r="G198" s="219"/>
      <c r="H198" s="92"/>
      <c r="I198" s="92"/>
      <c r="J198" s="219"/>
      <c r="K198" s="92"/>
      <c r="L198" s="92"/>
      <c r="M198" s="92"/>
      <c r="N198" s="92"/>
      <c r="O198" s="92"/>
      <c r="P198" s="92"/>
      <c r="Q198" s="92"/>
      <c r="R198" s="92"/>
      <c r="S198" s="92"/>
      <c r="T198" s="219"/>
      <c r="U198" s="219"/>
      <c r="V198" s="219"/>
      <c r="W198" s="92"/>
      <c r="X198" s="197"/>
      <c r="Y198" s="92"/>
      <c r="Z198" s="219"/>
      <c r="AA198" s="92"/>
      <c r="AB198" s="92"/>
      <c r="AC198" s="92"/>
      <c r="AD198" s="92"/>
      <c r="AE198" s="92"/>
      <c r="AF198" s="92"/>
      <c r="AG198" s="92"/>
      <c r="AH198" s="92"/>
      <c r="AI198" s="92"/>
      <c r="AJ198" s="92"/>
      <c r="AK198" s="92"/>
      <c r="AL198" s="92"/>
      <c r="AM198" s="92"/>
      <c r="AN198" s="92"/>
      <c r="AO198" s="92"/>
      <c r="AP198" s="92"/>
      <c r="AQ198" s="92"/>
      <c r="AR198" s="92"/>
      <c r="AS198" s="92"/>
      <c r="AT198" s="92"/>
      <c r="AU198" s="92"/>
      <c r="AV198" s="92"/>
      <c r="AW198" s="92"/>
      <c r="AX198" s="92"/>
      <c r="AY198" s="92"/>
      <c r="AZ198" s="92"/>
      <c r="BA198" s="92"/>
      <c r="BB198" s="92"/>
      <c r="BC198" s="92"/>
      <c r="BD198" s="92"/>
      <c r="BE198" s="92"/>
      <c r="BF198" s="92"/>
      <c r="BG198" s="92"/>
      <c r="BH198" s="92"/>
      <c r="BI198" s="92"/>
    </row>
    <row r="199" spans="1:61">
      <c r="B199" s="92"/>
      <c r="C199" s="92"/>
      <c r="D199" s="92"/>
      <c r="E199" s="92"/>
      <c r="F199" s="92"/>
      <c r="G199" s="219"/>
      <c r="H199" s="92"/>
      <c r="I199" s="92"/>
      <c r="J199" s="219"/>
      <c r="K199" s="92"/>
      <c r="L199" s="92"/>
      <c r="M199" s="92"/>
      <c r="N199" s="92"/>
      <c r="O199" s="92"/>
      <c r="P199" s="92"/>
      <c r="Q199" s="92"/>
      <c r="R199" s="92"/>
      <c r="S199" s="92"/>
      <c r="T199" s="219"/>
      <c r="U199" s="219"/>
      <c r="V199" s="219"/>
      <c r="W199" s="92"/>
      <c r="X199" s="197"/>
      <c r="Y199" s="92"/>
      <c r="Z199" s="219"/>
      <c r="AA199" s="92"/>
      <c r="AB199" s="92"/>
      <c r="AC199" s="92"/>
      <c r="AD199" s="92"/>
      <c r="AE199" s="92"/>
      <c r="AF199" s="92"/>
      <c r="AG199" s="92"/>
      <c r="AH199" s="92"/>
      <c r="AI199" s="92"/>
      <c r="AJ199" s="92"/>
      <c r="AK199" s="92"/>
      <c r="AL199" s="92"/>
      <c r="AM199" s="92"/>
      <c r="AN199" s="92"/>
      <c r="AO199" s="92"/>
      <c r="AP199" s="92"/>
      <c r="AQ199" s="92"/>
      <c r="AR199" s="92"/>
      <c r="AS199" s="92"/>
      <c r="AT199" s="92"/>
      <c r="AU199" s="92"/>
      <c r="AV199" s="92"/>
      <c r="AW199" s="92"/>
      <c r="AX199" s="92"/>
      <c r="AY199" s="92"/>
      <c r="AZ199" s="92"/>
      <c r="BA199" s="92"/>
      <c r="BB199" s="92"/>
      <c r="BC199" s="92"/>
      <c r="BD199" s="92"/>
      <c r="BE199" s="92"/>
      <c r="BF199" s="92"/>
      <c r="BG199" s="92"/>
      <c r="BH199" s="92"/>
      <c r="BI199" s="92"/>
    </row>
    <row r="200" spans="1:61">
      <c r="B200" s="92"/>
      <c r="C200" s="92"/>
      <c r="D200" s="92"/>
      <c r="E200" s="92"/>
      <c r="F200" s="92"/>
      <c r="G200" s="219"/>
      <c r="H200" s="92"/>
      <c r="I200" s="92"/>
      <c r="J200" s="219"/>
      <c r="K200" s="92"/>
      <c r="L200" s="92"/>
      <c r="M200" s="92"/>
      <c r="N200" s="92"/>
      <c r="O200" s="92"/>
      <c r="P200" s="92"/>
      <c r="Q200" s="92"/>
      <c r="R200" s="92"/>
      <c r="S200" s="92"/>
      <c r="T200" s="219"/>
      <c r="U200" s="219"/>
      <c r="V200" s="219"/>
      <c r="W200" s="92"/>
      <c r="X200" s="197"/>
      <c r="Y200" s="92"/>
      <c r="Z200" s="219"/>
      <c r="AA200" s="92"/>
      <c r="AB200" s="92"/>
      <c r="AC200" s="92"/>
      <c r="AD200" s="92"/>
      <c r="AE200" s="92"/>
      <c r="AF200" s="92"/>
      <c r="AG200" s="92"/>
      <c r="AH200" s="92"/>
      <c r="AI200" s="92"/>
      <c r="AJ200" s="92"/>
      <c r="AK200" s="92"/>
      <c r="AL200" s="92"/>
      <c r="AM200" s="92"/>
      <c r="AN200" s="92"/>
      <c r="AO200" s="92"/>
      <c r="AP200" s="92"/>
      <c r="AQ200" s="92"/>
      <c r="AR200" s="92"/>
      <c r="AS200" s="92"/>
      <c r="AT200" s="92"/>
      <c r="AU200" s="92"/>
      <c r="AV200" s="92"/>
      <c r="AW200" s="92"/>
      <c r="AX200" s="92"/>
      <c r="AY200" s="92"/>
      <c r="AZ200" s="92"/>
      <c r="BA200" s="92"/>
      <c r="BB200" s="92"/>
      <c r="BC200" s="92"/>
      <c r="BD200" s="92"/>
      <c r="BE200" s="92"/>
      <c r="BF200" s="92"/>
      <c r="BG200" s="92"/>
      <c r="BH200" s="92"/>
      <c r="BI200" s="92"/>
    </row>
    <row r="201" spans="1:61">
      <c r="B201" s="92"/>
      <c r="C201" s="92"/>
      <c r="D201" s="92"/>
      <c r="E201" s="92"/>
      <c r="F201" s="92"/>
      <c r="G201" s="219"/>
      <c r="H201" s="92"/>
      <c r="I201" s="92"/>
      <c r="J201" s="219"/>
      <c r="K201" s="92"/>
      <c r="L201" s="92"/>
      <c r="M201" s="92"/>
      <c r="N201" s="92"/>
      <c r="O201" s="92"/>
      <c r="P201" s="92"/>
      <c r="Q201" s="92"/>
      <c r="R201" s="92"/>
      <c r="S201" s="92"/>
      <c r="T201" s="219"/>
      <c r="U201" s="219"/>
      <c r="V201" s="219"/>
      <c r="W201" s="92"/>
      <c r="X201" s="197"/>
      <c r="Y201" s="92"/>
      <c r="Z201" s="219"/>
      <c r="AA201" s="92"/>
      <c r="AB201" s="92"/>
      <c r="AC201" s="92"/>
      <c r="AD201" s="92"/>
      <c r="AE201" s="92"/>
      <c r="AF201" s="92"/>
      <c r="AG201" s="92"/>
      <c r="AH201" s="92"/>
      <c r="AI201" s="92"/>
      <c r="AJ201" s="92"/>
      <c r="AK201" s="92"/>
      <c r="AL201" s="92"/>
      <c r="AM201" s="92"/>
      <c r="AN201" s="92"/>
      <c r="AO201" s="92"/>
      <c r="AP201" s="92"/>
      <c r="AQ201" s="92"/>
      <c r="AR201" s="92"/>
      <c r="AS201" s="92"/>
      <c r="AT201" s="92"/>
      <c r="AU201" s="92"/>
      <c r="AV201" s="92"/>
      <c r="AW201" s="92"/>
      <c r="AX201" s="92"/>
      <c r="AY201" s="92"/>
      <c r="AZ201" s="92"/>
      <c r="BA201" s="92"/>
      <c r="BB201" s="92"/>
      <c r="BC201" s="92"/>
      <c r="BD201" s="92"/>
      <c r="BE201" s="92"/>
      <c r="BF201" s="92"/>
      <c r="BG201" s="92"/>
      <c r="BH201" s="92"/>
      <c r="BI201" s="92"/>
    </row>
  </sheetData>
  <sheetProtection algorithmName="SHA-512" hashValue="jG39DiYFoytSNI/fiityf+5wUi8+/Id2qGihDdlgymB++dpTYpn4qeFjurssoiVMf4s20GwI8kXEQhYGuZsNMg==" saltValue="bbSxF6R3GcieiN1EF3Jg5A==" spinCount="100000" sheet="1" objects="1" scenarios="1"/>
  <mergeCells count="27">
    <mergeCell ref="AA3:AA4"/>
    <mergeCell ref="L3:L4"/>
    <mergeCell ref="M3:M4"/>
    <mergeCell ref="N3:N4"/>
    <mergeCell ref="B3:B4"/>
    <mergeCell ref="C3:C4"/>
    <mergeCell ref="R3:R4"/>
    <mergeCell ref="K3:K4"/>
    <mergeCell ref="Y3:Y4"/>
    <mergeCell ref="T3:T4"/>
    <mergeCell ref="Z3:Z4"/>
    <mergeCell ref="B2:AA2"/>
    <mergeCell ref="P3:P4"/>
    <mergeCell ref="W3:W4"/>
    <mergeCell ref="H3:H4"/>
    <mergeCell ref="X3:X4"/>
    <mergeCell ref="S3:S4"/>
    <mergeCell ref="Q3:Q4"/>
    <mergeCell ref="I3:I4"/>
    <mergeCell ref="J3:J4"/>
    <mergeCell ref="V3:V4"/>
    <mergeCell ref="U3:U4"/>
    <mergeCell ref="G3:G4"/>
    <mergeCell ref="O3:O4"/>
    <mergeCell ref="D3:D4"/>
    <mergeCell ref="E3:E4"/>
    <mergeCell ref="F3:F4"/>
  </mergeCells>
  <phoneticPr fontId="61" type="noConversion"/>
  <pageMargins left="0.7" right="0.7" top="0.75" bottom="0.75" header="0.3" footer="0.3"/>
  <pageSetup scale="25" fitToHeight="2" orientation="landscape" horizontalDpi="360" verticalDpi="360"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38</vt:i4>
      </vt:variant>
      <vt:variant>
        <vt:lpstr>Named Ranges</vt:lpstr>
      </vt:variant>
      <vt:variant>
        <vt:i4>11</vt:i4>
      </vt:variant>
    </vt:vector>
  </HeadingPairs>
  <TitlesOfParts>
    <vt:vector size="49" baseType="lpstr">
      <vt:lpstr>Introduction</vt:lpstr>
      <vt:lpstr>Results</vt:lpstr>
      <vt:lpstr>Farm and Rotation Setup</vt:lpstr>
      <vt:lpstr>Prices_Yields&amp;SeedInputs</vt:lpstr>
      <vt:lpstr>LivestockImprovements</vt:lpstr>
      <vt:lpstr>Chem&amp;FertInputs&amp;CInsurance</vt:lpstr>
      <vt:lpstr>MachineAssumptions</vt:lpstr>
      <vt:lpstr>FieldApplications</vt:lpstr>
      <vt:lpstr>CustomRates</vt:lpstr>
      <vt:lpstr>SWWinterWheatAfterSpringLegume</vt:lpstr>
      <vt:lpstr>SWWinterWheatAfterForageCrop</vt:lpstr>
      <vt:lpstr>DNSpringWinterAfterSpringLegume</vt:lpstr>
      <vt:lpstr>DNSpringWheatAfterForageCrop</vt:lpstr>
      <vt:lpstr>DNSpringWheatAfterWinterCrop</vt:lpstr>
      <vt:lpstr>ChickpeaAfterForageCrop</vt:lpstr>
      <vt:lpstr>ChickpeaAfterCereal</vt:lpstr>
      <vt:lpstr>SpringPeaAfterCereal</vt:lpstr>
      <vt:lpstr>ForageCrop-StJohn</vt:lpstr>
      <vt:lpstr>ForageCrop-Genesee</vt:lpstr>
      <vt:lpstr>LivestockGrazing</vt:lpstr>
      <vt:lpstr>SWWinterWheatafterCereal</vt:lpstr>
      <vt:lpstr>SWWinterWheatAfterFallow</vt:lpstr>
      <vt:lpstr>Chem-Fallow</vt:lpstr>
      <vt:lpstr>Flex-Fallow</vt:lpstr>
      <vt:lpstr>SpringBarley</vt:lpstr>
      <vt:lpstr>SpringCanola_R-Ready</vt:lpstr>
      <vt:lpstr>SpringCanola</vt:lpstr>
      <vt:lpstr>SpringLentils</vt:lpstr>
      <vt:lpstr>SWSpringWheat</vt:lpstr>
      <vt:lpstr>HRWinterWheat</vt:lpstr>
      <vt:lpstr>WinterPea</vt:lpstr>
      <vt:lpstr>WinterCanola</vt:lpstr>
      <vt:lpstr>ForageCrop</vt:lpstr>
      <vt:lpstr>AnnualRotations</vt:lpstr>
      <vt:lpstr>Graphs</vt:lpstr>
      <vt:lpstr>LivestockFencing (2)</vt:lpstr>
      <vt:lpstr>LeasingInfo</vt:lpstr>
      <vt:lpstr>LeaseOption</vt:lpstr>
      <vt:lpstr>DNSpringWinterAfterSpringLegume!Print_Area</vt:lpstr>
      <vt:lpstr>'ForageCrop-Genesee'!Print_Area</vt:lpstr>
      <vt:lpstr>'ForageCrop-StJohn'!Print_Area</vt:lpstr>
      <vt:lpstr>Introduction!Print_Area</vt:lpstr>
      <vt:lpstr>LivestockGrazing!Print_Area</vt:lpstr>
      <vt:lpstr>SWSpringWheat!Print_Area</vt:lpstr>
      <vt:lpstr>SWWinterWheatafterCereal!Print_Area</vt:lpstr>
      <vt:lpstr>SWWinterWheatAfterFallow!Print_Area</vt:lpstr>
      <vt:lpstr>SWWinterWheatAfterForageCrop!Print_Area</vt:lpstr>
      <vt:lpstr>SWWinterWheatAfterSpringLegume!Print_Area</vt:lpstr>
      <vt:lpstr>SWWW_Fallow</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Seavert, Clark F</cp:lastModifiedBy>
  <cp:lastPrinted>2022-07-14T22:11:31Z</cp:lastPrinted>
  <dcterms:created xsi:type="dcterms:W3CDTF">2017-09-30T20:55:41Z</dcterms:created>
  <dcterms:modified xsi:type="dcterms:W3CDTF">2022-07-25T23:04:45Z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HV_diesel" linkTarget="prop_HHV_diesel">
    <vt:lpwstr>#REF!</vt:lpwstr>
  </property>
  <property fmtid="{D5CDD505-2E9C-101B-9397-08002B2CF9AE}" pid="3" name="HHV_gas" linkTarget="prop_HHV_gas">
    <vt:lpwstr>#REF!</vt:lpwstr>
  </property>
  <property fmtid="{D5CDD505-2E9C-101B-9397-08002B2CF9AE}" pid="4" name="HHV_jetfuel" linkTarget="prop_HHV_jetfuel">
    <vt:lpwstr>#REF!</vt:lpwstr>
  </property>
  <property fmtid="{D5CDD505-2E9C-101B-9397-08002B2CF9AE}" pid="5" name="HHV_naphtha" linkTarget="prop_HHV_naphtha">
    <vt:lpwstr>#REF!</vt:lpwstr>
  </property>
  <property fmtid="{D5CDD505-2E9C-101B-9397-08002B2CF9AE}" pid="6" name="HHV_NG" linkTarget="prop_HHV_NG">
    <vt:r8>44.1</vt:r8>
  </property>
  <property fmtid="{D5CDD505-2E9C-101B-9397-08002B2CF9AE}" pid="7" name="HHV_NG_mass" linkTarget="prop_HHV_NG_mass">
    <vt:lpwstr>#REF!</vt:lpwstr>
  </property>
  <property fmtid="{D5CDD505-2E9C-101B-9397-08002B2CF9AE}" pid="8" name="HHV_NG_volume" linkTarget="prop_HHV_NG_volume">
    <vt:lpwstr>#REF!</vt:lpwstr>
  </property>
  <property fmtid="{D5CDD505-2E9C-101B-9397-08002B2CF9AE}" pid="9" name="water_heat_vaporization" linkTarget="prop_water_heat_vaporization">
    <vt:lpwstr>#REF!</vt:lpwstr>
  </property>
  <property fmtid="{D5CDD505-2E9C-101B-9397-08002B2CF9AE}" pid="10" name="water_molecular_weight" linkTarget="prop_water_molecular_weight">
    <vt:lpwstr>#REF!</vt:lpwstr>
  </property>
  <property fmtid="{D5CDD505-2E9C-101B-9397-08002B2CF9AE}" pid="11" name="rho_NG" linkTarget="prop_rho_NG">
    <vt:lpwstr>#REF!</vt:lpwstr>
  </property>
  <property fmtid="{D5CDD505-2E9C-101B-9397-08002B2CF9AE}" pid="12" name="rho_water" linkTarget="prop_rho_water">
    <vt:lpwstr>#REF!</vt:lpwstr>
  </property>
</Properties>
</file>